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320" windowHeight="7935" tabRatio="685" activeTab="14"/>
  </bookViews>
  <sheets>
    <sheet name="FACTURACIÓN" sheetId="1" r:id="rId1"/>
    <sheet name="C&amp;A" sheetId="4" r:id="rId2"/>
    <sheet name="SINDICATO" sheetId="2" r:id="rId3"/>
    <sheet name="BANCO C&amp;A (2)" sheetId="11" state="hidden" r:id="rId4"/>
    <sheet name="BANCO  SINDICATO (2)" sheetId="12" state="hidden" r:id="rId5"/>
    <sheet name="INFONAVIT" sheetId="5" r:id="rId6"/>
    <sheet name="Hoja2" sheetId="7" state="hidden" r:id="rId7"/>
    <sheet name="Hoja4" sheetId="10" state="hidden" r:id="rId8"/>
    <sheet name="Hoja3" sheetId="9" state="hidden" r:id="rId9"/>
    <sheet name="Hoja1" sheetId="8" state="hidden" r:id="rId10"/>
    <sheet name="Hoja5" sheetId="13" state="hidden" r:id="rId11"/>
    <sheet name="Hoja6" sheetId="14" state="hidden" r:id="rId12"/>
    <sheet name="sem 10_11" sheetId="15" state="hidden" r:id="rId13"/>
    <sheet name="Hoja8" sheetId="16" state="hidden" r:id="rId14"/>
    <sheet name="POLIZA" sheetId="17" r:id="rId15"/>
  </sheets>
  <definedNames>
    <definedName name="_xlnm._FilterDatabase" localSheetId="0" hidden="1">FACTURACIÓN!$AG$8:$BN$98</definedName>
    <definedName name="_xlnm.Print_Area" localSheetId="1">'C&amp;A'!$A$1:$L$101</definedName>
    <definedName name="_xlnm.Print_Area" localSheetId="8">Hoja3!$A$1:$F$31</definedName>
    <definedName name="_xlnm.Print_Area" localSheetId="12">'sem 10_11'!$A$1:$J$102</definedName>
    <definedName name="_xlnm.Print_Area" localSheetId="2">SINDICATO!$A$1:$P$100</definedName>
  </definedNames>
  <calcPr calcId="124519"/>
</workbook>
</file>

<file path=xl/calcChain.xml><?xml version="1.0" encoding="utf-8"?>
<calcChain xmlns="http://schemas.openxmlformats.org/spreadsheetml/2006/main">
  <c r="B14" i="17"/>
  <c r="B15" s="1"/>
  <c r="C93" i="15"/>
  <c r="C97"/>
  <c r="I101"/>
  <c r="I100"/>
  <c r="I99"/>
  <c r="C100"/>
  <c r="C101" s="1"/>
  <c r="C99"/>
  <c r="I97"/>
  <c r="I93"/>
  <c r="K8"/>
  <c r="K9"/>
  <c r="K10"/>
  <c r="K11"/>
  <c r="K12"/>
  <c r="K13"/>
  <c r="K14"/>
  <c r="K15"/>
  <c r="K9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96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7"/>
  <c r="AF11" i="2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74"/>
  <c r="AF75"/>
  <c r="AF76"/>
  <c r="AF77"/>
  <c r="AF78"/>
  <c r="AF79"/>
  <c r="AF80"/>
  <c r="AF81"/>
  <c r="AF82"/>
  <c r="AF83"/>
  <c r="AF84"/>
  <c r="AF85"/>
  <c r="AF86"/>
  <c r="AF87"/>
  <c r="AF88"/>
  <c r="AF89"/>
  <c r="AF90"/>
  <c r="AF91"/>
  <c r="AF92"/>
  <c r="AF93"/>
  <c r="AF94"/>
  <c r="AF95"/>
  <c r="AF96"/>
  <c r="AF97"/>
  <c r="AF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10"/>
  <c r="M11" i="4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C100"/>
  <c r="D100" i="2"/>
  <c r="E42" i="4"/>
  <c r="F21"/>
  <c r="G2" i="15"/>
  <c r="G1"/>
  <c r="J2" i="16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H89"/>
  <c r="B16" i="17" l="1"/>
  <c r="J1" i="16"/>
  <c r="E83"/>
  <c r="E84"/>
  <c r="E85"/>
  <c r="E86"/>
  <c r="E87"/>
  <c r="E88"/>
  <c r="E66"/>
  <c r="E67"/>
  <c r="E68"/>
  <c r="E69"/>
  <c r="E70"/>
  <c r="E71"/>
  <c r="E72"/>
  <c r="E73"/>
  <c r="E74"/>
  <c r="E75"/>
  <c r="E76"/>
  <c r="E77"/>
  <c r="E78"/>
  <c r="E79"/>
  <c r="E80"/>
  <c r="E81"/>
  <c r="E82"/>
  <c r="E59"/>
  <c r="E60"/>
  <c r="E61"/>
  <c r="E62"/>
  <c r="E63"/>
  <c r="E64"/>
  <c r="E65"/>
  <c r="E53"/>
  <c r="E54"/>
  <c r="E55"/>
  <c r="E56"/>
  <c r="E57"/>
  <c r="E58"/>
  <c r="E50"/>
  <c r="E51"/>
  <c r="E52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28"/>
  <c r="E29"/>
  <c r="E30"/>
  <c r="E18"/>
  <c r="E19"/>
  <c r="E20"/>
  <c r="E21"/>
  <c r="E22"/>
  <c r="E23"/>
  <c r="E24"/>
  <c r="E25"/>
  <c r="E26"/>
  <c r="E27"/>
  <c r="E17"/>
  <c r="E12"/>
  <c r="E13"/>
  <c r="E14"/>
  <c r="E15"/>
  <c r="E16"/>
  <c r="E5"/>
  <c r="E6"/>
  <c r="E7"/>
  <c r="E8"/>
  <c r="E9"/>
  <c r="E10"/>
  <c r="E11"/>
  <c r="E2"/>
  <c r="E3"/>
  <c r="E4"/>
  <c r="E1"/>
  <c r="C89"/>
  <c r="C91" s="1"/>
  <c r="B2" i="15"/>
  <c r="B3"/>
  <c r="B1"/>
  <c r="D100" i="4" l="1"/>
  <c r="F100"/>
  <c r="G100"/>
  <c r="I100"/>
  <c r="F37"/>
  <c r="F22"/>
  <c r="E73" i="1"/>
  <c r="AR73"/>
  <c r="E73" i="14"/>
  <c r="E74"/>
  <c r="E75"/>
  <c r="E76"/>
  <c r="E77"/>
  <c r="E78"/>
  <c r="E79"/>
  <c r="E80"/>
  <c r="E81"/>
  <c r="E82"/>
  <c r="E83"/>
  <c r="E84"/>
  <c r="E85"/>
  <c r="E86"/>
  <c r="E87"/>
  <c r="E88"/>
  <c r="E72"/>
  <c r="E65"/>
  <c r="E66"/>
  <c r="E67"/>
  <c r="E68"/>
  <c r="E69"/>
  <c r="E70"/>
  <c r="E71"/>
  <c r="E64"/>
  <c r="E62"/>
  <c r="E63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14"/>
  <c r="E15"/>
  <c r="E16"/>
  <c r="E17"/>
  <c r="E18"/>
  <c r="E19"/>
  <c r="E4"/>
  <c r="E5"/>
  <c r="E6"/>
  <c r="E7"/>
  <c r="E8"/>
  <c r="E9"/>
  <c r="E10"/>
  <c r="E11"/>
  <c r="E12"/>
  <c r="E13"/>
  <c r="E2"/>
  <c r="E3"/>
  <c r="E1"/>
  <c r="Q109" i="1"/>
  <c r="AB109" s="1"/>
  <c r="Q108"/>
  <c r="AB108" s="1"/>
  <c r="AH107"/>
  <c r="D100"/>
  <c r="H59" i="4"/>
  <c r="H64"/>
  <c r="H92"/>
  <c r="BX9" i="1"/>
  <c r="BY9" s="1"/>
  <c r="BZ9" s="1"/>
  <c r="BZ8" s="1"/>
  <c r="AE109" l="1"/>
  <c r="AH109" s="1"/>
  <c r="AE108"/>
  <c r="AH108" s="1"/>
  <c r="Q93" i="2" l="1"/>
  <c r="Q94"/>
  <c r="Q95"/>
  <c r="Q96"/>
  <c r="Q97"/>
  <c r="J33" i="4"/>
  <c r="E97"/>
  <c r="X97" i="1" s="1"/>
  <c r="E96" i="4"/>
  <c r="X96" i="1" s="1"/>
  <c r="E95" i="4"/>
  <c r="X95" i="1" s="1"/>
  <c r="E94" i="4"/>
  <c r="X94" i="1" s="1"/>
  <c r="E93" i="4"/>
  <c r="X93" i="1" s="1"/>
  <c r="E92" i="4"/>
  <c r="X92" i="1" s="1"/>
  <c r="E91" i="4"/>
  <c r="X91" i="1" s="1"/>
  <c r="E90" i="4"/>
  <c r="X90" i="1" s="1"/>
  <c r="E89" i="4"/>
  <c r="X89" i="1" s="1"/>
  <c r="E88" i="4"/>
  <c r="X88" i="1" s="1"/>
  <c r="E87" i="4"/>
  <c r="X87" i="1" s="1"/>
  <c r="E86" i="4"/>
  <c r="X86" i="1" s="1"/>
  <c r="E85" i="4"/>
  <c r="X85" i="1" s="1"/>
  <c r="E84" i="4"/>
  <c r="X84" i="1" s="1"/>
  <c r="E83" i="4"/>
  <c r="X83" i="1" s="1"/>
  <c r="E82" i="4"/>
  <c r="X82" i="1" s="1"/>
  <c r="E81" i="4"/>
  <c r="X81" i="1" s="1"/>
  <c r="E80" i="4"/>
  <c r="X80" i="1" s="1"/>
  <c r="E79" i="4"/>
  <c r="X79" i="1" s="1"/>
  <c r="E78" i="4"/>
  <c r="X78" i="1" s="1"/>
  <c r="E77" i="4"/>
  <c r="X77" i="1" s="1"/>
  <c r="E76" i="4"/>
  <c r="X76" i="1" s="1"/>
  <c r="E75" i="4"/>
  <c r="X75" i="1" s="1"/>
  <c r="E74" i="4"/>
  <c r="X74" i="1" s="1"/>
  <c r="E73" i="4"/>
  <c r="X73" i="1" s="1"/>
  <c r="E72" i="4"/>
  <c r="X72" i="1" s="1"/>
  <c r="E71" i="4"/>
  <c r="X71" i="1" s="1"/>
  <c r="E70" i="4"/>
  <c r="X70" i="1" s="1"/>
  <c r="E69" i="4"/>
  <c r="X69" i="1" s="1"/>
  <c r="E68" i="4"/>
  <c r="X68" i="1" s="1"/>
  <c r="E67" i="4"/>
  <c r="X67" i="1" s="1"/>
  <c r="E66" i="4"/>
  <c r="X66" i="1" s="1"/>
  <c r="E65" i="4"/>
  <c r="X65" i="1" s="1"/>
  <c r="E64" i="4"/>
  <c r="X64" i="1" s="1"/>
  <c r="E63" i="4"/>
  <c r="X63" i="1" s="1"/>
  <c r="E62" i="4"/>
  <c r="X62" i="1" s="1"/>
  <c r="E61" i="4"/>
  <c r="X61" i="1" s="1"/>
  <c r="E60" i="4"/>
  <c r="X60" i="1" s="1"/>
  <c r="E59" i="4"/>
  <c r="X59" i="1" s="1"/>
  <c r="E58" i="4"/>
  <c r="X58" i="1" s="1"/>
  <c r="E57" i="4"/>
  <c r="X57" i="1" s="1"/>
  <c r="E56" i="4"/>
  <c r="X56" i="1" s="1"/>
  <c r="E55" i="4"/>
  <c r="X55" i="1" s="1"/>
  <c r="E54" i="4"/>
  <c r="X54" i="1" s="1"/>
  <c r="E53" i="4"/>
  <c r="X53" i="1" s="1"/>
  <c r="E52" i="4"/>
  <c r="X52" i="1" s="1"/>
  <c r="E51" i="4"/>
  <c r="X51" i="1" s="1"/>
  <c r="E50" i="4"/>
  <c r="X50" i="1" s="1"/>
  <c r="E49" i="4"/>
  <c r="X49" i="1" s="1"/>
  <c r="E48" i="4"/>
  <c r="X48" i="1" s="1"/>
  <c r="E47" i="4"/>
  <c r="X47" i="1" s="1"/>
  <c r="E46" i="4"/>
  <c r="X46" i="1" s="1"/>
  <c r="E45" i="4"/>
  <c r="X45" i="1" s="1"/>
  <c r="E44" i="4"/>
  <c r="X44" i="1" s="1"/>
  <c r="E43" i="4"/>
  <c r="X43" i="1" s="1"/>
  <c r="X42"/>
  <c r="E41" i="4"/>
  <c r="X41" i="1" s="1"/>
  <c r="E40" i="4"/>
  <c r="X40" i="1" s="1"/>
  <c r="E39" i="4"/>
  <c r="X39" i="1" s="1"/>
  <c r="E38" i="4"/>
  <c r="X38" i="1" s="1"/>
  <c r="E37" i="4"/>
  <c r="X37" i="1" s="1"/>
  <c r="E36" i="4"/>
  <c r="X36" i="1" s="1"/>
  <c r="E35" i="4"/>
  <c r="X35" i="1" s="1"/>
  <c r="E34" i="4"/>
  <c r="X34" i="1" s="1"/>
  <c r="E33" i="4"/>
  <c r="X33" i="1" s="1"/>
  <c r="E32" i="4"/>
  <c r="X32" i="1" s="1"/>
  <c r="E31" i="4"/>
  <c r="X31" i="1" s="1"/>
  <c r="E30" i="4"/>
  <c r="X30" i="1" s="1"/>
  <c r="E29" i="4"/>
  <c r="X29" i="1" s="1"/>
  <c r="E28" i="4"/>
  <c r="X28" i="1" s="1"/>
  <c r="E27" i="4"/>
  <c r="X27" i="1" s="1"/>
  <c r="E26" i="4"/>
  <c r="X26" i="1" s="1"/>
  <c r="E25" i="4"/>
  <c r="X25" i="1" s="1"/>
  <c r="E24" i="4"/>
  <c r="X24" i="1" s="1"/>
  <c r="E23" i="4"/>
  <c r="X23" i="1" s="1"/>
  <c r="E22" i="4"/>
  <c r="X22" i="1" s="1"/>
  <c r="E21" i="4"/>
  <c r="E20"/>
  <c r="X20" i="1" s="1"/>
  <c r="E19" i="4"/>
  <c r="X19" i="1" s="1"/>
  <c r="E18" i="4"/>
  <c r="X18" i="1" s="1"/>
  <c r="E17" i="4"/>
  <c r="X17" i="1" s="1"/>
  <c r="E16" i="4"/>
  <c r="X16" i="1" s="1"/>
  <c r="E15" i="4"/>
  <c r="X15" i="1" s="1"/>
  <c r="E14" i="4"/>
  <c r="X14" i="1" s="1"/>
  <c r="E13" i="4"/>
  <c r="X13" i="1" s="1"/>
  <c r="E12" i="4"/>
  <c r="X12" i="1" s="1"/>
  <c r="E11" i="4"/>
  <c r="X11" i="1" s="1"/>
  <c r="X21" l="1"/>
  <c r="E100" i="4"/>
  <c r="E11" i="1" l="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3"/>
  <c r="E64"/>
  <c r="E65"/>
  <c r="E66"/>
  <c r="E67"/>
  <c r="E68"/>
  <c r="E69"/>
  <c r="E70"/>
  <c r="E71"/>
  <c r="E72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10"/>
  <c r="AO100"/>
  <c r="AP100"/>
  <c r="AR100"/>
  <c r="AS100"/>
  <c r="AT100"/>
  <c r="AU100"/>
  <c r="AV100"/>
  <c r="R11"/>
  <c r="H11" i="4" s="1"/>
  <c r="R12" i="1"/>
  <c r="H12" i="4" s="1"/>
  <c r="R13" i="1"/>
  <c r="H13" i="4" s="1"/>
  <c r="R14" i="1"/>
  <c r="H14" i="4" s="1"/>
  <c r="R15" i="1"/>
  <c r="H15" i="4" s="1"/>
  <c r="R16" i="1"/>
  <c r="H16" i="4" s="1"/>
  <c r="R17" i="1"/>
  <c r="H17" i="4" s="1"/>
  <c r="R18" i="1"/>
  <c r="H18" i="4" s="1"/>
  <c r="R19" i="1"/>
  <c r="H19" i="4" s="1"/>
  <c r="R20" i="1"/>
  <c r="H20" i="4" s="1"/>
  <c r="R21" i="1"/>
  <c r="H21" i="4" s="1"/>
  <c r="R22" i="1"/>
  <c r="H22" i="4" s="1"/>
  <c r="R23" i="1"/>
  <c r="H23" i="4" s="1"/>
  <c r="R24" i="1"/>
  <c r="H24" i="4" s="1"/>
  <c r="R25" i="1"/>
  <c r="H25" i="4" s="1"/>
  <c r="R26" i="1"/>
  <c r="H26" i="4" s="1"/>
  <c r="R27" i="1"/>
  <c r="H27" i="4" s="1"/>
  <c r="R28" i="1"/>
  <c r="H28" i="4" s="1"/>
  <c r="R29" i="1"/>
  <c r="H29" i="4" s="1"/>
  <c r="R30" i="1"/>
  <c r="H30" i="4" s="1"/>
  <c r="R31" i="1"/>
  <c r="H31" i="4" s="1"/>
  <c r="R32" i="1"/>
  <c r="H32" i="4" s="1"/>
  <c r="R33" i="1"/>
  <c r="H33" i="4" s="1"/>
  <c r="K33" s="1"/>
  <c r="L33" s="1"/>
  <c r="Q33" s="1"/>
  <c r="R34" i="1"/>
  <c r="H34" i="4" s="1"/>
  <c r="R35" i="1"/>
  <c r="H35" i="4" s="1"/>
  <c r="R36" i="1"/>
  <c r="H36" i="4" s="1"/>
  <c r="R37" i="1"/>
  <c r="H37" i="4" s="1"/>
  <c r="R38" i="1"/>
  <c r="H38" i="4" s="1"/>
  <c r="R39" i="1"/>
  <c r="H39" i="4" s="1"/>
  <c r="R40" i="1"/>
  <c r="H40" i="4" s="1"/>
  <c r="R41" i="1"/>
  <c r="H41" i="4" s="1"/>
  <c r="R42" i="1"/>
  <c r="H42" i="4" s="1"/>
  <c r="R43" i="1"/>
  <c r="H43" i="4" s="1"/>
  <c r="R44" i="1"/>
  <c r="H44" i="4" s="1"/>
  <c r="R45" i="1"/>
  <c r="H45" i="4" s="1"/>
  <c r="R46" i="1"/>
  <c r="H46" i="4" s="1"/>
  <c r="R47" i="1"/>
  <c r="H47" i="4" s="1"/>
  <c r="R48" i="1"/>
  <c r="H48" i="4" s="1"/>
  <c r="R49" i="1"/>
  <c r="H49" i="4" s="1"/>
  <c r="R50" i="1"/>
  <c r="H50" i="4" s="1"/>
  <c r="R51" i="1"/>
  <c r="H51" i="4" s="1"/>
  <c r="R52" i="1"/>
  <c r="H52" i="4" s="1"/>
  <c r="R53" i="1"/>
  <c r="H53" i="4" s="1"/>
  <c r="R54" i="1"/>
  <c r="H54" i="4" s="1"/>
  <c r="R55" i="1"/>
  <c r="H55" i="4" s="1"/>
  <c r="R56" i="1"/>
  <c r="H56" i="4" s="1"/>
  <c r="R57" i="1"/>
  <c r="H57" i="4" s="1"/>
  <c r="R10" i="1"/>
  <c r="H10" i="4" s="1"/>
  <c r="N17" i="1"/>
  <c r="L17" i="2" s="1"/>
  <c r="N18" i="1"/>
  <c r="L18" i="2" s="1"/>
  <c r="N19" i="1"/>
  <c r="L19" i="2" s="1"/>
  <c r="N20" i="1"/>
  <c r="L20" i="2" s="1"/>
  <c r="N22" i="1"/>
  <c r="L22" i="2" s="1"/>
  <c r="N23" i="1"/>
  <c r="L23" i="2" s="1"/>
  <c r="N24" i="1"/>
  <c r="L24" i="2" s="1"/>
  <c r="N25" i="1"/>
  <c r="L25" i="2" s="1"/>
  <c r="N26" i="1"/>
  <c r="L26" i="2" s="1"/>
  <c r="N27" i="1"/>
  <c r="L27" i="2" s="1"/>
  <c r="N28" i="1"/>
  <c r="L28" i="2" s="1"/>
  <c r="N29" i="1"/>
  <c r="L29" i="2" s="1"/>
  <c r="N30" i="1"/>
  <c r="L30" i="2" s="1"/>
  <c r="N31" i="1"/>
  <c r="L31" i="2" s="1"/>
  <c r="N32" i="1"/>
  <c r="L32" i="2" s="1"/>
  <c r="N33" i="1"/>
  <c r="L33" i="2" s="1"/>
  <c r="N34" i="1"/>
  <c r="L34" i="2" s="1"/>
  <c r="N35" i="1"/>
  <c r="L35" i="2" s="1"/>
  <c r="N36" i="1"/>
  <c r="L36" i="2" s="1"/>
  <c r="N37" i="1"/>
  <c r="L37" i="2" s="1"/>
  <c r="N38" i="1"/>
  <c r="L38" i="2" s="1"/>
  <c r="N39" i="1"/>
  <c r="L39" i="2" s="1"/>
  <c r="N40" i="1"/>
  <c r="L40" i="2" s="1"/>
  <c r="N41" i="1"/>
  <c r="L41" i="2" s="1"/>
  <c r="N42" i="1"/>
  <c r="L42" i="2" s="1"/>
  <c r="N43" i="1"/>
  <c r="L43" i="2" s="1"/>
  <c r="N44" i="1"/>
  <c r="L44" i="2" s="1"/>
  <c r="N45" i="1"/>
  <c r="L45" i="2" s="1"/>
  <c r="N46" i="1"/>
  <c r="L46" i="2" s="1"/>
  <c r="N47" i="1"/>
  <c r="L47" i="2" s="1"/>
  <c r="N48" i="1"/>
  <c r="L48" i="2" s="1"/>
  <c r="N49" i="1"/>
  <c r="L49" i="2" s="1"/>
  <c r="N50" i="1"/>
  <c r="L50" i="2" s="1"/>
  <c r="N51" i="1"/>
  <c r="L51" i="2" s="1"/>
  <c r="N52" i="1"/>
  <c r="L52" i="2" s="1"/>
  <c r="N53" i="1"/>
  <c r="L53" i="2" s="1"/>
  <c r="N54" i="1"/>
  <c r="L54" i="2" s="1"/>
  <c r="N55" i="1"/>
  <c r="L55" i="2" s="1"/>
  <c r="N56" i="1"/>
  <c r="L56" i="2" s="1"/>
  <c r="N57" i="1"/>
  <c r="L57" i="2" s="1"/>
  <c r="N58" i="1"/>
  <c r="L58" i="2" s="1"/>
  <c r="N59" i="1"/>
  <c r="L59" i="2" s="1"/>
  <c r="N60" i="1"/>
  <c r="L60" i="2" s="1"/>
  <c r="N61" i="1"/>
  <c r="L61" i="2" s="1"/>
  <c r="N62" i="1"/>
  <c r="L62" i="2" s="1"/>
  <c r="N63" i="1"/>
  <c r="L63" i="2" s="1"/>
  <c r="N64" i="1"/>
  <c r="N65"/>
  <c r="L65" i="2" s="1"/>
  <c r="N66" i="1"/>
  <c r="L66" i="2" s="1"/>
  <c r="N67" i="1"/>
  <c r="L67" i="2" s="1"/>
  <c r="N68" i="1"/>
  <c r="L68" i="2" s="1"/>
  <c r="N69" i="1"/>
  <c r="L69" i="2" s="1"/>
  <c r="N70" i="1"/>
  <c r="L70" i="2" s="1"/>
  <c r="N71" i="1"/>
  <c r="L71" i="2" s="1"/>
  <c r="N72" i="1"/>
  <c r="L72" i="2" s="1"/>
  <c r="N74" i="1"/>
  <c r="L74" i="2" s="1"/>
  <c r="N75" i="1"/>
  <c r="L75" i="2" s="1"/>
  <c r="N76" i="1"/>
  <c r="L76" i="2" s="1"/>
  <c r="N77" i="1"/>
  <c r="L77" i="2" s="1"/>
  <c r="N78" i="1"/>
  <c r="L78" i="2" s="1"/>
  <c r="N79" i="1"/>
  <c r="L79" i="2" s="1"/>
  <c r="N80" i="1"/>
  <c r="L80" i="2" s="1"/>
  <c r="N81" i="1"/>
  <c r="L81" i="2" s="1"/>
  <c r="N82" i="1"/>
  <c r="L82" i="2" s="1"/>
  <c r="N83" i="1"/>
  <c r="L83" i="2" s="1"/>
  <c r="N84" i="1"/>
  <c r="L84" i="2" s="1"/>
  <c r="N85" i="1"/>
  <c r="L85" i="2" s="1"/>
  <c r="N86" i="1"/>
  <c r="L86" i="2" s="1"/>
  <c r="N87" i="1"/>
  <c r="L87" i="2" s="1"/>
  <c r="N88" i="1"/>
  <c r="L88" i="2" s="1"/>
  <c r="N89" i="1"/>
  <c r="L89" i="2" s="1"/>
  <c r="N90" i="1"/>
  <c r="L90" i="2" s="1"/>
  <c r="N91" i="1"/>
  <c r="L91" i="2" s="1"/>
  <c r="N93" i="1"/>
  <c r="L93" i="2" s="1"/>
  <c r="N94" i="1"/>
  <c r="L94" i="2" s="1"/>
  <c r="N95" i="1"/>
  <c r="L95" i="2" s="1"/>
  <c r="N96" i="1"/>
  <c r="L96" i="2" s="1"/>
  <c r="N97" i="1"/>
  <c r="L97" i="2" s="1"/>
  <c r="N11" i="1"/>
  <c r="L11" i="2" s="1"/>
  <c r="N12" i="1"/>
  <c r="L12" i="2" s="1"/>
  <c r="N13" i="1"/>
  <c r="L13" i="2" s="1"/>
  <c r="N14" i="1"/>
  <c r="L14" i="2" s="1"/>
  <c r="N15" i="1"/>
  <c r="L15" i="2" s="1"/>
  <c r="N16" i="1"/>
  <c r="L16" i="2" s="1"/>
  <c r="N10" i="1"/>
  <c r="M11"/>
  <c r="K11" i="2" s="1"/>
  <c r="M12" i="1"/>
  <c r="K12" i="2" s="1"/>
  <c r="M13" i="1"/>
  <c r="K13" i="2" s="1"/>
  <c r="M14" i="1"/>
  <c r="K14" i="2" s="1"/>
  <c r="M15" i="1"/>
  <c r="K15" i="2" s="1"/>
  <c r="M16" i="1"/>
  <c r="K16" i="2" s="1"/>
  <c r="M17" i="1"/>
  <c r="K17" i="2" s="1"/>
  <c r="M18" i="1"/>
  <c r="K18" i="2" s="1"/>
  <c r="M19" i="1"/>
  <c r="K19" i="2" s="1"/>
  <c r="M20" i="1"/>
  <c r="K20" i="2" s="1"/>
  <c r="M21" i="1"/>
  <c r="K21" i="2" s="1"/>
  <c r="M22" i="1"/>
  <c r="K22" i="2" s="1"/>
  <c r="M23" i="1"/>
  <c r="K23" i="2" s="1"/>
  <c r="M24" i="1"/>
  <c r="K24" i="2" s="1"/>
  <c r="M25" i="1"/>
  <c r="K25" i="2" s="1"/>
  <c r="M26" i="1"/>
  <c r="K26" i="2" s="1"/>
  <c r="M27" i="1"/>
  <c r="K27" i="2" s="1"/>
  <c r="M28" i="1"/>
  <c r="K28" i="2" s="1"/>
  <c r="M29" i="1"/>
  <c r="K29" i="2" s="1"/>
  <c r="M30" i="1"/>
  <c r="K30" i="2" s="1"/>
  <c r="M31" i="1"/>
  <c r="K31" i="2" s="1"/>
  <c r="M32" i="1"/>
  <c r="K32" i="2" s="1"/>
  <c r="M33" i="1"/>
  <c r="K33" i="2" s="1"/>
  <c r="M34" i="1"/>
  <c r="K34" i="2" s="1"/>
  <c r="M35" i="1"/>
  <c r="K35" i="2" s="1"/>
  <c r="M36" i="1"/>
  <c r="K36" i="2" s="1"/>
  <c r="M37" i="1"/>
  <c r="K37" i="2" s="1"/>
  <c r="M38" i="1"/>
  <c r="K38" i="2" s="1"/>
  <c r="M39" i="1"/>
  <c r="K39" i="2" s="1"/>
  <c r="M40" i="1"/>
  <c r="K40" i="2" s="1"/>
  <c r="M41" i="1"/>
  <c r="K41" i="2" s="1"/>
  <c r="M42" i="1"/>
  <c r="K42" i="2" s="1"/>
  <c r="M43" i="1"/>
  <c r="K43" i="2" s="1"/>
  <c r="M44" i="1"/>
  <c r="K44" i="2" s="1"/>
  <c r="M45" i="1"/>
  <c r="K45" i="2" s="1"/>
  <c r="M46" i="1"/>
  <c r="K46" i="2" s="1"/>
  <c r="M47" i="1"/>
  <c r="K47" i="2" s="1"/>
  <c r="M48" i="1"/>
  <c r="K48" i="2" s="1"/>
  <c r="M49" i="1"/>
  <c r="K49" i="2" s="1"/>
  <c r="M50" i="1"/>
  <c r="K50" i="2" s="1"/>
  <c r="M51" i="1"/>
  <c r="K51" i="2" s="1"/>
  <c r="M52" i="1"/>
  <c r="K52" i="2" s="1"/>
  <c r="M53" i="1"/>
  <c r="K53" i="2" s="1"/>
  <c r="M54" i="1"/>
  <c r="K54" i="2" s="1"/>
  <c r="M55" i="1"/>
  <c r="K55" i="2" s="1"/>
  <c r="M56" i="1"/>
  <c r="K56" i="2" s="1"/>
  <c r="M57" i="1"/>
  <c r="K57" i="2" s="1"/>
  <c r="M58" i="1"/>
  <c r="K58" i="2" s="1"/>
  <c r="M59" i="1"/>
  <c r="K59" i="2" s="1"/>
  <c r="M60" i="1"/>
  <c r="K60" i="2" s="1"/>
  <c r="M61" i="1"/>
  <c r="K61" i="2" s="1"/>
  <c r="M62" i="1"/>
  <c r="K62" i="2" s="1"/>
  <c r="M63" i="1"/>
  <c r="K63" i="2" s="1"/>
  <c r="M64" i="1"/>
  <c r="K64" i="2" s="1"/>
  <c r="M65" i="1"/>
  <c r="K65" i="2" s="1"/>
  <c r="M66" i="1"/>
  <c r="K66" i="2" s="1"/>
  <c r="M67" i="1"/>
  <c r="K67" i="2" s="1"/>
  <c r="M68" i="1"/>
  <c r="K68" i="2" s="1"/>
  <c r="M69" i="1"/>
  <c r="K69" i="2" s="1"/>
  <c r="M70" i="1"/>
  <c r="K70" i="2" s="1"/>
  <c r="M71" i="1"/>
  <c r="K71" i="2" s="1"/>
  <c r="M72" i="1"/>
  <c r="K72" i="2" s="1"/>
  <c r="M73" i="1"/>
  <c r="K73" i="2" s="1"/>
  <c r="M74" i="1"/>
  <c r="K74" i="2" s="1"/>
  <c r="M75" i="1"/>
  <c r="K75" i="2" s="1"/>
  <c r="M76" i="1"/>
  <c r="K76" i="2" s="1"/>
  <c r="M77" i="1"/>
  <c r="K77" i="2" s="1"/>
  <c r="M78" i="1"/>
  <c r="K78" i="2" s="1"/>
  <c r="M79" i="1"/>
  <c r="K79" i="2" s="1"/>
  <c r="M80" i="1"/>
  <c r="K80" i="2" s="1"/>
  <c r="M81" i="1"/>
  <c r="K81" i="2" s="1"/>
  <c r="M82" i="1"/>
  <c r="K82" i="2" s="1"/>
  <c r="M83" i="1"/>
  <c r="K83" i="2" s="1"/>
  <c r="M84" i="1"/>
  <c r="K84" i="2" s="1"/>
  <c r="M85" i="1"/>
  <c r="K85" i="2" s="1"/>
  <c r="M86" i="1"/>
  <c r="K86" i="2" s="1"/>
  <c r="M87" i="1"/>
  <c r="K87" i="2" s="1"/>
  <c r="M88" i="1"/>
  <c r="K88" i="2" s="1"/>
  <c r="M89" i="1"/>
  <c r="K89" i="2" s="1"/>
  <c r="M90" i="1"/>
  <c r="K90" i="2" s="1"/>
  <c r="M91" i="1"/>
  <c r="K91" i="2" s="1"/>
  <c r="M92" i="1"/>
  <c r="K92" i="2" s="1"/>
  <c r="M93" i="1"/>
  <c r="K93" i="2" s="1"/>
  <c r="M94" i="1"/>
  <c r="K94" i="2" s="1"/>
  <c r="M95" i="1"/>
  <c r="K95" i="2" s="1"/>
  <c r="M96" i="1"/>
  <c r="K96" i="2" s="1"/>
  <c r="M97" i="1"/>
  <c r="K97" i="2" s="1"/>
  <c r="M10" i="1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R58"/>
  <c r="H58" i="4" s="1"/>
  <c r="S58" i="1"/>
  <c r="S59"/>
  <c r="R60"/>
  <c r="H60" i="4" s="1"/>
  <c r="S60" i="1"/>
  <c r="R61"/>
  <c r="H61" i="4" s="1"/>
  <c r="S61" i="1"/>
  <c r="R62"/>
  <c r="H62" i="4" s="1"/>
  <c r="S62" i="1"/>
  <c r="R63"/>
  <c r="H63" i="4" s="1"/>
  <c r="S63" i="1"/>
  <c r="S64"/>
  <c r="R65"/>
  <c r="H65" i="4" s="1"/>
  <c r="S65" i="1"/>
  <c r="R66"/>
  <c r="H66" i="4" s="1"/>
  <c r="S66" i="1"/>
  <c r="R67"/>
  <c r="H67" i="4" s="1"/>
  <c r="S67" i="1"/>
  <c r="R68"/>
  <c r="H68" i="4" s="1"/>
  <c r="S68" i="1"/>
  <c r="R69"/>
  <c r="H69" i="4" s="1"/>
  <c r="S69" i="1"/>
  <c r="R70"/>
  <c r="H70" i="4" s="1"/>
  <c r="S70" i="1"/>
  <c r="R71"/>
  <c r="H71" i="4" s="1"/>
  <c r="S71" i="1"/>
  <c r="R72"/>
  <c r="H72" i="4" s="1"/>
  <c r="S72" i="1"/>
  <c r="R73"/>
  <c r="H73" i="4" s="1"/>
  <c r="S73" i="1"/>
  <c r="R74"/>
  <c r="H74" i="4" s="1"/>
  <c r="S74" i="1"/>
  <c r="R75"/>
  <c r="H75" i="4" s="1"/>
  <c r="S75" i="1"/>
  <c r="J75" i="4" s="1"/>
  <c r="R76" i="1"/>
  <c r="H76" i="4" s="1"/>
  <c r="S76" i="1"/>
  <c r="J76" i="4" s="1"/>
  <c r="R77" i="1"/>
  <c r="H77" i="4" s="1"/>
  <c r="S77" i="1"/>
  <c r="J77" i="4" s="1"/>
  <c r="R78" i="1"/>
  <c r="H78" i="4" s="1"/>
  <c r="S78" i="1"/>
  <c r="J78" i="4" s="1"/>
  <c r="R79" i="1"/>
  <c r="H79" i="4" s="1"/>
  <c r="S79" i="1"/>
  <c r="J79" i="4" s="1"/>
  <c r="R80" i="1"/>
  <c r="H80" i="4" s="1"/>
  <c r="S80" i="1"/>
  <c r="J80" i="4" s="1"/>
  <c r="R81" i="1"/>
  <c r="H81" i="4" s="1"/>
  <c r="S81" i="1"/>
  <c r="J81" i="4" s="1"/>
  <c r="R82" i="1"/>
  <c r="H82" i="4" s="1"/>
  <c r="S82" i="1"/>
  <c r="J82" i="4" s="1"/>
  <c r="R83" i="1"/>
  <c r="H83" i="4" s="1"/>
  <c r="S83" i="1"/>
  <c r="J83" i="4" s="1"/>
  <c r="R84" i="1"/>
  <c r="H84" i="4" s="1"/>
  <c r="S84" i="1"/>
  <c r="J84" i="4" s="1"/>
  <c r="R85" i="1"/>
  <c r="H85" i="4" s="1"/>
  <c r="S85" i="1"/>
  <c r="J85" i="4" s="1"/>
  <c r="R86" i="1"/>
  <c r="H86" i="4" s="1"/>
  <c r="S86" i="1"/>
  <c r="J86" i="4" s="1"/>
  <c r="R87" i="1"/>
  <c r="H87" i="4" s="1"/>
  <c r="S87" i="1"/>
  <c r="J87" i="4" s="1"/>
  <c r="R88" i="1"/>
  <c r="H88" i="4" s="1"/>
  <c r="S88" i="1"/>
  <c r="J88" i="4" s="1"/>
  <c r="R89" i="1"/>
  <c r="H89" i="4" s="1"/>
  <c r="S89" i="1"/>
  <c r="J89" i="4" s="1"/>
  <c r="R90" i="1"/>
  <c r="H90" i="4" s="1"/>
  <c r="S90" i="1"/>
  <c r="J90" i="4" s="1"/>
  <c r="R91" i="1"/>
  <c r="H91" i="4" s="1"/>
  <c r="S91" i="1"/>
  <c r="J91" i="4" s="1"/>
  <c r="S92" i="1"/>
  <c r="J92" i="4" s="1"/>
  <c r="K92" s="1"/>
  <c r="L92" s="1"/>
  <c r="Q92" s="1"/>
  <c r="R93" i="1"/>
  <c r="H93" i="4" s="1"/>
  <c r="S93" i="1"/>
  <c r="J93" i="4" s="1"/>
  <c r="R94" i="1"/>
  <c r="H94" i="4" s="1"/>
  <c r="S94" i="1"/>
  <c r="J94" i="4" s="1"/>
  <c r="R95" i="1"/>
  <c r="H95" i="4" s="1"/>
  <c r="S95" i="1"/>
  <c r="J95" i="4" s="1"/>
  <c r="R96" i="1"/>
  <c r="H96" i="4" s="1"/>
  <c r="S96" i="1"/>
  <c r="J96" i="4" s="1"/>
  <c r="R97" i="1"/>
  <c r="H97" i="4" s="1"/>
  <c r="S97" i="1"/>
  <c r="J97" i="4" s="1"/>
  <c r="S10" i="1"/>
  <c r="J10" i="4" s="1"/>
  <c r="L11" i="1"/>
  <c r="J11" i="2" s="1"/>
  <c r="L12" i="1"/>
  <c r="J12" i="2" s="1"/>
  <c r="L13" i="1"/>
  <c r="J13" i="2" s="1"/>
  <c r="L14" i="1"/>
  <c r="J14" i="2" s="1"/>
  <c r="L15" i="1"/>
  <c r="J15" i="2" s="1"/>
  <c r="L16" i="1"/>
  <c r="J16" i="2" s="1"/>
  <c r="L17" i="1"/>
  <c r="J17" i="2" s="1"/>
  <c r="L18" i="1"/>
  <c r="J18" i="2" s="1"/>
  <c r="L19" i="1"/>
  <c r="J19" i="2" s="1"/>
  <c r="L20" i="1"/>
  <c r="J20" i="2" s="1"/>
  <c r="L21" i="1"/>
  <c r="J21" i="2" s="1"/>
  <c r="L22" i="1"/>
  <c r="J22" i="2" s="1"/>
  <c r="L23" i="1"/>
  <c r="J23" i="2" s="1"/>
  <c r="L24" i="1"/>
  <c r="J24" i="2" s="1"/>
  <c r="L25" i="1"/>
  <c r="J25" i="2" s="1"/>
  <c r="L26" i="1"/>
  <c r="J26" i="2" s="1"/>
  <c r="L27" i="1"/>
  <c r="J27" i="2" s="1"/>
  <c r="L28" i="1"/>
  <c r="J28" i="2" s="1"/>
  <c r="L29" i="1"/>
  <c r="J29" i="2" s="1"/>
  <c r="L30" i="1"/>
  <c r="J30" i="2" s="1"/>
  <c r="L31" i="1"/>
  <c r="J31" i="2" s="1"/>
  <c r="L32" i="1"/>
  <c r="J32" i="2" s="1"/>
  <c r="L33" i="1"/>
  <c r="J33" i="2" s="1"/>
  <c r="L34" i="1"/>
  <c r="J34" i="2" s="1"/>
  <c r="L35" i="1"/>
  <c r="J35" i="2" s="1"/>
  <c r="L36" i="1"/>
  <c r="J36" i="2" s="1"/>
  <c r="L37" i="1"/>
  <c r="J37" i="2" s="1"/>
  <c r="L38" i="1"/>
  <c r="J38" i="2" s="1"/>
  <c r="L39" i="1"/>
  <c r="J39" i="2" s="1"/>
  <c r="L40" i="1"/>
  <c r="J40" i="2" s="1"/>
  <c r="L41" i="1"/>
  <c r="J41" i="2" s="1"/>
  <c r="L42" i="1"/>
  <c r="J42" i="2" s="1"/>
  <c r="L43" i="1"/>
  <c r="J43" i="2" s="1"/>
  <c r="L44" i="1"/>
  <c r="J44" i="2" s="1"/>
  <c r="L45" i="1"/>
  <c r="J45" i="2" s="1"/>
  <c r="L46" i="1"/>
  <c r="J46" i="2" s="1"/>
  <c r="L47" i="1"/>
  <c r="J47" i="2" s="1"/>
  <c r="L48" i="1"/>
  <c r="J48" i="2" s="1"/>
  <c r="L49" i="1"/>
  <c r="J49" i="2" s="1"/>
  <c r="L50" i="1"/>
  <c r="J50" i="2" s="1"/>
  <c r="L51" i="1"/>
  <c r="J51" i="2" s="1"/>
  <c r="L52" i="1"/>
  <c r="J52" i="2" s="1"/>
  <c r="L53" i="1"/>
  <c r="J53" i="2" s="1"/>
  <c r="L54" i="1"/>
  <c r="J54" i="2" s="1"/>
  <c r="L55" i="1"/>
  <c r="J55" i="2" s="1"/>
  <c r="L56" i="1"/>
  <c r="J56" i="2" s="1"/>
  <c r="L57" i="1"/>
  <c r="J57" i="2" s="1"/>
  <c r="L58" i="1"/>
  <c r="J58" i="2" s="1"/>
  <c r="L59" i="1"/>
  <c r="J59" i="2" s="1"/>
  <c r="L60" i="1"/>
  <c r="J60" i="2" s="1"/>
  <c r="L61" i="1"/>
  <c r="J61" i="2" s="1"/>
  <c r="L62" i="1"/>
  <c r="J62" i="2" s="1"/>
  <c r="L63" i="1"/>
  <c r="J63" i="2" s="1"/>
  <c r="L64" i="1"/>
  <c r="J64" i="2" s="1"/>
  <c r="L65" i="1"/>
  <c r="J65" i="2" s="1"/>
  <c r="L66" i="1"/>
  <c r="J66" i="2" s="1"/>
  <c r="L67" i="1"/>
  <c r="J67" i="2" s="1"/>
  <c r="L68" i="1"/>
  <c r="J68" i="2" s="1"/>
  <c r="L69" i="1"/>
  <c r="J69" i="2" s="1"/>
  <c r="L70" i="1"/>
  <c r="J70" i="2" s="1"/>
  <c r="L71" i="1"/>
  <c r="J71" i="2" s="1"/>
  <c r="L72" i="1"/>
  <c r="J72" i="2" s="1"/>
  <c r="L73" i="1"/>
  <c r="J73" i="2" s="1"/>
  <c r="L74" i="1"/>
  <c r="J74" i="2" s="1"/>
  <c r="L75" i="1"/>
  <c r="J75" i="2" s="1"/>
  <c r="L76" i="1"/>
  <c r="J76" i="2" s="1"/>
  <c r="L77" i="1"/>
  <c r="J77" i="2" s="1"/>
  <c r="L78" i="1"/>
  <c r="J78" i="2" s="1"/>
  <c r="L79" i="1"/>
  <c r="J79" i="2" s="1"/>
  <c r="L80" i="1"/>
  <c r="J80" i="2" s="1"/>
  <c r="L81" i="1"/>
  <c r="J81" i="2" s="1"/>
  <c r="L82" i="1"/>
  <c r="J82" i="2" s="1"/>
  <c r="L83" i="1"/>
  <c r="J83" i="2" s="1"/>
  <c r="L84" i="1"/>
  <c r="J84" i="2" s="1"/>
  <c r="L85" i="1"/>
  <c r="J85" i="2" s="1"/>
  <c r="L86" i="1"/>
  <c r="J86" i="2" s="1"/>
  <c r="L87" i="1"/>
  <c r="J87" i="2" s="1"/>
  <c r="L88" i="1"/>
  <c r="J88" i="2" s="1"/>
  <c r="L89" i="1"/>
  <c r="J89" i="2" s="1"/>
  <c r="L90" i="1"/>
  <c r="J90" i="2" s="1"/>
  <c r="L91" i="1"/>
  <c r="J91" i="2" s="1"/>
  <c r="L92" i="1"/>
  <c r="J92" i="2" s="1"/>
  <c r="L93" i="1"/>
  <c r="J93" i="2" s="1"/>
  <c r="L94" i="1"/>
  <c r="J94" i="2" s="1"/>
  <c r="L95" i="1"/>
  <c r="J95" i="2" s="1"/>
  <c r="L96" i="1"/>
  <c r="J96" i="2" s="1"/>
  <c r="L97" i="1"/>
  <c r="J97" i="2" s="1"/>
  <c r="L10" i="1"/>
  <c r="S113"/>
  <c r="K91" i="4" l="1"/>
  <c r="L91" s="1"/>
  <c r="Q91" s="1"/>
  <c r="K89"/>
  <c r="L89" s="1"/>
  <c r="Q89" s="1"/>
  <c r="K87"/>
  <c r="L87" s="1"/>
  <c r="Q87" s="1"/>
  <c r="K85"/>
  <c r="L85" s="1"/>
  <c r="Q85" s="1"/>
  <c r="K83"/>
  <c r="L83" s="1"/>
  <c r="Q83" s="1"/>
  <c r="K81"/>
  <c r="L81" s="1"/>
  <c r="Q81" s="1"/>
  <c r="K79"/>
  <c r="L79" s="1"/>
  <c r="Q79" s="1"/>
  <c r="K77"/>
  <c r="L77" s="1"/>
  <c r="Q77" s="1"/>
  <c r="K75"/>
  <c r="L75" s="1"/>
  <c r="Q75" s="1"/>
  <c r="K96"/>
  <c r="L96" s="1"/>
  <c r="Q96" s="1"/>
  <c r="K94"/>
  <c r="L94" s="1"/>
  <c r="Q94" s="1"/>
  <c r="K88"/>
  <c r="L88" s="1"/>
  <c r="Q88" s="1"/>
  <c r="K82"/>
  <c r="L82" s="1"/>
  <c r="Q82" s="1"/>
  <c r="K76"/>
  <c r="L76" s="1"/>
  <c r="Q76" s="1"/>
  <c r="K90"/>
  <c r="L90" s="1"/>
  <c r="Q90" s="1"/>
  <c r="K80"/>
  <c r="L80" s="1"/>
  <c r="Q80" s="1"/>
  <c r="H100"/>
  <c r="K86"/>
  <c r="L86" s="1"/>
  <c r="Q86" s="1"/>
  <c r="K84"/>
  <c r="L84" s="1"/>
  <c r="Q84" s="1"/>
  <c r="K78"/>
  <c r="L78" s="1"/>
  <c r="Q78" s="1"/>
  <c r="K97"/>
  <c r="L97" s="1"/>
  <c r="Q97" s="1"/>
  <c r="K95"/>
  <c r="L95" s="1"/>
  <c r="Q95" s="1"/>
  <c r="K93"/>
  <c r="L93" s="1"/>
  <c r="Q93" s="1"/>
  <c r="J74"/>
  <c r="K74" s="1"/>
  <c r="L74" s="1"/>
  <c r="Q74" s="1"/>
  <c r="J73"/>
  <c r="K73" s="1"/>
  <c r="L73" s="1"/>
  <c r="Q73" s="1"/>
  <c r="J72"/>
  <c r="K72" s="1"/>
  <c r="L72" s="1"/>
  <c r="Q72" s="1"/>
  <c r="J71"/>
  <c r="K71" s="1"/>
  <c r="L71" s="1"/>
  <c r="Q71" s="1"/>
  <c r="J70"/>
  <c r="K70" s="1"/>
  <c r="L70" s="1"/>
  <c r="Q70" s="1"/>
  <c r="J69"/>
  <c r="K69" s="1"/>
  <c r="L69" s="1"/>
  <c r="Q69" s="1"/>
  <c r="J68"/>
  <c r="K68" s="1"/>
  <c r="L68" s="1"/>
  <c r="Q68" s="1"/>
  <c r="J67"/>
  <c r="K67" s="1"/>
  <c r="L67" s="1"/>
  <c r="Q67" s="1"/>
  <c r="J66"/>
  <c r="K66" s="1"/>
  <c r="L66" s="1"/>
  <c r="Q66" s="1"/>
  <c r="J65"/>
  <c r="K65" s="1"/>
  <c r="L65" s="1"/>
  <c r="Q65" s="1"/>
  <c r="J64"/>
  <c r="K64" s="1"/>
  <c r="L64" s="1"/>
  <c r="J58"/>
  <c r="K58" s="1"/>
  <c r="L58" s="1"/>
  <c r="Q58" s="1"/>
  <c r="J57"/>
  <c r="K57" s="1"/>
  <c r="L57" s="1"/>
  <c r="Q57" s="1"/>
  <c r="J55"/>
  <c r="K55" s="1"/>
  <c r="L55" s="1"/>
  <c r="Q55" s="1"/>
  <c r="J53"/>
  <c r="K53" s="1"/>
  <c r="L53" s="1"/>
  <c r="Q53" s="1"/>
  <c r="J51"/>
  <c r="K51" s="1"/>
  <c r="L51" s="1"/>
  <c r="Q51" s="1"/>
  <c r="J49"/>
  <c r="K49" s="1"/>
  <c r="L49" s="1"/>
  <c r="Q49" s="1"/>
  <c r="J47"/>
  <c r="K47" s="1"/>
  <c r="L47" s="1"/>
  <c r="Q47" s="1"/>
  <c r="J45"/>
  <c r="K45" s="1"/>
  <c r="L45" s="1"/>
  <c r="Q45" s="1"/>
  <c r="J43"/>
  <c r="K43" s="1"/>
  <c r="L43" s="1"/>
  <c r="Q43" s="1"/>
  <c r="J41"/>
  <c r="K41" s="1"/>
  <c r="L41" s="1"/>
  <c r="Q41" s="1"/>
  <c r="J39"/>
  <c r="K39" s="1"/>
  <c r="L39" s="1"/>
  <c r="Q39" s="1"/>
  <c r="J37"/>
  <c r="K37" s="1"/>
  <c r="L37" s="1"/>
  <c r="Q37" s="1"/>
  <c r="J35"/>
  <c r="K35" s="1"/>
  <c r="L35" s="1"/>
  <c r="Q35" s="1"/>
  <c r="J32"/>
  <c r="K32" s="1"/>
  <c r="L32" s="1"/>
  <c r="Q32" s="1"/>
  <c r="J30"/>
  <c r="K30" s="1"/>
  <c r="L30" s="1"/>
  <c r="Q30" s="1"/>
  <c r="J28"/>
  <c r="K28" s="1"/>
  <c r="L28" s="1"/>
  <c r="Q28" s="1"/>
  <c r="J26"/>
  <c r="K26" s="1"/>
  <c r="L26" s="1"/>
  <c r="Q26" s="1"/>
  <c r="J24"/>
  <c r="K24" s="1"/>
  <c r="L24" s="1"/>
  <c r="Q24" s="1"/>
  <c r="J22"/>
  <c r="K22" s="1"/>
  <c r="L22" s="1"/>
  <c r="Q22" s="1"/>
  <c r="J20"/>
  <c r="K20" s="1"/>
  <c r="L20" s="1"/>
  <c r="Q20" s="1"/>
  <c r="J18"/>
  <c r="K18" s="1"/>
  <c r="L18" s="1"/>
  <c r="Q18" s="1"/>
  <c r="J16"/>
  <c r="K16" s="1"/>
  <c r="L16" s="1"/>
  <c r="Q16" s="1"/>
  <c r="J14"/>
  <c r="K14" s="1"/>
  <c r="L14" s="1"/>
  <c r="Q14" s="1"/>
  <c r="J12"/>
  <c r="K12" s="1"/>
  <c r="L12" s="1"/>
  <c r="Q12" s="1"/>
  <c r="J63"/>
  <c r="K63" s="1"/>
  <c r="L63" s="1"/>
  <c r="Q63" s="1"/>
  <c r="J62"/>
  <c r="K62" s="1"/>
  <c r="L62" s="1"/>
  <c r="Q62" s="1"/>
  <c r="J61"/>
  <c r="K61" s="1"/>
  <c r="L61" s="1"/>
  <c r="Q61" s="1"/>
  <c r="J60"/>
  <c r="K60" s="1"/>
  <c r="L60" s="1"/>
  <c r="Q60" s="1"/>
  <c r="J59"/>
  <c r="K59" s="1"/>
  <c r="L59" s="1"/>
  <c r="Q59" s="1"/>
  <c r="J56"/>
  <c r="K56" s="1"/>
  <c r="L56" s="1"/>
  <c r="Q56" s="1"/>
  <c r="J54"/>
  <c r="K54" s="1"/>
  <c r="L54" s="1"/>
  <c r="Q54" s="1"/>
  <c r="J52"/>
  <c r="K52" s="1"/>
  <c r="L52" s="1"/>
  <c r="Q52" s="1"/>
  <c r="J50"/>
  <c r="K50" s="1"/>
  <c r="L50" s="1"/>
  <c r="Q50" s="1"/>
  <c r="J48"/>
  <c r="K48" s="1"/>
  <c r="L48" s="1"/>
  <c r="Q48" s="1"/>
  <c r="J46"/>
  <c r="K46" s="1"/>
  <c r="L46" s="1"/>
  <c r="Q46" s="1"/>
  <c r="J44"/>
  <c r="K44" s="1"/>
  <c r="L44" s="1"/>
  <c r="Q44" s="1"/>
  <c r="J42"/>
  <c r="K42" s="1"/>
  <c r="L42" s="1"/>
  <c r="Q42" s="1"/>
  <c r="J40"/>
  <c r="K40" s="1"/>
  <c r="L40" s="1"/>
  <c r="Q40" s="1"/>
  <c r="J38"/>
  <c r="K38" s="1"/>
  <c r="L38" s="1"/>
  <c r="Q38" s="1"/>
  <c r="J36"/>
  <c r="K36" s="1"/>
  <c r="L36" s="1"/>
  <c r="Q36" s="1"/>
  <c r="J34"/>
  <c r="K34" s="1"/>
  <c r="L34" s="1"/>
  <c r="Q34" s="1"/>
  <c r="J31"/>
  <c r="K31" s="1"/>
  <c r="L31" s="1"/>
  <c r="Q31" s="1"/>
  <c r="J29"/>
  <c r="K29" s="1"/>
  <c r="L29" s="1"/>
  <c r="Q29" s="1"/>
  <c r="J27"/>
  <c r="K27" s="1"/>
  <c r="L27" s="1"/>
  <c r="Q27" s="1"/>
  <c r="J25"/>
  <c r="K25" s="1"/>
  <c r="L25" s="1"/>
  <c r="Q25" s="1"/>
  <c r="J23"/>
  <c r="K23" s="1"/>
  <c r="L23" s="1"/>
  <c r="Q23" s="1"/>
  <c r="J21"/>
  <c r="K21" s="1"/>
  <c r="J19"/>
  <c r="K19" s="1"/>
  <c r="L19" s="1"/>
  <c r="Q19" s="1"/>
  <c r="J17"/>
  <c r="K17" s="1"/>
  <c r="L17" s="1"/>
  <c r="Q17" s="1"/>
  <c r="J15"/>
  <c r="K15" s="1"/>
  <c r="L15" s="1"/>
  <c r="Q15" s="1"/>
  <c r="J13"/>
  <c r="K13" s="1"/>
  <c r="L13" s="1"/>
  <c r="Q13" s="1"/>
  <c r="J11"/>
  <c r="K11" s="1"/>
  <c r="L11" s="1"/>
  <c r="Q11" s="1"/>
  <c r="S100" i="1"/>
  <c r="H11"/>
  <c r="F11" i="2" s="1"/>
  <c r="I11" i="1"/>
  <c r="J11"/>
  <c r="H11" i="2" s="1"/>
  <c r="K11" i="1"/>
  <c r="I11" i="2" s="1"/>
  <c r="H12" i="1"/>
  <c r="F12" i="2" s="1"/>
  <c r="K12" i="1"/>
  <c r="I12" i="2" s="1"/>
  <c r="H13" i="1"/>
  <c r="F13" i="2" s="1"/>
  <c r="I13" i="1"/>
  <c r="J13"/>
  <c r="H13" i="2" s="1"/>
  <c r="K13" i="1"/>
  <c r="I13" i="2" s="1"/>
  <c r="H14" i="1"/>
  <c r="F14" i="2" s="1"/>
  <c r="I14" i="1"/>
  <c r="J14"/>
  <c r="H14" i="2" s="1"/>
  <c r="K14" i="1"/>
  <c r="I14" i="2" s="1"/>
  <c r="H15" i="1"/>
  <c r="F15" i="2" s="1"/>
  <c r="I15" i="1"/>
  <c r="J15"/>
  <c r="H15" i="2" s="1"/>
  <c r="K15" i="1"/>
  <c r="I15" i="2" s="1"/>
  <c r="H16" i="1"/>
  <c r="F16" i="2" s="1"/>
  <c r="I16" i="1"/>
  <c r="J16"/>
  <c r="H16" i="2" s="1"/>
  <c r="K16" i="1"/>
  <c r="I16" i="2" s="1"/>
  <c r="H17" i="1"/>
  <c r="F17" i="2" s="1"/>
  <c r="I17" i="1"/>
  <c r="J17"/>
  <c r="H17" i="2" s="1"/>
  <c r="K17" i="1"/>
  <c r="I17" i="2" s="1"/>
  <c r="H18" i="1"/>
  <c r="F18" i="2" s="1"/>
  <c r="K18" i="1"/>
  <c r="I18" i="2" s="1"/>
  <c r="H19" i="1"/>
  <c r="F19" i="2" s="1"/>
  <c r="I19" i="1"/>
  <c r="J19"/>
  <c r="H19" i="2" s="1"/>
  <c r="K19" i="1"/>
  <c r="I19" i="2" s="1"/>
  <c r="H20" i="1"/>
  <c r="F20" i="2" s="1"/>
  <c r="I20" i="1"/>
  <c r="J20"/>
  <c r="H20" i="2" s="1"/>
  <c r="K20" i="1"/>
  <c r="I20" i="2" s="1"/>
  <c r="H21" i="1"/>
  <c r="F21" i="2" s="1"/>
  <c r="I21" i="1"/>
  <c r="J21"/>
  <c r="H21" i="2" s="1"/>
  <c r="K21" i="1"/>
  <c r="I21" i="2" s="1"/>
  <c r="H22" i="1"/>
  <c r="F22" i="2" s="1"/>
  <c r="I22" i="1"/>
  <c r="J22"/>
  <c r="H22" i="2" s="1"/>
  <c r="K22" i="1"/>
  <c r="I22" i="2" s="1"/>
  <c r="H23" i="1"/>
  <c r="F23" i="2" s="1"/>
  <c r="I23" i="1"/>
  <c r="J23"/>
  <c r="H23" i="2" s="1"/>
  <c r="K23" i="1"/>
  <c r="I23" i="2" s="1"/>
  <c r="H24" i="1"/>
  <c r="F24" i="2" s="1"/>
  <c r="K24" i="1"/>
  <c r="I24" i="2" s="1"/>
  <c r="H25" i="1"/>
  <c r="F25" i="2" s="1"/>
  <c r="I25" i="1"/>
  <c r="J25"/>
  <c r="H25" i="2" s="1"/>
  <c r="K25" i="1"/>
  <c r="I25" i="2" s="1"/>
  <c r="J26" i="1"/>
  <c r="H26" i="2" s="1"/>
  <c r="K26" i="1"/>
  <c r="I26" i="2" s="1"/>
  <c r="H27" i="1"/>
  <c r="F27" i="2" s="1"/>
  <c r="I27" i="1"/>
  <c r="J27"/>
  <c r="H27" i="2" s="1"/>
  <c r="K27" i="1"/>
  <c r="I27" i="2" s="1"/>
  <c r="H28" i="1"/>
  <c r="F28" i="2" s="1"/>
  <c r="I28" i="1"/>
  <c r="J28"/>
  <c r="H28" i="2" s="1"/>
  <c r="K28" i="1"/>
  <c r="I28" i="2" s="1"/>
  <c r="H29" i="1"/>
  <c r="F29" i="2" s="1"/>
  <c r="I29" i="1"/>
  <c r="J29"/>
  <c r="H29" i="2" s="1"/>
  <c r="K29" i="1"/>
  <c r="I29" i="2" s="1"/>
  <c r="H30" i="1"/>
  <c r="F30" i="2" s="1"/>
  <c r="I30" i="1"/>
  <c r="J30"/>
  <c r="H30" i="2" s="1"/>
  <c r="K30" i="1"/>
  <c r="I30" i="2" s="1"/>
  <c r="H31" i="1"/>
  <c r="F31" i="2" s="1"/>
  <c r="I31" i="1"/>
  <c r="J31"/>
  <c r="H31" i="2" s="1"/>
  <c r="K31" i="1"/>
  <c r="I31" i="2" s="1"/>
  <c r="H32" i="1"/>
  <c r="F32" i="2" s="1"/>
  <c r="I32" i="1"/>
  <c r="J32"/>
  <c r="H32" i="2" s="1"/>
  <c r="K32" i="1"/>
  <c r="I32" i="2" s="1"/>
  <c r="H33" i="1"/>
  <c r="I33"/>
  <c r="J33"/>
  <c r="H33" i="2" s="1"/>
  <c r="K33" i="1"/>
  <c r="I33" i="2" s="1"/>
  <c r="H34" i="1"/>
  <c r="F34" i="2" s="1"/>
  <c r="K34" i="1"/>
  <c r="I34" i="2" s="1"/>
  <c r="H35" i="1"/>
  <c r="F35" i="2" s="1"/>
  <c r="K35" i="1"/>
  <c r="I35" i="2" s="1"/>
  <c r="H36" i="1"/>
  <c r="F36" i="2" s="1"/>
  <c r="I36" i="1"/>
  <c r="J36"/>
  <c r="H36" i="2" s="1"/>
  <c r="K36" i="1"/>
  <c r="I36" i="2" s="1"/>
  <c r="H37" i="1"/>
  <c r="F37" i="2" s="1"/>
  <c r="I37" i="1"/>
  <c r="J37"/>
  <c r="H37" i="2" s="1"/>
  <c r="K37" i="1"/>
  <c r="I37" i="2" s="1"/>
  <c r="H113" i="1"/>
  <c r="I113"/>
  <c r="J113"/>
  <c r="K113"/>
  <c r="H38"/>
  <c r="F38" i="2" s="1"/>
  <c r="I38" i="1"/>
  <c r="J38"/>
  <c r="H38" i="2" s="1"/>
  <c r="K38" i="1"/>
  <c r="I38" i="2" s="1"/>
  <c r="H39" i="1"/>
  <c r="F39" i="2" s="1"/>
  <c r="I39" i="1"/>
  <c r="J39"/>
  <c r="H39" i="2" s="1"/>
  <c r="K39" i="1"/>
  <c r="I39" i="2" s="1"/>
  <c r="H40" i="1"/>
  <c r="F40" i="2" s="1"/>
  <c r="K40" i="1"/>
  <c r="I40" i="2" s="1"/>
  <c r="H41" i="1"/>
  <c r="F41" i="2" s="1"/>
  <c r="I41" i="1"/>
  <c r="J41"/>
  <c r="H41" i="2" s="1"/>
  <c r="K41" i="1"/>
  <c r="I41" i="2" s="1"/>
  <c r="H42" i="1"/>
  <c r="F42" i="2" s="1"/>
  <c r="I42" i="1"/>
  <c r="J42"/>
  <c r="H42" i="2" s="1"/>
  <c r="K42" i="1"/>
  <c r="I42" i="2" s="1"/>
  <c r="H43" i="1"/>
  <c r="F43" i="2" s="1"/>
  <c r="I43" i="1"/>
  <c r="J43"/>
  <c r="H43" i="2" s="1"/>
  <c r="K43" i="1"/>
  <c r="I43" i="2" s="1"/>
  <c r="H44" i="1"/>
  <c r="F44" i="2" s="1"/>
  <c r="I44" i="1"/>
  <c r="J44"/>
  <c r="H44" i="2" s="1"/>
  <c r="K44" i="1"/>
  <c r="I44" i="2" s="1"/>
  <c r="H45" i="1"/>
  <c r="F45" i="2" s="1"/>
  <c r="I45" i="1"/>
  <c r="J45"/>
  <c r="H45" i="2" s="1"/>
  <c r="K45" i="1"/>
  <c r="I45" i="2" s="1"/>
  <c r="H46" i="1"/>
  <c r="F46" i="2" s="1"/>
  <c r="I46" i="1"/>
  <c r="J46"/>
  <c r="H46" i="2" s="1"/>
  <c r="K46" i="1"/>
  <c r="I46" i="2" s="1"/>
  <c r="H47" i="1"/>
  <c r="F47" i="2" s="1"/>
  <c r="I47" i="1"/>
  <c r="J47"/>
  <c r="H47" i="2" s="1"/>
  <c r="K47" i="1"/>
  <c r="I47" i="2" s="1"/>
  <c r="H48" i="1"/>
  <c r="F48" i="2" s="1"/>
  <c r="I48" i="1"/>
  <c r="J48"/>
  <c r="H48" i="2" s="1"/>
  <c r="K48" i="1"/>
  <c r="I48" i="2" s="1"/>
  <c r="H49" i="1"/>
  <c r="F49" i="2" s="1"/>
  <c r="I49" i="1"/>
  <c r="J49"/>
  <c r="H49" i="2" s="1"/>
  <c r="K49" i="1"/>
  <c r="I49" i="2" s="1"/>
  <c r="H50" i="1"/>
  <c r="F50" i="2" s="1"/>
  <c r="K50" i="1"/>
  <c r="I50" i="2" s="1"/>
  <c r="H51" i="1"/>
  <c r="F51" i="2" s="1"/>
  <c r="K51" i="1"/>
  <c r="I51" i="2" s="1"/>
  <c r="H52" i="1"/>
  <c r="F52" i="2" s="1"/>
  <c r="K52" i="1"/>
  <c r="I52" i="2" s="1"/>
  <c r="H53" i="1"/>
  <c r="F53" i="2" s="1"/>
  <c r="I53" i="1"/>
  <c r="J53"/>
  <c r="H53" i="2" s="1"/>
  <c r="K53" i="1"/>
  <c r="I53" i="2" s="1"/>
  <c r="H54" i="1"/>
  <c r="F54" i="2" s="1"/>
  <c r="I54" i="1"/>
  <c r="K54"/>
  <c r="I54" i="2" s="1"/>
  <c r="H55" i="1"/>
  <c r="F55" i="2" s="1"/>
  <c r="I55" i="1"/>
  <c r="J55"/>
  <c r="H55" i="2" s="1"/>
  <c r="K55" i="1"/>
  <c r="I55" i="2" s="1"/>
  <c r="H56" i="1"/>
  <c r="F56" i="2" s="1"/>
  <c r="I56" i="1"/>
  <c r="J56"/>
  <c r="H56" i="2" s="1"/>
  <c r="K56" i="1"/>
  <c r="I56" i="2" s="1"/>
  <c r="H57" i="1"/>
  <c r="F57" i="2" s="1"/>
  <c r="I57" i="1"/>
  <c r="J57"/>
  <c r="H57" i="2" s="1"/>
  <c r="K57" i="1"/>
  <c r="I57" i="2" s="1"/>
  <c r="H58" i="1"/>
  <c r="F58" i="2" s="1"/>
  <c r="I58" i="1"/>
  <c r="J58"/>
  <c r="H58" i="2" s="1"/>
  <c r="K58" i="1"/>
  <c r="I58" i="2" s="1"/>
  <c r="H59" i="1"/>
  <c r="F59" i="2" s="1"/>
  <c r="I59" i="1"/>
  <c r="J59"/>
  <c r="H59" i="2" s="1"/>
  <c r="K59" i="1"/>
  <c r="I59" i="2" s="1"/>
  <c r="H60" i="1"/>
  <c r="F60" i="2" s="1"/>
  <c r="I60" i="1"/>
  <c r="J60"/>
  <c r="H60" i="2" s="1"/>
  <c r="K60" i="1"/>
  <c r="I60" i="2" s="1"/>
  <c r="H61" i="1"/>
  <c r="F61" i="2" s="1"/>
  <c r="I61" i="1"/>
  <c r="J61"/>
  <c r="H61" i="2" s="1"/>
  <c r="K61" i="1"/>
  <c r="I61" i="2" s="1"/>
  <c r="H62" i="1"/>
  <c r="F62" i="2" s="1"/>
  <c r="I62" i="1"/>
  <c r="J62"/>
  <c r="H62" i="2" s="1"/>
  <c r="K62" i="1"/>
  <c r="I62" i="2" s="1"/>
  <c r="H63" i="1"/>
  <c r="F63" i="2" s="1"/>
  <c r="I63" i="1"/>
  <c r="J63"/>
  <c r="H63" i="2" s="1"/>
  <c r="K63" i="1"/>
  <c r="I63" i="2" s="1"/>
  <c r="H64" i="1"/>
  <c r="F64" i="2" s="1"/>
  <c r="I64" i="1"/>
  <c r="J64"/>
  <c r="H64" i="2" s="1"/>
  <c r="K64" i="1"/>
  <c r="I64" i="2" s="1"/>
  <c r="J65" i="1"/>
  <c r="H65" i="2" s="1"/>
  <c r="K65" i="1"/>
  <c r="I65" i="2" s="1"/>
  <c r="H66" i="1"/>
  <c r="F66" i="2" s="1"/>
  <c r="K66" i="1"/>
  <c r="I66" i="2" s="1"/>
  <c r="H67" i="1"/>
  <c r="F67" i="2" s="1"/>
  <c r="I67" i="1"/>
  <c r="J67"/>
  <c r="H67" i="2" s="1"/>
  <c r="K67" i="1"/>
  <c r="I67" i="2" s="1"/>
  <c r="H68" i="1"/>
  <c r="F68" i="2" s="1"/>
  <c r="K68" i="1"/>
  <c r="I68" i="2" s="1"/>
  <c r="H69" i="1"/>
  <c r="F69" i="2" s="1"/>
  <c r="I69" i="1"/>
  <c r="J69"/>
  <c r="H69" i="2" s="1"/>
  <c r="K69" i="1"/>
  <c r="I69" i="2" s="1"/>
  <c r="H70" i="1"/>
  <c r="F70" i="2" s="1"/>
  <c r="I70" i="1"/>
  <c r="J70"/>
  <c r="H70" i="2" s="1"/>
  <c r="K70" i="1"/>
  <c r="I70" i="2" s="1"/>
  <c r="H71" i="1"/>
  <c r="F71" i="2" s="1"/>
  <c r="I71" i="1"/>
  <c r="J71"/>
  <c r="H71" i="2" s="1"/>
  <c r="K71" i="1"/>
  <c r="I71" i="2" s="1"/>
  <c r="H72" i="1"/>
  <c r="F72" i="2" s="1"/>
  <c r="I72" i="1"/>
  <c r="J72"/>
  <c r="H72" i="2" s="1"/>
  <c r="K72" i="1"/>
  <c r="I72" i="2" s="1"/>
  <c r="H73" i="1"/>
  <c r="F73" i="2" s="1"/>
  <c r="I73" i="1"/>
  <c r="J73"/>
  <c r="H73" i="2" s="1"/>
  <c r="K73" i="1"/>
  <c r="I73" i="2" s="1"/>
  <c r="H74" i="1"/>
  <c r="F74" i="2" s="1"/>
  <c r="K74" i="1"/>
  <c r="I74" i="2" s="1"/>
  <c r="H75" i="1"/>
  <c r="K75"/>
  <c r="I75" i="2" s="1"/>
  <c r="H76" i="1"/>
  <c r="I76"/>
  <c r="J76"/>
  <c r="H76" i="2" s="1"/>
  <c r="K76" i="1"/>
  <c r="I76" i="2" s="1"/>
  <c r="H77" i="1"/>
  <c r="K77"/>
  <c r="I77" i="2" s="1"/>
  <c r="H78" i="1"/>
  <c r="I78"/>
  <c r="J78"/>
  <c r="H78" i="2" s="1"/>
  <c r="K78" i="1"/>
  <c r="I78" i="2" s="1"/>
  <c r="H79" i="1"/>
  <c r="I79"/>
  <c r="J79"/>
  <c r="H79" i="2" s="1"/>
  <c r="K79" i="1"/>
  <c r="I79" i="2" s="1"/>
  <c r="H80" i="1"/>
  <c r="I80"/>
  <c r="J80"/>
  <c r="H80" i="2" s="1"/>
  <c r="K80" i="1"/>
  <c r="I80" i="2" s="1"/>
  <c r="H81" i="1"/>
  <c r="I81"/>
  <c r="J81"/>
  <c r="H81" i="2" s="1"/>
  <c r="K81" i="1"/>
  <c r="I81" i="2" s="1"/>
  <c r="H82" i="1"/>
  <c r="I82"/>
  <c r="J82"/>
  <c r="H82" i="2" s="1"/>
  <c r="K82" i="1"/>
  <c r="I82" i="2" s="1"/>
  <c r="H83" i="1"/>
  <c r="I83"/>
  <c r="J83"/>
  <c r="H83" i="2" s="1"/>
  <c r="K83" i="1"/>
  <c r="I83" i="2" s="1"/>
  <c r="H84" i="1"/>
  <c r="K84"/>
  <c r="I84" i="2" s="1"/>
  <c r="H85" i="1"/>
  <c r="K85"/>
  <c r="I85" i="2" s="1"/>
  <c r="H86" i="1"/>
  <c r="I86"/>
  <c r="J86"/>
  <c r="H86" i="2" s="1"/>
  <c r="K86" i="1"/>
  <c r="I86" i="2" s="1"/>
  <c r="H87" i="1"/>
  <c r="I87"/>
  <c r="J87"/>
  <c r="H87" i="2" s="1"/>
  <c r="K87" i="1"/>
  <c r="I87" i="2" s="1"/>
  <c r="H88" i="1"/>
  <c r="I88"/>
  <c r="J88"/>
  <c r="H88" i="2" s="1"/>
  <c r="K88" i="1"/>
  <c r="I88" i="2" s="1"/>
  <c r="H89" i="1"/>
  <c r="I89"/>
  <c r="J89"/>
  <c r="H89" i="2" s="1"/>
  <c r="K89" i="1"/>
  <c r="I89" i="2" s="1"/>
  <c r="H90" i="1"/>
  <c r="I90"/>
  <c r="J90"/>
  <c r="H90" i="2" s="1"/>
  <c r="K90" i="1"/>
  <c r="I90" i="2" s="1"/>
  <c r="H91" i="1"/>
  <c r="I91"/>
  <c r="J91"/>
  <c r="H91" i="2" s="1"/>
  <c r="K91" i="1"/>
  <c r="I91" i="2" s="1"/>
  <c r="H92" i="1"/>
  <c r="I92"/>
  <c r="J92"/>
  <c r="H92" i="2" s="1"/>
  <c r="K92" i="1"/>
  <c r="I92" i="2" s="1"/>
  <c r="H93" i="1"/>
  <c r="I93"/>
  <c r="J93"/>
  <c r="H93" i="2" s="1"/>
  <c r="K93" i="1"/>
  <c r="I93" i="2" s="1"/>
  <c r="H94" i="1"/>
  <c r="K94"/>
  <c r="I94" i="2" s="1"/>
  <c r="H95" i="1"/>
  <c r="I95"/>
  <c r="J95"/>
  <c r="H95" i="2" s="1"/>
  <c r="K95" i="1"/>
  <c r="I95" i="2" s="1"/>
  <c r="H96" i="1"/>
  <c r="I96"/>
  <c r="J96"/>
  <c r="H96" i="2" s="1"/>
  <c r="K96" i="1"/>
  <c r="I96" i="2" s="1"/>
  <c r="H97" i="1"/>
  <c r="I97"/>
  <c r="J97"/>
  <c r="H97" i="2" s="1"/>
  <c r="K97" i="1"/>
  <c r="I97" i="2" s="1"/>
  <c r="I10" i="1"/>
  <c r="Y10" s="1"/>
  <c r="J10"/>
  <c r="K10"/>
  <c r="H10"/>
  <c r="P11"/>
  <c r="N11" i="2" s="1"/>
  <c r="P12" i="1"/>
  <c r="N12" i="2" s="1"/>
  <c r="P13" i="1"/>
  <c r="N13" i="2" s="1"/>
  <c r="P14" i="1"/>
  <c r="N14" i="2" s="1"/>
  <c r="P15" i="1"/>
  <c r="N15" i="2" s="1"/>
  <c r="P16" i="1"/>
  <c r="N16" i="2" s="1"/>
  <c r="P17" i="1"/>
  <c r="N17" i="2" s="1"/>
  <c r="P18" i="1"/>
  <c r="N18" i="2" s="1"/>
  <c r="P19" i="1"/>
  <c r="N19" i="2" s="1"/>
  <c r="P20" i="1"/>
  <c r="N20" i="2" s="1"/>
  <c r="P21" i="1"/>
  <c r="N21" i="2" s="1"/>
  <c r="P22" i="1"/>
  <c r="N22" i="2" s="1"/>
  <c r="P23" i="1"/>
  <c r="N23" i="2" s="1"/>
  <c r="P24" i="1"/>
  <c r="N24" i="2" s="1"/>
  <c r="P25" i="1"/>
  <c r="N25" i="2" s="1"/>
  <c r="P26" i="1"/>
  <c r="N26" i="2" s="1"/>
  <c r="P27" i="1"/>
  <c r="N27" i="2" s="1"/>
  <c r="P28" i="1"/>
  <c r="N28" i="2" s="1"/>
  <c r="P29" i="1"/>
  <c r="N29" i="2" s="1"/>
  <c r="P30" i="1"/>
  <c r="N30" i="2" s="1"/>
  <c r="P31" i="1"/>
  <c r="N31" i="2" s="1"/>
  <c r="P32" i="1"/>
  <c r="N32" i="2" s="1"/>
  <c r="P33" i="1"/>
  <c r="N33" i="2" s="1"/>
  <c r="P34" i="1"/>
  <c r="N34" i="2" s="1"/>
  <c r="P35" i="1"/>
  <c r="N35" i="2" s="1"/>
  <c r="P36" i="1"/>
  <c r="N36" i="2" s="1"/>
  <c r="P37" i="1"/>
  <c r="N37" i="2" s="1"/>
  <c r="P113" i="1"/>
  <c r="P38"/>
  <c r="N38" i="2" s="1"/>
  <c r="P39" i="1"/>
  <c r="N39" i="2" s="1"/>
  <c r="P40" i="1"/>
  <c r="N40" i="2" s="1"/>
  <c r="P41" i="1"/>
  <c r="N41" i="2" s="1"/>
  <c r="P42" i="1"/>
  <c r="N42" i="2" s="1"/>
  <c r="P43" i="1"/>
  <c r="N43" i="2" s="1"/>
  <c r="P44" i="1"/>
  <c r="N44" i="2" s="1"/>
  <c r="P45" i="1"/>
  <c r="N45" i="2" s="1"/>
  <c r="P46" i="1"/>
  <c r="N46" i="2" s="1"/>
  <c r="P47" i="1"/>
  <c r="N47" i="2" s="1"/>
  <c r="P48" i="1"/>
  <c r="N48" i="2" s="1"/>
  <c r="P49" i="1"/>
  <c r="N49" i="2" s="1"/>
  <c r="P50" i="1"/>
  <c r="N50" i="2" s="1"/>
  <c r="P51" i="1"/>
  <c r="N51" i="2" s="1"/>
  <c r="P52" i="1"/>
  <c r="N52" i="2" s="1"/>
  <c r="P53" i="1"/>
  <c r="N53" i="2" s="1"/>
  <c r="P54" i="1"/>
  <c r="N54" i="2" s="1"/>
  <c r="P55" i="1"/>
  <c r="N55" i="2" s="1"/>
  <c r="P56" i="1"/>
  <c r="N56" i="2" s="1"/>
  <c r="P57" i="1"/>
  <c r="N57" i="2" s="1"/>
  <c r="P58" i="1"/>
  <c r="N58" i="2" s="1"/>
  <c r="P59" i="1"/>
  <c r="N59" i="2" s="1"/>
  <c r="P60" i="1"/>
  <c r="N60" i="2" s="1"/>
  <c r="P61" i="1"/>
  <c r="N61" i="2" s="1"/>
  <c r="P62" i="1"/>
  <c r="N62" i="2" s="1"/>
  <c r="P63" i="1"/>
  <c r="N63" i="2" s="1"/>
  <c r="P64" i="1"/>
  <c r="N64" i="2" s="1"/>
  <c r="P65" i="1"/>
  <c r="N65" i="2" s="1"/>
  <c r="P66" i="1"/>
  <c r="N66" i="2" s="1"/>
  <c r="P67" i="1"/>
  <c r="N67" i="2" s="1"/>
  <c r="P68" i="1"/>
  <c r="N68" i="2" s="1"/>
  <c r="P69" i="1"/>
  <c r="N69" i="2" s="1"/>
  <c r="P70" i="1"/>
  <c r="N70" i="2" s="1"/>
  <c r="P71" i="1"/>
  <c r="N71" i="2" s="1"/>
  <c r="P72" i="1"/>
  <c r="N72" i="2" s="1"/>
  <c r="P73" i="1"/>
  <c r="N73" i="2" s="1"/>
  <c r="P74" i="1"/>
  <c r="N74" i="2" s="1"/>
  <c r="P75" i="1"/>
  <c r="N75" i="2" s="1"/>
  <c r="P76" i="1"/>
  <c r="N76" i="2" s="1"/>
  <c r="P77" i="1"/>
  <c r="N77" i="2" s="1"/>
  <c r="P78" i="1"/>
  <c r="N78" i="2" s="1"/>
  <c r="P79" i="1"/>
  <c r="N79" i="2" s="1"/>
  <c r="P80" i="1"/>
  <c r="N80" i="2" s="1"/>
  <c r="P81" i="1"/>
  <c r="N81" i="2" s="1"/>
  <c r="P82" i="1"/>
  <c r="N82" i="2" s="1"/>
  <c r="P83" i="1"/>
  <c r="N83" i="2" s="1"/>
  <c r="P84" i="1"/>
  <c r="N84" i="2" s="1"/>
  <c r="P85" i="1"/>
  <c r="N85" i="2" s="1"/>
  <c r="P86" i="1"/>
  <c r="N86" i="2" s="1"/>
  <c r="P87" i="1"/>
  <c r="N87" i="2" s="1"/>
  <c r="P88" i="1"/>
  <c r="N88" i="2" s="1"/>
  <c r="P89" i="1"/>
  <c r="N89" i="2" s="1"/>
  <c r="P90" i="1"/>
  <c r="N90" i="2" s="1"/>
  <c r="P91" i="1"/>
  <c r="N91" i="2" s="1"/>
  <c r="P92" i="1"/>
  <c r="N92" i="2" s="1"/>
  <c r="P93" i="1"/>
  <c r="N93" i="2" s="1"/>
  <c r="P94" i="1"/>
  <c r="N94" i="2" s="1"/>
  <c r="P95" i="1"/>
  <c r="N95" i="2" s="1"/>
  <c r="P96" i="1"/>
  <c r="N96" i="2" s="1"/>
  <c r="P97" i="1"/>
  <c r="N97" i="2" s="1"/>
  <c r="P10" i="1"/>
  <c r="E113"/>
  <c r="C113"/>
  <c r="G76" i="2" l="1"/>
  <c r="Y76" i="1"/>
  <c r="G72" i="2"/>
  <c r="Y72" i="1"/>
  <c r="G69" i="2"/>
  <c r="Y69" i="1"/>
  <c r="G93" i="2"/>
  <c r="Y93" i="1"/>
  <c r="G91" i="2"/>
  <c r="Y91" i="1"/>
  <c r="G89" i="2"/>
  <c r="Y89" i="1"/>
  <c r="G87" i="2"/>
  <c r="Y87" i="1"/>
  <c r="G82" i="2"/>
  <c r="Y82" i="1"/>
  <c r="G80" i="2"/>
  <c r="Y80" i="1"/>
  <c r="G78" i="2"/>
  <c r="Y78" i="1"/>
  <c r="G67" i="2"/>
  <c r="Y67" i="1"/>
  <c r="G64" i="2"/>
  <c r="Y64" i="1"/>
  <c r="G61" i="2"/>
  <c r="Y61" i="1"/>
  <c r="G59" i="2"/>
  <c r="Y59" i="1"/>
  <c r="G58" i="2"/>
  <c r="Y58" i="1"/>
  <c r="G56" i="2"/>
  <c r="Y56" i="1"/>
  <c r="G55" i="2"/>
  <c r="Y55" i="1"/>
  <c r="F97" i="2"/>
  <c r="F96"/>
  <c r="F95"/>
  <c r="F85"/>
  <c r="F77"/>
  <c r="F76"/>
  <c r="G54"/>
  <c r="Y54" i="1"/>
  <c r="G53" i="2"/>
  <c r="Y53" i="1"/>
  <c r="G39" i="2"/>
  <c r="Y39" i="1"/>
  <c r="G38" i="2"/>
  <c r="Y38" i="1"/>
  <c r="G37" i="2"/>
  <c r="Y37" i="1"/>
  <c r="G36" i="2"/>
  <c r="Y36" i="1"/>
  <c r="G33" i="2"/>
  <c r="Y33" i="1"/>
  <c r="G32" i="2"/>
  <c r="Y32" i="1"/>
  <c r="G31" i="2"/>
  <c r="Y31" i="1"/>
  <c r="G30" i="2"/>
  <c r="Y30" i="1"/>
  <c r="G29" i="2"/>
  <c r="Y29" i="1"/>
  <c r="G28" i="2"/>
  <c r="Y28" i="1"/>
  <c r="G27" i="2"/>
  <c r="Y27" i="1"/>
  <c r="G23" i="2"/>
  <c r="Y23" i="1"/>
  <c r="G22" i="2"/>
  <c r="Y22" i="1"/>
  <c r="G21" i="2"/>
  <c r="Y21" i="1"/>
  <c r="G20" i="2"/>
  <c r="Y20" i="1"/>
  <c r="G19" i="2"/>
  <c r="Y19" i="1"/>
  <c r="G11" i="2"/>
  <c r="Y11" i="1"/>
  <c r="G96" i="2"/>
  <c r="Y96" i="1"/>
  <c r="G71" i="2"/>
  <c r="Y71" i="1"/>
  <c r="G95" i="2"/>
  <c r="Y95" i="1"/>
  <c r="F94" i="2"/>
  <c r="F93"/>
  <c r="F92"/>
  <c r="F91"/>
  <c r="F90"/>
  <c r="F89"/>
  <c r="F88"/>
  <c r="F87"/>
  <c r="F86"/>
  <c r="F84"/>
  <c r="F83"/>
  <c r="F82"/>
  <c r="F81"/>
  <c r="F80"/>
  <c r="F79"/>
  <c r="F78"/>
  <c r="F75"/>
  <c r="G49"/>
  <c r="Y49" i="1"/>
  <c r="G48" i="2"/>
  <c r="Y48" i="1"/>
  <c r="G47" i="2"/>
  <c r="Y47" i="1"/>
  <c r="G46" i="2"/>
  <c r="Y46" i="1"/>
  <c r="G45" i="2"/>
  <c r="Y45" i="1"/>
  <c r="G44" i="2"/>
  <c r="Y44" i="1"/>
  <c r="G43" i="2"/>
  <c r="Y43" i="1"/>
  <c r="G42" i="2"/>
  <c r="Y42" i="1"/>
  <c r="G41" i="2"/>
  <c r="Y41" i="1"/>
  <c r="G25" i="2"/>
  <c r="Y25" i="1"/>
  <c r="G17" i="2"/>
  <c r="Y17" i="1"/>
  <c r="G16" i="2"/>
  <c r="Y16" i="1"/>
  <c r="G15" i="2"/>
  <c r="Y15" i="1"/>
  <c r="G14" i="2"/>
  <c r="Y14" i="1"/>
  <c r="G13" i="2"/>
  <c r="Y13" i="1"/>
  <c r="G97" i="2"/>
  <c r="Y97" i="1"/>
  <c r="G73" i="2"/>
  <c r="Y73" i="1"/>
  <c r="G70" i="2"/>
  <c r="Y70" i="1"/>
  <c r="G92" i="2"/>
  <c r="Y92" i="1"/>
  <c r="G90" i="2"/>
  <c r="Y90" i="1"/>
  <c r="G88" i="2"/>
  <c r="Y88" i="1"/>
  <c r="G86" i="2"/>
  <c r="Y86" i="1"/>
  <c r="G83" i="2"/>
  <c r="Y83" i="1"/>
  <c r="G81" i="2"/>
  <c r="Y81" i="1"/>
  <c r="G79" i="2"/>
  <c r="Y79" i="1"/>
  <c r="G63" i="2"/>
  <c r="Y63" i="1"/>
  <c r="G62" i="2"/>
  <c r="Y62" i="1"/>
  <c r="G60" i="2"/>
  <c r="Y60" i="1"/>
  <c r="G57" i="2"/>
  <c r="Y57" i="1"/>
  <c r="F33" i="2"/>
  <c r="J100" i="4"/>
  <c r="Q64"/>
  <c r="L21"/>
  <c r="Q21" s="1"/>
  <c r="AW104" i="1"/>
  <c r="BH104" s="1"/>
  <c r="AW103"/>
  <c r="BH103" s="1"/>
  <c r="BQ100"/>
  <c r="BP100"/>
  <c r="BO100"/>
  <c r="BL100"/>
  <c r="BF100"/>
  <c r="BC100"/>
  <c r="AX100"/>
  <c r="BM98"/>
  <c r="BK98"/>
  <c r="BI98"/>
  <c r="BM63"/>
  <c r="AQ63"/>
  <c r="BM61"/>
  <c r="AQ61"/>
  <c r="BM42"/>
  <c r="AQ42"/>
  <c r="BM91"/>
  <c r="AQ91"/>
  <c r="BM76"/>
  <c r="AQ76"/>
  <c r="BM97"/>
  <c r="AR97"/>
  <c r="AQ97"/>
  <c r="C97" s="1"/>
  <c r="G97" s="1"/>
  <c r="BM96"/>
  <c r="AQ96"/>
  <c r="BM95"/>
  <c r="AQ95"/>
  <c r="AR94"/>
  <c r="AQ94"/>
  <c r="C94" s="1"/>
  <c r="G94" s="1"/>
  <c r="BM93"/>
  <c r="AQ93"/>
  <c r="BM92"/>
  <c r="AQ92"/>
  <c r="BM90"/>
  <c r="AR90"/>
  <c r="AQ90"/>
  <c r="C90" s="1"/>
  <c r="G90" s="1"/>
  <c r="BM89"/>
  <c r="AR89"/>
  <c r="AQ89"/>
  <c r="C89" s="1"/>
  <c r="G89" s="1"/>
  <c r="BM88"/>
  <c r="AQ88"/>
  <c r="BM87"/>
  <c r="BG87"/>
  <c r="AQ87"/>
  <c r="BM86"/>
  <c r="AR86"/>
  <c r="AQ86"/>
  <c r="C86" s="1"/>
  <c r="G86" s="1"/>
  <c r="AR85"/>
  <c r="AQ85"/>
  <c r="C85" s="1"/>
  <c r="G85" s="1"/>
  <c r="AQ84"/>
  <c r="BM83"/>
  <c r="AQ83"/>
  <c r="BM82"/>
  <c r="AQ82"/>
  <c r="BM81"/>
  <c r="AQ81"/>
  <c r="BM80"/>
  <c r="BG80"/>
  <c r="AR80"/>
  <c r="AQ80"/>
  <c r="C80" s="1"/>
  <c r="G80" s="1"/>
  <c r="BM79"/>
  <c r="AR79"/>
  <c r="AQ79"/>
  <c r="C79" s="1"/>
  <c r="G79" s="1"/>
  <c r="BM78"/>
  <c r="AQ78"/>
  <c r="AQ77"/>
  <c r="AR75"/>
  <c r="AQ75"/>
  <c r="C75" s="1"/>
  <c r="G75" s="1"/>
  <c r="AR74"/>
  <c r="AQ74"/>
  <c r="C74" s="1"/>
  <c r="G74" s="1"/>
  <c r="V74" s="1"/>
  <c r="BM73"/>
  <c r="AQ73"/>
  <c r="C73" s="1"/>
  <c r="BM72"/>
  <c r="AR72"/>
  <c r="AQ72"/>
  <c r="C72" s="1"/>
  <c r="G72" s="1"/>
  <c r="V72" s="1"/>
  <c r="BM71"/>
  <c r="AQ71"/>
  <c r="BM70"/>
  <c r="AR70"/>
  <c r="AQ70"/>
  <c r="C70" s="1"/>
  <c r="G70" s="1"/>
  <c r="V70" s="1"/>
  <c r="BM69"/>
  <c r="AQ69"/>
  <c r="AR66"/>
  <c r="AQ66"/>
  <c r="C66" s="1"/>
  <c r="G66" s="1"/>
  <c r="V66" s="1"/>
  <c r="AR68"/>
  <c r="AQ68"/>
  <c r="C68" s="1"/>
  <c r="G68" s="1"/>
  <c r="V68" s="1"/>
  <c r="BM67"/>
  <c r="AR67"/>
  <c r="AQ67"/>
  <c r="C67" s="1"/>
  <c r="G67" s="1"/>
  <c r="V67" s="1"/>
  <c r="AQ65"/>
  <c r="BM64"/>
  <c r="AQ64"/>
  <c r="BM62"/>
  <c r="AP62"/>
  <c r="AO62"/>
  <c r="BM60"/>
  <c r="AQ60"/>
  <c r="BM59"/>
  <c r="AQ59"/>
  <c r="BM58"/>
  <c r="AQ58"/>
  <c r="BM57"/>
  <c r="AQ57"/>
  <c r="BM56"/>
  <c r="AQ56"/>
  <c r="BM54"/>
  <c r="AR54"/>
  <c r="AQ54"/>
  <c r="C54" s="1"/>
  <c r="G54" s="1"/>
  <c r="V54" s="1"/>
  <c r="BM53"/>
  <c r="AR53"/>
  <c r="AQ53"/>
  <c r="C53" s="1"/>
  <c r="G53" s="1"/>
  <c r="V53" s="1"/>
  <c r="AR52"/>
  <c r="AQ52"/>
  <c r="C52" s="1"/>
  <c r="G52" s="1"/>
  <c r="V52" s="1"/>
  <c r="AR51"/>
  <c r="AQ51"/>
  <c r="C51" s="1"/>
  <c r="G51" s="1"/>
  <c r="V51" s="1"/>
  <c r="AQ50"/>
  <c r="BM55"/>
  <c r="AQ55"/>
  <c r="BM49"/>
  <c r="AQ49"/>
  <c r="BM48"/>
  <c r="AQ48"/>
  <c r="BM47"/>
  <c r="AQ47"/>
  <c r="BM46"/>
  <c r="AQ46"/>
  <c r="BM45"/>
  <c r="AQ45"/>
  <c r="BM44"/>
  <c r="AQ44"/>
  <c r="BM43"/>
  <c r="AR43"/>
  <c r="AQ43"/>
  <c r="C43" s="1"/>
  <c r="G43" s="1"/>
  <c r="V43" s="1"/>
  <c r="BM41"/>
  <c r="AQ41"/>
  <c r="AQ40"/>
  <c r="BM39"/>
  <c r="AQ39"/>
  <c r="BM38"/>
  <c r="AQ38"/>
  <c r="BM113"/>
  <c r="AQ113"/>
  <c r="AW113" s="1"/>
  <c r="BM37"/>
  <c r="AO37"/>
  <c r="BM36"/>
  <c r="AQ36"/>
  <c r="AR35"/>
  <c r="AQ35"/>
  <c r="C35" s="1"/>
  <c r="G35" s="1"/>
  <c r="V35" s="1"/>
  <c r="AR34"/>
  <c r="AQ34"/>
  <c r="C34" s="1"/>
  <c r="G34" s="1"/>
  <c r="V34" s="1"/>
  <c r="BM33"/>
  <c r="AQ33"/>
  <c r="BM32"/>
  <c r="AQ32"/>
  <c r="BM28"/>
  <c r="AP28"/>
  <c r="AO28"/>
  <c r="BM31"/>
  <c r="AR31"/>
  <c r="AQ31"/>
  <c r="C31" s="1"/>
  <c r="G31" s="1"/>
  <c r="V31" s="1"/>
  <c r="BM30"/>
  <c r="AQ30"/>
  <c r="BM29"/>
  <c r="AR29"/>
  <c r="AQ29"/>
  <c r="C29" s="1"/>
  <c r="G29" s="1"/>
  <c r="V29" s="1"/>
  <c r="BM27"/>
  <c r="BG27"/>
  <c r="AQ27"/>
  <c r="AQ26"/>
  <c r="BM25"/>
  <c r="AQ25"/>
  <c r="AR24"/>
  <c r="AQ24"/>
  <c r="C24" s="1"/>
  <c r="G24" s="1"/>
  <c r="V24" s="1"/>
  <c r="BM23"/>
  <c r="AQ23"/>
  <c r="BM22"/>
  <c r="AP22"/>
  <c r="AO22"/>
  <c r="BT21"/>
  <c r="BM21"/>
  <c r="AQ21"/>
  <c r="BM20"/>
  <c r="AQ20"/>
  <c r="BM19"/>
  <c r="AQ19"/>
  <c r="AQ18"/>
  <c r="BM16"/>
  <c r="AQ16"/>
  <c r="BM17"/>
  <c r="AQ17"/>
  <c r="BM15"/>
  <c r="AR15"/>
  <c r="AQ15"/>
  <c r="C15" s="1"/>
  <c r="G15" s="1"/>
  <c r="V15" s="1"/>
  <c r="BM14"/>
  <c r="AQ14"/>
  <c r="BM13"/>
  <c r="AR13"/>
  <c r="AQ13"/>
  <c r="C13" s="1"/>
  <c r="G13" s="1"/>
  <c r="V13" s="1"/>
  <c r="AR12"/>
  <c r="AQ12"/>
  <c r="C12" s="1"/>
  <c r="G12" s="1"/>
  <c r="V12" s="1"/>
  <c r="BM11"/>
  <c r="AQ11"/>
  <c r="BM10"/>
  <c r="AQ10"/>
  <c r="Q56" i="2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10"/>
  <c r="AW11" i="1" l="1"/>
  <c r="C11"/>
  <c r="G11" s="1"/>
  <c r="C10"/>
  <c r="AW16"/>
  <c r="C16"/>
  <c r="G16" s="1"/>
  <c r="AW27"/>
  <c r="BK27" s="1"/>
  <c r="C27"/>
  <c r="G27" s="1"/>
  <c r="AW33"/>
  <c r="C33"/>
  <c r="G33" s="1"/>
  <c r="AW38"/>
  <c r="C38"/>
  <c r="G38" s="1"/>
  <c r="AW40"/>
  <c r="C40"/>
  <c r="G40" s="1"/>
  <c r="AW45"/>
  <c r="C45"/>
  <c r="G45" s="1"/>
  <c r="AW47"/>
  <c r="C47"/>
  <c r="G47" s="1"/>
  <c r="AW49"/>
  <c r="C49"/>
  <c r="G49" s="1"/>
  <c r="AW50"/>
  <c r="C50"/>
  <c r="G50" s="1"/>
  <c r="AW64"/>
  <c r="C64"/>
  <c r="G64" s="1"/>
  <c r="Q73"/>
  <c r="G73"/>
  <c r="V75"/>
  <c r="C75" i="2"/>
  <c r="E75" s="1"/>
  <c r="V80" i="1"/>
  <c r="C80" i="2"/>
  <c r="E80" s="1"/>
  <c r="AW81" i="1"/>
  <c r="C81"/>
  <c r="G81" s="1"/>
  <c r="AW83"/>
  <c r="C83"/>
  <c r="G83" s="1"/>
  <c r="AW87"/>
  <c r="C87"/>
  <c r="G87" s="1"/>
  <c r="V90"/>
  <c r="C90" i="2"/>
  <c r="E90" s="1"/>
  <c r="AW76" i="1"/>
  <c r="C76"/>
  <c r="G76" s="1"/>
  <c r="AW42"/>
  <c r="C42"/>
  <c r="G42" s="1"/>
  <c r="AW63"/>
  <c r="C63"/>
  <c r="G63" s="1"/>
  <c r="C72" i="2"/>
  <c r="E72" s="1"/>
  <c r="C68"/>
  <c r="E68" s="1"/>
  <c r="C53"/>
  <c r="E53" s="1"/>
  <c r="C34"/>
  <c r="E34" s="1"/>
  <c r="AW56" i="1"/>
  <c r="BH56" s="1"/>
  <c r="C56"/>
  <c r="G56" s="1"/>
  <c r="AW58"/>
  <c r="BI58" s="1"/>
  <c r="O58" s="1"/>
  <c r="C58"/>
  <c r="G58" s="1"/>
  <c r="AW60"/>
  <c r="BH60" s="1"/>
  <c r="C60"/>
  <c r="G60" s="1"/>
  <c r="AW71"/>
  <c r="BH71" s="1"/>
  <c r="C71"/>
  <c r="G71" s="1"/>
  <c r="AW78"/>
  <c r="BH78" s="1"/>
  <c r="C78"/>
  <c r="G78" s="1"/>
  <c r="V85"/>
  <c r="C85" i="2"/>
  <c r="E85" s="1"/>
  <c r="AW88" i="1"/>
  <c r="C88"/>
  <c r="G88" s="1"/>
  <c r="AW92"/>
  <c r="BK92" s="1"/>
  <c r="C92"/>
  <c r="G92" s="1"/>
  <c r="V94"/>
  <c r="C94" i="2"/>
  <c r="E94" s="1"/>
  <c r="AW96" i="1"/>
  <c r="BI96" s="1"/>
  <c r="O96" s="1"/>
  <c r="C96"/>
  <c r="G96" s="1"/>
  <c r="C12" i="2"/>
  <c r="E12" s="1"/>
  <c r="C52"/>
  <c r="E52" s="1"/>
  <c r="AW21" i="1"/>
  <c r="BI21" s="1"/>
  <c r="O21" s="1"/>
  <c r="M21" i="2" s="1"/>
  <c r="C21" i="1"/>
  <c r="G21" s="1"/>
  <c r="AW17"/>
  <c r="BK17" s="1"/>
  <c r="C17"/>
  <c r="G17" s="1"/>
  <c r="AW30"/>
  <c r="BI30" s="1"/>
  <c r="O30" s="1"/>
  <c r="C30"/>
  <c r="G30" s="1"/>
  <c r="AW32"/>
  <c r="BI32" s="1"/>
  <c r="O32" s="1"/>
  <c r="C32"/>
  <c r="G32" s="1"/>
  <c r="AW36"/>
  <c r="BK36" s="1"/>
  <c r="C36"/>
  <c r="G36" s="1"/>
  <c r="AW46"/>
  <c r="C46"/>
  <c r="G46" s="1"/>
  <c r="AW48"/>
  <c r="BI48" s="1"/>
  <c r="O48" s="1"/>
  <c r="C48"/>
  <c r="G48" s="1"/>
  <c r="AW65"/>
  <c r="BI65" s="1"/>
  <c r="O65" s="1"/>
  <c r="M65" i="2" s="1"/>
  <c r="C65" i="1"/>
  <c r="G65" s="1"/>
  <c r="AW69"/>
  <c r="BI69" s="1"/>
  <c r="O69" s="1"/>
  <c r="C69"/>
  <c r="G69" s="1"/>
  <c r="AW77"/>
  <c r="C77"/>
  <c r="G77" s="1"/>
  <c r="AW82"/>
  <c r="BH82" s="1"/>
  <c r="C82"/>
  <c r="G82" s="1"/>
  <c r="AW84"/>
  <c r="C84"/>
  <c r="G84" s="1"/>
  <c r="AW91"/>
  <c r="BH91" s="1"/>
  <c r="C91"/>
  <c r="G91" s="1"/>
  <c r="AW61"/>
  <c r="C61"/>
  <c r="G61" s="1"/>
  <c r="C74" i="2"/>
  <c r="E74" s="1"/>
  <c r="C70"/>
  <c r="E70" s="1"/>
  <c r="C66"/>
  <c r="E66" s="1"/>
  <c r="C24"/>
  <c r="E24" s="1"/>
  <c r="C54"/>
  <c r="E54" s="1"/>
  <c r="C29"/>
  <c r="E29" s="1"/>
  <c r="C13"/>
  <c r="E13" s="1"/>
  <c r="AW19" i="1"/>
  <c r="BI19" s="1"/>
  <c r="O19" s="1"/>
  <c r="C19"/>
  <c r="G19" s="1"/>
  <c r="AW26"/>
  <c r="AZ26" s="1"/>
  <c r="H26" s="1"/>
  <c r="C26"/>
  <c r="G26" s="1"/>
  <c r="AW18"/>
  <c r="BB18" s="1"/>
  <c r="J18" s="1"/>
  <c r="H18" i="2" s="1"/>
  <c r="C18" i="1"/>
  <c r="G18" s="1"/>
  <c r="AW39"/>
  <c r="BK39" s="1"/>
  <c r="C39"/>
  <c r="G39" s="1"/>
  <c r="AW44"/>
  <c r="BK44" s="1"/>
  <c r="C44"/>
  <c r="G44" s="1"/>
  <c r="AW55"/>
  <c r="BH55" s="1"/>
  <c r="C55"/>
  <c r="G55" s="1"/>
  <c r="AW14"/>
  <c r="BI14" s="1"/>
  <c r="O14" s="1"/>
  <c r="C14"/>
  <c r="G14" s="1"/>
  <c r="AW20"/>
  <c r="BI20" s="1"/>
  <c r="O20" s="1"/>
  <c r="C20"/>
  <c r="G20" s="1"/>
  <c r="AW23"/>
  <c r="BI23" s="1"/>
  <c r="O23" s="1"/>
  <c r="C23"/>
  <c r="G23" s="1"/>
  <c r="AW25"/>
  <c r="BH25" s="1"/>
  <c r="C25"/>
  <c r="G25" s="1"/>
  <c r="AW41"/>
  <c r="BH41" s="1"/>
  <c r="C41"/>
  <c r="G41" s="1"/>
  <c r="AW57"/>
  <c r="BK57" s="1"/>
  <c r="C57"/>
  <c r="G57" s="1"/>
  <c r="AW59"/>
  <c r="BK59" s="1"/>
  <c r="C59"/>
  <c r="G59" s="1"/>
  <c r="V79"/>
  <c r="C79" i="2"/>
  <c r="E79" s="1"/>
  <c r="V86" i="1"/>
  <c r="C86" i="2"/>
  <c r="E86" s="1"/>
  <c r="V89" i="1"/>
  <c r="C89" i="2"/>
  <c r="E89" s="1"/>
  <c r="AW93" i="1"/>
  <c r="BH93" s="1"/>
  <c r="C93"/>
  <c r="G93" s="1"/>
  <c r="AW95"/>
  <c r="BH95" s="1"/>
  <c r="C95"/>
  <c r="G95" s="1"/>
  <c r="V97"/>
  <c r="C97" i="2"/>
  <c r="E97" s="1"/>
  <c r="C67"/>
  <c r="E67" s="1"/>
  <c r="C51"/>
  <c r="E51" s="1"/>
  <c r="C43"/>
  <c r="E43" s="1"/>
  <c r="C35"/>
  <c r="E35" s="1"/>
  <c r="C31"/>
  <c r="E31" s="1"/>
  <c r="C15"/>
  <c r="E15" s="1"/>
  <c r="AQ37" i="1"/>
  <c r="AQ22"/>
  <c r="AW31"/>
  <c r="BH31" s="1"/>
  <c r="AW68"/>
  <c r="BA68" s="1"/>
  <c r="AW66"/>
  <c r="BI66" s="1"/>
  <c r="O66" s="1"/>
  <c r="M66" i="2" s="1"/>
  <c r="AW89" i="1"/>
  <c r="BI89" s="1"/>
  <c r="O89" s="1"/>
  <c r="AW12"/>
  <c r="BA12" s="1"/>
  <c r="I12" s="1"/>
  <c r="AW34"/>
  <c r="BI34" s="1"/>
  <c r="O34" s="1"/>
  <c r="M34" i="2" s="1"/>
  <c r="AW35" i="1"/>
  <c r="BK35" s="1"/>
  <c r="W35" s="1"/>
  <c r="AW72"/>
  <c r="BK72" s="1"/>
  <c r="AW74"/>
  <c r="BI74" s="1"/>
  <c r="O74" s="1"/>
  <c r="M74" i="2" s="1"/>
  <c r="AW75" i="1"/>
  <c r="BA75" s="1"/>
  <c r="AW80"/>
  <c r="BI80" s="1"/>
  <c r="O80" s="1"/>
  <c r="BH87"/>
  <c r="AW15"/>
  <c r="BH15" s="1"/>
  <c r="AW54"/>
  <c r="BK54" s="1"/>
  <c r="AW13"/>
  <c r="BI13" s="1"/>
  <c r="O13" s="1"/>
  <c r="AW24"/>
  <c r="BK24" s="1"/>
  <c r="W24" s="1"/>
  <c r="AW43"/>
  <c r="BK43" s="1"/>
  <c r="AW51"/>
  <c r="BK51" s="1"/>
  <c r="W51" s="1"/>
  <c r="AW52"/>
  <c r="BI52" s="1"/>
  <c r="O52" s="1"/>
  <c r="M52" i="2" s="1"/>
  <c r="AW53" i="1"/>
  <c r="BH53" s="1"/>
  <c r="AQ62"/>
  <c r="AW67"/>
  <c r="BK67" s="1"/>
  <c r="AW70"/>
  <c r="BH70" s="1"/>
  <c r="AW73"/>
  <c r="BK73" s="1"/>
  <c r="AW79"/>
  <c r="BI79" s="1"/>
  <c r="O79" s="1"/>
  <c r="AW85"/>
  <c r="BA85" s="1"/>
  <c r="AW86"/>
  <c r="BI86" s="1"/>
  <c r="O86" s="1"/>
  <c r="AW90"/>
  <c r="BH90" s="1"/>
  <c r="AW94"/>
  <c r="BA94" s="1"/>
  <c r="AW97"/>
  <c r="BK97" s="1"/>
  <c r="BN98"/>
  <c r="BK14"/>
  <c r="BK11"/>
  <c r="BI11"/>
  <c r="O11" s="1"/>
  <c r="BH11"/>
  <c r="BK30"/>
  <c r="BK33"/>
  <c r="BI33"/>
  <c r="O33" s="1"/>
  <c r="BE33"/>
  <c r="BK41"/>
  <c r="BA51"/>
  <c r="BK56"/>
  <c r="BH59"/>
  <c r="BI59"/>
  <c r="O59" s="1"/>
  <c r="BK60"/>
  <c r="BK78"/>
  <c r="BK104"/>
  <c r="BN104" s="1"/>
  <c r="BI104"/>
  <c r="BJ104"/>
  <c r="BK16"/>
  <c r="BK18"/>
  <c r="W18" s="1"/>
  <c r="BK19"/>
  <c r="AW10"/>
  <c r="BH16"/>
  <c r="BH19"/>
  <c r="BH23"/>
  <c r="BH27"/>
  <c r="BI27"/>
  <c r="O27" s="1"/>
  <c r="AW29"/>
  <c r="AQ28"/>
  <c r="BK32"/>
  <c r="BK34"/>
  <c r="W34" s="1"/>
  <c r="BH113"/>
  <c r="BK113"/>
  <c r="BN113" s="1"/>
  <c r="BI113"/>
  <c r="BH38"/>
  <c r="BK38"/>
  <c r="BI38"/>
  <c r="O38" s="1"/>
  <c r="BA40"/>
  <c r="BK40"/>
  <c r="W40" s="1"/>
  <c r="BI40"/>
  <c r="O40" s="1"/>
  <c r="M40" i="2" s="1"/>
  <c r="BB40" i="1"/>
  <c r="J40" s="1"/>
  <c r="H40" i="2" s="1"/>
  <c r="BI54" i="1"/>
  <c r="O54" s="1"/>
  <c r="M54" i="2" s="1"/>
  <c r="BH64" i="1"/>
  <c r="BK64"/>
  <c r="BI64"/>
  <c r="O64" s="1"/>
  <c r="BK65"/>
  <c r="W65" s="1"/>
  <c r="BA65"/>
  <c r="BI71"/>
  <c r="O71" s="1"/>
  <c r="BK75"/>
  <c r="W75" s="1"/>
  <c r="BB75"/>
  <c r="J75" s="1"/>
  <c r="H75" i="2" s="1"/>
  <c r="BA77" i="1"/>
  <c r="BK77"/>
  <c r="W77" s="1"/>
  <c r="BI77"/>
  <c r="O77" s="1"/>
  <c r="M77" i="2" s="1"/>
  <c r="BB77" i="1"/>
  <c r="J77" s="1"/>
  <c r="H77" i="2" s="1"/>
  <c r="BH88" i="1"/>
  <c r="BK88"/>
  <c r="BI88"/>
  <c r="O88" s="1"/>
  <c r="BK103"/>
  <c r="BN103" s="1"/>
  <c r="BI103"/>
  <c r="BJ103"/>
  <c r="BI17"/>
  <c r="O17" s="1"/>
  <c r="BI16"/>
  <c r="O16" s="1"/>
  <c r="BH44"/>
  <c r="BH45"/>
  <c r="BH46"/>
  <c r="BH47"/>
  <c r="BH49"/>
  <c r="BA50"/>
  <c r="BH81"/>
  <c r="BH83"/>
  <c r="BA84"/>
  <c r="BI87"/>
  <c r="BK87"/>
  <c r="BH76"/>
  <c r="BH42"/>
  <c r="BH61"/>
  <c r="BH63"/>
  <c r="BI44"/>
  <c r="O44" s="1"/>
  <c r="BI45"/>
  <c r="O45" s="1"/>
  <c r="BK45"/>
  <c r="BI46"/>
  <c r="O46" s="1"/>
  <c r="BK46"/>
  <c r="BI47"/>
  <c r="O47" s="1"/>
  <c r="BK47"/>
  <c r="BI49"/>
  <c r="O49" s="1"/>
  <c r="BK49"/>
  <c r="BB50"/>
  <c r="J50" s="1"/>
  <c r="H50" i="2" s="1"/>
  <c r="BI50" i="1"/>
  <c r="O50" s="1"/>
  <c r="M50" i="2" s="1"/>
  <c r="BK50" i="1"/>
  <c r="W50" s="1"/>
  <c r="BI81"/>
  <c r="O81" s="1"/>
  <c r="BK81"/>
  <c r="BI83"/>
  <c r="O83" s="1"/>
  <c r="BK83"/>
  <c r="BB84"/>
  <c r="J84" s="1"/>
  <c r="H84" i="2" s="1"/>
  <c r="BI84" i="1"/>
  <c r="O84" s="1"/>
  <c r="M84" i="2" s="1"/>
  <c r="BK84" i="1"/>
  <c r="W84" s="1"/>
  <c r="BI93"/>
  <c r="O93" s="1"/>
  <c r="BI76"/>
  <c r="O76" s="1"/>
  <c r="BK76"/>
  <c r="BI42"/>
  <c r="O42" s="1"/>
  <c r="BK42"/>
  <c r="BI61"/>
  <c r="O61" s="1"/>
  <c r="BK61"/>
  <c r="BI63"/>
  <c r="O63" s="1"/>
  <c r="BK63"/>
  <c r="M10" i="4"/>
  <c r="BB68" i="1" l="1"/>
  <c r="J68" s="1"/>
  <c r="H68" i="2" s="1"/>
  <c r="BG92" i="1"/>
  <c r="BI95"/>
  <c r="O95" s="1"/>
  <c r="BK91"/>
  <c r="BN91" s="1"/>
  <c r="BI91"/>
  <c r="O91" s="1"/>
  <c r="BK69"/>
  <c r="BI92"/>
  <c r="O92" s="1"/>
  <c r="M92" i="2" s="1"/>
  <c r="BK71" i="1"/>
  <c r="BK58"/>
  <c r="BN58" s="1"/>
  <c r="BK82"/>
  <c r="BI36"/>
  <c r="O36" s="1"/>
  <c r="T36" s="1"/>
  <c r="U36" s="1"/>
  <c r="BH48"/>
  <c r="BK21"/>
  <c r="BK31"/>
  <c r="BN31" s="1"/>
  <c r="BK48"/>
  <c r="W48" s="1"/>
  <c r="BH69"/>
  <c r="BH36"/>
  <c r="BA26"/>
  <c r="BH57"/>
  <c r="BI82"/>
  <c r="O82" s="1"/>
  <c r="M82" i="2" s="1"/>
  <c r="O82" s="1"/>
  <c r="BI55" i="1"/>
  <c r="O55" s="1"/>
  <c r="BK25"/>
  <c r="BN25" s="1"/>
  <c r="BK93"/>
  <c r="W93" s="1"/>
  <c r="BK55"/>
  <c r="BN55" s="1"/>
  <c r="BK74"/>
  <c r="W74" s="1"/>
  <c r="BK66"/>
  <c r="W66" s="1"/>
  <c r="BH39"/>
  <c r="BK23"/>
  <c r="BA18"/>
  <c r="BI18"/>
  <c r="O18" s="1"/>
  <c r="M18" i="2" s="1"/>
  <c r="BI41" i="1"/>
  <c r="O41" s="1"/>
  <c r="T41" s="1"/>
  <c r="U41" s="1"/>
  <c r="BH14"/>
  <c r="BI25"/>
  <c r="BK95"/>
  <c r="BH89"/>
  <c r="BI72"/>
  <c r="O72" s="1"/>
  <c r="T72" s="1"/>
  <c r="U72" s="1"/>
  <c r="BI39"/>
  <c r="O39" s="1"/>
  <c r="M39" i="2" s="1"/>
  <c r="O39" s="1"/>
  <c r="BI26" i="1"/>
  <c r="O26" s="1"/>
  <c r="M26" i="2" s="1"/>
  <c r="BG21" i="1"/>
  <c r="BK20"/>
  <c r="W20" s="1"/>
  <c r="BI57"/>
  <c r="O57" s="1"/>
  <c r="BI12"/>
  <c r="O12" s="1"/>
  <c r="M12" i="2" s="1"/>
  <c r="BI15" i="1"/>
  <c r="O15" s="1"/>
  <c r="M15" i="2" s="1"/>
  <c r="O15" s="1"/>
  <c r="P15" s="1"/>
  <c r="AJ15" s="1"/>
  <c r="BK89" i="1"/>
  <c r="BN89" s="1"/>
  <c r="BK26"/>
  <c r="W26" s="1"/>
  <c r="BH30"/>
  <c r="BH20"/>
  <c r="BJ20" s="1"/>
  <c r="BK96"/>
  <c r="BN96" s="1"/>
  <c r="BI75"/>
  <c r="O75" s="1"/>
  <c r="M75" i="2" s="1"/>
  <c r="BH72" i="1"/>
  <c r="BK68"/>
  <c r="W68" s="1"/>
  <c r="AZ65"/>
  <c r="BB54"/>
  <c r="BB34"/>
  <c r="J34" s="1"/>
  <c r="H34" i="2" s="1"/>
  <c r="BH32" i="1"/>
  <c r="BH17"/>
  <c r="BH96"/>
  <c r="BI78"/>
  <c r="O78" s="1"/>
  <c r="BI60"/>
  <c r="O60" s="1"/>
  <c r="BH58"/>
  <c r="BI56"/>
  <c r="O56" s="1"/>
  <c r="BA34"/>
  <c r="BA24"/>
  <c r="M42" i="2"/>
  <c r="O42" s="1"/>
  <c r="T42" i="1"/>
  <c r="U42" s="1"/>
  <c r="BN82"/>
  <c r="W82"/>
  <c r="M47" i="2"/>
  <c r="O47" s="1"/>
  <c r="T47" i="1"/>
  <c r="U47" s="1"/>
  <c r="BN76"/>
  <c r="W76"/>
  <c r="M81" i="2"/>
  <c r="O81" s="1"/>
  <c r="T81" i="1"/>
  <c r="U81" s="1"/>
  <c r="BN49"/>
  <c r="W49"/>
  <c r="BN36"/>
  <c r="W36"/>
  <c r="M16" i="2"/>
  <c r="O16" s="1"/>
  <c r="T16" i="1"/>
  <c r="U16" s="1"/>
  <c r="BN61"/>
  <c r="W61"/>
  <c r="M69" i="2"/>
  <c r="O69" s="1"/>
  <c r="T69" i="1"/>
  <c r="U69" s="1"/>
  <c r="BN46"/>
  <c r="W46"/>
  <c r="BN44"/>
  <c r="W44"/>
  <c r="M71" i="2"/>
  <c r="O71" s="1"/>
  <c r="T71" i="1"/>
  <c r="U71" s="1"/>
  <c r="BN38"/>
  <c r="W38"/>
  <c r="M32" i="2"/>
  <c r="O32" s="1"/>
  <c r="T32" i="1"/>
  <c r="U32" s="1"/>
  <c r="AW28"/>
  <c r="C28"/>
  <c r="G28" s="1"/>
  <c r="BN19"/>
  <c r="W19"/>
  <c r="BN16"/>
  <c r="W16"/>
  <c r="M59" i="2"/>
  <c r="O59" s="1"/>
  <c r="T59" i="1"/>
  <c r="U59" s="1"/>
  <c r="W58"/>
  <c r="BN41"/>
  <c r="W41"/>
  <c r="BN33"/>
  <c r="W33"/>
  <c r="M11" i="2"/>
  <c r="O11" s="1"/>
  <c r="T11" i="1"/>
  <c r="U11" s="1"/>
  <c r="BN14"/>
  <c r="W14"/>
  <c r="M79" i="2"/>
  <c r="O79" s="1"/>
  <c r="T79" i="1"/>
  <c r="U79" s="1"/>
  <c r="AW62"/>
  <c r="C62"/>
  <c r="BN43"/>
  <c r="W43"/>
  <c r="Z43" s="1"/>
  <c r="AA43" s="1"/>
  <c r="AB43" s="1"/>
  <c r="G12" i="2"/>
  <c r="Y12" i="1"/>
  <c r="V93"/>
  <c r="C93" i="2"/>
  <c r="E93" s="1"/>
  <c r="V61" i="1"/>
  <c r="C61" i="2"/>
  <c r="E61" s="1"/>
  <c r="V84" i="1"/>
  <c r="C84" i="2"/>
  <c r="E84" s="1"/>
  <c r="V77" i="1"/>
  <c r="C77" i="2"/>
  <c r="E77" s="1"/>
  <c r="V65" i="1"/>
  <c r="C65" i="2"/>
  <c r="E65" s="1"/>
  <c r="V46" i="1"/>
  <c r="C46" i="2"/>
  <c r="E46" s="1"/>
  <c r="V32" i="1"/>
  <c r="C32" i="2"/>
  <c r="E32" s="1"/>
  <c r="V17" i="1"/>
  <c r="C17" i="2"/>
  <c r="E17" s="1"/>
  <c r="V88" i="1"/>
  <c r="C88" i="2"/>
  <c r="E88" s="1"/>
  <c r="V42" i="1"/>
  <c r="C42" i="2"/>
  <c r="E42" s="1"/>
  <c r="BG73" i="1"/>
  <c r="N73" s="1"/>
  <c r="L73" i="2" s="1"/>
  <c r="Q100" i="1"/>
  <c r="BK85"/>
  <c r="W85" s="1"/>
  <c r="BK52"/>
  <c r="W52" s="1"/>
  <c r="P79" i="2"/>
  <c r="AJ79" s="1"/>
  <c r="M63"/>
  <c r="O63" s="1"/>
  <c r="T63" i="1"/>
  <c r="U63" s="1"/>
  <c r="M45" i="2"/>
  <c r="O45" s="1"/>
  <c r="T45" i="1"/>
  <c r="U45" s="1"/>
  <c r="M36" i="2"/>
  <c r="O36" s="1"/>
  <c r="BJ87" i="1"/>
  <c r="O87"/>
  <c r="M17" i="2"/>
  <c r="O17" s="1"/>
  <c r="T17" i="1"/>
  <c r="U17" s="1"/>
  <c r="BH92"/>
  <c r="N92"/>
  <c r="M89" i="2"/>
  <c r="O89" s="1"/>
  <c r="P89" s="1"/>
  <c r="AJ89" s="1"/>
  <c r="T89" i="1"/>
  <c r="U89" s="1"/>
  <c r="BN72"/>
  <c r="W72"/>
  <c r="Z72" s="1"/>
  <c r="AA72" s="1"/>
  <c r="AB72" s="1"/>
  <c r="BN64"/>
  <c r="W64"/>
  <c r="BN54"/>
  <c r="W54"/>
  <c r="Z54" s="1"/>
  <c r="AA54" s="1"/>
  <c r="AB54" s="1"/>
  <c r="M38" i="2"/>
  <c r="O38" s="1"/>
  <c r="T38" i="1"/>
  <c r="U38" s="1"/>
  <c r="W25"/>
  <c r="M27" i="2"/>
  <c r="O27" s="1"/>
  <c r="T27" i="1"/>
  <c r="U27" s="1"/>
  <c r="BN21"/>
  <c r="W21"/>
  <c r="M58" i="2"/>
  <c r="O58" s="1"/>
  <c r="T58" i="1"/>
  <c r="U58" s="1"/>
  <c r="BN57"/>
  <c r="W57"/>
  <c r="M41" i="2"/>
  <c r="O41" s="1"/>
  <c r="M33"/>
  <c r="O33" s="1"/>
  <c r="T33" i="1"/>
  <c r="U33" s="1"/>
  <c r="M14" i="2"/>
  <c r="O14" s="1"/>
  <c r="T14" i="1"/>
  <c r="U14" s="1"/>
  <c r="BN97"/>
  <c r="W97"/>
  <c r="BN67"/>
  <c r="W67"/>
  <c r="Z67" s="1"/>
  <c r="AA67" s="1"/>
  <c r="AB67" s="1"/>
  <c r="V59"/>
  <c r="C59" i="2"/>
  <c r="E59" s="1"/>
  <c r="V41" i="1"/>
  <c r="C41" i="2"/>
  <c r="E41" s="1"/>
  <c r="V23" i="1"/>
  <c r="C23" i="2"/>
  <c r="E23" s="1"/>
  <c r="V14" i="1"/>
  <c r="C14" i="2"/>
  <c r="E14" s="1"/>
  <c r="V44" i="1"/>
  <c r="C44" i="2"/>
  <c r="E44" s="1"/>
  <c r="V18" i="1"/>
  <c r="C18" i="2"/>
  <c r="E18" s="1"/>
  <c r="V19" i="1"/>
  <c r="C19" i="2"/>
  <c r="E19" s="1"/>
  <c r="V71" i="1"/>
  <c r="C71" i="2"/>
  <c r="E71" s="1"/>
  <c r="V58" i="1"/>
  <c r="C58" i="2"/>
  <c r="E58" s="1"/>
  <c r="V87" i="1"/>
  <c r="C87" i="2"/>
  <c r="E87" s="1"/>
  <c r="V81" i="1"/>
  <c r="C81" i="2"/>
  <c r="E81" s="1"/>
  <c r="V73" i="1"/>
  <c r="C73" i="2"/>
  <c r="E73" s="1"/>
  <c r="V50" i="1"/>
  <c r="C50" i="2"/>
  <c r="E50" s="1"/>
  <c r="V47" i="1"/>
  <c r="C47" i="2"/>
  <c r="E47" s="1"/>
  <c r="V40" i="1"/>
  <c r="C40" i="2"/>
  <c r="E40" s="1"/>
  <c r="V33" i="1"/>
  <c r="C33" i="2"/>
  <c r="E33" s="1"/>
  <c r="V16" i="1"/>
  <c r="C16" i="2"/>
  <c r="E16" s="1"/>
  <c r="V11" i="1"/>
  <c r="C11" i="2"/>
  <c r="E11" s="1"/>
  <c r="M76"/>
  <c r="O76" s="1"/>
  <c r="T76" i="1"/>
  <c r="BN69"/>
  <c r="W69"/>
  <c r="BN63"/>
  <c r="W63"/>
  <c r="M83" i="2"/>
  <c r="O83" s="1"/>
  <c r="T83" i="1"/>
  <c r="U83" s="1"/>
  <c r="BN47"/>
  <c r="W47"/>
  <c r="BN88"/>
  <c r="W88"/>
  <c r="M72" i="2"/>
  <c r="O72" s="1"/>
  <c r="P72" s="1"/>
  <c r="AJ72" s="1"/>
  <c r="M64"/>
  <c r="O64" s="1"/>
  <c r="T64" i="1"/>
  <c r="U64" s="1"/>
  <c r="AC64" s="1"/>
  <c r="BJ25"/>
  <c r="O25"/>
  <c r="M23" i="2"/>
  <c r="O23" s="1"/>
  <c r="T23" i="1"/>
  <c r="U23" s="1"/>
  <c r="M96" i="2"/>
  <c r="O96" s="1"/>
  <c r="T96" i="1"/>
  <c r="U96" s="1"/>
  <c r="BN95"/>
  <c r="W95"/>
  <c r="BN78"/>
  <c r="W78"/>
  <c r="BN60"/>
  <c r="W60"/>
  <c r="M57" i="2"/>
  <c r="O57" s="1"/>
  <c r="T57" i="1"/>
  <c r="U57" s="1"/>
  <c r="BN56"/>
  <c r="W56"/>
  <c r="BN30"/>
  <c r="W30"/>
  <c r="T15"/>
  <c r="U15" s="1"/>
  <c r="M86" i="2"/>
  <c r="O86" s="1"/>
  <c r="P86" s="1"/>
  <c r="AJ86" s="1"/>
  <c r="T86" i="1"/>
  <c r="U86" s="1"/>
  <c r="M13" i="2"/>
  <c r="O13" s="1"/>
  <c r="P13" s="1"/>
  <c r="AJ13" s="1"/>
  <c r="T13" i="1"/>
  <c r="U13" s="1"/>
  <c r="M80" i="2"/>
  <c r="O80" s="1"/>
  <c r="P80" s="1"/>
  <c r="AJ80" s="1"/>
  <c r="T80" i="1"/>
  <c r="U80" s="1"/>
  <c r="AW37"/>
  <c r="C37"/>
  <c r="G37" s="1"/>
  <c r="V95"/>
  <c r="C95" i="2"/>
  <c r="E95" s="1"/>
  <c r="M20"/>
  <c r="O20" s="1"/>
  <c r="T20" i="1"/>
  <c r="U20" s="1"/>
  <c r="F26" i="2"/>
  <c r="V91" i="1"/>
  <c r="C91" i="2"/>
  <c r="E91" s="1"/>
  <c r="V82" i="1"/>
  <c r="Z82" s="1"/>
  <c r="AA82" s="1"/>
  <c r="AB82" s="1"/>
  <c r="C82" i="2"/>
  <c r="E82" s="1"/>
  <c r="V69" i="1"/>
  <c r="C69" i="2"/>
  <c r="E69" s="1"/>
  <c r="V48" i="1"/>
  <c r="C48" i="2"/>
  <c r="E48" s="1"/>
  <c r="V36" i="1"/>
  <c r="Z36" s="1"/>
  <c r="AA36" s="1"/>
  <c r="AB36" s="1"/>
  <c r="C36" i="2"/>
  <c r="E36" s="1"/>
  <c r="V30" i="1"/>
  <c r="C30" i="2"/>
  <c r="E30" s="1"/>
  <c r="V21" i="1"/>
  <c r="C21" i="2"/>
  <c r="E21" s="1"/>
  <c r="V92" i="1"/>
  <c r="C92" i="2"/>
  <c r="E92" s="1"/>
  <c r="V63" i="1"/>
  <c r="C63" i="2"/>
  <c r="E63" s="1"/>
  <c r="V76" i="1"/>
  <c r="Z76" s="1"/>
  <c r="AA76" s="1"/>
  <c r="AB76" s="1"/>
  <c r="U76"/>
  <c r="C76" i="2"/>
  <c r="E76" s="1"/>
  <c r="BN27" i="1"/>
  <c r="W27"/>
  <c r="G10"/>
  <c r="M49" i="2"/>
  <c r="O49" s="1"/>
  <c r="T49" i="1"/>
  <c r="U49" s="1"/>
  <c r="BN42"/>
  <c r="W42"/>
  <c r="BN45"/>
  <c r="W45"/>
  <c r="BN87"/>
  <c r="W87"/>
  <c r="M61" i="2"/>
  <c r="O61" s="1"/>
  <c r="T61" i="1"/>
  <c r="U61" s="1"/>
  <c r="M91" i="2"/>
  <c r="O91" s="1"/>
  <c r="T91" i="1"/>
  <c r="U91" s="1"/>
  <c r="M93" i="2"/>
  <c r="O93" s="1"/>
  <c r="T93" i="1"/>
  <c r="U93" s="1"/>
  <c r="BN83"/>
  <c r="W83"/>
  <c r="BN81"/>
  <c r="W81"/>
  <c r="M55" i="2"/>
  <c r="O55" s="1"/>
  <c r="T55" i="1"/>
  <c r="U55" s="1"/>
  <c r="M48" i="2"/>
  <c r="O48" s="1"/>
  <c r="T48" i="1"/>
  <c r="U48" s="1"/>
  <c r="M46" i="2"/>
  <c r="O46" s="1"/>
  <c r="T46" i="1"/>
  <c r="U46" s="1"/>
  <c r="M44" i="2"/>
  <c r="O44" s="1"/>
  <c r="T44" i="1"/>
  <c r="U44" s="1"/>
  <c r="BN92"/>
  <c r="W92"/>
  <c r="M88" i="2"/>
  <c r="O88" s="1"/>
  <c r="T88" i="1"/>
  <c r="U88" s="1"/>
  <c r="BN71"/>
  <c r="W71"/>
  <c r="BN39"/>
  <c r="W39"/>
  <c r="BN32"/>
  <c r="W32"/>
  <c r="BN23"/>
  <c r="W23"/>
  <c r="BH21"/>
  <c r="BJ21" s="1"/>
  <c r="N21"/>
  <c r="M19" i="2"/>
  <c r="O19" s="1"/>
  <c r="T19" i="1"/>
  <c r="U19" s="1"/>
  <c r="BN17"/>
  <c r="W17"/>
  <c r="M95" i="2"/>
  <c r="O95" s="1"/>
  <c r="T95" i="1"/>
  <c r="U95" s="1"/>
  <c r="M78" i="2"/>
  <c r="O78" s="1"/>
  <c r="T78" i="1"/>
  <c r="U78" s="1"/>
  <c r="M60" i="2"/>
  <c r="O60" s="1"/>
  <c r="T60" i="1"/>
  <c r="U60" s="1"/>
  <c r="BN59"/>
  <c r="W59"/>
  <c r="M56" i="2"/>
  <c r="O56" s="1"/>
  <c r="T56" i="1"/>
  <c r="U56" s="1"/>
  <c r="M30" i="2"/>
  <c r="O30" s="1"/>
  <c r="T30" i="1"/>
  <c r="U30" s="1"/>
  <c r="BN11"/>
  <c r="W11"/>
  <c r="AW22"/>
  <c r="C22"/>
  <c r="G22" s="1"/>
  <c r="V57"/>
  <c r="C57" i="2"/>
  <c r="E57" s="1"/>
  <c r="V25" i="1"/>
  <c r="C25" i="2"/>
  <c r="E25" s="1"/>
  <c r="V20" i="1"/>
  <c r="C20" i="2"/>
  <c r="E20" s="1"/>
  <c r="V55" i="1"/>
  <c r="C55" i="2"/>
  <c r="E55" s="1"/>
  <c r="V39" i="1"/>
  <c r="C39" i="2"/>
  <c r="E39" s="1"/>
  <c r="V26" i="1"/>
  <c r="C26" i="2"/>
  <c r="E26" s="1"/>
  <c r="V96" i="1"/>
  <c r="C96" i="2"/>
  <c r="E96" s="1"/>
  <c r="V78" i="1"/>
  <c r="C78" i="2"/>
  <c r="E78" s="1"/>
  <c r="V60" i="1"/>
  <c r="C60" i="2"/>
  <c r="E60" s="1"/>
  <c r="V56" i="1"/>
  <c r="C56" i="2"/>
  <c r="E56" s="1"/>
  <c r="V83" i="1"/>
  <c r="C83" i="2"/>
  <c r="E83" s="1"/>
  <c r="V64" i="1"/>
  <c r="Z64" s="1"/>
  <c r="AA64" s="1"/>
  <c r="AB64" s="1"/>
  <c r="C64" i="2"/>
  <c r="E64" s="1"/>
  <c r="V49" i="1"/>
  <c r="Z49" s="1"/>
  <c r="AA49" s="1"/>
  <c r="AB49" s="1"/>
  <c r="C49" i="2"/>
  <c r="E49" s="1"/>
  <c r="V45" i="1"/>
  <c r="C45" i="2"/>
  <c r="E45" s="1"/>
  <c r="P45" s="1"/>
  <c r="AJ45" s="1"/>
  <c r="V38" i="1"/>
  <c r="Z38" s="1"/>
  <c r="AA38" s="1"/>
  <c r="AB38" s="1"/>
  <c r="C38" i="2"/>
  <c r="E38" s="1"/>
  <c r="V27" i="1"/>
  <c r="C27" i="2"/>
  <c r="E27" s="1"/>
  <c r="P27" s="1"/>
  <c r="AJ27" s="1"/>
  <c r="BI97" i="1"/>
  <c r="O97" s="1"/>
  <c r="BB51"/>
  <c r="J51" s="1"/>
  <c r="H51" i="2" s="1"/>
  <c r="BH73" i="1"/>
  <c r="Z97"/>
  <c r="AA97" s="1"/>
  <c r="AB97" s="1"/>
  <c r="AQ100"/>
  <c r="BN73"/>
  <c r="W73"/>
  <c r="BH62"/>
  <c r="BM84"/>
  <c r="BN84" s="1"/>
  <c r="I84"/>
  <c r="BM65"/>
  <c r="BN65" s="1"/>
  <c r="I65"/>
  <c r="BM18"/>
  <c r="BN18" s="1"/>
  <c r="I18"/>
  <c r="BM24"/>
  <c r="BN24" s="1"/>
  <c r="I24"/>
  <c r="BM85"/>
  <c r="BN85" s="1"/>
  <c r="I85"/>
  <c r="BM68"/>
  <c r="I68"/>
  <c r="BM50"/>
  <c r="BN50" s="1"/>
  <c r="I50"/>
  <c r="BM77"/>
  <c r="BN77" s="1"/>
  <c r="I77"/>
  <c r="BM75"/>
  <c r="BN75" s="1"/>
  <c r="I75"/>
  <c r="AZ100"/>
  <c r="H65"/>
  <c r="BH54"/>
  <c r="BJ54" s="1"/>
  <c r="J54"/>
  <c r="BM40"/>
  <c r="BN40" s="1"/>
  <c r="I40"/>
  <c r="BM34"/>
  <c r="BN34" s="1"/>
  <c r="I34"/>
  <c r="BM26"/>
  <c r="BN26" s="1"/>
  <c r="I26"/>
  <c r="T26" s="1"/>
  <c r="U26" s="1"/>
  <c r="BM51"/>
  <c r="BN51" s="1"/>
  <c r="I51"/>
  <c r="BE100"/>
  <c r="BM94"/>
  <c r="I94"/>
  <c r="BB94"/>
  <c r="J94" s="1"/>
  <c r="H94" i="2" s="1"/>
  <c r="BI68" i="1"/>
  <c r="O68" s="1"/>
  <c r="M68" i="2" s="1"/>
  <c r="BI67" i="1"/>
  <c r="O67" s="1"/>
  <c r="BJ30"/>
  <c r="BB66"/>
  <c r="J66" s="1"/>
  <c r="H66" i="2" s="1"/>
  <c r="BH80" i="1"/>
  <c r="BJ80" s="1"/>
  <c r="BK80"/>
  <c r="BB74"/>
  <c r="J74" s="1"/>
  <c r="H74" i="2" s="1"/>
  <c r="BA74" i="1"/>
  <c r="BA66"/>
  <c r="BA35"/>
  <c r="BI31"/>
  <c r="BJ92"/>
  <c r="BN68"/>
  <c r="BI35"/>
  <c r="O35" s="1"/>
  <c r="M35" i="2" s="1"/>
  <c r="BH86" i="1"/>
  <c r="BJ86" s="1"/>
  <c r="BK79"/>
  <c r="BH13"/>
  <c r="BJ13" s="1"/>
  <c r="BB35"/>
  <c r="BK94"/>
  <c r="BK86"/>
  <c r="BH79"/>
  <c r="BJ79" s="1"/>
  <c r="BK70"/>
  <c r="BK62"/>
  <c r="W62" s="1"/>
  <c r="BB52"/>
  <c r="J52" s="1"/>
  <c r="H52" i="2" s="1"/>
  <c r="BI43" i="1"/>
  <c r="O43" s="1"/>
  <c r="BK13"/>
  <c r="BK12"/>
  <c r="W12" s="1"/>
  <c r="Z12" s="1"/>
  <c r="AA12" s="1"/>
  <c r="AB12" s="1"/>
  <c r="BK15"/>
  <c r="BI94"/>
  <c r="O94" s="1"/>
  <c r="M94" i="2" s="1"/>
  <c r="BI70" i="1"/>
  <c r="BI62"/>
  <c r="BA52"/>
  <c r="BH43"/>
  <c r="BB12"/>
  <c r="J12" s="1"/>
  <c r="H12" i="2" s="1"/>
  <c r="BH68" i="1"/>
  <c r="BH65"/>
  <c r="BJ65" s="1"/>
  <c r="BJ23"/>
  <c r="BH18"/>
  <c r="BJ18" s="1"/>
  <c r="BK90"/>
  <c r="BB85"/>
  <c r="BK53"/>
  <c r="BI24"/>
  <c r="O24" s="1"/>
  <c r="M24" i="2" s="1"/>
  <c r="BJ71" i="1"/>
  <c r="BH84"/>
  <c r="BJ84" s="1"/>
  <c r="BJ63"/>
  <c r="BJ61"/>
  <c r="BJ91"/>
  <c r="BJ93"/>
  <c r="BH50"/>
  <c r="BJ50" s="1"/>
  <c r="BJ55"/>
  <c r="BJ48"/>
  <c r="BJ46"/>
  <c r="BJ44"/>
  <c r="BH26"/>
  <c r="BJ26" s="1"/>
  <c r="BJ88"/>
  <c r="BH77"/>
  <c r="BJ77" s="1"/>
  <c r="BH75"/>
  <c r="BJ75" s="1"/>
  <c r="BJ64"/>
  <c r="BH97"/>
  <c r="BJ96"/>
  <c r="BI90"/>
  <c r="BI85"/>
  <c r="O85" s="1"/>
  <c r="M85" i="2" s="1"/>
  <c r="BI73" i="1"/>
  <c r="BH67"/>
  <c r="BJ59"/>
  <c r="BJ57"/>
  <c r="BI53"/>
  <c r="BI51"/>
  <c r="O51" s="1"/>
  <c r="M51" i="2" s="1"/>
  <c r="BB24" i="1"/>
  <c r="BJ11"/>
  <c r="BJ16"/>
  <c r="BJ95"/>
  <c r="BJ78"/>
  <c r="BJ60"/>
  <c r="BJ58"/>
  <c r="BJ56"/>
  <c r="BJ41"/>
  <c r="BK29"/>
  <c r="BI29"/>
  <c r="O29" s="1"/>
  <c r="BH29"/>
  <c r="BK10"/>
  <c r="BI10"/>
  <c r="O10" s="1"/>
  <c r="T10" s="1"/>
  <c r="BM12"/>
  <c r="BJ83"/>
  <c r="BJ42"/>
  <c r="BJ76"/>
  <c r="BJ82"/>
  <c r="BJ69"/>
  <c r="BJ49"/>
  <c r="BJ47"/>
  <c r="BJ45"/>
  <c r="BJ36"/>
  <c r="BN105"/>
  <c r="BJ89"/>
  <c r="BJ72"/>
  <c r="BH40"/>
  <c r="BJ40" s="1"/>
  <c r="BJ39"/>
  <c r="BJ38"/>
  <c r="BJ113"/>
  <c r="BH34"/>
  <c r="BJ34" s="1"/>
  <c r="BJ32"/>
  <c r="BJ27"/>
  <c r="BG100"/>
  <c r="BJ19"/>
  <c r="BJ17"/>
  <c r="BH33"/>
  <c r="BJ33" s="1"/>
  <c r="BJ15"/>
  <c r="BJ14"/>
  <c r="BH28"/>
  <c r="BK28"/>
  <c r="BI28"/>
  <c r="O28" s="1"/>
  <c r="BJ81"/>
  <c r="F100"/>
  <c r="W91" l="1"/>
  <c r="P38" i="2"/>
  <c r="AJ38" s="1"/>
  <c r="P69"/>
  <c r="AJ69" s="1"/>
  <c r="BN48" i="1"/>
  <c r="Z91"/>
  <c r="AA91" s="1"/>
  <c r="AB91" s="1"/>
  <c r="W31"/>
  <c r="Z31" s="1"/>
  <c r="AA31" s="1"/>
  <c r="AB31" s="1"/>
  <c r="P64" i="2"/>
  <c r="AJ64" s="1"/>
  <c r="BN93" i="1"/>
  <c r="BJ43"/>
  <c r="BH51"/>
  <c r="Z78"/>
  <c r="AA78" s="1"/>
  <c r="AB78" s="1"/>
  <c r="Z48"/>
  <c r="AA48" s="1"/>
  <c r="AB48" s="1"/>
  <c r="P33" i="2"/>
  <c r="AJ33" s="1"/>
  <c r="Z33" i="1"/>
  <c r="AA33" s="1"/>
  <c r="AB33" s="1"/>
  <c r="P82" i="2"/>
  <c r="AJ82" s="1"/>
  <c r="P58"/>
  <c r="AJ58" s="1"/>
  <c r="BN20" i="1"/>
  <c r="T82"/>
  <c r="U82" s="1"/>
  <c r="W55"/>
  <c r="Z55" s="1"/>
  <c r="AA55" s="1"/>
  <c r="AB55" s="1"/>
  <c r="P49" i="2"/>
  <c r="AJ49" s="1"/>
  <c r="P83"/>
  <c r="AJ83" s="1"/>
  <c r="AW100" i="1"/>
  <c r="P59" i="2"/>
  <c r="AJ59" s="1"/>
  <c r="W96" i="1"/>
  <c r="Z96" s="1"/>
  <c r="AA96" s="1"/>
  <c r="AB96" s="1"/>
  <c r="P63" i="2"/>
  <c r="AJ63" s="1"/>
  <c r="P36"/>
  <c r="AJ36" s="1"/>
  <c r="T39" i="1"/>
  <c r="U39" s="1"/>
  <c r="W89"/>
  <c r="Z89" s="1"/>
  <c r="AA89" s="1"/>
  <c r="AB89" s="1"/>
  <c r="P39" i="2"/>
  <c r="AJ39" s="1"/>
  <c r="BH94" i="1"/>
  <c r="Z45"/>
  <c r="AA45" s="1"/>
  <c r="AB45" s="1"/>
  <c r="P76" i="2"/>
  <c r="AJ76" s="1"/>
  <c r="P71"/>
  <c r="AJ71" s="1"/>
  <c r="P14"/>
  <c r="AJ14" s="1"/>
  <c r="P41"/>
  <c r="AJ41" s="1"/>
  <c r="P60"/>
  <c r="AJ60" s="1"/>
  <c r="P96"/>
  <c r="AJ96" s="1"/>
  <c r="P20"/>
  <c r="AJ20" s="1"/>
  <c r="P57"/>
  <c r="AJ57" s="1"/>
  <c r="P16"/>
  <c r="AJ16" s="1"/>
  <c r="P81"/>
  <c r="AJ81" s="1"/>
  <c r="P32"/>
  <c r="AJ32" s="1"/>
  <c r="Z27" i="1"/>
  <c r="AA27" s="1"/>
  <c r="AB27" s="1"/>
  <c r="P78" i="2"/>
  <c r="AJ78" s="1"/>
  <c r="P55"/>
  <c r="AJ55" s="1"/>
  <c r="P11"/>
  <c r="AJ11" s="1"/>
  <c r="P47"/>
  <c r="AJ47" s="1"/>
  <c r="P42"/>
  <c r="AJ42" s="1"/>
  <c r="P17"/>
  <c r="AJ17" s="1"/>
  <c r="BJ97" i="1"/>
  <c r="Z56"/>
  <c r="AA56" s="1"/>
  <c r="AB56" s="1"/>
  <c r="Z39"/>
  <c r="AA39" s="1"/>
  <c r="AB39" s="1"/>
  <c r="Z20"/>
  <c r="AA20" s="1"/>
  <c r="AB20" s="1"/>
  <c r="Z57"/>
  <c r="AA57" s="1"/>
  <c r="AB57" s="1"/>
  <c r="Z30"/>
  <c r="AA30" s="1"/>
  <c r="AB30" s="1"/>
  <c r="Z95"/>
  <c r="AA95" s="1"/>
  <c r="AB95" s="1"/>
  <c r="Z16"/>
  <c r="AA16" s="1"/>
  <c r="AB16" s="1"/>
  <c r="Z14"/>
  <c r="AA14" s="1"/>
  <c r="AB14" s="1"/>
  <c r="Z41"/>
  <c r="AA41" s="1"/>
  <c r="AB41" s="1"/>
  <c r="Z46"/>
  <c r="AA46" s="1"/>
  <c r="AB46" s="1"/>
  <c r="Z61"/>
  <c r="AA61" s="1"/>
  <c r="AB61" s="1"/>
  <c r="Z47"/>
  <c r="AA47" s="1"/>
  <c r="AB47" s="1"/>
  <c r="Z83"/>
  <c r="AA83" s="1"/>
  <c r="AB83" s="1"/>
  <c r="Z60"/>
  <c r="AA60" s="1"/>
  <c r="AB60" s="1"/>
  <c r="Z25"/>
  <c r="AA25" s="1"/>
  <c r="AB25" s="1"/>
  <c r="Z63"/>
  <c r="AA63" s="1"/>
  <c r="AB63" s="1"/>
  <c r="Z21"/>
  <c r="AA21" s="1"/>
  <c r="AB21" s="1"/>
  <c r="Z69"/>
  <c r="AA69" s="1"/>
  <c r="AB69" s="1"/>
  <c r="Z58"/>
  <c r="AA58" s="1"/>
  <c r="AB58" s="1"/>
  <c r="Z19"/>
  <c r="AA19" s="1"/>
  <c r="AB19" s="1"/>
  <c r="Z44"/>
  <c r="AA44" s="1"/>
  <c r="AB44" s="1"/>
  <c r="Z93"/>
  <c r="AA93" s="1"/>
  <c r="AB93" s="1"/>
  <c r="BN28"/>
  <c r="W28"/>
  <c r="BN10"/>
  <c r="W10"/>
  <c r="M43" i="2"/>
  <c r="O43" s="1"/>
  <c r="P43" s="1"/>
  <c r="AJ43" s="1"/>
  <c r="T43" i="1"/>
  <c r="U43" s="1"/>
  <c r="BH22"/>
  <c r="BI22"/>
  <c r="O22" s="1"/>
  <c r="BK22"/>
  <c r="BI37"/>
  <c r="O37" s="1"/>
  <c r="BK37"/>
  <c r="BH37"/>
  <c r="V28"/>
  <c r="C28" i="2"/>
  <c r="E28" s="1"/>
  <c r="C100" i="1"/>
  <c r="P91" i="2"/>
  <c r="AJ91" s="1"/>
  <c r="P95"/>
  <c r="AJ95" s="1"/>
  <c r="P61"/>
  <c r="AJ61" s="1"/>
  <c r="M28"/>
  <c r="O28" s="1"/>
  <c r="T28" i="1"/>
  <c r="U28" s="1"/>
  <c r="BN29"/>
  <c r="W29"/>
  <c r="Z29" s="1"/>
  <c r="AA29" s="1"/>
  <c r="AB29" s="1"/>
  <c r="BN53"/>
  <c r="W53"/>
  <c r="Z53" s="1"/>
  <c r="AA53" s="1"/>
  <c r="AB53" s="1"/>
  <c r="BJ70"/>
  <c r="O70"/>
  <c r="BN13"/>
  <c r="W13"/>
  <c r="Z13" s="1"/>
  <c r="AA13" s="1"/>
  <c r="AB13" s="1"/>
  <c r="BN70"/>
  <c r="W70"/>
  <c r="Z70" s="1"/>
  <c r="AA70" s="1"/>
  <c r="AB70" s="1"/>
  <c r="BN80"/>
  <c r="W80"/>
  <c r="Z80" s="1"/>
  <c r="AA80" s="1"/>
  <c r="AB80" s="1"/>
  <c r="M67" i="2"/>
  <c r="O67" s="1"/>
  <c r="P67" s="1"/>
  <c r="AJ67" s="1"/>
  <c r="T67" i="1"/>
  <c r="U67" s="1"/>
  <c r="G26" i="2"/>
  <c r="O26" s="1"/>
  <c r="P26" s="1"/>
  <c r="AJ26" s="1"/>
  <c r="Y26" i="1"/>
  <c r="Z26" s="1"/>
  <c r="AA26" s="1"/>
  <c r="AB26" s="1"/>
  <c r="G40" i="2"/>
  <c r="O40" s="1"/>
  <c r="P40" s="1"/>
  <c r="AJ40" s="1"/>
  <c r="Y40" i="1"/>
  <c r="Z40" s="1"/>
  <c r="AA40" s="1"/>
  <c r="AB40" s="1"/>
  <c r="T40"/>
  <c r="U40" s="1"/>
  <c r="F65" i="2"/>
  <c r="T65" i="1"/>
  <c r="U65" s="1"/>
  <c r="G77" i="2"/>
  <c r="O77" s="1"/>
  <c r="P77" s="1"/>
  <c r="AJ77" s="1"/>
  <c r="Y77" i="1"/>
  <c r="Z77" s="1"/>
  <c r="AA77" s="1"/>
  <c r="AB77" s="1"/>
  <c r="T77"/>
  <c r="U77" s="1"/>
  <c r="G68" i="2"/>
  <c r="O68" s="1"/>
  <c r="P68" s="1"/>
  <c r="AJ68" s="1"/>
  <c r="Y68" i="1"/>
  <c r="Z68" s="1"/>
  <c r="AA68" s="1"/>
  <c r="AB68" s="1"/>
  <c r="T68"/>
  <c r="U68" s="1"/>
  <c r="G24" i="2"/>
  <c r="Y24" i="1"/>
  <c r="Z24" s="1"/>
  <c r="AA24" s="1"/>
  <c r="AB24" s="1"/>
  <c r="G65" i="2"/>
  <c r="Y65" i="1"/>
  <c r="Z65" s="1"/>
  <c r="AA65" s="1"/>
  <c r="AB65" s="1"/>
  <c r="M97" i="2"/>
  <c r="O97" s="1"/>
  <c r="P97" s="1"/>
  <c r="AJ97" s="1"/>
  <c r="T97" i="1"/>
  <c r="U97" s="1"/>
  <c r="V22"/>
  <c r="C22" i="2"/>
  <c r="E22" s="1"/>
  <c r="L21"/>
  <c r="O21" s="1"/>
  <c r="P21" s="1"/>
  <c r="AJ21" s="1"/>
  <c r="T21" i="1"/>
  <c r="U21" s="1"/>
  <c r="V10"/>
  <c r="U10"/>
  <c r="V37"/>
  <c r="C37" i="2"/>
  <c r="E37" s="1"/>
  <c r="H100" i="1"/>
  <c r="Z23"/>
  <c r="AA23" s="1"/>
  <c r="AB23" s="1"/>
  <c r="Z59"/>
  <c r="AA59" s="1"/>
  <c r="AB59" s="1"/>
  <c r="P88" i="2"/>
  <c r="AJ88" s="1"/>
  <c r="Z17" i="1"/>
  <c r="AA17" s="1"/>
  <c r="AB17" s="1"/>
  <c r="O12" i="2"/>
  <c r="P12" s="1"/>
  <c r="AJ12" s="1"/>
  <c r="BN94" i="1"/>
  <c r="W94"/>
  <c r="BJ31"/>
  <c r="O31"/>
  <c r="G94" i="2"/>
  <c r="O94" s="1"/>
  <c r="P94" s="1"/>
  <c r="AJ94" s="1"/>
  <c r="Y94" i="1"/>
  <c r="T94"/>
  <c r="U94" s="1"/>
  <c r="L92" i="2"/>
  <c r="O92" s="1"/>
  <c r="P92" s="1"/>
  <c r="AJ92" s="1"/>
  <c r="T92" i="1"/>
  <c r="U92" s="1"/>
  <c r="M87" i="2"/>
  <c r="O87" s="1"/>
  <c r="P87" s="1"/>
  <c r="AJ87" s="1"/>
  <c r="T87" i="1"/>
  <c r="U87" s="1"/>
  <c r="E62"/>
  <c r="G62" s="1"/>
  <c r="Z92"/>
  <c r="AA92" s="1"/>
  <c r="AB92" s="1"/>
  <c r="Z11"/>
  <c r="AA11" s="1"/>
  <c r="AB11" s="1"/>
  <c r="Z81"/>
  <c r="AA81" s="1"/>
  <c r="AB81" s="1"/>
  <c r="P19" i="2"/>
  <c r="AJ19" s="1"/>
  <c r="P44"/>
  <c r="AJ44" s="1"/>
  <c r="P23"/>
  <c r="AJ23" s="1"/>
  <c r="Z42" i="1"/>
  <c r="AA42" s="1"/>
  <c r="AB42" s="1"/>
  <c r="P46" i="2"/>
  <c r="AJ46" s="1"/>
  <c r="P93"/>
  <c r="AJ93" s="1"/>
  <c r="M29"/>
  <c r="O29" s="1"/>
  <c r="P29" s="1"/>
  <c r="AJ29" s="1"/>
  <c r="T29" i="1"/>
  <c r="U29" s="1"/>
  <c r="BJ53"/>
  <c r="O53"/>
  <c r="BJ90"/>
  <c r="O90"/>
  <c r="BN90"/>
  <c r="W90"/>
  <c r="Z90" s="1"/>
  <c r="AA90" s="1"/>
  <c r="AB90" s="1"/>
  <c r="BN15"/>
  <c r="W15"/>
  <c r="Z15" s="1"/>
  <c r="AA15" s="1"/>
  <c r="AB15" s="1"/>
  <c r="BN86"/>
  <c r="W86"/>
  <c r="Z86" s="1"/>
  <c r="AA86" s="1"/>
  <c r="AB86" s="1"/>
  <c r="BN79"/>
  <c r="W79"/>
  <c r="Z79" s="1"/>
  <c r="AA79" s="1"/>
  <c r="AB79" s="1"/>
  <c r="G51" i="2"/>
  <c r="O51" s="1"/>
  <c r="P51" s="1"/>
  <c r="AJ51" s="1"/>
  <c r="Y51" i="1"/>
  <c r="Z51" s="1"/>
  <c r="AA51" s="1"/>
  <c r="AB51" s="1"/>
  <c r="T51"/>
  <c r="U51" s="1"/>
  <c r="G34" i="2"/>
  <c r="O34" s="1"/>
  <c r="P34" s="1"/>
  <c r="AJ34" s="1"/>
  <c r="Y34" i="1"/>
  <c r="Z34" s="1"/>
  <c r="AA34" s="1"/>
  <c r="AB34" s="1"/>
  <c r="T34"/>
  <c r="U34" s="1"/>
  <c r="H54" i="2"/>
  <c r="O54" s="1"/>
  <c r="P54" s="1"/>
  <c r="AJ54" s="1"/>
  <c r="T54" i="1"/>
  <c r="U54" s="1"/>
  <c r="G75" i="2"/>
  <c r="O75" s="1"/>
  <c r="P75" s="1"/>
  <c r="AJ75" s="1"/>
  <c r="Y75" i="1"/>
  <c r="Z75" s="1"/>
  <c r="AA75" s="1"/>
  <c r="AB75" s="1"/>
  <c r="T75"/>
  <c r="U75" s="1"/>
  <c r="G50" i="2"/>
  <c r="O50" s="1"/>
  <c r="P50" s="1"/>
  <c r="AJ50" s="1"/>
  <c r="Y50" i="1"/>
  <c r="Z50" s="1"/>
  <c r="AA50" s="1"/>
  <c r="AB50" s="1"/>
  <c r="T50"/>
  <c r="U50" s="1"/>
  <c r="G85" i="2"/>
  <c r="Y85" i="1"/>
  <c r="Z85" s="1"/>
  <c r="AA85" s="1"/>
  <c r="AB85" s="1"/>
  <c r="G18" i="2"/>
  <c r="O18" s="1"/>
  <c r="P18" s="1"/>
  <c r="AJ18" s="1"/>
  <c r="Y18" i="1"/>
  <c r="Z18" s="1"/>
  <c r="AA18" s="1"/>
  <c r="AB18" s="1"/>
  <c r="T18"/>
  <c r="U18" s="1"/>
  <c r="G84" i="2"/>
  <c r="O84" s="1"/>
  <c r="P84" s="1"/>
  <c r="AJ84" s="1"/>
  <c r="Y84" i="1"/>
  <c r="Z84" s="1"/>
  <c r="AA84" s="1"/>
  <c r="AB84" s="1"/>
  <c r="T84"/>
  <c r="U84" s="1"/>
  <c r="M25" i="2"/>
  <c r="O25" s="1"/>
  <c r="P25" s="1"/>
  <c r="AJ25" s="1"/>
  <c r="T25" i="1"/>
  <c r="U25" s="1"/>
  <c r="BH12"/>
  <c r="BJ12" s="1"/>
  <c r="BJ67"/>
  <c r="P56" i="2"/>
  <c r="AJ56" s="1"/>
  <c r="P30"/>
  <c r="AJ30" s="1"/>
  <c r="P48"/>
  <c r="AJ48" s="1"/>
  <c r="Z87" i="1"/>
  <c r="AA87" s="1"/>
  <c r="AB87" s="1"/>
  <c r="Z71"/>
  <c r="AA71" s="1"/>
  <c r="AB71" s="1"/>
  <c r="Z88"/>
  <c r="AA88" s="1"/>
  <c r="AB88" s="1"/>
  <c r="Z32"/>
  <c r="AA32" s="1"/>
  <c r="AB32" s="1"/>
  <c r="T12"/>
  <c r="U12" s="1"/>
  <c r="BJ73"/>
  <c r="O73"/>
  <c r="Z73"/>
  <c r="AA73" s="1"/>
  <c r="AB73" s="1"/>
  <c r="BJ62"/>
  <c r="O62"/>
  <c r="BN62"/>
  <c r="BH24"/>
  <c r="BJ24" s="1"/>
  <c r="J24"/>
  <c r="H24" i="2" s="1"/>
  <c r="BM52" i="1"/>
  <c r="BN52" s="1"/>
  <c r="I52"/>
  <c r="BH35"/>
  <c r="BJ35" s="1"/>
  <c r="J35"/>
  <c r="H35" i="2" s="1"/>
  <c r="BM35" i="1"/>
  <c r="BN35" s="1"/>
  <c r="I35"/>
  <c r="BM74"/>
  <c r="BN74" s="1"/>
  <c r="I74"/>
  <c r="BH85"/>
  <c r="BJ85" s="1"/>
  <c r="J85"/>
  <c r="H85" i="2" s="1"/>
  <c r="BM66" i="1"/>
  <c r="BN66" s="1"/>
  <c r="I66"/>
  <c r="BJ68"/>
  <c r="BA100"/>
  <c r="BH74"/>
  <c r="BJ74" s="1"/>
  <c r="BJ51"/>
  <c r="BH52"/>
  <c r="BJ52" s="1"/>
  <c r="BH66"/>
  <c r="BJ66" s="1"/>
  <c r="BJ94"/>
  <c r="BB100"/>
  <c r="BJ28"/>
  <c r="BJ29"/>
  <c r="BN12"/>
  <c r="BN106"/>
  <c r="BN107" s="1"/>
  <c r="X103"/>
  <c r="B4" i="4"/>
  <c r="P103" i="1"/>
  <c r="R113"/>
  <c r="R103"/>
  <c r="S103"/>
  <c r="N113"/>
  <c r="N103"/>
  <c r="M113"/>
  <c r="M103"/>
  <c r="L113"/>
  <c r="L103"/>
  <c r="H103"/>
  <c r="I103"/>
  <c r="J103"/>
  <c r="K103"/>
  <c r="G10" i="2"/>
  <c r="H10"/>
  <c r="E103" i="1"/>
  <c r="D5" i="13"/>
  <c r="D29" i="9"/>
  <c r="B2" i="12"/>
  <c r="D26" i="9"/>
  <c r="C23"/>
  <c r="D28" s="1"/>
  <c r="D30" s="1"/>
  <c r="C2"/>
  <c r="C98" i="12"/>
  <c r="C102" s="1"/>
  <c r="C93"/>
  <c r="C101" s="1"/>
  <c r="C89"/>
  <c r="C100" s="1"/>
  <c r="C103" s="1"/>
  <c r="C89" i="11"/>
  <c r="C103"/>
  <c r="C102"/>
  <c r="C101"/>
  <c r="C100"/>
  <c r="C98"/>
  <c r="C93"/>
  <c r="BI100" i="1" l="1"/>
  <c r="AD64"/>
  <c r="AE64" s="1"/>
  <c r="BJ22"/>
  <c r="Z28"/>
  <c r="AA28" s="1"/>
  <c r="AB28" s="1"/>
  <c r="BK100"/>
  <c r="P28" i="2"/>
  <c r="AJ28" s="1"/>
  <c r="T85" i="1"/>
  <c r="U85" s="1"/>
  <c r="T24"/>
  <c r="U24" s="1"/>
  <c r="V62"/>
  <c r="Z62" s="1"/>
  <c r="AA62" s="1"/>
  <c r="AB62" s="1"/>
  <c r="C62" i="2"/>
  <c r="E62" s="1"/>
  <c r="G100" i="1"/>
  <c r="G66" i="2"/>
  <c r="O66" s="1"/>
  <c r="P66" s="1"/>
  <c r="AJ66" s="1"/>
  <c r="Y66" i="1"/>
  <c r="Z66" s="1"/>
  <c r="AA66" s="1"/>
  <c r="AB66" s="1"/>
  <c r="T66"/>
  <c r="U66" s="1"/>
  <c r="G74" i="2"/>
  <c r="O74" s="1"/>
  <c r="P74" s="1"/>
  <c r="AJ74" s="1"/>
  <c r="Y74" i="1"/>
  <c r="Z74" s="1"/>
  <c r="AA74" s="1"/>
  <c r="AB74" s="1"/>
  <c r="T74"/>
  <c r="U74" s="1"/>
  <c r="M90" i="2"/>
  <c r="O90" s="1"/>
  <c r="P90" s="1"/>
  <c r="AJ90" s="1"/>
  <c r="T90" i="1"/>
  <c r="U90" s="1"/>
  <c r="M22" i="2"/>
  <c r="O22" s="1"/>
  <c r="P22" s="1"/>
  <c r="AJ22" s="1"/>
  <c r="T22" i="1"/>
  <c r="U22" s="1"/>
  <c r="BM100"/>
  <c r="Z94"/>
  <c r="AA94" s="1"/>
  <c r="AB94" s="1"/>
  <c r="O24" i="2"/>
  <c r="P24" s="1"/>
  <c r="AJ24" s="1"/>
  <c r="O65"/>
  <c r="P65" s="1"/>
  <c r="AJ65" s="1"/>
  <c r="BJ37" i="1"/>
  <c r="BN22"/>
  <c r="W22"/>
  <c r="M62" i="2"/>
  <c r="O62" s="1"/>
  <c r="T62" i="1"/>
  <c r="U62" s="1"/>
  <c r="G35" i="2"/>
  <c r="O35" s="1"/>
  <c r="P35" s="1"/>
  <c r="AJ35" s="1"/>
  <c r="Y35" i="1"/>
  <c r="Z35" s="1"/>
  <c r="AA35" s="1"/>
  <c r="AB35" s="1"/>
  <c r="T35"/>
  <c r="U35" s="1"/>
  <c r="M70" i="2"/>
  <c r="O70" s="1"/>
  <c r="P70" s="1"/>
  <c r="AJ70" s="1"/>
  <c r="T70" i="1"/>
  <c r="U70" s="1"/>
  <c r="M37" i="2"/>
  <c r="O37" s="1"/>
  <c r="P37" s="1"/>
  <c r="AJ37" s="1"/>
  <c r="T37" i="1"/>
  <c r="U37" s="1"/>
  <c r="G52" i="2"/>
  <c r="O52" s="1"/>
  <c r="P52" s="1"/>
  <c r="AJ52" s="1"/>
  <c r="Y52" i="1"/>
  <c r="Z52" s="1"/>
  <c r="AA52" s="1"/>
  <c r="AB52" s="1"/>
  <c r="T52"/>
  <c r="U52" s="1"/>
  <c r="M53" i="2"/>
  <c r="O53" s="1"/>
  <c r="P53" s="1"/>
  <c r="AJ53" s="1"/>
  <c r="T53" i="1"/>
  <c r="U53" s="1"/>
  <c r="M31" i="2"/>
  <c r="O31" s="1"/>
  <c r="P31" s="1"/>
  <c r="AJ31" s="1"/>
  <c r="T31" i="1"/>
  <c r="U31" s="1"/>
  <c r="BN37"/>
  <c r="W37"/>
  <c r="Z37" s="1"/>
  <c r="AA37" s="1"/>
  <c r="AB37" s="1"/>
  <c r="H100" i="2"/>
  <c r="O85"/>
  <c r="P85" s="1"/>
  <c r="AJ85" s="1"/>
  <c r="V100" i="1"/>
  <c r="M73" i="2"/>
  <c r="O73" s="1"/>
  <c r="P73" s="1"/>
  <c r="AJ73" s="1"/>
  <c r="T73" i="1"/>
  <c r="U73" s="1"/>
  <c r="X113"/>
  <c r="L100"/>
  <c r="K10" i="2"/>
  <c r="K100" s="1"/>
  <c r="M100" i="1"/>
  <c r="N10" i="2"/>
  <c r="N100" s="1"/>
  <c r="P100" i="1"/>
  <c r="E100"/>
  <c r="I10" i="2"/>
  <c r="I100" s="1"/>
  <c r="K100" i="1"/>
  <c r="L10" i="2"/>
  <c r="L100" s="1"/>
  <c r="C103" i="1"/>
  <c r="G103" s="1"/>
  <c r="V103" s="1"/>
  <c r="W113"/>
  <c r="Y113"/>
  <c r="F10" i="2"/>
  <c r="F100" s="1"/>
  <c r="Y103" i="1"/>
  <c r="J10" i="2"/>
  <c r="J100" s="1"/>
  <c r="G113" i="1"/>
  <c r="V113" s="1"/>
  <c r="O103"/>
  <c r="M10" i="2"/>
  <c r="O113" i="1"/>
  <c r="AA100" i="10"/>
  <c r="P100"/>
  <c r="P99"/>
  <c r="AA99" s="1"/>
  <c r="AK96"/>
  <c r="AJ96"/>
  <c r="AI96"/>
  <c r="AG96"/>
  <c r="AE96"/>
  <c r="Y96"/>
  <c r="X96"/>
  <c r="W96"/>
  <c r="V96"/>
  <c r="Q96"/>
  <c r="O96"/>
  <c r="N96"/>
  <c r="M96"/>
  <c r="AH94"/>
  <c r="AH93"/>
  <c r="AH96" s="1"/>
  <c r="AH92"/>
  <c r="K90"/>
  <c r="P90" s="1"/>
  <c r="P89"/>
  <c r="AD89" s="1"/>
  <c r="K89"/>
  <c r="K88"/>
  <c r="P88" s="1"/>
  <c r="P87"/>
  <c r="AD87" s="1"/>
  <c r="K87"/>
  <c r="K86"/>
  <c r="P86" s="1"/>
  <c r="P85"/>
  <c r="AD85" s="1"/>
  <c r="K85"/>
  <c r="K84"/>
  <c r="P84" s="1"/>
  <c r="P83"/>
  <c r="AD83" s="1"/>
  <c r="K83"/>
  <c r="Z82"/>
  <c r="P82"/>
  <c r="K82"/>
  <c r="K81"/>
  <c r="P81" s="1"/>
  <c r="P80"/>
  <c r="AD80" s="1"/>
  <c r="K80"/>
  <c r="K79"/>
  <c r="P79" s="1"/>
  <c r="Z78"/>
  <c r="K78"/>
  <c r="P78" s="1"/>
  <c r="P77"/>
  <c r="AD77" s="1"/>
  <c r="K77"/>
  <c r="K76"/>
  <c r="P76" s="1"/>
  <c r="P75"/>
  <c r="AD75" s="1"/>
  <c r="K75"/>
  <c r="L74"/>
  <c r="K74"/>
  <c r="P74" s="1"/>
  <c r="K73"/>
  <c r="P73" s="1"/>
  <c r="P72"/>
  <c r="AD72" s="1"/>
  <c r="K72"/>
  <c r="Z71"/>
  <c r="L71"/>
  <c r="K71"/>
  <c r="P71" s="1"/>
  <c r="P70"/>
  <c r="AD70" s="1"/>
  <c r="K70"/>
  <c r="K69"/>
  <c r="P69" s="1"/>
  <c r="P68"/>
  <c r="AD68" s="1"/>
  <c r="K68"/>
  <c r="K67"/>
  <c r="P67" s="1"/>
  <c r="P66"/>
  <c r="AD66" s="1"/>
  <c r="K66"/>
  <c r="K65"/>
  <c r="P65" s="1"/>
  <c r="P64"/>
  <c r="AD64" s="1"/>
  <c r="K64"/>
  <c r="K63"/>
  <c r="P63" s="1"/>
  <c r="P62"/>
  <c r="AD62" s="1"/>
  <c r="K62"/>
  <c r="K61"/>
  <c r="P61" s="1"/>
  <c r="P60"/>
  <c r="AD60" s="1"/>
  <c r="K60"/>
  <c r="K59"/>
  <c r="P59" s="1"/>
  <c r="P58"/>
  <c r="AD58" s="1"/>
  <c r="K58"/>
  <c r="K57"/>
  <c r="P57" s="1"/>
  <c r="P56"/>
  <c r="AD56" s="1"/>
  <c r="K56"/>
  <c r="K55"/>
  <c r="P55" s="1"/>
  <c r="P54"/>
  <c r="AD54" s="1"/>
  <c r="K54"/>
  <c r="P53"/>
  <c r="K53"/>
  <c r="L52"/>
  <c r="K52"/>
  <c r="P52" s="1"/>
  <c r="L51"/>
  <c r="K51"/>
  <c r="P51" s="1"/>
  <c r="P50"/>
  <c r="K50"/>
  <c r="K49"/>
  <c r="P49" s="1"/>
  <c r="P48"/>
  <c r="AD48" s="1"/>
  <c r="K48"/>
  <c r="K47"/>
  <c r="P47" s="1"/>
  <c r="P46"/>
  <c r="AD46" s="1"/>
  <c r="K46"/>
  <c r="K45"/>
  <c r="P45" s="1"/>
  <c r="L44"/>
  <c r="K44"/>
  <c r="P44" s="1"/>
  <c r="P43"/>
  <c r="AD43" s="1"/>
  <c r="K43"/>
  <c r="L42"/>
  <c r="K42"/>
  <c r="P42" s="1"/>
  <c r="K41"/>
  <c r="P41" s="1"/>
  <c r="L40"/>
  <c r="K40"/>
  <c r="P40" s="1"/>
  <c r="L39"/>
  <c r="K39"/>
  <c r="P39" s="1"/>
  <c r="P38"/>
  <c r="AD38" s="1"/>
  <c r="K38"/>
  <c r="K37"/>
  <c r="P37" s="1"/>
  <c r="L36"/>
  <c r="K36"/>
  <c r="P36" s="1"/>
  <c r="P35"/>
  <c r="AD35" s="1"/>
  <c r="K35"/>
  <c r="K34"/>
  <c r="P34" s="1"/>
  <c r="P33"/>
  <c r="AD33" s="1"/>
  <c r="K33"/>
  <c r="K32"/>
  <c r="P32" s="1"/>
  <c r="P31"/>
  <c r="AD31" s="1"/>
  <c r="K31"/>
  <c r="K30"/>
  <c r="P30" s="1"/>
  <c r="P29"/>
  <c r="AD29" s="1"/>
  <c r="K29"/>
  <c r="K28"/>
  <c r="P28" s="1"/>
  <c r="P27"/>
  <c r="AD27" s="1"/>
  <c r="K27"/>
  <c r="K26"/>
  <c r="P26" s="1"/>
  <c r="Z25"/>
  <c r="L25"/>
  <c r="K25"/>
  <c r="P25" s="1"/>
  <c r="Z24"/>
  <c r="P24"/>
  <c r="K24"/>
  <c r="K23"/>
  <c r="P23" s="1"/>
  <c r="P22"/>
  <c r="AD22" s="1"/>
  <c r="K22"/>
  <c r="K21"/>
  <c r="P21" s="1"/>
  <c r="K20"/>
  <c r="P20" s="1"/>
  <c r="L19"/>
  <c r="L96" s="1"/>
  <c r="K19"/>
  <c r="P19" s="1"/>
  <c r="P18"/>
  <c r="K18"/>
  <c r="AM17"/>
  <c r="K17"/>
  <c r="P17" s="1"/>
  <c r="P16"/>
  <c r="K16"/>
  <c r="K15"/>
  <c r="P15" s="1"/>
  <c r="P14"/>
  <c r="K14"/>
  <c r="K13"/>
  <c r="P13" s="1"/>
  <c r="P12"/>
  <c r="AD12" s="1"/>
  <c r="K12"/>
  <c r="K11"/>
  <c r="P11" s="1"/>
  <c r="K10"/>
  <c r="P10" s="1"/>
  <c r="P9"/>
  <c r="AD9" s="1"/>
  <c r="K9"/>
  <c r="K8"/>
  <c r="P8" s="1"/>
  <c r="P7"/>
  <c r="K7"/>
  <c r="BN100" i="1" l="1"/>
  <c r="BN101" s="1"/>
  <c r="BN102" s="1"/>
  <c r="BN109" s="1"/>
  <c r="M100" i="2"/>
  <c r="P62"/>
  <c r="AJ62" s="1"/>
  <c r="W100" i="1"/>
  <c r="Y100"/>
  <c r="G100" i="2"/>
  <c r="Z22" i="1"/>
  <c r="AA22" s="1"/>
  <c r="AB22" s="1"/>
  <c r="J100"/>
  <c r="W103"/>
  <c r="Z103" s="1"/>
  <c r="AA103" s="1"/>
  <c r="AB103" s="1"/>
  <c r="Z113"/>
  <c r="AA113" s="1"/>
  <c r="AB113" s="1"/>
  <c r="T103"/>
  <c r="U103" s="1"/>
  <c r="T113"/>
  <c r="U113" s="1"/>
  <c r="AD10" i="10"/>
  <c r="AF10" s="1"/>
  <c r="AA10"/>
  <c r="AC10" s="1"/>
  <c r="AF13"/>
  <c r="AD13"/>
  <c r="AB13"/>
  <c r="AA13"/>
  <c r="AD8"/>
  <c r="AB8"/>
  <c r="AF8"/>
  <c r="AA8"/>
  <c r="AC8" s="1"/>
  <c r="AF11"/>
  <c r="AD11"/>
  <c r="AB11"/>
  <c r="AA11"/>
  <c r="AF15"/>
  <c r="AD15"/>
  <c r="AB15"/>
  <c r="AA15"/>
  <c r="AA16"/>
  <c r="AC16" s="1"/>
  <c r="T16"/>
  <c r="AD16"/>
  <c r="AF16" s="1"/>
  <c r="AB16"/>
  <c r="AD17"/>
  <c r="AF17" s="1"/>
  <c r="AB17"/>
  <c r="Z17"/>
  <c r="AA17" s="1"/>
  <c r="AC17" s="1"/>
  <c r="AD20"/>
  <c r="AB20"/>
  <c r="AF20"/>
  <c r="AA20"/>
  <c r="AC20" s="1"/>
  <c r="S23"/>
  <c r="AD23"/>
  <c r="AF23" s="1"/>
  <c r="AB23"/>
  <c r="T23"/>
  <c r="AA23" s="1"/>
  <c r="AC23" s="1"/>
  <c r="AD25"/>
  <c r="AB25"/>
  <c r="AF25"/>
  <c r="AA25"/>
  <c r="AC25" s="1"/>
  <c r="AD36"/>
  <c r="AB36"/>
  <c r="AF36"/>
  <c r="AA36"/>
  <c r="AC36" s="1"/>
  <c r="AD44"/>
  <c r="AB44"/>
  <c r="AF44"/>
  <c r="AA44"/>
  <c r="AC44" s="1"/>
  <c r="AA49"/>
  <c r="AD49"/>
  <c r="AF49" s="1"/>
  <c r="AB49"/>
  <c r="T21"/>
  <c r="AD21"/>
  <c r="AF21" s="1"/>
  <c r="AB21"/>
  <c r="U21"/>
  <c r="AA21" s="1"/>
  <c r="AC21" s="1"/>
  <c r="AA26"/>
  <c r="AD26"/>
  <c r="AF26" s="1"/>
  <c r="AB26"/>
  <c r="AA30"/>
  <c r="AD30"/>
  <c r="AF30" s="1"/>
  <c r="AB30"/>
  <c r="AA34"/>
  <c r="AD34"/>
  <c r="AF34" s="1"/>
  <c r="AB34"/>
  <c r="AD39"/>
  <c r="AB39"/>
  <c r="AF39"/>
  <c r="AA39"/>
  <c r="AC39" s="1"/>
  <c r="AD40"/>
  <c r="AB40"/>
  <c r="AF40"/>
  <c r="AA40"/>
  <c r="AC40" s="1"/>
  <c r="AA41"/>
  <c r="AD41"/>
  <c r="AF41" s="1"/>
  <c r="AB41"/>
  <c r="AA47"/>
  <c r="AD47"/>
  <c r="AF47" s="1"/>
  <c r="AB47"/>
  <c r="AA51"/>
  <c r="AD51"/>
  <c r="AF51" s="1"/>
  <c r="AB51"/>
  <c r="AA52"/>
  <c r="AD52"/>
  <c r="AF52" s="1"/>
  <c r="AB52"/>
  <c r="AA55"/>
  <c r="AD55"/>
  <c r="AF55" s="1"/>
  <c r="AB55"/>
  <c r="T59"/>
  <c r="AD59"/>
  <c r="AF59" s="1"/>
  <c r="AB59"/>
  <c r="U59"/>
  <c r="AA59" s="1"/>
  <c r="AC59" s="1"/>
  <c r="AA63"/>
  <c r="AD63"/>
  <c r="AF63" s="1"/>
  <c r="AB63"/>
  <c r="AA67"/>
  <c r="AD67"/>
  <c r="AF67" s="1"/>
  <c r="AB67"/>
  <c r="AA71"/>
  <c r="AD71"/>
  <c r="AF71" s="1"/>
  <c r="AB71"/>
  <c r="AA74"/>
  <c r="AD74"/>
  <c r="AF74" s="1"/>
  <c r="AB74"/>
  <c r="T76"/>
  <c r="AD76"/>
  <c r="AF76" s="1"/>
  <c r="AB76"/>
  <c r="U76"/>
  <c r="AA76" s="1"/>
  <c r="AC76" s="1"/>
  <c r="AA81"/>
  <c r="AD81"/>
  <c r="AF81" s="1"/>
  <c r="AB81"/>
  <c r="T84"/>
  <c r="AD84"/>
  <c r="AF84" s="1"/>
  <c r="AB84"/>
  <c r="U84"/>
  <c r="AA84" s="1"/>
  <c r="AC84" s="1"/>
  <c r="AA88"/>
  <c r="AD88"/>
  <c r="AF88" s="1"/>
  <c r="AB88"/>
  <c r="AD99"/>
  <c r="AB99"/>
  <c r="AG99" s="1"/>
  <c r="AF99"/>
  <c r="AC99"/>
  <c r="AH99" s="1"/>
  <c r="P96"/>
  <c r="AB7"/>
  <c r="AD7"/>
  <c r="U9"/>
  <c r="AB9"/>
  <c r="AB12"/>
  <c r="AB14"/>
  <c r="AD14"/>
  <c r="AF14" s="1"/>
  <c r="K96"/>
  <c r="AA7"/>
  <c r="AF7"/>
  <c r="T9"/>
  <c r="AA9"/>
  <c r="AC9" s="1"/>
  <c r="AF9"/>
  <c r="AA12"/>
  <c r="AC12" s="1"/>
  <c r="AF12"/>
  <c r="AA14"/>
  <c r="AC14" s="1"/>
  <c r="U16"/>
  <c r="AF100"/>
  <c r="AA19"/>
  <c r="AD19"/>
  <c r="AF19" s="1"/>
  <c r="AB19"/>
  <c r="AA28"/>
  <c r="AD28"/>
  <c r="AF28" s="1"/>
  <c r="AB28"/>
  <c r="T32"/>
  <c r="AD32"/>
  <c r="AF32" s="1"/>
  <c r="AB32"/>
  <c r="U32"/>
  <c r="AA32" s="1"/>
  <c r="AC32" s="1"/>
  <c r="AA37"/>
  <c r="AD37"/>
  <c r="AF37" s="1"/>
  <c r="AB37"/>
  <c r="AA42"/>
  <c r="AC42" s="1"/>
  <c r="AD42"/>
  <c r="AF42" s="1"/>
  <c r="AB42"/>
  <c r="AA45"/>
  <c r="AD45"/>
  <c r="AF45" s="1"/>
  <c r="AB45"/>
  <c r="S57"/>
  <c r="AD57"/>
  <c r="AF57" s="1"/>
  <c r="AB57"/>
  <c r="T57"/>
  <c r="AA57" s="1"/>
  <c r="AC57" s="1"/>
  <c r="AA61"/>
  <c r="AC61" s="1"/>
  <c r="AD61"/>
  <c r="AF61" s="1"/>
  <c r="AB61"/>
  <c r="T65"/>
  <c r="AD65"/>
  <c r="AF65" s="1"/>
  <c r="AB65"/>
  <c r="U65"/>
  <c r="AA65" s="1"/>
  <c r="AC65" s="1"/>
  <c r="AA69"/>
  <c r="AD69"/>
  <c r="AF69" s="1"/>
  <c r="AB69"/>
  <c r="AA73"/>
  <c r="AD73"/>
  <c r="AF73" s="1"/>
  <c r="AB73"/>
  <c r="AD78"/>
  <c r="AB78"/>
  <c r="AF78"/>
  <c r="AA78"/>
  <c r="AC78" s="1"/>
  <c r="AA79"/>
  <c r="AD79"/>
  <c r="AF79" s="1"/>
  <c r="AB79"/>
  <c r="AA86"/>
  <c r="AD86"/>
  <c r="AF86" s="1"/>
  <c r="AB86"/>
  <c r="AA90"/>
  <c r="AD90"/>
  <c r="AF90" s="1"/>
  <c r="AB90"/>
  <c r="AB18"/>
  <c r="AD18"/>
  <c r="AF18" s="1"/>
  <c r="AA22"/>
  <c r="AF22"/>
  <c r="AB24"/>
  <c r="AD24"/>
  <c r="AF24" s="1"/>
  <c r="AA27"/>
  <c r="AF27"/>
  <c r="AA29"/>
  <c r="AF29"/>
  <c r="T31"/>
  <c r="AA31"/>
  <c r="AF31"/>
  <c r="AA33"/>
  <c r="AC33" s="1"/>
  <c r="AF33"/>
  <c r="AA35"/>
  <c r="AF35"/>
  <c r="AA38"/>
  <c r="AC38" s="1"/>
  <c r="AF38"/>
  <c r="AA43"/>
  <c r="AF43"/>
  <c r="T46"/>
  <c r="AA46" s="1"/>
  <c r="AC46" s="1"/>
  <c r="AF46"/>
  <c r="T48"/>
  <c r="AA48"/>
  <c r="AF48"/>
  <c r="U50"/>
  <c r="AA50" s="1"/>
  <c r="AC50" s="1"/>
  <c r="AB50"/>
  <c r="AD50"/>
  <c r="AF50" s="1"/>
  <c r="Z53"/>
  <c r="AB53"/>
  <c r="AD53"/>
  <c r="AF53" s="1"/>
  <c r="AA54"/>
  <c r="AC54" s="1"/>
  <c r="AF54"/>
  <c r="AA56"/>
  <c r="AF56"/>
  <c r="AA58"/>
  <c r="AC58" s="1"/>
  <c r="AF58"/>
  <c r="T60"/>
  <c r="AA60" s="1"/>
  <c r="AC60" s="1"/>
  <c r="AF60"/>
  <c r="AA62"/>
  <c r="AF62"/>
  <c r="AA64"/>
  <c r="AF64"/>
  <c r="T66"/>
  <c r="AF66"/>
  <c r="T68"/>
  <c r="AA68" s="1"/>
  <c r="AC68" s="1"/>
  <c r="AF68"/>
  <c r="AA70"/>
  <c r="AF70"/>
  <c r="AA72"/>
  <c r="AF72"/>
  <c r="T75"/>
  <c r="AF75"/>
  <c r="AA77"/>
  <c r="AF77"/>
  <c r="AA80"/>
  <c r="AC80" s="1"/>
  <c r="AF80"/>
  <c r="AB82"/>
  <c r="AD82"/>
  <c r="AF82" s="1"/>
  <c r="AA83"/>
  <c r="AC83" s="1"/>
  <c r="AF83"/>
  <c r="AA85"/>
  <c r="AF85"/>
  <c r="AA87"/>
  <c r="AC87" s="1"/>
  <c r="AF87"/>
  <c r="AA89"/>
  <c r="AF89"/>
  <c r="AB100"/>
  <c r="AG100" s="1"/>
  <c r="AD100"/>
  <c r="AA18"/>
  <c r="AC18" s="1"/>
  <c r="AB22"/>
  <c r="AA24"/>
  <c r="AC24" s="1"/>
  <c r="AB27"/>
  <c r="AB29"/>
  <c r="U31"/>
  <c r="AB31"/>
  <c r="AB33"/>
  <c r="AB35"/>
  <c r="AB38"/>
  <c r="AB43"/>
  <c r="U46"/>
  <c r="AB46"/>
  <c r="U48"/>
  <c r="AB48"/>
  <c r="AA53"/>
  <c r="AC53" s="1"/>
  <c r="AB54"/>
  <c r="AB56"/>
  <c r="AB58"/>
  <c r="U60"/>
  <c r="AB60"/>
  <c r="AB62"/>
  <c r="AB64"/>
  <c r="U66"/>
  <c r="AA66" s="1"/>
  <c r="AC66" s="1"/>
  <c r="AB66"/>
  <c r="U68"/>
  <c r="AB68"/>
  <c r="AB70"/>
  <c r="AB72"/>
  <c r="U75"/>
  <c r="AA75" s="1"/>
  <c r="AC75" s="1"/>
  <c r="AB75"/>
  <c r="AB77"/>
  <c r="AB80"/>
  <c r="AA82"/>
  <c r="AC82" s="1"/>
  <c r="AB83"/>
  <c r="AB85"/>
  <c r="AB87"/>
  <c r="AB89"/>
  <c r="AC100"/>
  <c r="U52" i="2" l="1"/>
  <c r="U17"/>
  <c r="U50"/>
  <c r="U28"/>
  <c r="I100" i="1"/>
  <c r="BO101"/>
  <c r="BP101" s="1"/>
  <c r="N100"/>
  <c r="U59" i="2"/>
  <c r="U60"/>
  <c r="U39"/>
  <c r="U31"/>
  <c r="U13"/>
  <c r="U57"/>
  <c r="U14"/>
  <c r="U15"/>
  <c r="U11"/>
  <c r="U53"/>
  <c r="U45"/>
  <c r="U35"/>
  <c r="U27"/>
  <c r="U43"/>
  <c r="U58"/>
  <c r="U38"/>
  <c r="U29"/>
  <c r="U23"/>
  <c r="U41"/>
  <c r="U25"/>
  <c r="U42"/>
  <c r="U44"/>
  <c r="U24"/>
  <c r="U16"/>
  <c r="U54"/>
  <c r="U26"/>
  <c r="U56"/>
  <c r="U30"/>
  <c r="U33"/>
  <c r="U83"/>
  <c r="U46"/>
  <c r="U68"/>
  <c r="U18"/>
  <c r="O100" i="1"/>
  <c r="U79" i="2"/>
  <c r="U61"/>
  <c r="U89"/>
  <c r="U72"/>
  <c r="U84"/>
  <c r="U64"/>
  <c r="U69"/>
  <c r="U75"/>
  <c r="U80"/>
  <c r="U73"/>
  <c r="U76"/>
  <c r="U85"/>
  <c r="U71"/>
  <c r="U88"/>
  <c r="U91"/>
  <c r="U65"/>
  <c r="U86"/>
  <c r="U63"/>
  <c r="U70"/>
  <c r="U74"/>
  <c r="U81"/>
  <c r="U78"/>
  <c r="U90"/>
  <c r="U66"/>
  <c r="U92"/>
  <c r="U82"/>
  <c r="U67"/>
  <c r="AA96" i="10"/>
  <c r="AC7"/>
  <c r="AF101"/>
  <c r="AC89"/>
  <c r="AC48"/>
  <c r="AC43"/>
  <c r="AC35"/>
  <c r="AC31"/>
  <c r="AC90"/>
  <c r="AC79"/>
  <c r="AC73"/>
  <c r="AC69"/>
  <c r="AC37"/>
  <c r="AF96"/>
  <c r="AH100"/>
  <c r="AI100"/>
  <c r="AC72"/>
  <c r="AC70"/>
  <c r="AC64"/>
  <c r="AC62"/>
  <c r="AC29"/>
  <c r="AC27"/>
  <c r="AC22"/>
  <c r="T96"/>
  <c r="AD96"/>
  <c r="AI99"/>
  <c r="AK99" s="1"/>
  <c r="S96"/>
  <c r="AC15"/>
  <c r="AC11"/>
  <c r="AC13"/>
  <c r="AC85"/>
  <c r="AC77"/>
  <c r="AC56"/>
  <c r="AC86"/>
  <c r="AC45"/>
  <c r="AC28"/>
  <c r="AC19"/>
  <c r="U96"/>
  <c r="AB96"/>
  <c r="AJ99"/>
  <c r="AC88"/>
  <c r="AC81"/>
  <c r="AC74"/>
  <c r="AC71"/>
  <c r="AC67"/>
  <c r="AC63"/>
  <c r="AC55"/>
  <c r="AC52"/>
  <c r="AC51"/>
  <c r="AC47"/>
  <c r="AC41"/>
  <c r="AC34"/>
  <c r="AC30"/>
  <c r="AC26"/>
  <c r="AC49"/>
  <c r="Z96"/>
  <c r="U77" i="2" l="1"/>
  <c r="U48"/>
  <c r="U32"/>
  <c r="U34"/>
  <c r="U55"/>
  <c r="U21"/>
  <c r="U20"/>
  <c r="U40"/>
  <c r="U47"/>
  <c r="U22"/>
  <c r="U49"/>
  <c r="U36"/>
  <c r="U62"/>
  <c r="U12"/>
  <c r="U51"/>
  <c r="U19"/>
  <c r="AF103" i="10"/>
  <c r="AF102"/>
  <c r="AJ100"/>
  <c r="AK100" s="1"/>
  <c r="AF97"/>
  <c r="AF98"/>
  <c r="AF105" s="1"/>
  <c r="AC96"/>
  <c r="O10" i="2"/>
  <c r="O100" s="1"/>
  <c r="U87" l="1"/>
  <c r="U37"/>
  <c r="M4" i="8" l="1"/>
  <c r="M5"/>
  <c r="M6"/>
  <c r="M7"/>
  <c r="M8"/>
  <c r="M9"/>
  <c r="M10"/>
  <c r="M11"/>
  <c r="M12"/>
  <c r="M13"/>
  <c r="M14"/>
  <c r="M15"/>
  <c r="M3"/>
  <c r="M2"/>
  <c r="M1"/>
  <c r="E111" i="4" l="1"/>
  <c r="E112"/>
  <c r="E113"/>
  <c r="E114"/>
  <c r="E115"/>
  <c r="K115"/>
  <c r="K111"/>
  <c r="K112"/>
  <c r="K113"/>
  <c r="K114"/>
  <c r="E10"/>
  <c r="X10" i="1" l="1"/>
  <c r="L111" i="4"/>
  <c r="L115"/>
  <c r="L114"/>
  <c r="L113"/>
  <c r="L112"/>
  <c r="Z10" i="1" l="1"/>
  <c r="Z100" s="1"/>
  <c r="X100"/>
  <c r="Z100" i="7"/>
  <c r="P100"/>
  <c r="P99"/>
  <c r="Z99" s="1"/>
  <c r="AI96"/>
  <c r="AH96"/>
  <c r="AF96"/>
  <c r="X96"/>
  <c r="W96"/>
  <c r="V96"/>
  <c r="U96"/>
  <c r="R96"/>
  <c r="Q96"/>
  <c r="O96"/>
  <c r="N96"/>
  <c r="M96"/>
  <c r="AG94"/>
  <c r="AG93"/>
  <c r="AG92"/>
  <c r="AG91"/>
  <c r="AD90"/>
  <c r="K90"/>
  <c r="P90" s="1"/>
  <c r="AD89"/>
  <c r="K89"/>
  <c r="P89" s="1"/>
  <c r="AD88"/>
  <c r="K88"/>
  <c r="P88" s="1"/>
  <c r="AD87"/>
  <c r="L87"/>
  <c r="K87"/>
  <c r="P87" s="1"/>
  <c r="AD86"/>
  <c r="P86"/>
  <c r="K86"/>
  <c r="AD85"/>
  <c r="P85"/>
  <c r="K85"/>
  <c r="AD84"/>
  <c r="P84"/>
  <c r="K84"/>
  <c r="AD83"/>
  <c r="P83"/>
  <c r="K83"/>
  <c r="AD82"/>
  <c r="P82"/>
  <c r="K82"/>
  <c r="AD81"/>
  <c r="P81"/>
  <c r="K81"/>
  <c r="AD80"/>
  <c r="P80"/>
  <c r="K80"/>
  <c r="AD79"/>
  <c r="P79"/>
  <c r="K79"/>
  <c r="AD78"/>
  <c r="P78"/>
  <c r="K78"/>
  <c r="AD77"/>
  <c r="P77"/>
  <c r="K77"/>
  <c r="AD76"/>
  <c r="P76"/>
  <c r="K76"/>
  <c r="AD75"/>
  <c r="L75"/>
  <c r="K75"/>
  <c r="P75" s="1"/>
  <c r="AD74"/>
  <c r="K74"/>
  <c r="P74" s="1"/>
  <c r="AD73"/>
  <c r="K73"/>
  <c r="P73" s="1"/>
  <c r="AD72"/>
  <c r="K72"/>
  <c r="P72" s="1"/>
  <c r="AD71"/>
  <c r="K71"/>
  <c r="P71" s="1"/>
  <c r="AD70"/>
  <c r="K70"/>
  <c r="P70" s="1"/>
  <c r="AD69"/>
  <c r="K69"/>
  <c r="P69" s="1"/>
  <c r="AD68"/>
  <c r="K68"/>
  <c r="P68" s="1"/>
  <c r="AD67"/>
  <c r="K67"/>
  <c r="P67" s="1"/>
  <c r="AD66"/>
  <c r="K66"/>
  <c r="P66" s="1"/>
  <c r="AD65"/>
  <c r="K65"/>
  <c r="P65" s="1"/>
  <c r="AD64"/>
  <c r="K64"/>
  <c r="P64" s="1"/>
  <c r="AD63"/>
  <c r="K63"/>
  <c r="P63" s="1"/>
  <c r="AD62"/>
  <c r="K62"/>
  <c r="P62" s="1"/>
  <c r="AD61"/>
  <c r="K61"/>
  <c r="P61" s="1"/>
  <c r="AD60"/>
  <c r="K60"/>
  <c r="P60" s="1"/>
  <c r="AD59"/>
  <c r="K59"/>
  <c r="P59" s="1"/>
  <c r="AD58"/>
  <c r="K58"/>
  <c r="P58" s="1"/>
  <c r="AD57"/>
  <c r="K57"/>
  <c r="P57" s="1"/>
  <c r="AD56"/>
  <c r="K56"/>
  <c r="P56" s="1"/>
  <c r="AD55"/>
  <c r="K55"/>
  <c r="P55" s="1"/>
  <c r="AD54"/>
  <c r="K54"/>
  <c r="P54" s="1"/>
  <c r="AD53"/>
  <c r="L53"/>
  <c r="K53"/>
  <c r="P53" s="1"/>
  <c r="AD52"/>
  <c r="P52"/>
  <c r="K52"/>
  <c r="AD51"/>
  <c r="P51"/>
  <c r="K51"/>
  <c r="AD50"/>
  <c r="P50"/>
  <c r="K50"/>
  <c r="AD49"/>
  <c r="K49"/>
  <c r="P49" s="1"/>
  <c r="AD48"/>
  <c r="K48"/>
  <c r="P48" s="1"/>
  <c r="AD47"/>
  <c r="L47"/>
  <c r="K47"/>
  <c r="P47" s="1"/>
  <c r="AD46"/>
  <c r="P46"/>
  <c r="K46"/>
  <c r="AD45"/>
  <c r="P45"/>
  <c r="K45"/>
  <c r="AD44"/>
  <c r="P44"/>
  <c r="K44"/>
  <c r="AD43"/>
  <c r="P43"/>
  <c r="K43"/>
  <c r="AD42"/>
  <c r="P42"/>
  <c r="K42"/>
  <c r="AD41"/>
  <c r="P41"/>
  <c r="K41"/>
  <c r="AD40"/>
  <c r="P40"/>
  <c r="K40"/>
  <c r="AD39"/>
  <c r="P39"/>
  <c r="K39"/>
  <c r="AD38"/>
  <c r="P38"/>
  <c r="K38"/>
  <c r="AD37"/>
  <c r="P37"/>
  <c r="K37"/>
  <c r="AD36"/>
  <c r="P36"/>
  <c r="K36"/>
  <c r="AD35"/>
  <c r="P35"/>
  <c r="K35"/>
  <c r="AD34"/>
  <c r="P34"/>
  <c r="K34"/>
  <c r="AD33"/>
  <c r="P33"/>
  <c r="K33"/>
  <c r="AD32"/>
  <c r="P32"/>
  <c r="K32"/>
  <c r="AD31"/>
  <c r="P31"/>
  <c r="K31"/>
  <c r="AD30"/>
  <c r="P30"/>
  <c r="K30"/>
  <c r="AD29"/>
  <c r="P29"/>
  <c r="K29"/>
  <c r="AD28"/>
  <c r="P28"/>
  <c r="K28"/>
  <c r="AD27"/>
  <c r="P27"/>
  <c r="K27"/>
  <c r="AD26"/>
  <c r="P26"/>
  <c r="K26"/>
  <c r="AD25"/>
  <c r="P25"/>
  <c r="K25"/>
  <c r="AD24"/>
  <c r="Y24"/>
  <c r="L24"/>
  <c r="K24"/>
  <c r="P24" s="1"/>
  <c r="AD23"/>
  <c r="P23"/>
  <c r="K23"/>
  <c r="AD22"/>
  <c r="P22"/>
  <c r="K22"/>
  <c r="AD21"/>
  <c r="P21"/>
  <c r="K21"/>
  <c r="AD20"/>
  <c r="P20"/>
  <c r="K20"/>
  <c r="AD19"/>
  <c r="P19"/>
  <c r="K19"/>
  <c r="AD18"/>
  <c r="P18"/>
  <c r="K18"/>
  <c r="AD17"/>
  <c r="P17"/>
  <c r="K17"/>
  <c r="AD16"/>
  <c r="Y16"/>
  <c r="Y96" s="1"/>
  <c r="L16"/>
  <c r="K16"/>
  <c r="P16" s="1"/>
  <c r="AD15"/>
  <c r="P15"/>
  <c r="K15"/>
  <c r="AD14"/>
  <c r="P14"/>
  <c r="AC14" s="1"/>
  <c r="L14"/>
  <c r="K14"/>
  <c r="AD13"/>
  <c r="K13"/>
  <c r="P13" s="1"/>
  <c r="AD12"/>
  <c r="K12"/>
  <c r="P12" s="1"/>
  <c r="AD11"/>
  <c r="K11"/>
  <c r="P11" s="1"/>
  <c r="AD10"/>
  <c r="P10"/>
  <c r="K10"/>
  <c r="AD9"/>
  <c r="P9"/>
  <c r="T9" s="1"/>
  <c r="K9"/>
  <c r="AD8"/>
  <c r="P8"/>
  <c r="Z8" s="1"/>
  <c r="K8"/>
  <c r="AD7"/>
  <c r="P7"/>
  <c r="K7"/>
  <c r="AA10" i="1" l="1"/>
  <c r="AA100" s="1"/>
  <c r="AA16" i="7"/>
  <c r="Z16"/>
  <c r="AC16"/>
  <c r="AE16" s="1"/>
  <c r="AC11"/>
  <c r="AE11" s="1"/>
  <c r="AA11"/>
  <c r="Z11"/>
  <c r="AB11" s="1"/>
  <c r="AG11" s="1"/>
  <c r="AJ11" s="1"/>
  <c r="Z12"/>
  <c r="AE12"/>
  <c r="AC12"/>
  <c r="AA12"/>
  <c r="AA13"/>
  <c r="AE13"/>
  <c r="AC13"/>
  <c r="AE24"/>
  <c r="AC24"/>
  <c r="AA24"/>
  <c r="Z24"/>
  <c r="S47"/>
  <c r="Z47" s="1"/>
  <c r="AB47" s="1"/>
  <c r="AG47" s="1"/>
  <c r="AJ47" s="1"/>
  <c r="AC47"/>
  <c r="AE47" s="1"/>
  <c r="AA47"/>
  <c r="T47"/>
  <c r="Z53"/>
  <c r="AE53"/>
  <c r="AC53"/>
  <c r="AA53"/>
  <c r="Z88"/>
  <c r="AE88"/>
  <c r="AC88"/>
  <c r="AA88"/>
  <c r="Z89"/>
  <c r="AE89"/>
  <c r="AC89"/>
  <c r="AA89"/>
  <c r="Z90"/>
  <c r="AE90"/>
  <c r="AC90"/>
  <c r="AA90"/>
  <c r="AC99"/>
  <c r="AA99"/>
  <c r="AF99" s="1"/>
  <c r="AE99"/>
  <c r="AB99"/>
  <c r="AG99" s="1"/>
  <c r="P96"/>
  <c r="AC7"/>
  <c r="AE7" s="1"/>
  <c r="AA8"/>
  <c r="AB8" s="1"/>
  <c r="AG8" s="1"/>
  <c r="AJ8" s="1"/>
  <c r="AC8"/>
  <c r="AE8"/>
  <c r="AA9"/>
  <c r="AC9"/>
  <c r="AE9" s="1"/>
  <c r="AA14"/>
  <c r="AE14"/>
  <c r="AC17"/>
  <c r="AE17" s="1"/>
  <c r="K96"/>
  <c r="Z7"/>
  <c r="AD96"/>
  <c r="S9"/>
  <c r="Z9" s="1"/>
  <c r="AB9" s="1"/>
  <c r="AG9" s="1"/>
  <c r="AJ9" s="1"/>
  <c r="Z10"/>
  <c r="AB10" s="1"/>
  <c r="AC10"/>
  <c r="AE10" s="1"/>
  <c r="L96"/>
  <c r="Z14"/>
  <c r="S15"/>
  <c r="Z15" s="1"/>
  <c r="AB15" s="1"/>
  <c r="AG15" s="1"/>
  <c r="AJ15" s="1"/>
  <c r="Z17"/>
  <c r="Z18"/>
  <c r="Z19"/>
  <c r="AB19" s="1"/>
  <c r="AG19" s="1"/>
  <c r="AJ19" s="1"/>
  <c r="S20"/>
  <c r="Z20"/>
  <c r="Z21"/>
  <c r="Z22"/>
  <c r="Z23"/>
  <c r="Z25"/>
  <c r="Z26"/>
  <c r="Z27"/>
  <c r="Z28"/>
  <c r="Z29"/>
  <c r="S30"/>
  <c r="Z31"/>
  <c r="S32"/>
  <c r="Z32" s="1"/>
  <c r="AB32" s="1"/>
  <c r="AG32" s="1"/>
  <c r="AJ32" s="1"/>
  <c r="AC33"/>
  <c r="AE33" s="1"/>
  <c r="AA33"/>
  <c r="Z33"/>
  <c r="AB33" s="1"/>
  <c r="AG33" s="1"/>
  <c r="AJ33" s="1"/>
  <c r="Z48"/>
  <c r="AE48"/>
  <c r="AC48"/>
  <c r="AA48"/>
  <c r="AC49"/>
  <c r="AE49" s="1"/>
  <c r="AA49"/>
  <c r="T49"/>
  <c r="Z49" s="1"/>
  <c r="AB49" s="1"/>
  <c r="Z54"/>
  <c r="AB54" s="1"/>
  <c r="AG54" s="1"/>
  <c r="AJ54" s="1"/>
  <c r="AC54"/>
  <c r="AE54" s="1"/>
  <c r="AA54"/>
  <c r="Z55"/>
  <c r="AB55" s="1"/>
  <c r="AG55" s="1"/>
  <c r="AJ55" s="1"/>
  <c r="AC55"/>
  <c r="AE55" s="1"/>
  <c r="AA55"/>
  <c r="Z56"/>
  <c r="AB56" s="1"/>
  <c r="AG56" s="1"/>
  <c r="AJ56" s="1"/>
  <c r="AC56"/>
  <c r="AE56" s="1"/>
  <c r="AA56"/>
  <c r="Z57"/>
  <c r="S57"/>
  <c r="AE57"/>
  <c r="AC57"/>
  <c r="AA57"/>
  <c r="T57"/>
  <c r="Z58"/>
  <c r="S58"/>
  <c r="AE58"/>
  <c r="AC58"/>
  <c r="AA58"/>
  <c r="T58"/>
  <c r="Z59"/>
  <c r="AB59" s="1"/>
  <c r="AG59" s="1"/>
  <c r="AJ59" s="1"/>
  <c r="AC59"/>
  <c r="AE59" s="1"/>
  <c r="AA59"/>
  <c r="Z60"/>
  <c r="AB60" s="1"/>
  <c r="AG60" s="1"/>
  <c r="AJ60" s="1"/>
  <c r="AC60"/>
  <c r="AE60" s="1"/>
  <c r="AA60"/>
  <c r="Z61"/>
  <c r="AB61" s="1"/>
  <c r="AG61" s="1"/>
  <c r="AJ61" s="1"/>
  <c r="AC61"/>
  <c r="AE61" s="1"/>
  <c r="AA61"/>
  <c r="Z62"/>
  <c r="AB62" s="1"/>
  <c r="AG62" s="1"/>
  <c r="AJ62" s="1"/>
  <c r="AC62"/>
  <c r="AE62" s="1"/>
  <c r="AA62"/>
  <c r="Z63"/>
  <c r="S63"/>
  <c r="AE63"/>
  <c r="AC63"/>
  <c r="AA63"/>
  <c r="T63"/>
  <c r="Z64"/>
  <c r="S64"/>
  <c r="AE64"/>
  <c r="AC64"/>
  <c r="AA64"/>
  <c r="T64"/>
  <c r="Z65"/>
  <c r="AB65" s="1"/>
  <c r="AG65" s="1"/>
  <c r="AJ65" s="1"/>
  <c r="AC65"/>
  <c r="AE65" s="1"/>
  <c r="AA65"/>
  <c r="Z66"/>
  <c r="S66"/>
  <c r="AE66"/>
  <c r="AC66"/>
  <c r="AA66"/>
  <c r="T66"/>
  <c r="Z67"/>
  <c r="AB67" s="1"/>
  <c r="AG67" s="1"/>
  <c r="AJ67" s="1"/>
  <c r="AC67"/>
  <c r="AE67" s="1"/>
  <c r="AA67"/>
  <c r="Z68"/>
  <c r="AB68" s="1"/>
  <c r="AC68"/>
  <c r="AE68" s="1"/>
  <c r="AA68"/>
  <c r="Z69"/>
  <c r="AB69" s="1"/>
  <c r="AG69" s="1"/>
  <c r="AJ69" s="1"/>
  <c r="AC69"/>
  <c r="AE69" s="1"/>
  <c r="AA69"/>
  <c r="Z70"/>
  <c r="AB70" s="1"/>
  <c r="AG70" s="1"/>
  <c r="AJ70" s="1"/>
  <c r="AC70"/>
  <c r="AE70" s="1"/>
  <c r="AA70"/>
  <c r="Z71"/>
  <c r="AB71" s="1"/>
  <c r="AG71" s="1"/>
  <c r="AJ71" s="1"/>
  <c r="AC71"/>
  <c r="AE71" s="1"/>
  <c r="AA71"/>
  <c r="Z72"/>
  <c r="AB72" s="1"/>
  <c r="AG72" s="1"/>
  <c r="AJ72" s="1"/>
  <c r="AC72"/>
  <c r="AE72" s="1"/>
  <c r="AA72"/>
  <c r="Z73"/>
  <c r="AB73" s="1"/>
  <c r="AG73" s="1"/>
  <c r="AJ73" s="1"/>
  <c r="AC73"/>
  <c r="AE73" s="1"/>
  <c r="AA73"/>
  <c r="Z74"/>
  <c r="S74"/>
  <c r="AE74"/>
  <c r="AC74"/>
  <c r="AA74"/>
  <c r="T74"/>
  <c r="AE75"/>
  <c r="AC75"/>
  <c r="AA75"/>
  <c r="T75"/>
  <c r="Z75"/>
  <c r="AB75" s="1"/>
  <c r="AG75" s="1"/>
  <c r="AJ75" s="1"/>
  <c r="S75"/>
  <c r="Z87"/>
  <c r="AB87" s="1"/>
  <c r="AG87" s="1"/>
  <c r="AJ87" s="1"/>
  <c r="AC87"/>
  <c r="AE87" s="1"/>
  <c r="AA87"/>
  <c r="AA7"/>
  <c r="T15"/>
  <c r="T96" s="1"/>
  <c r="AA15"/>
  <c r="AC15"/>
  <c r="AE15" s="1"/>
  <c r="AA17"/>
  <c r="AA18"/>
  <c r="AC18"/>
  <c r="AE18" s="1"/>
  <c r="AA19"/>
  <c r="AC19"/>
  <c r="AE19" s="1"/>
  <c r="T20"/>
  <c r="AA20"/>
  <c r="AC20"/>
  <c r="AE20" s="1"/>
  <c r="AA21"/>
  <c r="AC21"/>
  <c r="AE21" s="1"/>
  <c r="AA22"/>
  <c r="AC22"/>
  <c r="AE22" s="1"/>
  <c r="AA23"/>
  <c r="AC23"/>
  <c r="AE23" s="1"/>
  <c r="AA25"/>
  <c r="AC25"/>
  <c r="AE25" s="1"/>
  <c r="AA26"/>
  <c r="AC26"/>
  <c r="AE26" s="1"/>
  <c r="AA27"/>
  <c r="AC27"/>
  <c r="AE27" s="1"/>
  <c r="AA28"/>
  <c r="AC28"/>
  <c r="AE28" s="1"/>
  <c r="AA29"/>
  <c r="AC29"/>
  <c r="AE29" s="1"/>
  <c r="T30"/>
  <c r="Z30" s="1"/>
  <c r="AB30" s="1"/>
  <c r="AG30" s="1"/>
  <c r="AJ30" s="1"/>
  <c r="AA30"/>
  <c r="AC30"/>
  <c r="AE30" s="1"/>
  <c r="AA31"/>
  <c r="AC31"/>
  <c r="AE31" s="1"/>
  <c r="T32"/>
  <c r="AA32"/>
  <c r="AC32"/>
  <c r="AE32" s="1"/>
  <c r="AE35"/>
  <c r="AE39"/>
  <c r="AE43"/>
  <c r="AE86"/>
  <c r="Z34"/>
  <c r="Z35"/>
  <c r="Z36"/>
  <c r="Z37"/>
  <c r="Z38"/>
  <c r="Z39"/>
  <c r="Z40"/>
  <c r="Z41"/>
  <c r="Z42"/>
  <c r="Z43"/>
  <c r="Z44"/>
  <c r="Z45"/>
  <c r="S46"/>
  <c r="Z50"/>
  <c r="Z51"/>
  <c r="AB51" s="1"/>
  <c r="AG51" s="1"/>
  <c r="AJ51" s="1"/>
  <c r="Z52"/>
  <c r="Z76"/>
  <c r="AB76" s="1"/>
  <c r="AG76" s="1"/>
  <c r="AJ76" s="1"/>
  <c r="Z77"/>
  <c r="Z78"/>
  <c r="AB78" s="1"/>
  <c r="Z79"/>
  <c r="Z80"/>
  <c r="AB80" s="1"/>
  <c r="AG80" s="1"/>
  <c r="AJ80" s="1"/>
  <c r="Z81"/>
  <c r="Z82"/>
  <c r="AB82" s="1"/>
  <c r="AG82" s="1"/>
  <c r="AJ82" s="1"/>
  <c r="S83"/>
  <c r="Z83"/>
  <c r="Z84"/>
  <c r="Z85"/>
  <c r="Z86"/>
  <c r="AA100"/>
  <c r="AC100"/>
  <c r="AA34"/>
  <c r="AC34"/>
  <c r="AE34" s="1"/>
  <c r="AA35"/>
  <c r="AC35"/>
  <c r="AA36"/>
  <c r="AC36"/>
  <c r="AE36" s="1"/>
  <c r="AA37"/>
  <c r="AC37"/>
  <c r="AE37" s="1"/>
  <c r="AA38"/>
  <c r="AC38"/>
  <c r="AE38" s="1"/>
  <c r="AA39"/>
  <c r="AC39"/>
  <c r="AA40"/>
  <c r="AC40"/>
  <c r="AE40" s="1"/>
  <c r="AA41"/>
  <c r="AC41"/>
  <c r="AE41" s="1"/>
  <c r="AA42"/>
  <c r="AC42"/>
  <c r="AE42" s="1"/>
  <c r="AA43"/>
  <c r="AC43"/>
  <c r="AA44"/>
  <c r="AC44"/>
  <c r="AE44" s="1"/>
  <c r="AA45"/>
  <c r="AC45"/>
  <c r="AE45" s="1"/>
  <c r="T46"/>
  <c r="Z46" s="1"/>
  <c r="AB46" s="1"/>
  <c r="AG46" s="1"/>
  <c r="AJ46" s="1"/>
  <c r="AA46"/>
  <c r="AC46"/>
  <c r="AE46" s="1"/>
  <c r="AA50"/>
  <c r="AC50"/>
  <c r="AE50" s="1"/>
  <c r="AA51"/>
  <c r="AC51"/>
  <c r="AE51" s="1"/>
  <c r="AA52"/>
  <c r="AC52"/>
  <c r="AE52" s="1"/>
  <c r="AA76"/>
  <c r="AC76"/>
  <c r="AE76" s="1"/>
  <c r="AA77"/>
  <c r="AC77"/>
  <c r="AE77" s="1"/>
  <c r="AA78"/>
  <c r="AC78"/>
  <c r="AE78" s="1"/>
  <c r="AA79"/>
  <c r="AC79"/>
  <c r="AE79" s="1"/>
  <c r="AA80"/>
  <c r="AC80"/>
  <c r="AE80" s="1"/>
  <c r="AA81"/>
  <c r="AC81"/>
  <c r="AE81" s="1"/>
  <c r="AA82"/>
  <c r="AC82"/>
  <c r="AE82" s="1"/>
  <c r="T83"/>
  <c r="AA83"/>
  <c r="AC83"/>
  <c r="AE83" s="1"/>
  <c r="AA84"/>
  <c r="AC84"/>
  <c r="AE84" s="1"/>
  <c r="AA85"/>
  <c r="AC85"/>
  <c r="AE85" s="1"/>
  <c r="AA86"/>
  <c r="AC86"/>
  <c r="AB100"/>
  <c r="AB10" i="1" l="1"/>
  <c r="AB100" s="1"/>
  <c r="AE96" i="7"/>
  <c r="AE101"/>
  <c r="AB85"/>
  <c r="AG85" s="1"/>
  <c r="AJ85" s="1"/>
  <c r="AB45"/>
  <c r="AB43"/>
  <c r="AG43" s="1"/>
  <c r="AJ43" s="1"/>
  <c r="AB39"/>
  <c r="AG39" s="1"/>
  <c r="AJ39" s="1"/>
  <c r="AB35"/>
  <c r="AG35" s="1"/>
  <c r="AJ35" s="1"/>
  <c r="AB74"/>
  <c r="AG74" s="1"/>
  <c r="AJ74" s="1"/>
  <c r="AB86"/>
  <c r="AG86" s="1"/>
  <c r="AJ86" s="1"/>
  <c r="AB84"/>
  <c r="AG84" s="1"/>
  <c r="AJ84" s="1"/>
  <c r="AB81"/>
  <c r="AG81" s="1"/>
  <c r="AJ81" s="1"/>
  <c r="AB79"/>
  <c r="AG79" s="1"/>
  <c r="AJ79" s="1"/>
  <c r="AB77"/>
  <c r="AG77" s="1"/>
  <c r="AJ77" s="1"/>
  <c r="AB52"/>
  <c r="AG52" s="1"/>
  <c r="AJ52" s="1"/>
  <c r="AB50"/>
  <c r="AG50" s="1"/>
  <c r="AJ50" s="1"/>
  <c r="AB44"/>
  <c r="AG44" s="1"/>
  <c r="AJ44" s="1"/>
  <c r="AB42"/>
  <c r="AG42" s="1"/>
  <c r="AJ42" s="1"/>
  <c r="AB40"/>
  <c r="AG40" s="1"/>
  <c r="AJ40" s="1"/>
  <c r="AB38"/>
  <c r="AG38" s="1"/>
  <c r="AJ38" s="1"/>
  <c r="AB36"/>
  <c r="AG36" s="1"/>
  <c r="AJ36" s="1"/>
  <c r="AB34"/>
  <c r="AB48"/>
  <c r="AG48" s="1"/>
  <c r="AJ48" s="1"/>
  <c r="AB31"/>
  <c r="AG31" s="1"/>
  <c r="AJ31" s="1"/>
  <c r="AB28"/>
  <c r="AG28" s="1"/>
  <c r="AJ28" s="1"/>
  <c r="AB26"/>
  <c r="AG26" s="1"/>
  <c r="AJ26" s="1"/>
  <c r="AB23"/>
  <c r="AG23" s="1"/>
  <c r="AJ23" s="1"/>
  <c r="AB21"/>
  <c r="AG21" s="1"/>
  <c r="AJ21" s="1"/>
  <c r="AB18"/>
  <c r="AG18" s="1"/>
  <c r="AJ18" s="1"/>
  <c r="AB14"/>
  <c r="AG14" s="1"/>
  <c r="AJ14" s="1"/>
  <c r="AH99"/>
  <c r="AJ99" s="1"/>
  <c r="AB90"/>
  <c r="AG90" s="1"/>
  <c r="AJ90" s="1"/>
  <c r="AB89"/>
  <c r="AG89" s="1"/>
  <c r="AJ89" s="1"/>
  <c r="AB88"/>
  <c r="AG88" s="1"/>
  <c r="AJ88" s="1"/>
  <c r="AB53"/>
  <c r="AG53" s="1"/>
  <c r="AJ53" s="1"/>
  <c r="AB24"/>
  <c r="AG24" s="1"/>
  <c r="AJ24" s="1"/>
  <c r="AB12"/>
  <c r="AG12" s="1"/>
  <c r="AJ12" s="1"/>
  <c r="AB16"/>
  <c r="AG16" s="1"/>
  <c r="AJ16" s="1"/>
  <c r="Z96"/>
  <c r="AB7"/>
  <c r="AB83"/>
  <c r="AG83" s="1"/>
  <c r="AJ83" s="1"/>
  <c r="AB41"/>
  <c r="AG41" s="1"/>
  <c r="AJ41" s="1"/>
  <c r="AB37"/>
  <c r="AG37" s="1"/>
  <c r="AJ37" s="1"/>
  <c r="AA96"/>
  <c r="AB66"/>
  <c r="AG66" s="1"/>
  <c r="AJ66" s="1"/>
  <c r="AB64"/>
  <c r="AG64" s="1"/>
  <c r="AJ64" s="1"/>
  <c r="AB63"/>
  <c r="AG63" s="1"/>
  <c r="AJ63" s="1"/>
  <c r="AB58"/>
  <c r="AG58" s="1"/>
  <c r="AJ58" s="1"/>
  <c r="AB57"/>
  <c r="AG57" s="1"/>
  <c r="AJ57" s="1"/>
  <c r="AE100"/>
  <c r="AB29"/>
  <c r="AG29" s="1"/>
  <c r="AJ29" s="1"/>
  <c r="AB27"/>
  <c r="AG27" s="1"/>
  <c r="AJ27" s="1"/>
  <c r="AB25"/>
  <c r="AG25" s="1"/>
  <c r="AJ25" s="1"/>
  <c r="AB22"/>
  <c r="AG22" s="1"/>
  <c r="AJ22" s="1"/>
  <c r="AB20"/>
  <c r="AG20" s="1"/>
  <c r="AJ20" s="1"/>
  <c r="AB17"/>
  <c r="AG17" s="1"/>
  <c r="AJ17" s="1"/>
  <c r="S96"/>
  <c r="AC96"/>
  <c r="AI99"/>
  <c r="AB96" l="1"/>
  <c r="AG7"/>
  <c r="AE97"/>
  <c r="AE98"/>
  <c r="AF100"/>
  <c r="AE102"/>
  <c r="AE103" s="1"/>
  <c r="AG100" l="1"/>
  <c r="AG96"/>
  <c r="AJ7"/>
  <c r="AJ96" s="1"/>
  <c r="AE105"/>
  <c r="AH100" l="1"/>
  <c r="AI100" l="1"/>
  <c r="AJ100" s="1"/>
  <c r="B4" i="2" l="1"/>
  <c r="C3" i="9" l="1"/>
  <c r="G3" i="15"/>
  <c r="BD100" i="1"/>
  <c r="BH10"/>
  <c r="BH100" s="1"/>
  <c r="BJ10" l="1"/>
  <c r="BJ100" s="1"/>
  <c r="T100"/>
  <c r="U100"/>
  <c r="K10" i="4"/>
  <c r="K100" s="1"/>
  <c r="R100" i="1"/>
  <c r="L10" i="4" l="1"/>
  <c r="Q10" l="1"/>
  <c r="L100"/>
  <c r="C10" i="2"/>
  <c r="E10" l="1"/>
  <c r="E100" s="1"/>
  <c r="C100"/>
  <c r="P10" l="1"/>
  <c r="P100" l="1"/>
  <c r="AJ10"/>
  <c r="U10"/>
</calcChain>
</file>

<file path=xl/comments1.xml><?xml version="1.0" encoding="utf-8"?>
<comments xmlns="http://schemas.openxmlformats.org/spreadsheetml/2006/main">
  <authors>
    <author>contabilidad qm</author>
    <author>ljimenez</author>
  </authors>
  <commentList>
    <comment ref="B14" author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V32" authorId="1">
      <text>
        <r>
          <rPr>
            <b/>
            <sz val="9"/>
            <color indexed="81"/>
            <rFont val="Tahoma"/>
            <family val="2"/>
          </rPr>
          <t>ljimenez:</t>
        </r>
        <r>
          <rPr>
            <sz val="9"/>
            <color indexed="81"/>
            <rFont val="Tahoma"/>
            <family val="2"/>
          </rPr>
          <t xml:space="preserve">
$300 durante 36 sem 2/36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B45" author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13 FEB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B70" author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B79" author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ENTRO EL DIA 10 FEB
</t>
        </r>
      </text>
    </comment>
  </commentList>
</comments>
</file>

<file path=xl/sharedStrings.xml><?xml version="1.0" encoding="utf-8"?>
<sst xmlns="http://schemas.openxmlformats.org/spreadsheetml/2006/main" count="6085" uniqueCount="859">
  <si>
    <t>CONTPAQ i</t>
  </si>
  <si>
    <t xml:space="preserve">      NÓMINAS</t>
  </si>
  <si>
    <t>Lista de Raya (forma tabular)</t>
  </si>
  <si>
    <t>Reg Pat IMSS: 00000000000,B4251548102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</si>
  <si>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</si>
  <si>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</si>
  <si>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</si>
  <si>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</si>
  <si>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</si>
  <si>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</si>
  <si>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Ajuste al neto</t>
  </si>
  <si>
    <t>*TOTAL* *DEDUCCIONES*</t>
  </si>
  <si>
    <t>*NETO*</t>
  </si>
  <si>
    <t xml:space="preserve">    Reg. Pat. IMSS:  B4251548102</t>
  </si>
  <si>
    <t>AC19</t>
  </si>
  <si>
    <t>0018</t>
  </si>
  <si>
    <t xml:space="preserve">  =============</t>
  </si>
  <si>
    <t>Total Gral.</t>
  </si>
  <si>
    <t xml:space="preserve"> </t>
  </si>
  <si>
    <t>TOTAL</t>
  </si>
  <si>
    <t>IVA</t>
  </si>
  <si>
    <t>SUELDO BASE</t>
  </si>
  <si>
    <t>COMISIONES</t>
  </si>
  <si>
    <t>Comision 10%</t>
  </si>
  <si>
    <t>2% S/N</t>
  </si>
  <si>
    <t>SUBTOTAL</t>
  </si>
  <si>
    <t>SUBSIDO ENTREGADO</t>
  </si>
  <si>
    <t>Apoyo Sindicato Apoyo 23 c.c.</t>
  </si>
  <si>
    <t>Apoyo Extra</t>
  </si>
  <si>
    <t>SGV</t>
  </si>
  <si>
    <t>ANAEL</t>
  </si>
  <si>
    <t>MOISES</t>
  </si>
  <si>
    <t>ARTURO</t>
  </si>
  <si>
    <t>MALDONADO HERNANDEZ</t>
  </si>
  <si>
    <t>AB27</t>
  </si>
  <si>
    <t>Aguilar Bravo Cristian Saul</t>
  </si>
  <si>
    <t>AG07</t>
  </si>
  <si>
    <t>Aguilar Gonzalez Anael</t>
  </si>
  <si>
    <t>AL17</t>
  </si>
  <si>
    <t>Alavez Lopez Inocencio</t>
  </si>
  <si>
    <t>AOR15</t>
  </si>
  <si>
    <t>Alvarez Ortiz Ricardo</t>
  </si>
  <si>
    <t>00016</t>
  </si>
  <si>
    <t>Arenas Vargas Moises</t>
  </si>
  <si>
    <t>AZ14</t>
  </si>
  <si>
    <t>Arroyo Zarazua Gilberto</t>
  </si>
  <si>
    <t>Arvizu Rodriguez Alejandro Uriel</t>
  </si>
  <si>
    <t>Ayala Contreras Hector Manuel</t>
  </si>
  <si>
    <t>BC22</t>
  </si>
  <si>
    <t>Barcenas Comenero Jorge Alejandro</t>
  </si>
  <si>
    <t>BL011</t>
  </si>
  <si>
    <t>Berdeja Leon Francisco Gerardo</t>
  </si>
  <si>
    <t>Calderon Martinez Mario Raul</t>
  </si>
  <si>
    <t>CR14</t>
  </si>
  <si>
    <t>Cancino Rodriguez Gregorio</t>
  </si>
  <si>
    <t>Carrasco Tovar Arturo</t>
  </si>
  <si>
    <t>CT26</t>
  </si>
  <si>
    <t>Castañon Tavares Manuel</t>
  </si>
  <si>
    <t>CR06</t>
  </si>
  <si>
    <t>Castellanos Rocha Lucia Marcela</t>
  </si>
  <si>
    <t>CO24</t>
  </si>
  <si>
    <t>Castillo Ordoñez Jorge</t>
  </si>
  <si>
    <t>CHG</t>
  </si>
  <si>
    <t>Cortes Hernandez German</t>
  </si>
  <si>
    <t>CM22</t>
  </si>
  <si>
    <t>Cortes Miranda Carlos Armando</t>
  </si>
  <si>
    <t>CO02</t>
  </si>
  <si>
    <t>Cortez Ovando Faustino Ali</t>
  </si>
  <si>
    <t>CO16</t>
  </si>
  <si>
    <t>Cruz Ortiz Juan Antonio</t>
  </si>
  <si>
    <t>DC20</t>
  </si>
  <si>
    <t>De Jesus Cruz Juan Carlos</t>
  </si>
  <si>
    <t>ER14</t>
  </si>
  <si>
    <t>Enriquez Rubio Fernando</t>
  </si>
  <si>
    <t>EB11</t>
  </si>
  <si>
    <t>Escarcega Bustamante  Jorge</t>
  </si>
  <si>
    <t>FG14</t>
  </si>
  <si>
    <t>Fonseca Gillen Jose Felipe</t>
  </si>
  <si>
    <t>GZ20</t>
  </si>
  <si>
    <t>Galicia Zarate Sergio</t>
  </si>
  <si>
    <t>GO001</t>
  </si>
  <si>
    <t>Gutierrez Olvera Marihuri</t>
  </si>
  <si>
    <t>HCG28</t>
  </si>
  <si>
    <t>Hernandez Carreon Gregorio</t>
  </si>
  <si>
    <t>HG04</t>
  </si>
  <si>
    <t>Hernandez Gomez Mario Alberto</t>
  </si>
  <si>
    <t>HS11</t>
  </si>
  <si>
    <t>Hernandez Silva Edgar Samuel</t>
  </si>
  <si>
    <t>HS08</t>
  </si>
  <si>
    <t>Hernandez Solis Gumecindo</t>
  </si>
  <si>
    <t>JH19</t>
  </si>
  <si>
    <t>Jimenez Hernandez Julio Cesar</t>
  </si>
  <si>
    <t>LO14</t>
  </si>
  <si>
    <t>Lara Oviedo Soraya</t>
  </si>
  <si>
    <t>LR05</t>
  </si>
  <si>
    <t>Lobato Recamier Rosselin Catalina</t>
  </si>
  <si>
    <t>LL19</t>
  </si>
  <si>
    <t>Lopez De Leon Daniel</t>
  </si>
  <si>
    <t>LR09</t>
  </si>
  <si>
    <t>MH09</t>
  </si>
  <si>
    <t>Maldonado Hernandez Erick</t>
  </si>
  <si>
    <t>MA08</t>
  </si>
  <si>
    <t>Martinez Alvarado  Adrian</t>
  </si>
  <si>
    <t>MG14</t>
  </si>
  <si>
    <t>Martinez Guerrero Leonel</t>
  </si>
  <si>
    <t>ML23</t>
  </si>
  <si>
    <t>Martinez Lorenzo Luis Alejandro</t>
  </si>
  <si>
    <t>MC14</t>
  </si>
  <si>
    <t>Medina Castro Carlos Manuel</t>
  </si>
  <si>
    <t>0030</t>
  </si>
  <si>
    <t>Melendez Padilla Claudia Cristina</t>
  </si>
  <si>
    <t>MPJ04</t>
  </si>
  <si>
    <t>Miranda Peon Julio Cesar</t>
  </si>
  <si>
    <t>NB02</t>
  </si>
  <si>
    <t>Noria Badillo Juan Jose</t>
  </si>
  <si>
    <t>NS26</t>
  </si>
  <si>
    <t>Nuñez De Jesus Jose Daniel</t>
  </si>
  <si>
    <t>OB15</t>
  </si>
  <si>
    <t>Olvera Bautista J. Dolores  Gilberto</t>
  </si>
  <si>
    <t>OH11</t>
  </si>
  <si>
    <t>Olvera Hernandez Jose Tomas</t>
  </si>
  <si>
    <t>OS06</t>
  </si>
  <si>
    <t>Olvera  Soto Luis Angel</t>
  </si>
  <si>
    <t>PG04</t>
  </si>
  <si>
    <t>Paleta Guadarrama Ricardo</t>
  </si>
  <si>
    <t>PP05</t>
  </si>
  <si>
    <t>Perez Perez Ismael</t>
  </si>
  <si>
    <t>PJ03</t>
  </si>
  <si>
    <t>Piña Juarez Jose Martin</t>
  </si>
  <si>
    <t>RB08</t>
  </si>
  <si>
    <t>Ramirez Bautista Marcos Samuel</t>
  </si>
  <si>
    <t>RCJ07</t>
  </si>
  <si>
    <t>Resendiz Crespo Jose David</t>
  </si>
  <si>
    <t>RE14</t>
  </si>
  <si>
    <t>Resendiz Echeverria Mario Alberto</t>
  </si>
  <si>
    <t>RS03</t>
  </si>
  <si>
    <t>Resendiz Soto Emilio</t>
  </si>
  <si>
    <t>RZ014</t>
  </si>
  <si>
    <t>Reyes Hurtado Guillermo</t>
  </si>
  <si>
    <t>RA13</t>
  </si>
  <si>
    <t>Rivera Aguilar Gabriel</t>
  </si>
  <si>
    <t>RG12</t>
  </si>
  <si>
    <t>Rivera Gonzalez Jose Adan</t>
  </si>
  <si>
    <t>RR02</t>
  </si>
  <si>
    <t>Rodriguez Rodriguez Rodolfo Anuar</t>
  </si>
  <si>
    <t>RO21</t>
  </si>
  <si>
    <t>0021</t>
  </si>
  <si>
    <t>Romo Parga Alejandro</t>
  </si>
  <si>
    <t>RR05</t>
  </si>
  <si>
    <t>Ruiz Rodriguez Omar</t>
  </si>
  <si>
    <t>SG005</t>
  </si>
  <si>
    <t>Saldaña Garcia Marco Antonio</t>
  </si>
  <si>
    <t>SH17</t>
  </si>
  <si>
    <t>Sanchez Hurtado Carlos</t>
  </si>
  <si>
    <t>Sanchez Rodriguez Fredy</t>
  </si>
  <si>
    <t>SC25</t>
  </si>
  <si>
    <t>Sereno Cuellar Juvenal</t>
  </si>
  <si>
    <t>SL08</t>
  </si>
  <si>
    <t>Suarez Luna Efren Agustin</t>
  </si>
  <si>
    <t>TG06</t>
  </si>
  <si>
    <t>Tellez Gaytan Daniel</t>
  </si>
  <si>
    <t>TL20</t>
  </si>
  <si>
    <t>Tinoco Lopez Alfredo</t>
  </si>
  <si>
    <t>TS31</t>
  </si>
  <si>
    <t>Tirado Saavedra Carlos Alejandro</t>
  </si>
  <si>
    <t>TDA18</t>
  </si>
  <si>
    <t>Toribio Del Angel Oscar</t>
  </si>
  <si>
    <t>VM14</t>
  </si>
  <si>
    <t>Valdez Martinez Jose Martin</t>
  </si>
  <si>
    <t>VR23</t>
  </si>
  <si>
    <t>Vega Rivera Ismael</t>
  </si>
  <si>
    <t>VG25</t>
  </si>
  <si>
    <t>Vera Garcia Gerardo</t>
  </si>
  <si>
    <t>VM21</t>
  </si>
  <si>
    <t>Vigueras Martinez Juan Carlos</t>
  </si>
  <si>
    <t>ZM22</t>
  </si>
  <si>
    <t>Zamorano Mendoza Elias David</t>
  </si>
  <si>
    <t>HOJALATERO</t>
  </si>
  <si>
    <t>Alfaro Lazaro Isaac</t>
  </si>
  <si>
    <t>ASESOR DE SERVICIO</t>
  </si>
  <si>
    <t>CMM24</t>
  </si>
  <si>
    <t>PREPARADOR</t>
  </si>
  <si>
    <t>SR27</t>
  </si>
  <si>
    <t>ARMADOR</t>
  </si>
  <si>
    <t>PINTOR</t>
  </si>
  <si>
    <t>AYUDANTE GENERAL</t>
  </si>
  <si>
    <t>VIGILANTE</t>
  </si>
  <si>
    <t>MANTENIMIENTO</t>
  </si>
  <si>
    <t>RV23</t>
  </si>
  <si>
    <t>ASESOR DE VENTAS</t>
  </si>
  <si>
    <t>AYUDANTE DE MECANICO</t>
  </si>
  <si>
    <t>AR01</t>
  </si>
  <si>
    <t>OPERARIO B</t>
  </si>
  <si>
    <t>OPERARIO A</t>
  </si>
  <si>
    <t>AYUDANTE DE PREVIAS</t>
  </si>
  <si>
    <t>ESTETICAS</t>
  </si>
  <si>
    <t>MH25</t>
  </si>
  <si>
    <t>HC24</t>
  </si>
  <si>
    <t>Hernandez Chavez Pedro</t>
  </si>
  <si>
    <t>RF27</t>
  </si>
  <si>
    <t>S10-01/2016</t>
  </si>
  <si>
    <t xml:space="preserve">         An</t>
  </si>
  <si>
    <t>Clave</t>
  </si>
  <si>
    <t xml:space="preserve"> Nombre</t>
  </si>
  <si>
    <t>nfonavit  p</t>
  </si>
  <si>
    <t xml:space="preserve"> AGUILAR BRAVO CRISTI</t>
  </si>
  <si>
    <t xml:space="preserve"> ALVAREZ ORTIZ RICARD</t>
  </si>
  <si>
    <t xml:space="preserve"> CALDERON MARTINEZ MA</t>
  </si>
  <si>
    <t xml:space="preserve"> GALICIA ZARATE SERGI</t>
  </si>
  <si>
    <t>MR27</t>
  </si>
  <si>
    <t xml:space="preserve"> MOLINA RAMIREZ JESUS</t>
  </si>
  <si>
    <t xml:space="preserve"> RODRIGUEZ RODRIGUEZ</t>
  </si>
  <si>
    <t xml:space="preserve"> TINOCO LOPEZ ALFREDO</t>
  </si>
  <si>
    <t xml:space="preserve"> CORTES HERNANDEZ GER</t>
  </si>
  <si>
    <t xml:space="preserve"> HERNANDEZ SILVA EDGA</t>
  </si>
  <si>
    <t xml:space="preserve"> MARTINEZ LORENZO LUI</t>
  </si>
  <si>
    <t>NL23</t>
  </si>
  <si>
    <t xml:space="preserve"> NUÑEZ LUJAN ANGEL DA</t>
  </si>
  <si>
    <t xml:space="preserve"> OLVERA BAUTISTA J. D</t>
  </si>
  <si>
    <t xml:space="preserve"> PEREZ PEREZ ISMAEL</t>
  </si>
  <si>
    <t xml:space="preserve"> RAMIREZ BAUTISTA MAR</t>
  </si>
  <si>
    <t xml:space="preserve"> ROMERO OLVERA MIGUEL</t>
  </si>
  <si>
    <t xml:space="preserve"> SUAREZ LUNA EFREN AG</t>
  </si>
  <si>
    <t xml:space="preserve"> SANCHEZ RODRIGUEZ FR</t>
  </si>
  <si>
    <t xml:space="preserve"> TELLEZ GAYTAN DANIEL</t>
  </si>
  <si>
    <t xml:space="preserve"> VIGUERAS MARTINEZ JU</t>
  </si>
  <si>
    <t xml:space="preserve"> VEGA RIVERA ISMAEL</t>
  </si>
  <si>
    <t xml:space="preserve"> BARCENAS COMENERO JO</t>
  </si>
  <si>
    <t xml:space="preserve"> CRUZ ORTIZ JUAN ANTO</t>
  </si>
  <si>
    <t xml:space="preserve"> CASTELLANOS ROCHA LU</t>
  </si>
  <si>
    <t xml:space="preserve"> CORTEZ OVANDO FAUSTI</t>
  </si>
  <si>
    <t xml:space="preserve"> DE JESUS CRUZ JUAN C</t>
  </si>
  <si>
    <t xml:space="preserve"> LOPEZ DE LEON DANIEL</t>
  </si>
  <si>
    <t xml:space="preserve"> RIVERA AGUILAR GABRI</t>
  </si>
  <si>
    <t xml:space="preserve"> RESENDIZ SOTO EMILIO</t>
  </si>
  <si>
    <t xml:space="preserve"> SERENO CUELLAR JUVEN</t>
  </si>
  <si>
    <t>AC14</t>
  </si>
  <si>
    <t xml:space="preserve"> AVILA CASTELLANOS JE</t>
  </si>
  <si>
    <t xml:space="preserve"> CORTES MIRANDA CARLO</t>
  </si>
  <si>
    <t xml:space="preserve"> CASTILLO ORDOÑEZ JOR</t>
  </si>
  <si>
    <t xml:space="preserve"> HERNANDEZ GOMEZ MARI</t>
  </si>
  <si>
    <t xml:space="preserve"> LARA OVIEDO SORAYA</t>
  </si>
  <si>
    <t xml:space="preserve"> MIRANDA PEON JULIO C</t>
  </si>
  <si>
    <t xml:space="preserve"> PIÑA JUAREZ JOSE MAR</t>
  </si>
  <si>
    <t xml:space="preserve"> TORIBIO DEL ANGEL OS</t>
  </si>
  <si>
    <t xml:space="preserve"> ALAVEZ LOPEZ INOCENC</t>
  </si>
  <si>
    <t xml:space="preserve"> ARVIZU RODRIGUEZ  AL</t>
  </si>
  <si>
    <t xml:space="preserve"> CANCINO RODRIGUEZ GR</t>
  </si>
  <si>
    <t xml:space="preserve"> CASTAÑON TAVARES MAN</t>
  </si>
  <si>
    <t xml:space="preserve"> ENRIQUEZ RUBIO FERNA</t>
  </si>
  <si>
    <t xml:space="preserve"> FONSECA GUILLEN JOSE</t>
  </si>
  <si>
    <t xml:space="preserve"> MARTINEZ ALVARADO AD</t>
  </si>
  <si>
    <t xml:space="preserve"> MARTINEZ GUERRERO LE</t>
  </si>
  <si>
    <t xml:space="preserve"> NUÑEZ DE JESUS JOSE</t>
  </si>
  <si>
    <t xml:space="preserve"> OLVERA HERNANDEZ JOS</t>
  </si>
  <si>
    <t xml:space="preserve"> OLVERA SOTO LUIS ANG</t>
  </si>
  <si>
    <t xml:space="preserve"> RESENDIZ CRESPO JOSE</t>
  </si>
  <si>
    <t xml:space="preserve"> RESENDIZ ECHEVERRIA</t>
  </si>
  <si>
    <t xml:space="preserve"> RIVERA GONZALEZ JOSE</t>
  </si>
  <si>
    <t>RH14</t>
  </si>
  <si>
    <t xml:space="preserve"> REYES HURTADO GUILLE</t>
  </si>
  <si>
    <t>SG05</t>
  </si>
  <si>
    <t xml:space="preserve"> SALDAñA GARCIA MARCO</t>
  </si>
  <si>
    <t xml:space="preserve"> SANCHEZ HURTADO CARL</t>
  </si>
  <si>
    <t xml:space="preserve"> VALDEZ MARTINEZ MART</t>
  </si>
  <si>
    <t xml:space="preserve"> ARENAS VARGAS MOISES</t>
  </si>
  <si>
    <t xml:space="preserve"> CARRASCO TOVAR ARTUR</t>
  </si>
  <si>
    <t xml:space="preserve"> ROMO PARGA ALEJANDRO</t>
  </si>
  <si>
    <t xml:space="preserve"> MELENDEZ PADILLA CLA</t>
  </si>
  <si>
    <t xml:space="preserve"> AYALA CONTRERAS HECT</t>
  </si>
  <si>
    <t xml:space="preserve"> AGUILAR GONZALEZ ANA</t>
  </si>
  <si>
    <t xml:space="preserve"> BERDEJA LEON FRANCIS</t>
  </si>
  <si>
    <t xml:space="preserve"> ESCARCEGA BUSTAMANTE</t>
  </si>
  <si>
    <t>GO01</t>
  </si>
  <si>
    <t xml:space="preserve"> GUTIERREZ OLVERA MAR</t>
  </si>
  <si>
    <t xml:space="preserve"> HERNANDEZ CHAVEZ PED</t>
  </si>
  <si>
    <t xml:space="preserve"> HERNANDEZ CARREON GR</t>
  </si>
  <si>
    <t xml:space="preserve"> HERNANDEZ SOLIS GUME</t>
  </si>
  <si>
    <t xml:space="preserve"> JIMENEZ HERNANDEZ JU</t>
  </si>
  <si>
    <t xml:space="preserve"> LOBATO RECAMIER ROSS</t>
  </si>
  <si>
    <t xml:space="preserve"> LOPEZ ROSETE VICTOR</t>
  </si>
  <si>
    <t xml:space="preserve"> MEDINA CASTRO CARLOS</t>
  </si>
  <si>
    <t xml:space="preserve"> MALDONADO HERNANDEZ</t>
  </si>
  <si>
    <t xml:space="preserve"> NORIA BADILLO JUAN J</t>
  </si>
  <si>
    <t xml:space="preserve"> PALETA GUADARRAMA RI</t>
  </si>
  <si>
    <t xml:space="preserve"> RUIZ RODRIGUEZ OMAR</t>
  </si>
  <si>
    <t xml:space="preserve"> TIRADO SAAVEDRA CARL</t>
  </si>
  <si>
    <t xml:space="preserve"> VERA GARCIA GERARDO</t>
  </si>
  <si>
    <t xml:space="preserve"> ZAMORANO MENDOZA ELI</t>
  </si>
  <si>
    <t>AL26</t>
  </si>
  <si>
    <t>AR001</t>
  </si>
  <si>
    <t>CM024</t>
  </si>
  <si>
    <t>HMP14</t>
  </si>
  <si>
    <t>Hernandez Martinez Paulino</t>
  </si>
  <si>
    <t>HM17</t>
  </si>
  <si>
    <t>Hernandez Medina Diego Omar</t>
  </si>
  <si>
    <t>Mijangos Hernandez Julio Cesar</t>
  </si>
  <si>
    <t>OS05</t>
  </si>
  <si>
    <t>Orozco Sandoval Luis Enrique</t>
  </si>
  <si>
    <t>PR05</t>
  </si>
  <si>
    <t>Parra Rodriguez Javier Sebastian</t>
  </si>
  <si>
    <t>PB05</t>
  </si>
  <si>
    <t>Pino Blanco Gustavo</t>
  </si>
  <si>
    <t>RHO14</t>
  </si>
  <si>
    <t>Resendiz Huerta Oscar</t>
  </si>
  <si>
    <t>RA22</t>
  </si>
  <si>
    <t>Reyes Alcala Luz</t>
  </si>
  <si>
    <t>RA06</t>
  </si>
  <si>
    <t>Reyes Armadillo Jorge Andres</t>
  </si>
  <si>
    <t>Reyes Flores Alan Ricardo</t>
  </si>
  <si>
    <t>RP19</t>
  </si>
  <si>
    <t>Rios Perales David</t>
  </si>
  <si>
    <t>RF22</t>
  </si>
  <si>
    <t>Rodriguez Fernandez De Jauregui Mauricio</t>
  </si>
  <si>
    <t>Rodriguez Ventura Carlos Javier</t>
  </si>
  <si>
    <t>RGG01</t>
  </si>
  <si>
    <t>Rosas Guillen Gina Elizabeth</t>
  </si>
  <si>
    <t>SR027</t>
  </si>
  <si>
    <t>SP14</t>
  </si>
  <si>
    <t>Sierra Polina Cesar Alan</t>
  </si>
  <si>
    <t>TN15</t>
  </si>
  <si>
    <t>Tirado Navarrete Edgar</t>
  </si>
  <si>
    <t>VZ31</t>
  </si>
  <si>
    <t>Valdelamar Zuñiga Jose Sixto Carl</t>
  </si>
  <si>
    <t>VZ23</t>
  </si>
  <si>
    <t>Vega Zuñiga Joel Omar</t>
  </si>
  <si>
    <t>VC30</t>
  </si>
  <si>
    <t>Velazquez Calva Humberto Carlos</t>
  </si>
  <si>
    <t>11 CONSULTORES &amp; ASESORES INTEGRALES SC</t>
  </si>
  <si>
    <t>Reg Pat IMSS: E2375841103</t>
  </si>
  <si>
    <t>Séptimo día</t>
  </si>
  <si>
    <t>Préstamo Infonavit</t>
  </si>
  <si>
    <t>Pension Alimenticia</t>
  </si>
  <si>
    <t>INFONAVIT</t>
  </si>
  <si>
    <t>FACTURACIÓN</t>
  </si>
  <si>
    <t>ESPECIAL</t>
  </si>
  <si>
    <t>Escarcega Bustamante Jorge</t>
  </si>
  <si>
    <t>Consultores &amp; Asesores Integrales S.C.</t>
  </si>
  <si>
    <t>Servicios Prestados a : QUERETARO MOTORS, SA</t>
  </si>
  <si>
    <t>Periodo Semana 07</t>
  </si>
  <si>
    <t>10/02/2016 AL 16/02/2016</t>
  </si>
  <si>
    <t>Area</t>
  </si>
  <si>
    <t>Nombre</t>
  </si>
  <si>
    <t>Suc</t>
  </si>
  <si>
    <t>Puesto</t>
  </si>
  <si>
    <t>FECHA DE INICIO</t>
  </si>
  <si>
    <t>FIJO / VARIABLE</t>
  </si>
  <si>
    <t>sub   S/N</t>
  </si>
  <si>
    <t>CONSULTORES</t>
  </si>
  <si>
    <t>SINDICATO</t>
  </si>
  <si>
    <t>Sueldo Quincenal</t>
  </si>
  <si>
    <t>COMISION</t>
  </si>
  <si>
    <t>Prima Vacacional</t>
  </si>
  <si>
    <t>Dias de Vacaciones</t>
  </si>
  <si>
    <t>SEGURO DE VIDA (-)</t>
  </si>
  <si>
    <t>Total Percepciones</t>
  </si>
  <si>
    <t>Descuentos Cta 254</t>
  </si>
  <si>
    <t>AHORRO CTM</t>
  </si>
  <si>
    <t>FONDO DE AHORRO 4.9%</t>
  </si>
  <si>
    <t>CUOTA SINDICAL 1%</t>
  </si>
  <si>
    <t>PRESTAMO CTM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</si>
  <si>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</si>
  <si>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</si>
  <si>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</si>
  <si>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</si>
  <si>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</si>
  <si>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</si>
  <si>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</si>
  <si>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</si>
  <si>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</si>
  <si>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</si>
  <si>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PAGADO</t>
  </si>
  <si>
    <t>DIF</t>
  </si>
  <si>
    <t>DISPERCION</t>
  </si>
  <si>
    <t>DIFERENCIA</t>
  </si>
  <si>
    <t>SERVICIO</t>
  </si>
  <si>
    <t>AGUILAR BRAVO CRISTIAN SAUL</t>
  </si>
  <si>
    <t>VENTAS</t>
  </si>
  <si>
    <t>AGUILAR GONZALEZ ANAEL</t>
  </si>
  <si>
    <t>COACH</t>
  </si>
  <si>
    <t>COACH DE VENTAS</t>
  </si>
  <si>
    <t>COSTO</t>
  </si>
  <si>
    <t>ALAVEZ LOPEZ INOCENCIO</t>
  </si>
  <si>
    <t>HOJALATERIA</t>
  </si>
  <si>
    <t>ALFARO LAZARO ISAAC</t>
  </si>
  <si>
    <t>AYUDANTE DE HOJALATE</t>
  </si>
  <si>
    <t>ALVAREZ ORTIZ RICARDO</t>
  </si>
  <si>
    <t>ARENAS VARGAS MOISES</t>
  </si>
  <si>
    <t>ASISTENTE F&amp;I</t>
  </si>
  <si>
    <t>SEMINUEVOS</t>
  </si>
  <si>
    <t>ARTEAGA SILVA ALFREDO</t>
  </si>
  <si>
    <t>MARTIN</t>
  </si>
  <si>
    <t>ASESOR DE VENTAS SEM</t>
  </si>
  <si>
    <t>ARROYO ZARAZUA GILBERTO</t>
  </si>
  <si>
    <t>ARVIZU RODRIGUEZ  ALEJANDRO</t>
  </si>
  <si>
    <t>AYALA CONTRERAS HECTOR</t>
  </si>
  <si>
    <t>ADMON SERVICIO</t>
  </si>
  <si>
    <t>BARCENAS COMENERO JO</t>
  </si>
  <si>
    <t>TELEMARKETING</t>
  </si>
  <si>
    <t>BERDEJA LEON FRANCIS</t>
  </si>
  <si>
    <t>CALDERON MARTINEZ MARIO</t>
  </si>
  <si>
    <t>CANCINO RODRIGUEZ GREGORIO</t>
  </si>
  <si>
    <t>CARRASCO TOVAR ARTUR</t>
  </si>
  <si>
    <t>COACH DE PISO</t>
  </si>
  <si>
    <t>CASTAÑON TAVARES MAN</t>
  </si>
  <si>
    <t>AYUDANTE DE GENERAL</t>
  </si>
  <si>
    <t>CASTELLANOS ROCHA LUCIA</t>
  </si>
  <si>
    <t>CASTILLO ORDOÑEZ JORGE</t>
  </si>
  <si>
    <t>CORTES HERNANDEZ GERMAN</t>
  </si>
  <si>
    <t>HOJALATERO Y PINTOR</t>
  </si>
  <si>
    <t>CORTES MIRANDA CARLOS</t>
  </si>
  <si>
    <t>CORTEZ OVANDO FAUSTINO</t>
  </si>
  <si>
    <t>CRUZ ORTIZ JUAN ANTONIO</t>
  </si>
  <si>
    <t>CONTACT CENTER</t>
  </si>
  <si>
    <t>ADMON VENTAS</t>
  </si>
  <si>
    <t>DE JESUS CRUZ JUAN CARLOS</t>
  </si>
  <si>
    <t>ENRIQUEZ RUBIO FERNADO</t>
  </si>
  <si>
    <t>ESCARCEGA BUSTAMANTE JORGE</t>
  </si>
  <si>
    <t>FONSECA GUILLEN JOSE FELIPE</t>
  </si>
  <si>
    <t>OPARARIO C</t>
  </si>
  <si>
    <t>GALICIA ZARATE SERGIO</t>
  </si>
  <si>
    <t>GRANADOS PEREZ BRENDA</t>
  </si>
  <si>
    <t>GUTIERREZ OLVERA MARIURI</t>
  </si>
  <si>
    <t>HERNANDEZ CARREON GREGORIO</t>
  </si>
  <si>
    <t>HERNANDEZ GOMEZ MARIO ALBERTO</t>
  </si>
  <si>
    <t>HERNANDEZ SILVA EDGAR SAMUEL</t>
  </si>
  <si>
    <t>HERNANDEZ SOLIS GUMERCINDO</t>
  </si>
  <si>
    <t>JIMENEZ HERNANDEZ JULIO</t>
  </si>
  <si>
    <t>LARA OVIEDO SORAYA</t>
  </si>
  <si>
    <t>LOBATO RECAMIER ROSELLIN</t>
  </si>
  <si>
    <t>LOPEZ DE LEON DANIEL</t>
  </si>
  <si>
    <t>ADMINISTRACION</t>
  </si>
  <si>
    <t>MATA GONZALEZ ALEJANDRO</t>
  </si>
  <si>
    <t>MARTINEZ ALVARADO ADRIAN</t>
  </si>
  <si>
    <t>MARTINEZ GUERRERO LEONEL</t>
  </si>
  <si>
    <t>MARTINEZ LORENZO LUIS ALEJANDRO</t>
  </si>
  <si>
    <t xml:space="preserve">MARTINEZ MONTOYA EFRAIN </t>
  </si>
  <si>
    <t>MEDINA CASTRO CARLOS</t>
  </si>
  <si>
    <t>MELENDEZ PADILLA CLAUDIA</t>
  </si>
  <si>
    <t>MIJANGOS HERNANDEZ JULIO CESAR</t>
  </si>
  <si>
    <t>MIRANDA PEON JULIO CESAR</t>
  </si>
  <si>
    <t>NORIA BADILLO JUAN J</t>
  </si>
  <si>
    <t>NUÑEZ DE JESUS JOSE DANIEL</t>
  </si>
  <si>
    <t>AYUDANTE GENERAL DE</t>
  </si>
  <si>
    <t>OLVERA BAUTISTA J. D</t>
  </si>
  <si>
    <t>OLVERA HERNANDEZ JOSE TOMAS</t>
  </si>
  <si>
    <t>OLVERA SOTO LUIS ANGEL</t>
  </si>
  <si>
    <t>PALETA GUADARRAMA RI</t>
  </si>
  <si>
    <t>PEREZ PEREZ ISMAEL</t>
  </si>
  <si>
    <t>HOJALATERO PINTOR</t>
  </si>
  <si>
    <t>PIÑA JUAREZ JOSE MAR</t>
  </si>
  <si>
    <t>GERENTE DE SEMINUEVO</t>
  </si>
  <si>
    <t>RAMIREZ BAUTISTA MARCOS SAMUEL</t>
  </si>
  <si>
    <t>RESENDIZ CRESPO JOSE</t>
  </si>
  <si>
    <t>TECNICO C</t>
  </si>
  <si>
    <t>RESENDIZ ECHEVERRIA MARIO</t>
  </si>
  <si>
    <t>RESENDIZ SOTO EMILIO</t>
  </si>
  <si>
    <t>REYES HURTADO GUILLERMO</t>
  </si>
  <si>
    <t>RIVERA AGUILAR GABRIEL</t>
  </si>
  <si>
    <t>RIVERA GALLEGOS FRANCISCO</t>
  </si>
  <si>
    <t>RIVERA GONZALEZ JOSE ADAN</t>
  </si>
  <si>
    <t>RODRIGUEZ RODRIGUEZ ANUAR</t>
  </si>
  <si>
    <t>RODRIGUEZ VENTURA CA</t>
  </si>
  <si>
    <t>ROMO PARGA ALEJANDRO</t>
  </si>
  <si>
    <t>RUIZ RODRIGUEZ OMAR</t>
  </si>
  <si>
    <t>SALDAñA GARCIA MARCO</t>
  </si>
  <si>
    <t>OPERARIO</t>
  </si>
  <si>
    <t>SANCHEZ HURTADO CARLOS</t>
  </si>
  <si>
    <t>SANCHEZ RODRIGUEZ FREDY</t>
  </si>
  <si>
    <t>SERENO CUELLAR JUVEN</t>
  </si>
  <si>
    <t>SERVIN CHAVEZ OSCAR ERIC</t>
  </si>
  <si>
    <t>SUAREZ LUNA EFREN AG</t>
  </si>
  <si>
    <t>TELLEZ GAYTAN DANIEL</t>
  </si>
  <si>
    <t>TIRADO SAAVEDRA CARL</t>
  </si>
  <si>
    <t>TORIBIO DEL ANGEL OS</t>
  </si>
  <si>
    <t>VALDEZ MARTINEZ MARTIN</t>
  </si>
  <si>
    <t>VEGA RIVERA ISMAEL</t>
  </si>
  <si>
    <t>VERA GARCIA GERARDO</t>
  </si>
  <si>
    <t>VIGUERAS MARTINEZ JUAN CARLOS</t>
  </si>
  <si>
    <t>ZAMORANO MENDOZA ELIAS</t>
  </si>
  <si>
    <t>REYES FLORES ALAN RICARDO</t>
  </si>
  <si>
    <t>TINOCO LOPEZ ALFREDO</t>
  </si>
  <si>
    <t>ASESOR SERVICIO</t>
  </si>
  <si>
    <t xml:space="preserve">HERNANDEZ CHAVEZ PEDRO 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</si>
  <si>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</si>
  <si>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</si>
  <si>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</si>
  <si>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</si>
  <si>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</si>
  <si>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</si>
  <si>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</si>
  <si>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</si>
  <si>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</si>
  <si>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</si>
  <si>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0AG07</t>
  </si>
  <si>
    <t>0AL17</t>
  </si>
  <si>
    <t>0AZ14</t>
  </si>
  <si>
    <t>00018</t>
  </si>
  <si>
    <t>0ER14</t>
  </si>
  <si>
    <t>0EB11</t>
  </si>
  <si>
    <t>GPB13</t>
  </si>
  <si>
    <t>Granados Perez Brenda Laura</t>
  </si>
  <si>
    <t>0HG04</t>
  </si>
  <si>
    <t>0HS08</t>
  </si>
  <si>
    <t>MGA13</t>
  </si>
  <si>
    <t>Mata Gonzalez Alejandro</t>
  </si>
  <si>
    <t xml:space="preserve"> 0030</t>
  </si>
  <si>
    <t xml:space="preserve"> OH11</t>
  </si>
  <si>
    <t>0PP05</t>
  </si>
  <si>
    <t>RGF13</t>
  </si>
  <si>
    <t>Rivera Gallegos Francisco Alejandro</t>
  </si>
  <si>
    <t>SCO10</t>
  </si>
  <si>
    <t>Servin Chavez Oscar Eric</t>
  </si>
  <si>
    <t>0TS31</t>
  </si>
  <si>
    <t>0ZM22</t>
  </si>
  <si>
    <t>Martinez Montoya Efrain Esaul</t>
  </si>
  <si>
    <t>MME16</t>
  </si>
  <si>
    <t>Arteaga Silva Alfredo</t>
  </si>
  <si>
    <t>ASA16</t>
  </si>
  <si>
    <t>NETO A RECIBIR EMPLEADO</t>
  </si>
  <si>
    <t>COMISION EMPLEADO</t>
  </si>
  <si>
    <t>DEVOLUCIÓN EN CH.</t>
  </si>
  <si>
    <t>CHEQUES</t>
  </si>
  <si>
    <t>BBVA BANCOMER</t>
  </si>
  <si>
    <t>OP</t>
  </si>
  <si>
    <t xml:space="preserve">OPERACION EXITOSA </t>
  </si>
  <si>
    <t xml:space="preserve">De Jesus Cruz Juan Carlos </t>
  </si>
  <si>
    <t xml:space="preserve">Olvera Bautista J Dolores Gilberto </t>
  </si>
  <si>
    <t xml:space="preserve">Toribio Del Angel Oscar </t>
  </si>
  <si>
    <t xml:space="preserve">Castanon Tavares Manuel </t>
  </si>
  <si>
    <t xml:space="preserve">Carrasco Tovar Arturo </t>
  </si>
  <si>
    <t xml:space="preserve">Melendez Padilla Claudia Cristina </t>
  </si>
  <si>
    <t xml:space="preserve">Martinez Guerrero Leonel </t>
  </si>
  <si>
    <t xml:space="preserve">Lara Oviedo Soraya </t>
  </si>
  <si>
    <t xml:space="preserve">Cortes Hernandez German </t>
  </si>
  <si>
    <t xml:space="preserve">Medina Castro Carlos Manuel </t>
  </si>
  <si>
    <t xml:space="preserve">Enriquez Rubio Fernando </t>
  </si>
  <si>
    <t xml:space="preserve">Castellanos Rocha Lucia Marcela </t>
  </si>
  <si>
    <t xml:space="preserve">Sanchez Hurtado Carlos </t>
  </si>
  <si>
    <t xml:space="preserve">Vega Rivera Ismael </t>
  </si>
  <si>
    <t xml:space="preserve">Resendiz Soto Emilio </t>
  </si>
  <si>
    <t xml:space="preserve">Reyes Hurtado Guillermo </t>
  </si>
  <si>
    <t xml:space="preserve">Arvizu Rodriguez Alejandro Uriel </t>
  </si>
  <si>
    <t xml:space="preserve">Zamorano Mendoza Elias David </t>
  </si>
  <si>
    <t xml:space="preserve">Paleta Guadarrama Ricardo </t>
  </si>
  <si>
    <t xml:space="preserve">Escarcega Bustamante Jorge </t>
  </si>
  <si>
    <t xml:space="preserve">Cruz Ortiz Juan Antonio </t>
  </si>
  <si>
    <t xml:space="preserve">Lopez De Leon Daniel </t>
  </si>
  <si>
    <t xml:space="preserve">Cortes Miranda Carlos Armando </t>
  </si>
  <si>
    <t xml:space="preserve">Galicia Zarate Sergio </t>
  </si>
  <si>
    <t xml:space="preserve">Arroyo Zarazua Gilberto </t>
  </si>
  <si>
    <t xml:space="preserve">Miranda Peon Julio Cesar </t>
  </si>
  <si>
    <t xml:space="preserve">Martinez Lorenzo Luis Alejandro </t>
  </si>
  <si>
    <t xml:space="preserve">Sereno Cuellar Juvenal </t>
  </si>
  <si>
    <t xml:space="preserve">Tinoco Lopez Alfredo </t>
  </si>
  <si>
    <t xml:space="preserve">Ruiz Rodriguez Omar </t>
  </si>
  <si>
    <t xml:space="preserve">Maldonado Hernandez Erick </t>
  </si>
  <si>
    <t xml:space="preserve">Hernandez Silva Edgar Samuel </t>
  </si>
  <si>
    <t xml:space="preserve">Rivera Aguilar Gabriel </t>
  </si>
  <si>
    <t xml:space="preserve">Resendiz Crespo Jose David </t>
  </si>
  <si>
    <t xml:space="preserve">Tirado Saavedra Carlos Alejandro </t>
  </si>
  <si>
    <t xml:space="preserve">Vigueras Martinez Juan Carlos </t>
  </si>
  <si>
    <t xml:space="preserve">Vera Garcia Gerardo </t>
  </si>
  <si>
    <t xml:space="preserve">Ramirez Bautista Marcos Samuel </t>
  </si>
  <si>
    <t xml:space="preserve">Alvarez Ortiz Ricardo </t>
  </si>
  <si>
    <t xml:space="preserve">Alfaro Lazaro Isaac </t>
  </si>
  <si>
    <t xml:space="preserve">Granados Perez Brenda Laura </t>
  </si>
  <si>
    <t xml:space="preserve">Rivera Gallegos Francisco Alejandro </t>
  </si>
  <si>
    <t xml:space="preserve">Mata Gonzalez Alejandro </t>
  </si>
  <si>
    <t xml:space="preserve">Servin Chavez Oscar Eric </t>
  </si>
  <si>
    <t xml:space="preserve">Mijangos Hernandez Julio Cesar </t>
  </si>
  <si>
    <t xml:space="preserve">Rodriguez Ventura Carlos Javier </t>
  </si>
  <si>
    <t xml:space="preserve">Reyes Flores Alan Ricardo </t>
  </si>
  <si>
    <t xml:space="preserve">Hernandez Carreon Gregorio </t>
  </si>
  <si>
    <t xml:space="preserve">Rivera Gonzalez Jose Adan </t>
  </si>
  <si>
    <t xml:space="preserve">Nunez De Jesus Jose Daniel </t>
  </si>
  <si>
    <t xml:space="preserve">Arenas Vargas Moises </t>
  </si>
  <si>
    <t xml:space="preserve">Olvera Hernandez Jose Tomas </t>
  </si>
  <si>
    <t xml:space="preserve">Valdez Martinez Jose Martin </t>
  </si>
  <si>
    <t xml:space="preserve">Cancino Rodriguez Gregorio </t>
  </si>
  <si>
    <t xml:space="preserve">Fonseca Gillen Jose Felipe </t>
  </si>
  <si>
    <t xml:space="preserve">Resendiz Echeverria Mario Alberto </t>
  </si>
  <si>
    <t xml:space="preserve">Saldana Garcia Marco Antonio </t>
  </si>
  <si>
    <t xml:space="preserve">Aguilar Gonzalez Anael </t>
  </si>
  <si>
    <t xml:space="preserve">Berdeja Leon Francisco Gerardo </t>
  </si>
  <si>
    <t xml:space="preserve">Pina Juarez Jose Martin </t>
  </si>
  <si>
    <t xml:space="preserve">Gutierrez Olvera Marihuri </t>
  </si>
  <si>
    <t xml:space="preserve">Martinez Alvarado Adrian </t>
  </si>
  <si>
    <t xml:space="preserve">Olvera Soto Luis Angel </t>
  </si>
  <si>
    <t xml:space="preserve">Rodriguez Rodriguez Rodolfo Anuar </t>
  </si>
  <si>
    <t xml:space="preserve">Aguilar Bravo Cristian Saul </t>
  </si>
  <si>
    <t xml:space="preserve">Jimenez Hernandez Julio Cesar </t>
  </si>
  <si>
    <t xml:space="preserve">Tellez Gaytan Daniel </t>
  </si>
  <si>
    <t xml:space="preserve">Barcenas Comenero Jorge Alejandro </t>
  </si>
  <si>
    <t xml:space="preserve">Perez Perez Ismael </t>
  </si>
  <si>
    <t xml:space="preserve">Suarez Luna Efren Agustin </t>
  </si>
  <si>
    <t xml:space="preserve">Cortez Ovando Faustino Ali </t>
  </si>
  <si>
    <t xml:space="preserve">Castillo Ordonez Jorge </t>
  </si>
  <si>
    <t xml:space="preserve">Noria Badillo Juan Jose </t>
  </si>
  <si>
    <t xml:space="preserve">Alavez Lopez Inocencio </t>
  </si>
  <si>
    <t xml:space="preserve">Hernandez Solis Gumecindo </t>
  </si>
  <si>
    <t xml:space="preserve">Calderon Martinez Mario Raul </t>
  </si>
  <si>
    <t xml:space="preserve">Hernandez Chavez Pedro </t>
  </si>
  <si>
    <t xml:space="preserve">Sanchez Rodriguez Fredy </t>
  </si>
  <si>
    <t>Periodo Semana 08</t>
  </si>
  <si>
    <t>17/02/2016 AL 23/02/2016</t>
  </si>
  <si>
    <t>CUENTA</t>
  </si>
  <si>
    <t>OBSERVACIONES</t>
  </si>
  <si>
    <t>UNIFORMES</t>
  </si>
  <si>
    <t>ARMENTA LUJANO CARLOS</t>
  </si>
  <si>
    <t>LAVADOR</t>
  </si>
  <si>
    <t>NUEVO INGRESO 22 FEB; SOLO PAGAR COMISIONES POR SINDICATO</t>
  </si>
  <si>
    <t>DIFERENCIA EN INFONAVIT QUE QUEDA A DEBER</t>
  </si>
  <si>
    <t>BARCENAS COMENERO JORGE</t>
  </si>
  <si>
    <t>1 FALTA</t>
  </si>
  <si>
    <t>BERDEJA LEON FRANCISCO</t>
  </si>
  <si>
    <t>CARRASCO TOVAR ARTURO</t>
  </si>
  <si>
    <t>CASTAÑON TAVARES MANUEL</t>
  </si>
  <si>
    <t>24 HORAS EXTRAS</t>
  </si>
  <si>
    <t>GONZALEZ AGUILLON HUMBERTO</t>
  </si>
  <si>
    <t>MALDONADO HERNANDEZ ERICK</t>
  </si>
  <si>
    <t>MARTINEZ GALLEGOS LUIS FERNANDO</t>
  </si>
  <si>
    <t>MG</t>
  </si>
  <si>
    <t>REGRESO DE INCAPACIDAD</t>
  </si>
  <si>
    <t>DE INFONAVIT QUE QUEDA A DEBER</t>
  </si>
  <si>
    <t>MONROY HERRERA VICTOR JAVIER</t>
  </si>
  <si>
    <t>NUEVO INGRESO</t>
  </si>
  <si>
    <t>NORIA BADILLO JUAN JOSE</t>
  </si>
  <si>
    <t>PALETA GUADARRAMA RICARDO</t>
  </si>
  <si>
    <t>RESENDIZ CAMPUZANO ISRAEL</t>
  </si>
  <si>
    <t>14 HORAS EXTRA</t>
  </si>
  <si>
    <t>RODRIGUEZ VENTURA CALOS</t>
  </si>
  <si>
    <t>SERVIN CHAVEZ OSCAR ERICK</t>
  </si>
  <si>
    <t>SUAREZ LUNA EFREN AGUSTIN</t>
  </si>
  <si>
    <t>TIRADO SAAVEDRA CARLOS</t>
  </si>
  <si>
    <t>TORIBIO DEL ANGEL OSCAR</t>
  </si>
  <si>
    <t>FALTAS</t>
  </si>
  <si>
    <t>BAJAS</t>
  </si>
  <si>
    <t>PENSIÓN ALIM DCTO EN FISCAL</t>
  </si>
  <si>
    <t>TOTAL PER</t>
  </si>
  <si>
    <t xml:space="preserve">BANORTE </t>
  </si>
  <si>
    <t>1415043352</t>
  </si>
  <si>
    <t>1438110301</t>
  </si>
  <si>
    <t>1444665376</t>
  </si>
  <si>
    <t>1457598270</t>
  </si>
  <si>
    <t>1490675652</t>
  </si>
  <si>
    <t>2616789951</t>
  </si>
  <si>
    <t>2616790135</t>
  </si>
  <si>
    <t>2648514356</t>
  </si>
  <si>
    <t>2648514364</t>
  </si>
  <si>
    <t>2650346748</t>
  </si>
  <si>
    <t>2695890233</t>
  </si>
  <si>
    <t>2695890268</t>
  </si>
  <si>
    <t>2695890284</t>
  </si>
  <si>
    <t>2695890349</t>
  </si>
  <si>
    <t>2714474562</t>
  </si>
  <si>
    <t>2717650620</t>
  </si>
  <si>
    <t>2746799043</t>
  </si>
  <si>
    <t>2754185048</t>
  </si>
  <si>
    <t>2758594368</t>
  </si>
  <si>
    <t>2759588027</t>
  </si>
  <si>
    <t>2761258753</t>
  </si>
  <si>
    <t>2765753341</t>
  </si>
  <si>
    <t>2836087213</t>
  </si>
  <si>
    <t>2837284802</t>
  </si>
  <si>
    <t>2837433751</t>
  </si>
  <si>
    <t>2837656955</t>
  </si>
  <si>
    <t>2838464278</t>
  </si>
  <si>
    <t>2848478236</t>
  </si>
  <si>
    <t>2854221494</t>
  </si>
  <si>
    <t>2859704213</t>
  </si>
  <si>
    <t>2866078516</t>
  </si>
  <si>
    <t>2878931011</t>
  </si>
  <si>
    <t>2880995371</t>
  </si>
  <si>
    <t>2889511164</t>
  </si>
  <si>
    <t>2889514104</t>
  </si>
  <si>
    <t>2893708187</t>
  </si>
  <si>
    <t>2894220501</t>
  </si>
  <si>
    <t>2895359627</t>
  </si>
  <si>
    <t>2896455182</t>
  </si>
  <si>
    <t>2898414041</t>
  </si>
  <si>
    <t>2901661582</t>
  </si>
  <si>
    <t>2904189264</t>
  </si>
  <si>
    <t>2911705105</t>
  </si>
  <si>
    <t>2915275539</t>
  </si>
  <si>
    <t>2915613213</t>
  </si>
  <si>
    <t>2918873607</t>
  </si>
  <si>
    <t>2919443924</t>
  </si>
  <si>
    <t>2923627098</t>
  </si>
  <si>
    <t>2932879395</t>
  </si>
  <si>
    <t>2935582334</t>
  </si>
  <si>
    <t>2939162100</t>
  </si>
  <si>
    <t>2940159670</t>
  </si>
  <si>
    <t>2946533183</t>
  </si>
  <si>
    <t>2947375638</t>
  </si>
  <si>
    <t>2947520190</t>
  </si>
  <si>
    <t>2949222294</t>
  </si>
  <si>
    <t>2950612421</t>
  </si>
  <si>
    <t>2951732641</t>
  </si>
  <si>
    <t>2954874714</t>
  </si>
  <si>
    <t>2958467625</t>
  </si>
  <si>
    <t>2970888893</t>
  </si>
  <si>
    <t>2971587803</t>
  </si>
  <si>
    <t>2981335863</t>
  </si>
  <si>
    <t>2982289075</t>
  </si>
  <si>
    <t>2983576469</t>
  </si>
  <si>
    <t>2987413327</t>
  </si>
  <si>
    <t>2996093906</t>
  </si>
  <si>
    <t>EFECTIVO</t>
  </si>
  <si>
    <t>BANCOMER</t>
  </si>
  <si>
    <t>BANORTE</t>
  </si>
  <si>
    <t>Periodo 8 al 8 Semanal del 17/02/2016 al 23/02/2016</t>
  </si>
  <si>
    <t>11 QRO MOTROS SINDIATO ASOC</t>
  </si>
  <si>
    <t>Subsidio</t>
  </si>
  <si>
    <t>SE LE PAGA UNA DIFERENCIA DE 100 PESOS</t>
  </si>
  <si>
    <t>YA SE PIDIO DIFERENCIA A CONSULTORES</t>
  </si>
  <si>
    <t>MONYOY HERRERA VICTOR</t>
  </si>
  <si>
    <t>CTA BBVA 1190530786</t>
  </si>
  <si>
    <t xml:space="preserve">NIETO MEDINA PEDRO </t>
  </si>
  <si>
    <t>NM01</t>
  </si>
  <si>
    <t>CTA BBVA 2948414130</t>
  </si>
  <si>
    <t>ESPECIALES</t>
  </si>
  <si>
    <t xml:space="preserve">AGUILAR PEREZ MARCOS ARTEMIO </t>
  </si>
  <si>
    <t>HUGO ZUÑIGA</t>
  </si>
  <si>
    <t>Fonseca Guillen Jose Felipe</t>
  </si>
  <si>
    <t>OLVERA  SOTO LUIS ANGEL</t>
  </si>
  <si>
    <t>Rodriguez Ventura Carlos</t>
  </si>
  <si>
    <t>RODRIGUEZ VENTURA CARLOS</t>
  </si>
  <si>
    <t>TOTAL PERCEPCIONES</t>
  </si>
  <si>
    <t>FONACOT</t>
  </si>
  <si>
    <t>TOTAL DEDUCCIONES</t>
  </si>
  <si>
    <t>Préstamo Fonacot</t>
  </si>
  <si>
    <t>ALC22</t>
  </si>
  <si>
    <t>SEM PASADA SE LE PAGO EN ESTA</t>
  </si>
  <si>
    <t>LO DUPLICAN EN INCIDENCIAS Y TIENE OTRO NO. DE CUENTA</t>
  </si>
  <si>
    <t>83 EMPLEADOS</t>
  </si>
  <si>
    <t xml:space="preserve">ESTA DUPLICADO </t>
  </si>
  <si>
    <t>11 SINDICATO ASOCIACION QRO MOTORS</t>
  </si>
  <si>
    <t>0AB27</t>
  </si>
  <si>
    <t>0AL26</t>
  </si>
  <si>
    <t>Armenta Lujano Carlos</t>
  </si>
  <si>
    <t>0AC19</t>
  </si>
  <si>
    <t>0BC22</t>
  </si>
  <si>
    <t>0CR14</t>
  </si>
  <si>
    <t>0CT26</t>
  </si>
  <si>
    <t>0CR06</t>
  </si>
  <si>
    <t>0CO24</t>
  </si>
  <si>
    <t>00CHG</t>
  </si>
  <si>
    <t>0CM22</t>
  </si>
  <si>
    <t>0CO02</t>
  </si>
  <si>
    <t>0CO16</t>
  </si>
  <si>
    <t>0DC20</t>
  </si>
  <si>
    <t>0FG14</t>
  </si>
  <si>
    <t>0GZ20</t>
  </si>
  <si>
    <t>0HC24</t>
  </si>
  <si>
    <t>0HS11</t>
  </si>
  <si>
    <t>0JH19</t>
  </si>
  <si>
    <t>0LO14</t>
  </si>
  <si>
    <t>0LR05</t>
  </si>
  <si>
    <t>0LL19</t>
  </si>
  <si>
    <t>0MH09</t>
  </si>
  <si>
    <t>0MA08</t>
  </si>
  <si>
    <t xml:space="preserve">   MG</t>
  </si>
  <si>
    <t>Martinez Gallegos Luis Fernando</t>
  </si>
  <si>
    <t xml:space="preserve"> MG14</t>
  </si>
  <si>
    <t xml:space="preserve"> ML23</t>
  </si>
  <si>
    <t xml:space="preserve"> MC14</t>
  </si>
  <si>
    <t>0MH25</t>
  </si>
  <si>
    <t>MH022</t>
  </si>
  <si>
    <t>Monroy Herrera Victor Javier</t>
  </si>
  <si>
    <t>0NB02</t>
  </si>
  <si>
    <t>0NS26</t>
  </si>
  <si>
    <t>0OS06</t>
  </si>
  <si>
    <t>0OB15</t>
  </si>
  <si>
    <t>0PG04</t>
  </si>
  <si>
    <t>0RB08</t>
  </si>
  <si>
    <t xml:space="preserve"> RZ14</t>
  </si>
  <si>
    <t>Rangel Zuñiga Hugo</t>
  </si>
  <si>
    <t xml:space="preserve"> RE14</t>
  </si>
  <si>
    <t>0RS03</t>
  </si>
  <si>
    <t>0RF27</t>
  </si>
  <si>
    <t>0RA13</t>
  </si>
  <si>
    <t>0RG12</t>
  </si>
  <si>
    <t>0RR02</t>
  </si>
  <si>
    <t>0RV23</t>
  </si>
  <si>
    <t xml:space="preserve"> RR05</t>
  </si>
  <si>
    <t xml:space="preserve"> SH17</t>
  </si>
  <si>
    <t>0SC25</t>
  </si>
  <si>
    <t>0SL08</t>
  </si>
  <si>
    <t>0TG06</t>
  </si>
  <si>
    <t>0TL20</t>
  </si>
  <si>
    <t xml:space="preserve"> VM14</t>
  </si>
  <si>
    <t>0VR23</t>
  </si>
  <si>
    <t>0VG25</t>
  </si>
  <si>
    <t xml:space="preserve"> VM21</t>
  </si>
  <si>
    <t>MOJICA RODRIGUEZ JOSUE NEFTALI</t>
  </si>
  <si>
    <t>NM001</t>
  </si>
  <si>
    <t>Nieto Medina Pedro Emmanuel</t>
  </si>
  <si>
    <t>RCI22</t>
  </si>
  <si>
    <t>Resendiz Campuzano Israel</t>
  </si>
  <si>
    <t>GA022</t>
  </si>
  <si>
    <t>Gonzalez Aguillon Humberto Ramon</t>
  </si>
  <si>
    <t>MJR01</t>
  </si>
  <si>
    <t>Mojica Rodriguez Josue Neftali</t>
  </si>
  <si>
    <t>HR001</t>
  </si>
  <si>
    <t>Hernandez Roa Enrique</t>
  </si>
  <si>
    <t>Total Depto</t>
  </si>
  <si>
    <t>Periodo Semana 10</t>
  </si>
  <si>
    <t>02/03/2016 AL 08/03/2016</t>
  </si>
  <si>
    <t>OSCAR</t>
  </si>
  <si>
    <t>PAGAR 2 DE VACACIONES DIAS A SUELDO PROMEDIO</t>
  </si>
  <si>
    <t>FONDO DE AHORRO</t>
  </si>
  <si>
    <t>BRAVO QUINTERO RICARDO ALBERTO</t>
  </si>
  <si>
    <t>SOLO PAGAR DOS DIAS, SU DIA DE INGRESO ES 07/03/16</t>
  </si>
  <si>
    <t>CORONEL DE LEON JONATHAN</t>
  </si>
  <si>
    <t>SOLO PAGAR UN DIA, SU DIA DE INGRESO ES 08/03/16</t>
  </si>
  <si>
    <t>GARCIA RATIA SALVADOR</t>
  </si>
  <si>
    <t>BAJA 03/03/16</t>
  </si>
  <si>
    <t>HERNANDEZ BARCENAS JOSE DIEGO</t>
  </si>
  <si>
    <t>MORALES SANCHEZ ANGEL</t>
  </si>
  <si>
    <t>MS00</t>
  </si>
  <si>
    <t>PAGAR 2 DIAS MAS DE AJUSTE</t>
  </si>
  <si>
    <t>QUINTANILLA VAZQUEZ JEOVANY</t>
  </si>
  <si>
    <t>NO DEPOSITAR EN TARJETA, EFECTIVO</t>
  </si>
  <si>
    <t>BQR07</t>
  </si>
  <si>
    <t>Bravo Quintero Ricardo Alberto</t>
  </si>
  <si>
    <t>GRS03</t>
  </si>
  <si>
    <t>Garcia Ratia Salvador</t>
  </si>
  <si>
    <t>HBJ02</t>
  </si>
  <si>
    <t>Hernandez Barcenas Jose Diego</t>
  </si>
  <si>
    <t>MSA27</t>
  </si>
  <si>
    <t>Morales Sanchez Angel</t>
  </si>
  <si>
    <t>QVJ01</t>
  </si>
  <si>
    <t>Quintanilla Vazquez Jeovany</t>
  </si>
  <si>
    <t>Coronel De Leon Jonathan</t>
  </si>
  <si>
    <t>CLJ08</t>
  </si>
  <si>
    <t>Periodo 10 al 10 Semanal del 02/03/2016 al 08/03/2016</t>
  </si>
  <si>
    <t>DIAS VACACIONES PAG</t>
  </si>
  <si>
    <t/>
  </si>
  <si>
    <t>2874790073</t>
  </si>
  <si>
    <t>0PJ03</t>
  </si>
  <si>
    <t>2864307305</t>
  </si>
  <si>
    <t>2851650165</t>
  </si>
  <si>
    <t>CUENTA / TDP</t>
  </si>
  <si>
    <t>IMPORTE</t>
  </si>
  <si>
    <t>NOMBRE</t>
  </si>
  <si>
    <t>Empleado inexistente</t>
  </si>
  <si>
    <t>MHV</t>
  </si>
  <si>
    <t xml:space="preserve">DESGLOSE DE NOMINA </t>
  </si>
  <si>
    <t>PERIODO</t>
  </si>
  <si>
    <t>700-070</t>
  </si>
  <si>
    <t>701-070</t>
  </si>
  <si>
    <t>702-070</t>
  </si>
  <si>
    <t>703-070</t>
  </si>
  <si>
    <t>704-070</t>
  </si>
  <si>
    <t>705-001-070</t>
  </si>
  <si>
    <t>706-070</t>
  </si>
  <si>
    <t>683-001-001</t>
  </si>
  <si>
    <t>QMOTORS</t>
  </si>
</sst>
</file>

<file path=xl/styles.xml><?xml version="1.0" encoding="utf-8"?>
<styleSheet xmlns="http://schemas.openxmlformats.org/spreadsheetml/2006/main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.00_ ;[Red]\-0.00\ "/>
    <numFmt numFmtId="166" formatCode="_(* #,##0.00_);_(* \(#,##0.00\);_(* &quot;-&quot;??_);_(@_)"/>
  </numFmts>
  <fonts count="5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  <charset val="1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Verdana"/>
      <family val="2"/>
    </font>
    <font>
      <b/>
      <sz val="11"/>
      <color indexed="6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00B0F0"/>
      <name val="Calibri"/>
      <family val="2"/>
      <scheme val="minor"/>
    </font>
    <font>
      <sz val="7.5"/>
      <color rgb="FF000000"/>
      <name val="Verdana"/>
      <family val="2"/>
    </font>
    <font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8"/>
      <color rgb="FFFF0000"/>
      <name val="Arial"/>
      <family val="2"/>
    </font>
    <font>
      <b/>
      <i/>
      <u/>
      <sz val="8"/>
      <name val="Arial"/>
      <family val="2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b/>
      <u/>
      <sz val="10"/>
      <color rgb="FFFF0000"/>
      <name val="Arial"/>
      <family val="2"/>
    </font>
    <font>
      <b/>
      <u/>
      <sz val="11"/>
      <color rgb="FFFF000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color rgb="FFFF0000"/>
      <name val="Arial"/>
      <family val="2"/>
    </font>
    <font>
      <b/>
      <sz val="11"/>
      <color rgb="FF0000FF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F3F7FA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FC000"/>
        <bgColor indexed="34"/>
      </patternFill>
    </fill>
    <fill>
      <patternFill patternType="solid">
        <fgColor indexed="12"/>
        <bgColor indexed="64"/>
      </patternFill>
    </fill>
  </fills>
  <borders count="2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68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22" fillId="0" borderId="0"/>
    <xf numFmtId="0" fontId="26" fillId="0" borderId="0"/>
    <xf numFmtId="0" fontId="14" fillId="0" borderId="0"/>
    <xf numFmtId="0" fontId="24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2" fontId="48" fillId="0" borderId="0">
      <alignment horizontal="center"/>
    </xf>
    <xf numFmtId="0" fontId="51" fillId="0" borderId="0"/>
    <xf numFmtId="166" fontId="50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14" fillId="0" borderId="0"/>
    <xf numFmtId="0" fontId="24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4" fillId="0" borderId="0"/>
    <xf numFmtId="2" fontId="16" fillId="0" borderId="0">
      <alignment horizontal="center"/>
    </xf>
    <xf numFmtId="0" fontId="24" fillId="0" borderId="0"/>
    <xf numFmtId="0" fontId="14" fillId="0" borderId="0"/>
    <xf numFmtId="0" fontId="50" fillId="0" borderId="0"/>
    <xf numFmtId="0" fontId="50" fillId="0" borderId="0"/>
    <xf numFmtId="0" fontId="14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4" fillId="0" borderId="0"/>
    <xf numFmtId="2" fontId="16" fillId="0" borderId="0">
      <alignment horizontal="center"/>
    </xf>
    <xf numFmtId="0" fontId="43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50" fillId="0" borderId="0"/>
    <xf numFmtId="0" fontId="50" fillId="0" borderId="0"/>
    <xf numFmtId="0" fontId="14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14" fillId="0" borderId="0"/>
    <xf numFmtId="2" fontId="16" fillId="0" borderId="0">
      <alignment horizontal="center"/>
    </xf>
    <xf numFmtId="0" fontId="24" fillId="0" borderId="0"/>
    <xf numFmtId="0" fontId="50" fillId="0" borderId="0"/>
    <xf numFmtId="0" fontId="14" fillId="0" borderId="0"/>
    <xf numFmtId="0" fontId="50" fillId="0" borderId="0"/>
    <xf numFmtId="0" fontId="24" fillId="0" borderId="0"/>
    <xf numFmtId="0" fontId="14" fillId="0" borderId="0"/>
    <xf numFmtId="0" fontId="14" fillId="0" borderId="0"/>
    <xf numFmtId="0" fontId="24" fillId="0" borderId="0"/>
    <xf numFmtId="2" fontId="16" fillId="0" borderId="0">
      <alignment horizontal="center"/>
    </xf>
    <xf numFmtId="0" fontId="50" fillId="0" borderId="0"/>
    <xf numFmtId="0" fontId="50" fillId="0" borderId="0"/>
    <xf numFmtId="0" fontId="24" fillId="0" borderId="0"/>
    <xf numFmtId="0" fontId="50" fillId="0" borderId="0"/>
    <xf numFmtId="0" fontId="50" fillId="0" borderId="0"/>
    <xf numFmtId="0" fontId="14" fillId="0" borderId="0"/>
    <xf numFmtId="2" fontId="16" fillId="0" borderId="0">
      <alignment horizontal="center"/>
    </xf>
    <xf numFmtId="0" fontId="42" fillId="0" borderId="0" applyNumberFormat="0" applyFill="0" applyBorder="0" applyAlignment="0" applyProtection="0">
      <alignment vertical="top"/>
      <protection locked="0"/>
    </xf>
    <xf numFmtId="0" fontId="50" fillId="0" borderId="0"/>
    <xf numFmtId="0" fontId="50" fillId="0" borderId="0"/>
    <xf numFmtId="0" fontId="14" fillId="0" borderId="0"/>
    <xf numFmtId="0" fontId="14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14" fillId="0" borderId="0"/>
    <xf numFmtId="2" fontId="16" fillId="0" borderId="0">
      <alignment horizontal="center"/>
    </xf>
    <xf numFmtId="2" fontId="16" fillId="0" borderId="0">
      <alignment horizontal="center"/>
    </xf>
    <xf numFmtId="0" fontId="4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4" fillId="0" borderId="0"/>
    <xf numFmtId="2" fontId="16" fillId="0" borderId="0">
      <alignment horizontal="center"/>
    </xf>
    <xf numFmtId="0" fontId="50" fillId="0" borderId="0"/>
    <xf numFmtId="0" fontId="50" fillId="0" borderId="0"/>
    <xf numFmtId="0" fontId="24" fillId="0" borderId="0"/>
    <xf numFmtId="0" fontId="50" fillId="0" borderId="0"/>
    <xf numFmtId="0" fontId="50" fillId="0" borderId="0"/>
    <xf numFmtId="0" fontId="14" fillId="0" borderId="0"/>
    <xf numFmtId="2" fontId="16" fillId="0" borderId="0">
      <alignment horizontal="center"/>
    </xf>
    <xf numFmtId="0" fontId="42" fillId="0" borderId="0" applyNumberFormat="0" applyFill="0" applyBorder="0" applyAlignment="0" applyProtection="0">
      <alignment vertical="top"/>
      <protection locked="0"/>
    </xf>
    <xf numFmtId="0" fontId="50" fillId="0" borderId="0"/>
    <xf numFmtId="0" fontId="50" fillId="0" borderId="0"/>
    <xf numFmtId="0" fontId="14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2" fontId="16" fillId="0" borderId="0">
      <alignment horizontal="center"/>
    </xf>
    <xf numFmtId="2" fontId="16" fillId="0" borderId="0">
      <alignment horizontal="center"/>
    </xf>
    <xf numFmtId="0" fontId="4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4" fillId="0" borderId="0"/>
    <xf numFmtId="2" fontId="16" fillId="0" borderId="0">
      <alignment horizontal="center"/>
    </xf>
    <xf numFmtId="0" fontId="50" fillId="0" borderId="0"/>
    <xf numFmtId="0" fontId="50" fillId="0" borderId="0"/>
    <xf numFmtId="0" fontId="24" fillId="0" borderId="0"/>
    <xf numFmtId="0" fontId="50" fillId="0" borderId="0"/>
    <xf numFmtId="0" fontId="50" fillId="0" borderId="0"/>
    <xf numFmtId="0" fontId="14" fillId="0" borderId="0"/>
    <xf numFmtId="2" fontId="16" fillId="0" borderId="0">
      <alignment horizontal="center"/>
    </xf>
    <xf numFmtId="0" fontId="24" fillId="0" borderId="0"/>
    <xf numFmtId="0" fontId="50" fillId="0" borderId="0"/>
    <xf numFmtId="0" fontId="50" fillId="0" borderId="0"/>
    <xf numFmtId="0" fontId="14" fillId="0" borderId="0"/>
    <xf numFmtId="0" fontId="14" fillId="0" borderId="0"/>
    <xf numFmtId="2" fontId="16" fillId="0" borderId="0">
      <alignment horizontal="center"/>
    </xf>
    <xf numFmtId="2" fontId="16" fillId="0" borderId="0">
      <alignment horizontal="center"/>
    </xf>
    <xf numFmtId="0" fontId="14" fillId="0" borderId="0"/>
    <xf numFmtId="2" fontId="16" fillId="0" borderId="0">
      <alignment horizontal="center"/>
    </xf>
    <xf numFmtId="0" fontId="42" fillId="0" borderId="0" applyNumberFormat="0" applyFill="0" applyBorder="0" applyAlignment="0" applyProtection="0">
      <alignment vertical="top"/>
      <protection locked="0"/>
    </xf>
    <xf numFmtId="0" fontId="50" fillId="0" borderId="0"/>
    <xf numFmtId="0" fontId="14" fillId="0" borderId="0"/>
    <xf numFmtId="0" fontId="24" fillId="0" borderId="0"/>
    <xf numFmtId="2" fontId="16" fillId="0" borderId="0">
      <alignment horizontal="center"/>
    </xf>
    <xf numFmtId="0" fontId="50" fillId="0" borderId="0"/>
    <xf numFmtId="0" fontId="50" fillId="0" borderId="0"/>
    <xf numFmtId="0" fontId="24" fillId="0" borderId="0"/>
    <xf numFmtId="0" fontId="42" fillId="0" borderId="0" applyNumberFormat="0" applyFill="0" applyBorder="0" applyAlignment="0" applyProtection="0">
      <alignment vertical="top"/>
      <protection locked="0"/>
    </xf>
    <xf numFmtId="2" fontId="16" fillId="0" borderId="0">
      <alignment horizontal="center"/>
    </xf>
    <xf numFmtId="0" fontId="14" fillId="0" borderId="0"/>
    <xf numFmtId="2" fontId="16" fillId="0" borderId="0">
      <alignment horizontal="center"/>
    </xf>
    <xf numFmtId="0" fontId="43" fillId="0" borderId="0" applyNumberFormat="0" applyFill="0" applyBorder="0" applyAlignment="0" applyProtection="0">
      <alignment vertical="top"/>
      <protection locked="0"/>
    </xf>
    <xf numFmtId="0" fontId="50" fillId="0" borderId="0"/>
    <xf numFmtId="0" fontId="50" fillId="0" borderId="0"/>
    <xf numFmtId="0" fontId="14" fillId="0" borderId="0"/>
    <xf numFmtId="0" fontId="50" fillId="0" borderId="0"/>
    <xf numFmtId="0" fontId="50" fillId="0" borderId="0"/>
    <xf numFmtId="0" fontId="14" fillId="0" borderId="0"/>
    <xf numFmtId="2" fontId="16" fillId="0" borderId="0">
      <alignment horizontal="center"/>
    </xf>
    <xf numFmtId="0" fontId="14" fillId="0" borderId="0"/>
    <xf numFmtId="0" fontId="24" fillId="0" borderId="0"/>
    <xf numFmtId="0" fontId="14" fillId="0" borderId="0"/>
    <xf numFmtId="0" fontId="14" fillId="0" borderId="0"/>
    <xf numFmtId="0" fontId="24" fillId="0" borderId="0"/>
    <xf numFmtId="2" fontId="16" fillId="0" borderId="0">
      <alignment horizontal="center"/>
    </xf>
    <xf numFmtId="0" fontId="50" fillId="0" borderId="0"/>
    <xf numFmtId="0" fontId="50" fillId="0" borderId="0"/>
    <xf numFmtId="0" fontId="24" fillId="0" borderId="0"/>
    <xf numFmtId="0" fontId="14" fillId="0" borderId="0"/>
    <xf numFmtId="2" fontId="16" fillId="0" borderId="0">
      <alignment horizontal="center"/>
    </xf>
    <xf numFmtId="0" fontId="43" fillId="0" borderId="0" applyNumberFormat="0" applyFill="0" applyBorder="0" applyAlignment="0" applyProtection="0">
      <alignment vertical="top"/>
      <protection locked="0"/>
    </xf>
    <xf numFmtId="0" fontId="50" fillId="0" borderId="0"/>
    <xf numFmtId="0" fontId="50" fillId="0" borderId="0"/>
    <xf numFmtId="0" fontId="14" fillId="0" borderId="0"/>
    <xf numFmtId="0" fontId="50" fillId="0" borderId="0"/>
    <xf numFmtId="2" fontId="16" fillId="0" borderId="0">
      <alignment horizontal="center"/>
    </xf>
    <xf numFmtId="0" fontId="14" fillId="0" borderId="0"/>
    <xf numFmtId="2" fontId="16" fillId="0" borderId="0">
      <alignment horizontal="center"/>
    </xf>
    <xf numFmtId="0" fontId="14" fillId="0" borderId="0"/>
    <xf numFmtId="0" fontId="24" fillId="0" borderId="0"/>
    <xf numFmtId="0" fontId="14" fillId="0" borderId="0"/>
    <xf numFmtId="0" fontId="14" fillId="0" borderId="0"/>
    <xf numFmtId="0" fontId="24" fillId="0" borderId="0"/>
    <xf numFmtId="2" fontId="16" fillId="0" borderId="0">
      <alignment horizontal="center"/>
    </xf>
    <xf numFmtId="0" fontId="50" fillId="0" borderId="0"/>
    <xf numFmtId="0" fontId="50" fillId="0" borderId="0"/>
    <xf numFmtId="0" fontId="24" fillId="0" borderId="0"/>
    <xf numFmtId="0" fontId="24" fillId="0" borderId="0"/>
    <xf numFmtId="0" fontId="14" fillId="0" borderId="0"/>
    <xf numFmtId="0" fontId="24" fillId="0" borderId="0"/>
    <xf numFmtId="0" fontId="14" fillId="0" borderId="0"/>
    <xf numFmtId="2" fontId="16" fillId="0" borderId="0">
      <alignment horizontal="center"/>
    </xf>
    <xf numFmtId="0" fontId="14" fillId="0" borderId="0"/>
    <xf numFmtId="0" fontId="50" fillId="0" borderId="0"/>
    <xf numFmtId="0" fontId="50" fillId="0" borderId="0"/>
    <xf numFmtId="0" fontId="14" fillId="0" borderId="0"/>
    <xf numFmtId="0" fontId="14" fillId="0" borderId="0"/>
    <xf numFmtId="2" fontId="16" fillId="0" borderId="0">
      <alignment horizontal="center"/>
    </xf>
    <xf numFmtId="0" fontId="24" fillId="0" borderId="0"/>
    <xf numFmtId="0" fontId="50" fillId="0" borderId="0"/>
    <xf numFmtId="2" fontId="16" fillId="0" borderId="0">
      <alignment horizontal="center"/>
    </xf>
    <xf numFmtId="0" fontId="50" fillId="0" borderId="0"/>
    <xf numFmtId="0" fontId="50" fillId="0" borderId="0"/>
    <xf numFmtId="0" fontId="24" fillId="0" borderId="0"/>
    <xf numFmtId="0" fontId="14" fillId="0" borderId="0"/>
    <xf numFmtId="2" fontId="16" fillId="0" borderId="0">
      <alignment horizontal="center"/>
    </xf>
    <xf numFmtId="0" fontId="14" fillId="0" borderId="0"/>
    <xf numFmtId="0" fontId="50" fillId="0" borderId="0"/>
    <xf numFmtId="0" fontId="50" fillId="0" borderId="0"/>
    <xf numFmtId="0" fontId="14" fillId="0" borderId="0"/>
    <xf numFmtId="0" fontId="14" fillId="0" borderId="0"/>
    <xf numFmtId="2" fontId="16" fillId="0" borderId="0">
      <alignment horizontal="center"/>
    </xf>
    <xf numFmtId="0" fontId="24" fillId="0" borderId="0"/>
    <xf numFmtId="0" fontId="14" fillId="0" borderId="0"/>
    <xf numFmtId="2" fontId="16" fillId="0" borderId="0">
      <alignment horizontal="center"/>
    </xf>
    <xf numFmtId="0" fontId="50" fillId="0" borderId="0"/>
    <xf numFmtId="0" fontId="50" fillId="0" borderId="0"/>
    <xf numFmtId="2" fontId="16" fillId="0" borderId="0">
      <alignment horizontal="center"/>
    </xf>
    <xf numFmtId="0" fontId="50" fillId="0" borderId="0"/>
    <xf numFmtId="0" fontId="24" fillId="0" borderId="0"/>
    <xf numFmtId="0" fontId="14" fillId="0" borderId="0"/>
    <xf numFmtId="0" fontId="24" fillId="0" borderId="0"/>
    <xf numFmtId="2" fontId="16" fillId="0" borderId="0">
      <alignment horizontal="center"/>
    </xf>
    <xf numFmtId="0" fontId="50" fillId="0" borderId="0"/>
    <xf numFmtId="0" fontId="50" fillId="0" borderId="0"/>
    <xf numFmtId="0" fontId="24" fillId="0" borderId="0"/>
    <xf numFmtId="0" fontId="50" fillId="0" borderId="0"/>
    <xf numFmtId="0" fontId="14" fillId="0" borderId="0"/>
    <xf numFmtId="2" fontId="16" fillId="0" borderId="0">
      <alignment horizontal="center"/>
    </xf>
    <xf numFmtId="0" fontId="50" fillId="0" borderId="0"/>
    <xf numFmtId="0" fontId="50" fillId="0" borderId="0"/>
    <xf numFmtId="0" fontId="14" fillId="0" borderId="0"/>
    <xf numFmtId="0" fontId="14" fillId="0" borderId="0"/>
    <xf numFmtId="0" fontId="14" fillId="0" borderId="0"/>
    <xf numFmtId="2" fontId="16" fillId="0" borderId="0">
      <alignment horizontal="center"/>
    </xf>
    <xf numFmtId="0" fontId="50" fillId="0" borderId="0"/>
    <xf numFmtId="0" fontId="50" fillId="0" borderId="0"/>
    <xf numFmtId="0" fontId="24" fillId="0" borderId="0"/>
    <xf numFmtId="2" fontId="16" fillId="0" borderId="0">
      <alignment horizontal="center"/>
    </xf>
    <xf numFmtId="0" fontId="50" fillId="0" borderId="0"/>
    <xf numFmtId="0" fontId="50" fillId="0" borderId="0"/>
    <xf numFmtId="2" fontId="16" fillId="0" borderId="0">
      <alignment horizontal="center"/>
    </xf>
    <xf numFmtId="0" fontId="14" fillId="0" borderId="0"/>
    <xf numFmtId="0" fontId="50" fillId="0" borderId="0"/>
    <xf numFmtId="0" fontId="14" fillId="0" borderId="0"/>
    <xf numFmtId="2" fontId="16" fillId="0" borderId="0">
      <alignment horizontal="center"/>
    </xf>
    <xf numFmtId="2" fontId="16" fillId="0" borderId="0">
      <alignment horizontal="center"/>
    </xf>
    <xf numFmtId="0" fontId="50" fillId="0" borderId="0"/>
    <xf numFmtId="2" fontId="16" fillId="0" borderId="0">
      <alignment horizontal="center"/>
    </xf>
    <xf numFmtId="0" fontId="14" fillId="0" borderId="0"/>
    <xf numFmtId="0" fontId="50" fillId="0" borderId="0"/>
    <xf numFmtId="0" fontId="50" fillId="0" borderId="0"/>
    <xf numFmtId="0" fontId="50" fillId="0" borderId="0"/>
    <xf numFmtId="0" fontId="14" fillId="0" borderId="0"/>
    <xf numFmtId="0" fontId="50" fillId="0" borderId="0"/>
    <xf numFmtId="0" fontId="14" fillId="0" borderId="0"/>
    <xf numFmtId="2" fontId="16" fillId="0" borderId="0">
      <alignment horizontal="center"/>
    </xf>
    <xf numFmtId="0" fontId="50" fillId="0" borderId="0"/>
    <xf numFmtId="0" fontId="14" fillId="0" borderId="0"/>
    <xf numFmtId="2" fontId="16" fillId="0" borderId="0">
      <alignment horizontal="center"/>
    </xf>
    <xf numFmtId="0" fontId="50" fillId="0" borderId="0"/>
    <xf numFmtId="0" fontId="50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4" fillId="0" borderId="0"/>
    <xf numFmtId="2" fontId="16" fillId="0" borderId="0">
      <alignment horizontal="center"/>
    </xf>
    <xf numFmtId="0" fontId="14" fillId="0" borderId="0"/>
    <xf numFmtId="2" fontId="16" fillId="0" borderId="0">
      <alignment horizontal="center"/>
    </xf>
    <xf numFmtId="0" fontId="14" fillId="0" borderId="0"/>
    <xf numFmtId="0" fontId="50" fillId="0" borderId="0"/>
    <xf numFmtId="0" fontId="14" fillId="0" borderId="0"/>
    <xf numFmtId="0" fontId="50" fillId="0" borderId="0"/>
    <xf numFmtId="0" fontId="24" fillId="0" borderId="0"/>
    <xf numFmtId="0" fontId="14" fillId="0" borderId="0"/>
    <xf numFmtId="0" fontId="14" fillId="0" borderId="0"/>
    <xf numFmtId="2" fontId="16" fillId="0" borderId="0">
      <alignment horizontal="center"/>
    </xf>
    <xf numFmtId="0" fontId="43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14" fillId="0" borderId="0"/>
    <xf numFmtId="0" fontId="24" fillId="0" borderId="0"/>
    <xf numFmtId="0" fontId="14" fillId="0" borderId="0"/>
    <xf numFmtId="0" fontId="14" fillId="0" borderId="0"/>
    <xf numFmtId="2" fontId="16" fillId="0" borderId="0">
      <alignment horizontal="center"/>
    </xf>
    <xf numFmtId="2" fontId="16" fillId="0" borderId="0">
      <alignment horizontal="center"/>
    </xf>
    <xf numFmtId="0" fontId="24" fillId="0" borderId="0"/>
    <xf numFmtId="0" fontId="50" fillId="0" borderId="0"/>
    <xf numFmtId="2" fontId="16" fillId="0" borderId="0">
      <alignment horizontal="center"/>
    </xf>
    <xf numFmtId="0" fontId="24" fillId="0" borderId="0"/>
    <xf numFmtId="0" fontId="50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4" fillId="0" borderId="0"/>
    <xf numFmtId="2" fontId="16" fillId="0" borderId="0">
      <alignment horizontal="center"/>
    </xf>
    <xf numFmtId="0" fontId="51" fillId="0" borderId="0"/>
    <xf numFmtId="0" fontId="50" fillId="0" borderId="0"/>
    <xf numFmtId="0" fontId="14" fillId="0" borderId="0"/>
    <xf numFmtId="0" fontId="50" fillId="0" borderId="0"/>
    <xf numFmtId="0" fontId="50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50" fillId="0" borderId="0"/>
    <xf numFmtId="2" fontId="16" fillId="0" borderId="0">
      <alignment horizontal="center"/>
    </xf>
    <xf numFmtId="0" fontId="51" fillId="0" borderId="0"/>
    <xf numFmtId="0" fontId="50" fillId="0" borderId="0"/>
    <xf numFmtId="0" fontId="50" fillId="0" borderId="0"/>
    <xf numFmtId="0" fontId="50" fillId="0" borderId="0"/>
    <xf numFmtId="0" fontId="14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4" fillId="0" borderId="0"/>
    <xf numFmtId="2" fontId="16" fillId="0" borderId="0">
      <alignment horizontal="center"/>
    </xf>
    <xf numFmtId="0" fontId="51" fillId="0" borderId="0"/>
    <xf numFmtId="0" fontId="50" fillId="0" borderId="0"/>
    <xf numFmtId="0" fontId="50" fillId="0" borderId="0"/>
    <xf numFmtId="0" fontId="14" fillId="0" borderId="0"/>
    <xf numFmtId="2" fontId="16" fillId="0" borderId="0">
      <alignment horizontal="center"/>
    </xf>
    <xf numFmtId="0" fontId="50" fillId="0" borderId="0"/>
    <xf numFmtId="0" fontId="24" fillId="0" borderId="0"/>
    <xf numFmtId="0" fontId="14" fillId="0" borderId="0"/>
    <xf numFmtId="0" fontId="50" fillId="0" borderId="0"/>
    <xf numFmtId="0" fontId="14" fillId="0" borderId="0"/>
    <xf numFmtId="2" fontId="16" fillId="0" borderId="0">
      <alignment horizontal="center"/>
    </xf>
    <xf numFmtId="0" fontId="50" fillId="0" borderId="0"/>
    <xf numFmtId="0" fontId="50" fillId="0" borderId="0"/>
    <xf numFmtId="0" fontId="50" fillId="0" borderId="0"/>
    <xf numFmtId="2" fontId="16" fillId="0" borderId="0">
      <alignment horizont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4" fillId="0" borderId="0"/>
    <xf numFmtId="2" fontId="16" fillId="0" borderId="0">
      <alignment horizontal="center"/>
    </xf>
    <xf numFmtId="2" fontId="16" fillId="0" borderId="0">
      <alignment horizontal="center"/>
    </xf>
    <xf numFmtId="0" fontId="50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50" fillId="0" borderId="0"/>
    <xf numFmtId="0" fontId="14" fillId="0" borderId="0"/>
    <xf numFmtId="0" fontId="50" fillId="0" borderId="0"/>
    <xf numFmtId="0" fontId="14" fillId="0" borderId="0"/>
    <xf numFmtId="0" fontId="50" fillId="0" borderId="0"/>
    <xf numFmtId="0" fontId="50" fillId="0" borderId="0"/>
    <xf numFmtId="0" fontId="14" fillId="0" borderId="0"/>
    <xf numFmtId="2" fontId="16" fillId="0" borderId="0">
      <alignment horizontal="center"/>
    </xf>
    <xf numFmtId="0" fontId="50" fillId="0" borderId="0"/>
    <xf numFmtId="0" fontId="50" fillId="0" borderId="0"/>
    <xf numFmtId="0" fontId="50" fillId="0" borderId="0"/>
    <xf numFmtId="0" fontId="22" fillId="0" borderId="0"/>
    <xf numFmtId="0" fontId="51" fillId="0" borderId="0"/>
    <xf numFmtId="0" fontId="50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14" fillId="0" borderId="0"/>
    <xf numFmtId="2" fontId="16" fillId="0" borderId="0">
      <alignment horizontal="center"/>
    </xf>
    <xf numFmtId="0" fontId="14" fillId="0" borderId="0"/>
    <xf numFmtId="0" fontId="14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50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50" fillId="0" borderId="0"/>
    <xf numFmtId="0" fontId="14" fillId="0" borderId="0"/>
    <xf numFmtId="0" fontId="51" fillId="0" borderId="0"/>
    <xf numFmtId="43" fontId="24" fillId="0" borderId="0" applyFont="0" applyFill="0" applyBorder="0" applyAlignment="0" applyProtection="0"/>
    <xf numFmtId="0" fontId="50" fillId="0" borderId="0"/>
    <xf numFmtId="0" fontId="14" fillId="0" borderId="0"/>
    <xf numFmtId="0" fontId="50" fillId="0" borderId="0"/>
    <xf numFmtId="0" fontId="14" fillId="0" borderId="0"/>
    <xf numFmtId="2" fontId="16" fillId="0" borderId="0">
      <alignment horizontal="center"/>
    </xf>
    <xf numFmtId="0" fontId="50" fillId="0" borderId="0"/>
    <xf numFmtId="0" fontId="50" fillId="0" borderId="0"/>
    <xf numFmtId="0" fontId="51" fillId="0" borderId="0"/>
    <xf numFmtId="2" fontId="16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16" fillId="0" borderId="0">
      <alignment horizontal="center"/>
    </xf>
    <xf numFmtId="0" fontId="50" fillId="0" borderId="0"/>
    <xf numFmtId="2" fontId="16" fillId="0" borderId="0">
      <alignment horizontal="center"/>
    </xf>
    <xf numFmtId="0" fontId="50" fillId="0" borderId="0"/>
    <xf numFmtId="0" fontId="24" fillId="0" borderId="0"/>
    <xf numFmtId="0" fontId="14" fillId="0" borderId="0"/>
    <xf numFmtId="2" fontId="16" fillId="0" borderId="0">
      <alignment horizontal="center"/>
    </xf>
    <xf numFmtId="0" fontId="22" fillId="0" borderId="0"/>
    <xf numFmtId="0" fontId="14" fillId="0" borderId="0"/>
    <xf numFmtId="0" fontId="22" fillId="0" borderId="0"/>
    <xf numFmtId="43" fontId="14" fillId="0" borderId="0" applyFont="0" applyFill="0" applyBorder="0" applyAlignment="0" applyProtection="0"/>
  </cellStyleXfs>
  <cellXfs count="419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lef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49" fontId="11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0" fillId="0" borderId="0" xfId="0" applyAlignment="1"/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Continuous"/>
    </xf>
    <xf numFmtId="0" fontId="16" fillId="0" borderId="0" xfId="0" applyFont="1"/>
    <xf numFmtId="49" fontId="18" fillId="0" borderId="0" xfId="0" applyNumberFormat="1" applyFont="1" applyAlignment="1">
      <alignment horizontal="centerContinuous" vertical="top"/>
    </xf>
    <xf numFmtId="49" fontId="16" fillId="0" borderId="0" xfId="0" applyNumberFormat="1" applyFont="1"/>
    <xf numFmtId="0" fontId="19" fillId="2" borderId="1" xfId="0" applyFont="1" applyFill="1" applyBorder="1" applyAlignment="1">
      <alignment horizontal="center" vertical="center" wrapText="1"/>
    </xf>
    <xf numFmtId="49" fontId="16" fillId="0" borderId="0" xfId="0" applyNumberFormat="1" applyFont="1" applyFill="1"/>
    <xf numFmtId="0" fontId="16" fillId="0" borderId="0" xfId="0" applyFont="1" applyFill="1"/>
    <xf numFmtId="44" fontId="16" fillId="0" borderId="0" xfId="2" applyFont="1" applyFill="1"/>
    <xf numFmtId="0" fontId="16" fillId="0" borderId="0" xfId="0" applyFont="1" applyFill="1" applyAlignment="1">
      <alignment horizontal="right"/>
    </xf>
    <xf numFmtId="0" fontId="20" fillId="0" borderId="0" xfId="0" applyFont="1" applyFill="1"/>
    <xf numFmtId="49" fontId="21" fillId="0" borderId="0" xfId="0" applyNumberFormat="1" applyFont="1" applyFill="1" applyAlignment="1">
      <alignment horizontal="left"/>
    </xf>
    <xf numFmtId="164" fontId="21" fillId="0" borderId="3" xfId="0" applyNumberFormat="1" applyFont="1" applyFill="1" applyBorder="1"/>
    <xf numFmtId="0" fontId="19" fillId="0" borderId="0" xfId="0" applyFont="1" applyFill="1"/>
    <xf numFmtId="165" fontId="11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/>
    <xf numFmtId="0" fontId="0" fillId="0" borderId="0" xfId="0" applyAlignment="1"/>
    <xf numFmtId="0" fontId="2" fillId="0" borderId="0" xfId="0" applyFont="1"/>
    <xf numFmtId="49" fontId="2" fillId="0" borderId="0" xfId="0" applyNumberFormat="1" applyFont="1"/>
    <xf numFmtId="0" fontId="16" fillId="4" borderId="0" xfId="0" applyFont="1" applyFill="1"/>
    <xf numFmtId="49" fontId="2" fillId="4" borderId="0" xfId="0" applyNumberFormat="1" applyFont="1" applyFill="1"/>
    <xf numFmtId="0" fontId="2" fillId="4" borderId="0" xfId="0" applyFont="1" applyFill="1"/>
    <xf numFmtId="0" fontId="16" fillId="4" borderId="0" xfId="0" applyFont="1" applyFill="1" applyAlignment="1">
      <alignment horizontal="right"/>
    </xf>
    <xf numFmtId="0" fontId="20" fillId="4" borderId="0" xfId="0" applyFont="1" applyFill="1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4" borderId="0" xfId="0" applyNumberFormat="1" applyFont="1" applyFill="1"/>
    <xf numFmtId="164" fontId="12" fillId="4" borderId="0" xfId="0" applyNumberFormat="1" applyFont="1" applyFill="1"/>
    <xf numFmtId="49" fontId="19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/>
    <xf numFmtId="44" fontId="2" fillId="0" borderId="0" xfId="0" applyNumberFormat="1" applyFont="1" applyFill="1"/>
    <xf numFmtId="164" fontId="2" fillId="0" borderId="0" xfId="0" applyNumberFormat="1" applyFont="1" applyFill="1"/>
    <xf numFmtId="164" fontId="16" fillId="0" borderId="0" xfId="0" applyNumberFormat="1" applyFont="1" applyFill="1"/>
    <xf numFmtId="0" fontId="2" fillId="0" borderId="0" xfId="0" applyFont="1" applyFill="1" applyAlignment="1">
      <alignment horizontal="right"/>
    </xf>
    <xf numFmtId="164" fontId="13" fillId="0" borderId="0" xfId="0" applyNumberFormat="1" applyFont="1" applyFill="1"/>
    <xf numFmtId="0" fontId="1" fillId="0" borderId="0" xfId="0" applyFont="1" applyFill="1"/>
    <xf numFmtId="8" fontId="2" fillId="0" borderId="0" xfId="0" applyNumberFormat="1" applyFont="1" applyFill="1"/>
    <xf numFmtId="8" fontId="16" fillId="0" borderId="0" xfId="0" applyNumberFormat="1" applyFont="1" applyFill="1"/>
    <xf numFmtId="44" fontId="16" fillId="0" borderId="0" xfId="0" applyNumberFormat="1" applyFont="1"/>
    <xf numFmtId="44" fontId="16" fillId="0" borderId="0" xfId="0" applyNumberFormat="1" applyFont="1" applyFill="1"/>
    <xf numFmtId="0" fontId="2" fillId="0" borderId="0" xfId="0" applyFont="1"/>
    <xf numFmtId="44" fontId="0" fillId="0" borderId="0" xfId="0" applyNumberFormat="1"/>
    <xf numFmtId="49" fontId="2" fillId="5" borderId="0" xfId="0" applyNumberFormat="1" applyFont="1" applyFill="1"/>
    <xf numFmtId="0" fontId="2" fillId="5" borderId="0" xfId="0" applyFont="1" applyFill="1"/>
    <xf numFmtId="0" fontId="17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/>
    <xf numFmtId="0" fontId="27" fillId="0" borderId="0" xfId="5" applyFont="1" applyFill="1" applyAlignment="1" applyProtection="1">
      <alignment horizontal="left"/>
    </xf>
    <xf numFmtId="0" fontId="27" fillId="0" borderId="0" xfId="5" applyFont="1" applyFill="1" applyAlignment="1" applyProtection="1">
      <alignment horizontal="center"/>
    </xf>
    <xf numFmtId="43" fontId="17" fillId="0" borderId="0" xfId="1" applyFont="1" applyFill="1" applyAlignment="1" applyProtection="1">
      <alignment horizontal="center"/>
    </xf>
    <xf numFmtId="43" fontId="28" fillId="0" borderId="0" xfId="1" applyFont="1" applyFill="1" applyAlignment="1" applyProtection="1">
      <alignment horizontal="center"/>
    </xf>
    <xf numFmtId="0" fontId="17" fillId="0" borderId="0" xfId="0" applyFont="1" applyFill="1" applyProtection="1"/>
    <xf numFmtId="0" fontId="17" fillId="0" borderId="0" xfId="0" applyFont="1" applyProtection="1"/>
    <xf numFmtId="0" fontId="29" fillId="0" borderId="0" xfId="5" applyFont="1" applyFill="1" applyAlignment="1" applyProtection="1">
      <alignment horizontal="left"/>
    </xf>
    <xf numFmtId="0" fontId="29" fillId="0" borderId="0" xfId="5" applyFont="1" applyFill="1" applyAlignment="1" applyProtection="1">
      <alignment horizontal="center"/>
    </xf>
    <xf numFmtId="15" fontId="27" fillId="0" borderId="0" xfId="5" applyNumberFormat="1" applyFont="1" applyFill="1" applyAlignment="1" applyProtection="1">
      <alignment horizontal="left"/>
    </xf>
    <xf numFmtId="15" fontId="27" fillId="0" borderId="0" xfId="5" applyNumberFormat="1" applyFont="1" applyFill="1" applyAlignment="1" applyProtection="1">
      <alignment horizontal="center"/>
    </xf>
    <xf numFmtId="0" fontId="28" fillId="0" borderId="0" xfId="0" applyFont="1"/>
    <xf numFmtId="43" fontId="17" fillId="0" borderId="0" xfId="1" applyFont="1"/>
    <xf numFmtId="43" fontId="28" fillId="0" borderId="0" xfId="1" applyFont="1"/>
    <xf numFmtId="43" fontId="17" fillId="0" borderId="0" xfId="1" applyFont="1" applyFill="1"/>
    <xf numFmtId="3" fontId="28" fillId="6" borderId="6" xfId="0" applyNumberFormat="1" applyFont="1" applyFill="1" applyBorder="1"/>
    <xf numFmtId="0" fontId="28" fillId="0" borderId="0" xfId="0" applyFont="1" applyFill="1"/>
    <xf numFmtId="43" fontId="28" fillId="6" borderId="6" xfId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7" fillId="0" borderId="6" xfId="0" applyFont="1" applyBorder="1"/>
    <xf numFmtId="0" fontId="17" fillId="9" borderId="6" xfId="0" applyFont="1" applyFill="1" applyBorder="1"/>
    <xf numFmtId="4" fontId="17" fillId="0" borderId="6" xfId="0" applyNumberFormat="1" applyFont="1" applyBorder="1"/>
    <xf numFmtId="43" fontId="17" fillId="0" borderId="6" xfId="1" applyFont="1" applyBorder="1"/>
    <xf numFmtId="43" fontId="17" fillId="9" borderId="6" xfId="1" applyFont="1" applyFill="1" applyBorder="1"/>
    <xf numFmtId="43" fontId="25" fillId="9" borderId="6" xfId="1" applyFont="1" applyFill="1" applyBorder="1"/>
    <xf numFmtId="43" fontId="28" fillId="10" borderId="6" xfId="1" applyFont="1" applyFill="1" applyBorder="1"/>
    <xf numFmtId="43" fontId="24" fillId="11" borderId="6" xfId="1" applyFont="1" applyFill="1" applyBorder="1"/>
    <xf numFmtId="43" fontId="24" fillId="12" borderId="6" xfId="1" applyFont="1" applyFill="1" applyBorder="1"/>
    <xf numFmtId="43" fontId="24" fillId="12" borderId="6" xfId="1" applyFont="1" applyFill="1" applyBorder="1" applyAlignment="1">
      <alignment horizontal="center"/>
    </xf>
    <xf numFmtId="0" fontId="17" fillId="12" borderId="6" xfId="0" applyFont="1" applyFill="1" applyBorder="1"/>
    <xf numFmtId="0" fontId="0" fillId="12" borderId="0" xfId="0" applyFill="1"/>
    <xf numFmtId="43" fontId="17" fillId="0" borderId="6" xfId="1" applyFont="1" applyFill="1" applyBorder="1" applyAlignment="1">
      <alignment horizontal="center"/>
    </xf>
    <xf numFmtId="43" fontId="17" fillId="13" borderId="6" xfId="1" applyFont="1" applyFill="1" applyBorder="1" applyAlignment="1">
      <alignment horizontal="center"/>
    </xf>
    <xf numFmtId="43" fontId="28" fillId="14" borderId="6" xfId="1" applyFont="1" applyFill="1" applyBorder="1"/>
    <xf numFmtId="0" fontId="17" fillId="0" borderId="0" xfId="0" applyFont="1" applyFill="1"/>
    <xf numFmtId="43" fontId="17" fillId="0" borderId="0" xfId="0" applyNumberFormat="1" applyFont="1" applyFill="1"/>
    <xf numFmtId="0" fontId="17" fillId="9" borderId="0" xfId="0" applyFont="1" applyFill="1"/>
    <xf numFmtId="0" fontId="0" fillId="12" borderId="6" xfId="0" applyFill="1" applyBorder="1"/>
    <xf numFmtId="0" fontId="17" fillId="0" borderId="0" xfId="0" applyFont="1"/>
    <xf numFmtId="0" fontId="17" fillId="5" borderId="6" xfId="0" applyFont="1" applyFill="1" applyBorder="1"/>
    <xf numFmtId="43" fontId="24" fillId="0" borderId="6" xfId="1" applyFont="1" applyBorder="1"/>
    <xf numFmtId="43" fontId="24" fillId="5" borderId="6" xfId="1" applyFont="1" applyFill="1" applyBorder="1"/>
    <xf numFmtId="0" fontId="17" fillId="3" borderId="6" xfId="0" applyFont="1" applyFill="1" applyBorder="1"/>
    <xf numFmtId="14" fontId="17" fillId="3" borderId="6" xfId="0" applyNumberFormat="1" applyFont="1" applyFill="1" applyBorder="1"/>
    <xf numFmtId="4" fontId="17" fillId="3" borderId="6" xfId="0" applyNumberFormat="1" applyFont="1" applyFill="1" applyBorder="1"/>
    <xf numFmtId="43" fontId="17" fillId="3" borderId="6" xfId="1" applyFont="1" applyFill="1" applyBorder="1"/>
    <xf numFmtId="43" fontId="25" fillId="3" borderId="6" xfId="1" applyFont="1" applyFill="1" applyBorder="1"/>
    <xf numFmtId="43" fontId="28" fillId="3" borderId="6" xfId="1" applyFont="1" applyFill="1" applyBorder="1"/>
    <xf numFmtId="43" fontId="24" fillId="3" borderId="6" xfId="1" applyFont="1" applyFill="1" applyBorder="1"/>
    <xf numFmtId="43" fontId="24" fillId="3" borderId="6" xfId="1" applyFont="1" applyFill="1" applyBorder="1" applyAlignment="1">
      <alignment horizontal="center"/>
    </xf>
    <xf numFmtId="0" fontId="0" fillId="3" borderId="0" xfId="0" applyFill="1"/>
    <xf numFmtId="43" fontId="17" fillId="3" borderId="6" xfId="1" applyFont="1" applyFill="1" applyBorder="1" applyAlignment="1">
      <alignment horizontal="center"/>
    </xf>
    <xf numFmtId="0" fontId="17" fillId="3" borderId="0" xfId="0" applyFont="1" applyFill="1"/>
    <xf numFmtId="43" fontId="17" fillId="3" borderId="0" xfId="0" applyNumberFormat="1" applyFont="1" applyFill="1"/>
    <xf numFmtId="0" fontId="17" fillId="0" borderId="6" xfId="0" applyFont="1" applyFill="1" applyBorder="1"/>
    <xf numFmtId="14" fontId="17" fillId="0" borderId="6" xfId="0" applyNumberFormat="1" applyFont="1" applyBorder="1"/>
    <xf numFmtId="4" fontId="0" fillId="12" borderId="6" xfId="0" applyNumberFormat="1" applyFill="1" applyBorder="1"/>
    <xf numFmtId="0" fontId="0" fillId="0" borderId="7" xfId="0" applyFont="1" applyFill="1" applyBorder="1"/>
    <xf numFmtId="0" fontId="0" fillId="3" borderId="6" xfId="0" applyFill="1" applyBorder="1"/>
    <xf numFmtId="12" fontId="17" fillId="9" borderId="6" xfId="1" applyNumberFormat="1" applyFont="1" applyFill="1" applyBorder="1"/>
    <xf numFmtId="0" fontId="17" fillId="0" borderId="6" xfId="0" applyFont="1" applyBorder="1" applyAlignment="1">
      <alignment horizontal="right"/>
    </xf>
    <xf numFmtId="0" fontId="30" fillId="0" borderId="6" xfId="0" applyFont="1" applyFill="1" applyBorder="1"/>
    <xf numFmtId="0" fontId="0" fillId="0" borderId="6" xfId="0" applyFont="1" applyFill="1" applyBorder="1"/>
    <xf numFmtId="4" fontId="0" fillId="0" borderId="7" xfId="0" applyNumberFormat="1" applyFont="1" applyFill="1" applyBorder="1"/>
    <xf numFmtId="43" fontId="17" fillId="12" borderId="6" xfId="1" applyFont="1" applyFill="1" applyBorder="1"/>
    <xf numFmtId="0" fontId="17" fillId="12" borderId="10" xfId="0" applyFont="1" applyFill="1" applyBorder="1"/>
    <xf numFmtId="0" fontId="28" fillId="0" borderId="6" xfId="0" applyFont="1" applyFill="1" applyBorder="1"/>
    <xf numFmtId="4" fontId="17" fillId="12" borderId="6" xfId="0" applyNumberFormat="1" applyFont="1" applyFill="1" applyBorder="1"/>
    <xf numFmtId="43" fontId="17" fillId="11" borderId="6" xfId="1" applyFont="1" applyFill="1" applyBorder="1"/>
    <xf numFmtId="43" fontId="17" fillId="12" borderId="6" xfId="1" applyFont="1" applyFill="1" applyBorder="1" applyAlignment="1">
      <alignment horizontal="center"/>
    </xf>
    <xf numFmtId="0" fontId="17" fillId="0" borderId="5" xfId="0" applyFont="1" applyFill="1" applyBorder="1"/>
    <xf numFmtId="43" fontId="17" fillId="0" borderId="5" xfId="1" applyFont="1" applyFill="1" applyBorder="1"/>
    <xf numFmtId="43" fontId="28" fillId="0" borderId="6" xfId="1" applyFont="1" applyFill="1" applyBorder="1"/>
    <xf numFmtId="43" fontId="28" fillId="0" borderId="5" xfId="1" applyFont="1" applyFill="1" applyBorder="1"/>
    <xf numFmtId="0" fontId="28" fillId="0" borderId="11" xfId="0" applyFont="1" applyBorder="1"/>
    <xf numFmtId="43" fontId="28" fillId="0" borderId="11" xfId="1" applyFont="1" applyBorder="1"/>
    <xf numFmtId="43" fontId="28" fillId="15" borderId="11" xfId="1" applyFont="1" applyFill="1" applyBorder="1"/>
    <xf numFmtId="0" fontId="28" fillId="8" borderId="0" xfId="0" applyFont="1" applyFill="1" applyBorder="1" applyAlignment="1">
      <alignment horizontal="center"/>
    </xf>
    <xf numFmtId="43" fontId="17" fillId="0" borderId="6" xfId="1" applyFont="1" applyFill="1" applyBorder="1"/>
    <xf numFmtId="43" fontId="17" fillId="16" borderId="6" xfId="1" applyFont="1" applyFill="1" applyBorder="1" applyAlignment="1">
      <alignment horizontal="center"/>
    </xf>
    <xf numFmtId="0" fontId="31" fillId="0" borderId="0" xfId="0" applyFont="1"/>
    <xf numFmtId="0" fontId="17" fillId="0" borderId="0" xfId="0" applyFont="1" applyBorder="1"/>
    <xf numFmtId="0" fontId="17" fillId="4" borderId="6" xfId="0" applyFont="1" applyFill="1" applyBorder="1"/>
    <xf numFmtId="43" fontId="17" fillId="4" borderId="6" xfId="1" applyFont="1" applyFill="1" applyBorder="1"/>
    <xf numFmtId="43" fontId="25" fillId="4" borderId="6" xfId="1" applyFont="1" applyFill="1" applyBorder="1"/>
    <xf numFmtId="43" fontId="28" fillId="4" borderId="6" xfId="1" applyFont="1" applyFill="1" applyBorder="1"/>
    <xf numFmtId="43" fontId="17" fillId="4" borderId="6" xfId="1" applyFont="1" applyFill="1" applyBorder="1" applyAlignment="1">
      <alignment horizontal="center"/>
    </xf>
    <xf numFmtId="0" fontId="17" fillId="4" borderId="0" xfId="0" applyFont="1" applyFill="1"/>
    <xf numFmtId="43" fontId="17" fillId="4" borderId="0" xfId="0" applyNumberFormat="1" applyFont="1" applyFill="1"/>
    <xf numFmtId="4" fontId="17" fillId="0" borderId="6" xfId="0" applyNumberFormat="1" applyFont="1" applyFill="1" applyBorder="1"/>
    <xf numFmtId="43" fontId="25" fillId="0" borderId="6" xfId="1" applyFont="1" applyFill="1" applyBorder="1"/>
    <xf numFmtId="164" fontId="12" fillId="0" borderId="0" xfId="0" applyNumberFormat="1" applyFont="1" applyFill="1"/>
    <xf numFmtId="14" fontId="17" fillId="0" borderId="6" xfId="0" applyNumberFormat="1" applyFont="1" applyFill="1" applyBorder="1"/>
    <xf numFmtId="164" fontId="23" fillId="0" borderId="3" xfId="0" applyNumberFormat="1" applyFont="1" applyFill="1" applyBorder="1"/>
    <xf numFmtId="44" fontId="0" fillId="0" borderId="0" xfId="0" applyNumberFormat="1" applyAlignment="1"/>
    <xf numFmtId="14" fontId="17" fillId="4" borderId="6" xfId="0" applyNumberFormat="1" applyFont="1" applyFill="1" applyBorder="1"/>
    <xf numFmtId="4" fontId="17" fillId="4" borderId="6" xfId="0" applyNumberFormat="1" applyFont="1" applyFill="1" applyBorder="1"/>
    <xf numFmtId="49" fontId="2" fillId="3" borderId="0" xfId="0" applyNumberFormat="1" applyFont="1" applyFill="1"/>
    <xf numFmtId="0" fontId="2" fillId="3" borderId="0" xfId="0" applyFont="1" applyFill="1"/>
    <xf numFmtId="44" fontId="0" fillId="0" borderId="0" xfId="0" applyNumberFormat="1" applyAlignment="1">
      <alignment horizontal="center" vertical="center"/>
    </xf>
    <xf numFmtId="8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0" fillId="0" borderId="0" xfId="0" applyAlignment="1">
      <alignment wrapText="1"/>
    </xf>
    <xf numFmtId="4" fontId="0" fillId="0" borderId="0" xfId="0" applyNumberFormat="1"/>
    <xf numFmtId="0" fontId="32" fillId="17" borderId="0" xfId="0" applyFont="1" applyFill="1" applyAlignment="1">
      <alignment horizontal="right" wrapText="1"/>
    </xf>
    <xf numFmtId="0" fontId="32" fillId="17" borderId="0" xfId="0" applyFont="1" applyFill="1" applyAlignment="1">
      <alignment wrapText="1"/>
    </xf>
    <xf numFmtId="4" fontId="32" fillId="17" borderId="0" xfId="0" applyNumberFormat="1" applyFont="1" applyFill="1" applyAlignment="1">
      <alignment horizontal="right" wrapText="1"/>
    </xf>
    <xf numFmtId="0" fontId="32" fillId="18" borderId="0" xfId="0" applyFont="1" applyFill="1" applyAlignment="1">
      <alignment horizontal="right" wrapText="1"/>
    </xf>
    <xf numFmtId="0" fontId="32" fillId="18" borderId="0" xfId="0" applyFont="1" applyFill="1" applyAlignment="1">
      <alignment wrapText="1"/>
    </xf>
    <xf numFmtId="4" fontId="32" fillId="18" borderId="0" xfId="0" applyNumberFormat="1" applyFont="1" applyFill="1" applyAlignment="1">
      <alignment horizontal="right" wrapText="1"/>
    </xf>
    <xf numFmtId="0" fontId="33" fillId="0" borderId="0" xfId="0" applyFont="1"/>
    <xf numFmtId="0" fontId="32" fillId="3" borderId="0" xfId="0" applyFont="1" applyFill="1" applyAlignment="1">
      <alignment horizontal="right" wrapText="1"/>
    </xf>
    <xf numFmtId="0" fontId="32" fillId="3" borderId="0" xfId="0" applyFont="1" applyFill="1" applyAlignment="1">
      <alignment wrapText="1"/>
    </xf>
    <xf numFmtId="8" fontId="2" fillId="3" borderId="0" xfId="0" applyNumberFormat="1" applyFont="1" applyFill="1"/>
    <xf numFmtId="4" fontId="32" fillId="3" borderId="0" xfId="0" applyNumberFormat="1" applyFont="1" applyFill="1" applyAlignment="1">
      <alignment horizontal="right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7" fillId="0" borderId="0" xfId="0" applyFont="1" applyAlignment="1"/>
    <xf numFmtId="8" fontId="0" fillId="0" borderId="0" xfId="0" applyNumberFormat="1"/>
    <xf numFmtId="43" fontId="28" fillId="6" borderId="5" xfId="1" applyFont="1" applyFill="1" applyBorder="1" applyAlignment="1">
      <alignment horizontal="center" wrapText="1"/>
    </xf>
    <xf numFmtId="43" fontId="28" fillId="6" borderId="10" xfId="1" applyFont="1" applyFill="1" applyBorder="1" applyAlignment="1">
      <alignment horizontal="center" wrapText="1"/>
    </xf>
    <xf numFmtId="43" fontId="17" fillId="5" borderId="6" xfId="1" applyFont="1" applyFill="1" applyBorder="1"/>
    <xf numFmtId="0" fontId="28" fillId="4" borderId="0" xfId="0" applyFont="1" applyFill="1"/>
    <xf numFmtId="2" fontId="17" fillId="12" borderId="6" xfId="0" applyNumberFormat="1" applyFont="1" applyFill="1" applyBorder="1"/>
    <xf numFmtId="12" fontId="17" fillId="0" borderId="0" xfId="0" applyNumberFormat="1" applyFont="1" applyFill="1"/>
    <xf numFmtId="43" fontId="17" fillId="0" borderId="7" xfId="1" applyFont="1" applyFill="1" applyBorder="1"/>
    <xf numFmtId="0" fontId="28" fillId="3" borderId="0" xfId="0" applyFont="1" applyFill="1"/>
    <xf numFmtId="43" fontId="17" fillId="0" borderId="11" xfId="1" applyFont="1" applyBorder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2" fillId="0" borderId="0" xfId="1" applyFont="1" applyFill="1"/>
    <xf numFmtId="164" fontId="23" fillId="0" borderId="14" xfId="0" applyNumberFormat="1" applyFont="1" applyBorder="1"/>
    <xf numFmtId="0" fontId="9" fillId="0" borderId="0" xfId="0" applyFont="1"/>
    <xf numFmtId="0" fontId="0" fillId="0" borderId="0" xfId="0" applyFont="1" applyFill="1" applyAlignment="1">
      <alignment horizontal="center"/>
    </xf>
    <xf numFmtId="0" fontId="2" fillId="0" borderId="6" xfId="0" applyFont="1" applyFill="1" applyBorder="1"/>
    <xf numFmtId="164" fontId="23" fillId="0" borderId="14" xfId="0" applyNumberFormat="1" applyFont="1" applyFill="1" applyBorder="1"/>
    <xf numFmtId="0" fontId="11" fillId="2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8" fontId="23" fillId="0" borderId="14" xfId="0" applyNumberFormat="1" applyFont="1" applyFill="1" applyBorder="1"/>
    <xf numFmtId="49" fontId="11" fillId="0" borderId="0" xfId="0" applyNumberFormat="1" applyFont="1" applyFill="1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8" fontId="9" fillId="0" borderId="3" xfId="0" applyNumberFormat="1" applyFont="1" applyBorder="1"/>
    <xf numFmtId="164" fontId="9" fillId="0" borderId="3" xfId="0" applyNumberFormat="1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/>
    <xf numFmtId="43" fontId="0" fillId="0" borderId="0" xfId="1" applyFont="1"/>
    <xf numFmtId="43" fontId="24" fillId="0" borderId="0" xfId="1" applyFont="1" applyProtection="1"/>
    <xf numFmtId="43" fontId="24" fillId="0" borderId="0" xfId="1" applyFont="1"/>
    <xf numFmtId="43" fontId="24" fillId="0" borderId="0" xfId="1" applyFont="1" applyFill="1"/>
    <xf numFmtId="43" fontId="37" fillId="0" borderId="0" xfId="1" applyFont="1" applyFill="1"/>
    <xf numFmtId="43" fontId="16" fillId="0" borderId="0" xfId="0" applyNumberFormat="1" applyFont="1" applyFill="1"/>
    <xf numFmtId="44" fontId="2" fillId="0" borderId="0" xfId="0" applyNumberFormat="1" applyFont="1"/>
    <xf numFmtId="43" fontId="2" fillId="0" borderId="0" xfId="1" applyFont="1"/>
    <xf numFmtId="164" fontId="21" fillId="0" borderId="0" xfId="0" applyNumberFormat="1" applyFont="1" applyFill="1" applyBorder="1"/>
    <xf numFmtId="0" fontId="8" fillId="0" borderId="0" xfId="0" applyFont="1" applyAlignment="1">
      <alignment horizontal="left"/>
    </xf>
    <xf numFmtId="0" fontId="19" fillId="5" borderId="1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2" fontId="17" fillId="0" borderId="6" xfId="0" applyNumberFormat="1" applyFont="1" applyFill="1" applyBorder="1"/>
    <xf numFmtId="43" fontId="17" fillId="0" borderId="6" xfId="0" applyNumberFormat="1" applyFont="1" applyFill="1" applyBorder="1"/>
    <xf numFmtId="0" fontId="17" fillId="0" borderId="6" xfId="0" applyFont="1" applyFill="1" applyBorder="1" applyAlignment="1">
      <alignment horizontal="right"/>
    </xf>
    <xf numFmtId="0" fontId="0" fillId="0" borderId="6" xfId="0" applyFill="1" applyBorder="1"/>
    <xf numFmtId="12" fontId="17" fillId="0" borderId="6" xfId="1" applyNumberFormat="1" applyFont="1" applyFill="1" applyBorder="1"/>
    <xf numFmtId="0" fontId="0" fillId="0" borderId="0" xfId="0" applyFill="1"/>
    <xf numFmtId="0" fontId="0" fillId="19" borderId="16" xfId="0" applyFont="1" applyFill="1" applyBorder="1" applyAlignment="1">
      <alignment horizontal="center"/>
    </xf>
    <xf numFmtId="0" fontId="38" fillId="0" borderId="0" xfId="0" applyFont="1" applyFill="1"/>
    <xf numFmtId="0" fontId="21" fillId="0" borderId="0" xfId="0" applyFont="1" applyFill="1" applyAlignment="1">
      <alignment horizontal="right"/>
    </xf>
    <xf numFmtId="43" fontId="36" fillId="0" borderId="6" xfId="1" applyFont="1" applyFill="1" applyBorder="1"/>
    <xf numFmtId="0" fontId="36" fillId="0" borderId="0" xfId="0" applyFont="1" applyFill="1"/>
    <xf numFmtId="0" fontId="31" fillId="0" borderId="0" xfId="0" applyFont="1" applyFill="1"/>
    <xf numFmtId="43" fontId="28" fillId="0" borderId="0" xfId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/>
    <xf numFmtId="164" fontId="2" fillId="0" borderId="0" xfId="0" applyNumberFormat="1" applyFont="1" applyFill="1" applyBorder="1"/>
    <xf numFmtId="43" fontId="2" fillId="0" borderId="0" xfId="1" applyFont="1" applyFill="1" applyBorder="1"/>
    <xf numFmtId="43" fontId="23" fillId="0" borderId="0" xfId="1" applyFont="1" applyFill="1" applyBorder="1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43" fontId="28" fillId="6" borderId="6" xfId="1" applyFont="1" applyFill="1" applyBorder="1" applyAlignment="1">
      <alignment horizontal="center" wrapText="1"/>
    </xf>
    <xf numFmtId="43" fontId="28" fillId="6" borderId="5" xfId="1" applyFont="1" applyFill="1" applyBorder="1" applyAlignment="1">
      <alignment horizontal="center" vertical="center" wrapText="1"/>
    </xf>
    <xf numFmtId="43" fontId="28" fillId="6" borderId="10" xfId="1" applyFont="1" applyFill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43" fontId="24" fillId="6" borderId="6" xfId="1" applyFont="1" applyFill="1" applyBorder="1" applyAlignment="1">
      <alignment horizontal="center" vertical="center" wrapText="1"/>
    </xf>
    <xf numFmtId="49" fontId="16" fillId="4" borderId="0" xfId="0" applyNumberFormat="1" applyFont="1" applyFill="1"/>
    <xf numFmtId="0" fontId="0" fillId="0" borderId="0" xfId="0"/>
    <xf numFmtId="4" fontId="22" fillId="0" borderId="0" xfId="4" applyNumberFormat="1"/>
    <xf numFmtId="0" fontId="22" fillId="0" borderId="0" xfId="4" applyFill="1"/>
    <xf numFmtId="0" fontId="28" fillId="0" borderId="0" xfId="0" applyFont="1" applyFill="1" applyBorder="1"/>
    <xf numFmtId="0" fontId="17" fillId="0" borderId="0" xfId="0" applyFont="1" applyFill="1" applyBorder="1"/>
    <xf numFmtId="43" fontId="17" fillId="0" borderId="0" xfId="1" applyFont="1" applyFill="1" applyBorder="1"/>
    <xf numFmtId="0" fontId="2" fillId="0" borderId="0" xfId="6" applyFont="1" applyFill="1"/>
    <xf numFmtId="0" fontId="40" fillId="0" borderId="0" xfId="0" applyFont="1" applyFill="1"/>
    <xf numFmtId="0" fontId="41" fillId="0" borderId="0" xfId="0" applyFont="1" applyFill="1"/>
    <xf numFmtId="0" fontId="28" fillId="0" borderId="11" xfId="0" applyFont="1" applyFill="1" applyBorder="1"/>
    <xf numFmtId="43" fontId="28" fillId="0" borderId="11" xfId="1" applyFont="1" applyFill="1" applyBorder="1"/>
    <xf numFmtId="43" fontId="24" fillId="0" borderId="11" xfId="1" applyFont="1" applyFill="1" applyBorder="1"/>
    <xf numFmtId="164" fontId="24" fillId="0" borderId="0" xfId="1" applyNumberFormat="1" applyFont="1" applyFill="1"/>
    <xf numFmtId="0" fontId="39" fillId="0" borderId="0" xfId="0" applyFont="1" applyFill="1"/>
    <xf numFmtId="0" fontId="28" fillId="0" borderId="0" xfId="0" applyFont="1" applyFill="1" applyBorder="1" applyAlignment="1">
      <alignment horizontal="center"/>
    </xf>
    <xf numFmtId="49" fontId="38" fillId="0" borderId="0" xfId="0" applyNumberFormat="1" applyFont="1" applyFill="1"/>
    <xf numFmtId="44" fontId="38" fillId="0" borderId="0" xfId="2" applyFont="1" applyFill="1"/>
    <xf numFmtId="8" fontId="38" fillId="0" borderId="0" xfId="0" applyNumberFormat="1" applyFont="1" applyFill="1"/>
    <xf numFmtId="44" fontId="38" fillId="0" borderId="0" xfId="0" applyNumberFormat="1" applyFont="1" applyFill="1"/>
    <xf numFmtId="43" fontId="24" fillId="0" borderId="6" xfId="1" applyFont="1" applyFill="1" applyBorder="1"/>
    <xf numFmtId="0" fontId="40" fillId="0" borderId="6" xfId="0" applyFont="1" applyFill="1" applyBorder="1"/>
    <xf numFmtId="14" fontId="40" fillId="0" borderId="6" xfId="0" applyNumberFormat="1" applyFont="1" applyFill="1" applyBorder="1"/>
    <xf numFmtId="43" fontId="40" fillId="0" borderId="6" xfId="1" applyFont="1" applyFill="1" applyBorder="1"/>
    <xf numFmtId="4" fontId="40" fillId="0" borderId="6" xfId="0" applyNumberFormat="1" applyFont="1" applyFill="1" applyBorder="1"/>
    <xf numFmtId="43" fontId="40" fillId="0" borderId="6" xfId="1" applyFont="1" applyFill="1" applyBorder="1" applyAlignment="1">
      <alignment horizontal="center"/>
    </xf>
    <xf numFmtId="164" fontId="21" fillId="4" borderId="3" xfId="0" applyNumberFormat="1" applyFont="1" applyFill="1" applyBorder="1"/>
    <xf numFmtId="0" fontId="19" fillId="4" borderId="13" xfId="0" applyFont="1" applyFill="1" applyBorder="1" applyAlignment="1">
      <alignment horizontal="center"/>
    </xf>
    <xf numFmtId="0" fontId="24" fillId="0" borderId="0" xfId="7"/>
    <xf numFmtId="0" fontId="24" fillId="0" borderId="0" xfId="7" quotePrefix="1"/>
    <xf numFmtId="0" fontId="0" fillId="0" borderId="0" xfId="0" applyNumberFormat="1"/>
    <xf numFmtId="0" fontId="24" fillId="4" borderId="0" xfId="7" quotePrefix="1" applyFill="1"/>
    <xf numFmtId="0" fontId="24" fillId="4" borderId="0" xfId="7" applyFill="1"/>
    <xf numFmtId="0" fontId="0" fillId="4" borderId="0" xfId="0" applyFill="1"/>
    <xf numFmtId="0" fontId="0" fillId="4" borderId="0" xfId="0" applyNumberFormat="1" applyFill="1"/>
    <xf numFmtId="0" fontId="0" fillId="20" borderId="16" xfId="0" applyFont="1" applyFill="1" applyBorder="1" applyAlignment="1">
      <alignment horizontal="right"/>
    </xf>
    <xf numFmtId="0" fontId="0" fillId="19" borderId="16" xfId="0" applyFont="1" applyFill="1" applyBorder="1" applyAlignment="1">
      <alignment horizontal="right"/>
    </xf>
    <xf numFmtId="44" fontId="17" fillId="0" borderId="6" xfId="0" applyNumberFormat="1" applyFont="1" applyFill="1" applyBorder="1"/>
    <xf numFmtId="44" fontId="16" fillId="4" borderId="0" xfId="2" applyFont="1" applyFill="1"/>
    <xf numFmtId="0" fontId="0" fillId="0" borderId="0" xfId="0"/>
    <xf numFmtId="0" fontId="45" fillId="0" borderId="0" xfId="10"/>
    <xf numFmtId="2" fontId="49" fillId="21" borderId="17" xfId="13" applyFont="1" applyFill="1" applyBorder="1">
      <alignment horizontal="center"/>
    </xf>
    <xf numFmtId="49" fontId="2" fillId="0" borderId="0" xfId="222" applyNumberFormat="1" applyFont="1"/>
    <xf numFmtId="43" fontId="49" fillId="21" borderId="18" xfId="1" applyFont="1" applyFill="1" applyBorder="1" applyAlignment="1">
      <alignment horizontal="center"/>
    </xf>
    <xf numFmtId="164" fontId="9" fillId="0" borderId="0" xfId="0" applyNumberFormat="1" applyFont="1" applyFill="1" applyBorder="1"/>
    <xf numFmtId="164" fontId="0" fillId="0" borderId="0" xfId="1" applyNumberFormat="1" applyFont="1"/>
    <xf numFmtId="0" fontId="44" fillId="0" borderId="0" xfId="0" applyFont="1"/>
    <xf numFmtId="164" fontId="2" fillId="0" borderId="14" xfId="0" applyNumberFormat="1" applyFont="1" applyFill="1" applyBorder="1"/>
    <xf numFmtId="164" fontId="23" fillId="0" borderId="0" xfId="0" applyNumberFormat="1" applyFont="1" applyFill="1"/>
    <xf numFmtId="0" fontId="45" fillId="0" borderId="0" xfId="10" applyAlignment="1">
      <alignment horizontal="left"/>
    </xf>
    <xf numFmtId="0" fontId="45" fillId="5" borderId="0" xfId="10" applyFill="1"/>
    <xf numFmtId="0" fontId="2" fillId="5" borderId="0" xfId="6" applyFont="1" applyFill="1"/>
    <xf numFmtId="0" fontId="17" fillId="5" borderId="0" xfId="0" applyFont="1" applyFill="1"/>
    <xf numFmtId="44" fontId="16" fillId="5" borderId="0" xfId="0" applyNumberFormat="1" applyFont="1" applyFill="1"/>
    <xf numFmtId="0" fontId="0" fillId="0" borderId="0" xfId="0"/>
    <xf numFmtId="49" fontId="2" fillId="4" borderId="0" xfId="222" applyNumberFormat="1" applyFont="1" applyFill="1"/>
    <xf numFmtId="0" fontId="45" fillId="5" borderId="0" xfId="10" applyFill="1" applyAlignment="1">
      <alignment horizontal="left"/>
    </xf>
    <xf numFmtId="43" fontId="24" fillId="4" borderId="0" xfId="343" applyFont="1" applyFill="1"/>
    <xf numFmtId="8" fontId="16" fillId="5" borderId="0" xfId="0" applyNumberFormat="1" applyFont="1" applyFill="1"/>
    <xf numFmtId="0" fontId="16" fillId="5" borderId="0" xfId="0" applyFont="1" applyFill="1"/>
    <xf numFmtId="44" fontId="16" fillId="5" borderId="0" xfId="2" applyFont="1" applyFill="1"/>
    <xf numFmtId="0" fontId="17" fillId="5" borderId="0" xfId="0" applyFont="1" applyFill="1" applyBorder="1"/>
    <xf numFmtId="49" fontId="2" fillId="0" borderId="0" xfId="0" applyNumberFormat="1" applyFont="1"/>
    <xf numFmtId="0" fontId="0" fillId="5" borderId="16" xfId="0" applyFont="1" applyFill="1" applyBorder="1" applyAlignment="1">
      <alignment horizontal="right"/>
    </xf>
    <xf numFmtId="49" fontId="2" fillId="5" borderId="0" xfId="222" applyNumberFormat="1" applyFont="1" applyFill="1"/>
    <xf numFmtId="164" fontId="44" fillId="0" borderId="3" xfId="0" applyNumberFormat="1" applyFont="1" applyBorder="1"/>
    <xf numFmtId="164" fontId="0" fillId="0" borderId="0" xfId="0" applyNumberFormat="1"/>
    <xf numFmtId="49" fontId="9" fillId="0" borderId="0" xfId="0" applyNumberFormat="1" applyFont="1" applyFill="1" applyAlignment="1">
      <alignment horizontal="left"/>
    </xf>
    <xf numFmtId="0" fontId="0" fillId="5" borderId="0" xfId="0" applyFill="1"/>
    <xf numFmtId="43" fontId="24" fillId="5" borderId="0" xfId="1" applyFont="1" applyFill="1"/>
    <xf numFmtId="43" fontId="17" fillId="5" borderId="6" xfId="1" applyFont="1" applyFill="1" applyBorder="1" applyAlignment="1">
      <alignment horizontal="center"/>
    </xf>
    <xf numFmtId="49" fontId="16" fillId="5" borderId="0" xfId="0" applyNumberFormat="1" applyFont="1" applyFill="1"/>
    <xf numFmtId="49" fontId="2" fillId="0" borderId="0" xfId="222" applyNumberFormat="1" applyFont="1" applyFill="1"/>
    <xf numFmtId="0" fontId="24" fillId="5" borderId="0" xfId="266" applyFill="1"/>
    <xf numFmtId="0" fontId="2" fillId="5" borderId="0" xfId="0" applyFont="1" applyFill="1" applyBorder="1" applyAlignment="1">
      <alignment horizontal="left"/>
    </xf>
    <xf numFmtId="0" fontId="24" fillId="5" borderId="0" xfId="10" applyFont="1" applyFill="1"/>
    <xf numFmtId="43" fontId="25" fillId="5" borderId="6" xfId="1" applyFont="1" applyFill="1" applyBorder="1"/>
    <xf numFmtId="43" fontId="28" fillId="5" borderId="6" xfId="1" applyFont="1" applyFill="1" applyBorder="1"/>
    <xf numFmtId="164" fontId="2" fillId="5" borderId="0" xfId="0" applyNumberFormat="1" applyFont="1" applyFill="1"/>
    <xf numFmtId="0" fontId="24" fillId="0" borderId="0" xfId="266"/>
    <xf numFmtId="49" fontId="2" fillId="0" borderId="0" xfId="222" applyNumberFormat="1" applyFont="1"/>
    <xf numFmtId="43" fontId="0" fillId="0" borderId="0" xfId="0" applyNumberFormat="1"/>
    <xf numFmtId="0" fontId="24" fillId="0" borderId="0" xfId="361" applyFill="1"/>
    <xf numFmtId="164" fontId="9" fillId="0" borderId="0" xfId="0" applyNumberFormat="1" applyFont="1" applyFill="1"/>
    <xf numFmtId="0" fontId="2" fillId="0" borderId="0" xfId="0" applyFont="1"/>
    <xf numFmtId="164" fontId="2" fillId="0" borderId="0" xfId="0" applyNumberFormat="1" applyFont="1"/>
    <xf numFmtId="43" fontId="24" fillId="0" borderId="0" xfId="343" applyFont="1" applyFill="1"/>
    <xf numFmtId="0" fontId="24" fillId="4" borderId="0" xfId="361" applyFill="1"/>
    <xf numFmtId="164" fontId="13" fillId="0" borderId="3" xfId="0" applyNumberFormat="1" applyFont="1" applyFill="1" applyBorder="1"/>
    <xf numFmtId="0" fontId="0" fillId="0" borderId="0" xfId="0" applyAlignment="1">
      <alignment horizontal="left"/>
    </xf>
    <xf numFmtId="43" fontId="24" fillId="5" borderId="0" xfId="343" applyFont="1" applyFill="1"/>
    <xf numFmtId="0" fontId="45" fillId="0" borderId="0" xfId="10" applyFill="1" applyAlignment="1">
      <alignment horizontal="left"/>
    </xf>
    <xf numFmtId="0" fontId="24" fillId="5" borderId="0" xfId="361" applyFill="1"/>
    <xf numFmtId="0" fontId="45" fillId="0" borderId="0" xfId="10" applyFill="1"/>
    <xf numFmtId="49" fontId="2" fillId="0" borderId="0" xfId="222" applyNumberFormat="1" applyFont="1"/>
    <xf numFmtId="0" fontId="52" fillId="0" borderId="0" xfId="10" applyFont="1" applyAlignment="1">
      <alignment horizontal="left"/>
    </xf>
    <xf numFmtId="0" fontId="52" fillId="0" borderId="0" xfId="10" applyFont="1"/>
    <xf numFmtId="43" fontId="53" fillId="0" borderId="0" xfId="1" applyFont="1"/>
    <xf numFmtId="43" fontId="53" fillId="0" borderId="0" xfId="0" applyNumberFormat="1" applyFont="1"/>
    <xf numFmtId="0" fontId="53" fillId="0" borderId="0" xfId="0" applyFont="1"/>
    <xf numFmtId="49" fontId="52" fillId="0" borderId="0" xfId="222" applyNumberFormat="1" applyFont="1"/>
    <xf numFmtId="164" fontId="52" fillId="0" borderId="0" xfId="0" applyNumberFormat="1" applyFont="1" applyFill="1"/>
    <xf numFmtId="43" fontId="54" fillId="0" borderId="0" xfId="1" applyFont="1"/>
    <xf numFmtId="43" fontId="54" fillId="0" borderId="0" xfId="0" applyNumberFormat="1" applyFont="1"/>
    <xf numFmtId="164" fontId="52" fillId="0" borderId="0" xfId="0" applyNumberFormat="1" applyFont="1"/>
    <xf numFmtId="0" fontId="54" fillId="0" borderId="0" xfId="0" applyFont="1"/>
    <xf numFmtId="49" fontId="52" fillId="0" borderId="0" xfId="0" applyNumberFormat="1" applyFont="1"/>
    <xf numFmtId="0" fontId="52" fillId="0" borderId="0" xfId="0" applyFont="1"/>
    <xf numFmtId="49" fontId="55" fillId="0" borderId="0" xfId="222" applyNumberFormat="1" applyFont="1"/>
    <xf numFmtId="0" fontId="55" fillId="0" borderId="0" xfId="10" applyFont="1" applyAlignment="1">
      <alignment horizontal="left"/>
    </xf>
    <xf numFmtId="164" fontId="55" fillId="0" borderId="0" xfId="0" applyNumberFormat="1" applyFont="1" applyFill="1"/>
    <xf numFmtId="0" fontId="55" fillId="0" borderId="0" xfId="10" applyFont="1"/>
    <xf numFmtId="164" fontId="55" fillId="0" borderId="0" xfId="0" applyNumberFormat="1" applyFont="1"/>
    <xf numFmtId="49" fontId="55" fillId="0" borderId="0" xfId="0" applyNumberFormat="1" applyFont="1"/>
    <xf numFmtId="0" fontId="55" fillId="0" borderId="0" xfId="0" applyFont="1"/>
    <xf numFmtId="0" fontId="56" fillId="0" borderId="19" xfId="0" applyFont="1" applyBorder="1"/>
    <xf numFmtId="0" fontId="44" fillId="0" borderId="19" xfId="0" applyFont="1" applyBorder="1"/>
    <xf numFmtId="0" fontId="0" fillId="0" borderId="19" xfId="0" applyFont="1" applyBorder="1"/>
    <xf numFmtId="0" fontId="0" fillId="0" borderId="19" xfId="0" applyBorder="1"/>
    <xf numFmtId="14" fontId="56" fillId="0" borderId="19" xfId="0" applyNumberFormat="1" applyFont="1" applyBorder="1"/>
    <xf numFmtId="43" fontId="14" fillId="0" borderId="19" xfId="367" applyFont="1" applyBorder="1"/>
    <xf numFmtId="43" fontId="14" fillId="0" borderId="20" xfId="367" applyFont="1" applyBorder="1"/>
    <xf numFmtId="43" fontId="14" fillId="0" borderId="21" xfId="367" applyFont="1" applyBorder="1"/>
    <xf numFmtId="43" fontId="14" fillId="0" borderId="22" xfId="367" applyFont="1" applyBorder="1"/>
    <xf numFmtId="43" fontId="14" fillId="0" borderId="23" xfId="367" applyFont="1" applyBorder="1"/>
    <xf numFmtId="43" fontId="44" fillId="0" borderId="22" xfId="367" applyFont="1" applyBorder="1"/>
    <xf numFmtId="43" fontId="28" fillId="6" borderId="6" xfId="1" applyFont="1" applyFill="1" applyBorder="1" applyAlignment="1">
      <alignment horizontal="center" wrapText="1"/>
    </xf>
    <xf numFmtId="0" fontId="28" fillId="7" borderId="5" xfId="0" applyFont="1" applyFill="1" applyBorder="1" applyAlignment="1">
      <alignment horizontal="center" vertical="center" wrapText="1"/>
    </xf>
    <xf numFmtId="0" fontId="28" fillId="7" borderId="10" xfId="0" applyFont="1" applyFill="1" applyBorder="1" applyAlignment="1">
      <alignment horizontal="center" vertical="center" wrapText="1"/>
    </xf>
    <xf numFmtId="0" fontId="28" fillId="8" borderId="9" xfId="0" applyFont="1" applyFill="1" applyBorder="1" applyAlignment="1">
      <alignment horizontal="center"/>
    </xf>
    <xf numFmtId="43" fontId="24" fillId="6" borderId="7" xfId="1" applyFont="1" applyFill="1" applyBorder="1" applyAlignment="1">
      <alignment horizontal="center" wrapText="1"/>
    </xf>
    <xf numFmtId="43" fontId="24" fillId="6" borderId="8" xfId="1" applyFont="1" applyFill="1" applyBorder="1" applyAlignment="1">
      <alignment horizontal="center" wrapText="1"/>
    </xf>
    <xf numFmtId="43" fontId="24" fillId="8" borderId="9" xfId="1" applyFont="1" applyFill="1" applyBorder="1" applyAlignment="1">
      <alignment horizontal="center"/>
    </xf>
    <xf numFmtId="3" fontId="28" fillId="6" borderId="5" xfId="0" applyNumberFormat="1" applyFont="1" applyFill="1" applyBorder="1" applyAlignment="1">
      <alignment horizontal="center"/>
    </xf>
    <xf numFmtId="3" fontId="28" fillId="6" borderId="10" xfId="0" applyNumberFormat="1" applyFont="1" applyFill="1" applyBorder="1" applyAlignment="1">
      <alignment horizontal="center"/>
    </xf>
    <xf numFmtId="43" fontId="17" fillId="6" borderId="5" xfId="1" applyFont="1" applyFill="1" applyBorder="1" applyAlignment="1">
      <alignment horizontal="center" vertical="center" wrapText="1"/>
    </xf>
    <xf numFmtId="43" fontId="17" fillId="6" borderId="10" xfId="1" applyFont="1" applyFill="1" applyBorder="1" applyAlignment="1">
      <alignment horizontal="center" vertical="center" wrapText="1"/>
    </xf>
    <xf numFmtId="43" fontId="28" fillId="6" borderId="5" xfId="1" applyFont="1" applyFill="1" applyBorder="1" applyAlignment="1">
      <alignment horizontal="center" vertical="center" wrapText="1"/>
    </xf>
    <xf numFmtId="43" fontId="28" fillId="6" borderId="10" xfId="1" applyFont="1" applyFill="1" applyBorder="1" applyAlignment="1">
      <alignment horizontal="center" vertical="center" wrapText="1"/>
    </xf>
    <xf numFmtId="3" fontId="28" fillId="6" borderId="6" xfId="0" applyNumberFormat="1" applyFont="1" applyFill="1" applyBorder="1"/>
    <xf numFmtId="0" fontId="19" fillId="4" borderId="13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28" fillId="6" borderId="7" xfId="1" applyFont="1" applyFill="1" applyBorder="1" applyAlignment="1">
      <alignment horizontal="center" wrapText="1"/>
    </xf>
    <xf numFmtId="43" fontId="28" fillId="6" borderId="8" xfId="1" applyFont="1" applyFill="1" applyBorder="1" applyAlignment="1">
      <alignment horizontal="center" wrapText="1"/>
    </xf>
    <xf numFmtId="0" fontId="28" fillId="8" borderId="12" xfId="0" applyFont="1" applyFill="1" applyBorder="1" applyAlignment="1">
      <alignment horizontal="center"/>
    </xf>
  </cellXfs>
  <cellStyles count="368">
    <cellStyle name="Excel Built-in Normal" xfId="4"/>
    <cellStyle name="Excel Built-in Normal 2" xfId="14"/>
    <cellStyle name="Excel Built-in Normal 2 2" xfId="265"/>
    <cellStyle name="Excel Built-in Normal 2 2 2" xfId="282"/>
    <cellStyle name="Excel Built-in Normal 2 2 2 2" xfId="337"/>
    <cellStyle name="Excel Built-in Normal 2 2 2 3" xfId="364"/>
    <cellStyle name="Excel Built-in Normal 2 2 2 4" xfId="366"/>
    <cellStyle name="Excel Built-in Normal 2 2 3" xfId="329"/>
    <cellStyle name="Excel Built-in Normal 2 2 4" xfId="351"/>
    <cellStyle name="Excel Built-in Normal 2 3" xfId="275"/>
    <cellStyle name="Excel Built-in Normal 2 4" xfId="328"/>
    <cellStyle name="Excel Built-in Normal 2 5" xfId="316"/>
    <cellStyle name="Excel Built-in Normal 3" xfId="268"/>
    <cellStyle name="Excel Built-in Normal 4" xfId="291"/>
    <cellStyle name="Excel Built-in Normal 5" xfId="342"/>
    <cellStyle name="Followed Hyperlink" xfId="8"/>
    <cellStyle name="Followed Hyperlink 10" xfId="245"/>
    <cellStyle name="Followed Hyperlink 11" xfId="264"/>
    <cellStyle name="Followed Hyperlink 2" xfId="11"/>
    <cellStyle name="Followed Hyperlink 2 2" xfId="22"/>
    <cellStyle name="Followed Hyperlink 2 2 2" xfId="287"/>
    <cellStyle name="Followed Hyperlink 2 3" xfId="277"/>
    <cellStyle name="Followed Hyperlink 2 4" xfId="331"/>
    <cellStyle name="Followed Hyperlink 2 5" xfId="339"/>
    <cellStyle name="Followed Hyperlink 3" xfId="31"/>
    <cellStyle name="Followed Hyperlink 4" xfId="35"/>
    <cellStyle name="Followed Hyperlink 5" xfId="68"/>
    <cellStyle name="Followed Hyperlink 6" xfId="88"/>
    <cellStyle name="Followed Hyperlink 7" xfId="83"/>
    <cellStyle name="Followed Hyperlink 8" xfId="120"/>
    <cellStyle name="Followed Hyperlink 9" xfId="139"/>
    <cellStyle name="Hyperlink" xfId="9"/>
    <cellStyle name="Hyperlink 10" xfId="231"/>
    <cellStyle name="Hyperlink 11" xfId="262"/>
    <cellStyle name="Hyperlink 2" xfId="12"/>
    <cellStyle name="Hyperlink 2 2" xfId="23"/>
    <cellStyle name="Hyperlink 2 2 2" xfId="288"/>
    <cellStyle name="Hyperlink 2 3" xfId="278"/>
    <cellStyle name="Hyperlink 2 4" xfId="315"/>
    <cellStyle name="Hyperlink 2 5" xfId="336"/>
    <cellStyle name="Hyperlink 3" xfId="32"/>
    <cellStyle name="Hyperlink 4" xfId="40"/>
    <cellStyle name="Hyperlink 5" xfId="59"/>
    <cellStyle name="Hyperlink 6" xfId="79"/>
    <cellStyle name="Hyperlink 7" xfId="108"/>
    <cellStyle name="Hyperlink 8" xfId="64"/>
    <cellStyle name="Hyperlink 9" xfId="116"/>
    <cellStyle name="Millares" xfId="1" builtinId="3"/>
    <cellStyle name="Millares 2" xfId="367"/>
    <cellStyle name="Millares 2 2" xfId="15"/>
    <cellStyle name="Millares 3" xfId="343"/>
    <cellStyle name="Moneda" xfId="2" builtinId="4"/>
    <cellStyle name="Normal" xfId="0" builtinId="0"/>
    <cellStyle name="Normal 10" xfId="48"/>
    <cellStyle name="Normal 10 2" xfId="189"/>
    <cellStyle name="Normal 10 3" xfId="235"/>
    <cellStyle name="Normal 11" xfId="103"/>
    <cellStyle name="Normal 11 2" xfId="232"/>
    <cellStyle name="Normal 11 3" xfId="261"/>
    <cellStyle name="Normal 12" xfId="130"/>
    <cellStyle name="Normal 12 2" xfId="250"/>
    <cellStyle name="Normal 12 3" xfId="263"/>
    <cellStyle name="Normal 15" xfId="222"/>
    <cellStyle name="Normal 2" xfId="7"/>
    <cellStyle name="Normal 2 10" xfId="129"/>
    <cellStyle name="Normal 2 11" xfId="148"/>
    <cellStyle name="Normal 2 12" xfId="256"/>
    <cellStyle name="Normal 2 13" xfId="258"/>
    <cellStyle name="Normal 2 14" xfId="267"/>
    <cellStyle name="Normal 2 15" xfId="295"/>
    <cellStyle name="Normal 2 16" xfId="357"/>
    <cellStyle name="Normal 2 2" xfId="13"/>
    <cellStyle name="Normal 2 2 10" xfId="218"/>
    <cellStyle name="Normal 2 2 11" xfId="269"/>
    <cellStyle name="Normal 2 2 12" xfId="314"/>
    <cellStyle name="Normal 2 2 13" xfId="280"/>
    <cellStyle name="Normal 2 2 2" xfId="16"/>
    <cellStyle name="Normal 2 2 2 10" xfId="205"/>
    <cellStyle name="Normal 2 2 2 11" xfId="281"/>
    <cellStyle name="Normal 2 2 2 12" xfId="305"/>
    <cellStyle name="Normal 2 2 2 13" xfId="359"/>
    <cellStyle name="Normal 2 2 2 2" xfId="24"/>
    <cellStyle name="Normal 2 2 2 2 10" xfId="317"/>
    <cellStyle name="Normal 2 2 2 2 11" xfId="346"/>
    <cellStyle name="Normal 2 2 2 2 2" xfId="28"/>
    <cellStyle name="Normal 2 2 2 2 2 10" xfId="270"/>
    <cellStyle name="Normal 2 2 2 2 2 11" xfId="334"/>
    <cellStyle name="Normal 2 2 2 2 2 2" xfId="57"/>
    <cellStyle name="Normal 2 2 2 2 2 2 2" xfId="60"/>
    <cellStyle name="Normal 2 2 2 2 2 2 2 2" xfId="196"/>
    <cellStyle name="Normal 2 2 2 2 2 2 2 2 2" xfId="198"/>
    <cellStyle name="Normal 2 2 2 2 2 2 2 2 2 2" xfId="323"/>
    <cellStyle name="Normal 2 2 2 2 2 2 2 2 2 2 2" xfId="325"/>
    <cellStyle name="Normal 2 2 2 2 2 2 2 2 2 2 3" xfId="349"/>
    <cellStyle name="Normal 2 2 2 2 2 2 2 2 2 2 4" xfId="360"/>
    <cellStyle name="Normal 2 2 2 2 2 2 2 2 2 3" xfId="347"/>
    <cellStyle name="Normal 2 2 2 2 2 2 2 2 2 4" xfId="356"/>
    <cellStyle name="Normal 2 2 2 2 2 2 2 2 3" xfId="302"/>
    <cellStyle name="Normal 2 2 2 2 2 2 2 2 4" xfId="309"/>
    <cellStyle name="Normal 2 2 2 2 2 2 2 2 5" xfId="319"/>
    <cellStyle name="Normal 2 2 2 2 2 2 2 3" xfId="230"/>
    <cellStyle name="Normal 2 2 2 2 2 2 2 4" xfId="300"/>
    <cellStyle name="Normal 2 2 2 2 2 2 2 5" xfId="294"/>
    <cellStyle name="Normal 2 2 2 2 2 2 2 6" xfId="355"/>
    <cellStyle name="Normal 2 2 2 2 2 2 3" xfId="227"/>
    <cellStyle name="Normal 2 2 2 2 2 2 4" xfId="292"/>
    <cellStyle name="Normal 2 2 2 2 2 2 5" xfId="304"/>
    <cellStyle name="Normal 2 2 2 2 2 2 6" xfId="330"/>
    <cellStyle name="Normal 2 2 2 2 2 3" xfId="80"/>
    <cellStyle name="Normal 2 2 2 2 2 4" xfId="100"/>
    <cellStyle name="Normal 2 2 2 2 2 5" xfId="121"/>
    <cellStyle name="Normal 2 2 2 2 2 6" xfId="140"/>
    <cellStyle name="Normal 2 2 2 2 2 7" xfId="162"/>
    <cellStyle name="Normal 2 2 2 2 2 8" xfId="226"/>
    <cellStyle name="Normal 2 2 2 2 2 9" xfId="289"/>
    <cellStyle name="Normal 2 2 2 2 3" xfId="77"/>
    <cellStyle name="Normal 2 2 2 2 3 2" xfId="176"/>
    <cellStyle name="Normal 2 2 2 2 3 2 2" xfId="213"/>
    <cellStyle name="Normal 2 2 2 2 3 2 3" xfId="157"/>
    <cellStyle name="Normal 2 2 2 2 3 3" xfId="223"/>
    <cellStyle name="Normal 2 2 2 2 4" xfId="97"/>
    <cellStyle name="Normal 2 2 2 2 5" xfId="118"/>
    <cellStyle name="Normal 2 2 2 2 6" xfId="137"/>
    <cellStyle name="Normal 2 2 2 2 7" xfId="159"/>
    <cellStyle name="Normal 2 2 2 2 8" xfId="247"/>
    <cellStyle name="Normal 2 2 2 2 9" xfId="283"/>
    <cellStyle name="Normal 2 2 2 3" xfId="37"/>
    <cellStyle name="Normal 2 2 2 4" xfId="44"/>
    <cellStyle name="Normal 2 2 2 4 2" xfId="173"/>
    <cellStyle name="Normal 2 2 2 4 2 2" xfId="185"/>
    <cellStyle name="Normal 2 2 2 4 2 3" xfId="240"/>
    <cellStyle name="Normal 2 2 2 4 3" xfId="161"/>
    <cellStyle name="Normal 2 2 2 5" xfId="56"/>
    <cellStyle name="Normal 2 2 2 6" xfId="76"/>
    <cellStyle name="Normal 2 2 2 7" xfId="95"/>
    <cellStyle name="Normal 2 2 2 8" xfId="124"/>
    <cellStyle name="Normal 2 2 2 9" xfId="143"/>
    <cellStyle name="Normal 2 2 3" xfId="33"/>
    <cellStyle name="Normal 2 2 3 2" xfId="52"/>
    <cellStyle name="Normal 2 2 3 2 2" xfId="65"/>
    <cellStyle name="Normal 2 2 3 2 2 2" xfId="192"/>
    <cellStyle name="Normal 2 2 3 2 2 2 2" xfId="202"/>
    <cellStyle name="Normal 2 2 3 2 2 2 3" xfId="237"/>
    <cellStyle name="Normal 2 2 3 2 2 3" xfId="212"/>
    <cellStyle name="Normal 2 2 3 2 3" xfId="85"/>
    <cellStyle name="Normal 2 2 3 2 4" xfId="106"/>
    <cellStyle name="Normal 2 2 3 2 5" xfId="126"/>
    <cellStyle name="Normal 2 2 3 2 6" xfId="145"/>
    <cellStyle name="Normal 2 2 3 2 7" xfId="165"/>
    <cellStyle name="Normal 2 2 3 2 8" xfId="243"/>
    <cellStyle name="Normal 2 2 3 3" xfId="72"/>
    <cellStyle name="Normal 2 2 3 3 2" xfId="179"/>
    <cellStyle name="Normal 2 2 3 3 2 2" xfId="208"/>
    <cellStyle name="Normal 2 2 3 3 2 3" xfId="219"/>
    <cellStyle name="Normal 2 2 3 3 3" xfId="224"/>
    <cellStyle name="Normal 2 2 3 4" xfId="92"/>
    <cellStyle name="Normal 2 2 3 5" xfId="113"/>
    <cellStyle name="Normal 2 2 3 6" xfId="134"/>
    <cellStyle name="Normal 2 2 3 7" xfId="153"/>
    <cellStyle name="Normal 2 2 3 8" xfId="220"/>
    <cellStyle name="Normal 2 2 4" xfId="41"/>
    <cellStyle name="Normal 2 2 4 2" xfId="170"/>
    <cellStyle name="Normal 2 2 4 2 2" xfId="182"/>
    <cellStyle name="Normal 2 2 4 2 3" xfId="201"/>
    <cellStyle name="Normal 2 2 4 3" xfId="229"/>
    <cellStyle name="Normal 2 2 5" xfId="45"/>
    <cellStyle name="Normal 2 2 6" xfId="63"/>
    <cellStyle name="Normal 2 2 7" xfId="84"/>
    <cellStyle name="Normal 2 2 8" xfId="128"/>
    <cellStyle name="Normal 2 2 9" xfId="147"/>
    <cellStyle name="Normal 2 3" xfId="17"/>
    <cellStyle name="Normal 2 4" xfId="21"/>
    <cellStyle name="Normal 2 4 2" xfId="51"/>
    <cellStyle name="Normal 2 4 2 2" xfId="54"/>
    <cellStyle name="Normal 2 4 2 2 2" xfId="191"/>
    <cellStyle name="Normal 2 4 2 2 2 2" xfId="194"/>
    <cellStyle name="Normal 2 4 2 2 2 3" xfId="167"/>
    <cellStyle name="Normal 2 4 2 2 3" xfId="225"/>
    <cellStyle name="Normal 2 4 2 3" xfId="74"/>
    <cellStyle name="Normal 2 4 2 4" xfId="94"/>
    <cellStyle name="Normal 2 4 2 5" xfId="115"/>
    <cellStyle name="Normal 2 4 2 6" xfId="136"/>
    <cellStyle name="Normal 2 4 2 7" xfId="156"/>
    <cellStyle name="Normal 2 4 2 8" xfId="241"/>
    <cellStyle name="Normal 2 4 3" xfId="71"/>
    <cellStyle name="Normal 2 4 3 2" xfId="172"/>
    <cellStyle name="Normal 2 4 3 2 2" xfId="207"/>
    <cellStyle name="Normal 2 4 3 2 3" xfId="244"/>
    <cellStyle name="Normal 2 4 3 3" xfId="188"/>
    <cellStyle name="Normal 2 4 4" xfId="91"/>
    <cellStyle name="Normal 2 4 5" xfId="112"/>
    <cellStyle name="Normal 2 4 6" xfId="133"/>
    <cellStyle name="Normal 2 4 7" xfId="152"/>
    <cellStyle name="Normal 2 4 8" xfId="234"/>
    <cellStyle name="Normal 2 5" xfId="26"/>
    <cellStyle name="Normal 2 6" xfId="36"/>
    <cellStyle name="Normal 2 6 2" xfId="169"/>
    <cellStyle name="Normal 2 6 2 2" xfId="181"/>
    <cellStyle name="Normal 2 6 2 3" xfId="248"/>
    <cellStyle name="Normal 2 6 3" xfId="217"/>
    <cellStyle name="Normal 2 7" xfId="47"/>
    <cellStyle name="Normal 2 8" xfId="43"/>
    <cellStyle name="Normal 2 9" xfId="99"/>
    <cellStyle name="Normal 3" xfId="6"/>
    <cellStyle name="Normal 3 10" xfId="251"/>
    <cellStyle name="Normal 3 11" xfId="260"/>
    <cellStyle name="Normal 3 12" xfId="271"/>
    <cellStyle name="Normal 3 13" xfId="310"/>
    <cellStyle name="Normal 3 14" xfId="358"/>
    <cellStyle name="Normal 3 2" xfId="18"/>
    <cellStyle name="Normal 3 2 10" xfId="168"/>
    <cellStyle name="Normal 3 2 11" xfId="276"/>
    <cellStyle name="Normal 3 2 12" xfId="318"/>
    <cellStyle name="Normal 3 2 13" xfId="354"/>
    <cellStyle name="Normal 3 2 2" xfId="25"/>
    <cellStyle name="Normal 3 2 2 10" xfId="322"/>
    <cellStyle name="Normal 3 2 2 11" xfId="299"/>
    <cellStyle name="Normal 3 2 2 2" xfId="29"/>
    <cellStyle name="Normal 3 2 2 2 10" xfId="313"/>
    <cellStyle name="Normal 3 2 2 2 11" xfId="333"/>
    <cellStyle name="Normal 3 2 2 2 2" xfId="58"/>
    <cellStyle name="Normal 3 2 2 2 2 2" xfId="61"/>
    <cellStyle name="Normal 3 2 2 2 2 2 2" xfId="197"/>
    <cellStyle name="Normal 3 2 2 2 2 2 2 2" xfId="199"/>
    <cellStyle name="Normal 3 2 2 2 2 2 2 2 2" xfId="324"/>
    <cellStyle name="Normal 3 2 2 2 2 2 2 2 2 2" xfId="326"/>
    <cellStyle name="Normal 3 2 2 2 2 2 2 2 2 3" xfId="350"/>
    <cellStyle name="Normal 3 2 2 2 2 2 2 2 2 4" xfId="338"/>
    <cellStyle name="Normal 3 2 2 2 2 2 2 2 3" xfId="348"/>
    <cellStyle name="Normal 3 2 2 2 2 2 2 2 4" xfId="363"/>
    <cellStyle name="Normal 3 2 2 2 2 2 2 3" xfId="303"/>
    <cellStyle name="Normal 3 2 2 2 2 2 2 4" xfId="306"/>
    <cellStyle name="Normal 3 2 2 2 2 2 2 5" xfId="327"/>
    <cellStyle name="Normal 3 2 2 2 2 2 3" xfId="216"/>
    <cellStyle name="Normal 3 2 2 2 2 2 4" xfId="301"/>
    <cellStyle name="Normal 3 2 2 2 2 2 5" xfId="312"/>
    <cellStyle name="Normal 3 2 2 2 2 2 6" xfId="352"/>
    <cellStyle name="Normal 3 2 2 2 2 3" xfId="255"/>
    <cellStyle name="Normal 3 2 2 2 2 4" xfId="293"/>
    <cellStyle name="Normal 3 2 2 2 2 5" xfId="296"/>
    <cellStyle name="Normal 3 2 2 2 2 6" xfId="340"/>
    <cellStyle name="Normal 3 2 2 2 3" xfId="81"/>
    <cellStyle name="Normal 3 2 2 2 4" xfId="101"/>
    <cellStyle name="Normal 3 2 2 2 5" xfId="122"/>
    <cellStyle name="Normal 3 2 2 2 6" xfId="141"/>
    <cellStyle name="Normal 3 2 2 2 7" xfId="163"/>
    <cellStyle name="Normal 3 2 2 2 8" xfId="238"/>
    <cellStyle name="Normal 3 2 2 2 9" xfId="290"/>
    <cellStyle name="Normal 3 2 2 3" xfId="78"/>
    <cellStyle name="Normal 3 2 2 3 2" xfId="177"/>
    <cellStyle name="Normal 3 2 2 3 2 2" xfId="214"/>
    <cellStyle name="Normal 3 2 2 3 2 3" xfId="144"/>
    <cellStyle name="Normal 3 2 2 3 3" xfId="254"/>
    <cellStyle name="Normal 3 2 2 4" xfId="98"/>
    <cellStyle name="Normal 3 2 2 5" xfId="119"/>
    <cellStyle name="Normal 3 2 2 6" xfId="138"/>
    <cellStyle name="Normal 3 2 2 7" xfId="160"/>
    <cellStyle name="Normal 3 2 2 8" xfId="236"/>
    <cellStyle name="Normal 3 2 2 9" xfId="284"/>
    <cellStyle name="Normal 3 2 3" xfId="38"/>
    <cellStyle name="Normal 3 2 4" xfId="46"/>
    <cellStyle name="Normal 3 2 4 2" xfId="174"/>
    <cellStyle name="Normal 3 2 4 2 2" xfId="187"/>
    <cellStyle name="Normal 3 2 4 2 3" xfId="257"/>
    <cellStyle name="Normal 3 2 4 3" xfId="252"/>
    <cellStyle name="Normal 3 2 5" xfId="55"/>
    <cellStyle name="Normal 3 2 6" xfId="75"/>
    <cellStyle name="Normal 3 2 7" xfId="109"/>
    <cellStyle name="Normal 3 2 8" xfId="96"/>
    <cellStyle name="Normal 3 2 9" xfId="125"/>
    <cellStyle name="Normal 3 3" xfId="34"/>
    <cellStyle name="Normal 3 3 2" xfId="53"/>
    <cellStyle name="Normal 3 3 2 2" xfId="66"/>
    <cellStyle name="Normal 3 3 2 2 2" xfId="193"/>
    <cellStyle name="Normal 3 3 2 2 2 2" xfId="203"/>
    <cellStyle name="Normal 3 3 2 2 2 3" xfId="215"/>
    <cellStyle name="Normal 3 3 2 2 3" xfId="195"/>
    <cellStyle name="Normal 3 3 2 3" xfId="86"/>
    <cellStyle name="Normal 3 3 2 4" xfId="107"/>
    <cellStyle name="Normal 3 3 2 5" xfId="127"/>
    <cellStyle name="Normal 3 3 2 6" xfId="146"/>
    <cellStyle name="Normal 3 3 2 7" xfId="166"/>
    <cellStyle name="Normal 3 3 2 8" xfId="228"/>
    <cellStyle name="Normal 3 3 3" xfId="73"/>
    <cellStyle name="Normal 3 3 3 2" xfId="180"/>
    <cellStyle name="Normal 3 3 3 2 2" xfId="209"/>
    <cellStyle name="Normal 3 3 3 2 3" xfId="221"/>
    <cellStyle name="Normal 3 3 3 3" xfId="210"/>
    <cellStyle name="Normal 3 3 4" xfId="93"/>
    <cellStyle name="Normal 3 3 5" xfId="114"/>
    <cellStyle name="Normal 3 3 6" xfId="135"/>
    <cellStyle name="Normal 3 3 7" xfId="154"/>
    <cellStyle name="Normal 3 3 8" xfId="204"/>
    <cellStyle name="Normal 3 4" xfId="42"/>
    <cellStyle name="Normal 3 4 2" xfId="171"/>
    <cellStyle name="Normal 3 4 2 2" xfId="183"/>
    <cellStyle name="Normal 3 4 2 3" xfId="186"/>
    <cellStyle name="Normal 3 4 3" xfId="184"/>
    <cellStyle name="Normal 3 5" xfId="67"/>
    <cellStyle name="Normal 3 6" xfId="87"/>
    <cellStyle name="Normal 3 7" xfId="105"/>
    <cellStyle name="Normal 3 8" xfId="104"/>
    <cellStyle name="Normal 3 9" xfId="117"/>
    <cellStyle name="Normal 4" xfId="3"/>
    <cellStyle name="Normal 4 2" xfId="19"/>
    <cellStyle name="Normal 4 2 2" xfId="259"/>
    <cellStyle name="Normal 4 2 2 2" xfId="285"/>
    <cellStyle name="Normal 4 2 2 2 2" xfId="335"/>
    <cellStyle name="Normal 4 2 2 2 3" xfId="362"/>
    <cellStyle name="Normal 4 2 2 2 4" xfId="365"/>
    <cellStyle name="Normal 4 2 2 3" xfId="321"/>
    <cellStyle name="Normal 4 2 2 4" xfId="307"/>
    <cellStyle name="Normal 4 2 3" xfId="274"/>
    <cellStyle name="Normal 4 2 4" xfId="332"/>
    <cellStyle name="Normal 4 2 5" xfId="345"/>
    <cellStyle name="Normal 4 3" xfId="272"/>
    <cellStyle name="Normal 4 4" xfId="308"/>
    <cellStyle name="Normal 4 5" xfId="344"/>
    <cellStyle name="Normal 5" xfId="10"/>
    <cellStyle name="Normal 5 2" xfId="20"/>
    <cellStyle name="Normal 5 2 2" xfId="279"/>
    <cellStyle name="Normal 5 2 2 2" xfId="286"/>
    <cellStyle name="Normal 5 2 2 3" xfId="298"/>
    <cellStyle name="Normal 5 2 2 4" xfId="341"/>
    <cellStyle name="Normal 5 2 3" xfId="311"/>
    <cellStyle name="Normal 5 2 4" xfId="297"/>
    <cellStyle name="Normal 5 3" xfId="273"/>
    <cellStyle name="Normal 5 4" xfId="320"/>
    <cellStyle name="Normal 5 5" xfId="353"/>
    <cellStyle name="Normal 6" xfId="266"/>
    <cellStyle name="Normal 6 10" xfId="149"/>
    <cellStyle name="Normal 6 2" xfId="30"/>
    <cellStyle name="Normal 6 3" xfId="39"/>
    <cellStyle name="Normal 6 4" xfId="49"/>
    <cellStyle name="Normal 6 5" xfId="69"/>
    <cellStyle name="Normal 6 6" xfId="89"/>
    <cellStyle name="Normal 6 7" xfId="110"/>
    <cellStyle name="Normal 6 8" xfId="131"/>
    <cellStyle name="Normal 6 9" xfId="150"/>
    <cellStyle name="Normal 7 2" xfId="50"/>
    <cellStyle name="Normal 7 2 2" xfId="62"/>
    <cellStyle name="Normal 7 2 2 2" xfId="190"/>
    <cellStyle name="Normal 7 2 2 2 2" xfId="200"/>
    <cellStyle name="Normal 7 2 2 2 3" xfId="249"/>
    <cellStyle name="Normal 7 2 2 3" xfId="246"/>
    <cellStyle name="Normal 7 2 3" xfId="82"/>
    <cellStyle name="Normal 7 2 4" xfId="102"/>
    <cellStyle name="Normal 7 2 5" xfId="123"/>
    <cellStyle name="Normal 7 2 6" xfId="142"/>
    <cellStyle name="Normal 7 2 7" xfId="164"/>
    <cellStyle name="Normal 7 2 8" xfId="211"/>
    <cellStyle name="Normal 7 3" xfId="70"/>
    <cellStyle name="Normal 7 3 2" xfId="178"/>
    <cellStyle name="Normal 7 3 2 2" xfId="206"/>
    <cellStyle name="Normal 7 3 2 3" xfId="158"/>
    <cellStyle name="Normal 7 3 3" xfId="242"/>
    <cellStyle name="Normal 7 4" xfId="90"/>
    <cellStyle name="Normal 7 5" xfId="111"/>
    <cellStyle name="Normal 7 6" xfId="132"/>
    <cellStyle name="Normal 7 7" xfId="151"/>
    <cellStyle name="Normal 7 8" xfId="233"/>
    <cellStyle name="Normal 8" xfId="27"/>
    <cellStyle name="Normal 8 2" xfId="155"/>
    <cellStyle name="Normal 8 2 2" xfId="175"/>
    <cellStyle name="Normal 8 2 3" xfId="239"/>
    <cellStyle name="Normal 8 3" xfId="253"/>
    <cellStyle name="Normal 9" xfId="361"/>
    <cellStyle name="Normal_Hoja1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T129"/>
  <sheetViews>
    <sheetView workbookViewId="0">
      <pane xSplit="2" ySplit="9" topLeftCell="C77" activePane="bottomRight" state="frozen"/>
      <selection pane="topRight" activeCell="C1" sqref="C1"/>
      <selection pane="bottomLeft" activeCell="A13" sqref="A13"/>
      <selection pane="bottomRight" activeCell="BN10" sqref="BN10:BN97"/>
    </sheetView>
  </sheetViews>
  <sheetFormatPr baseColWidth="10" defaultRowHeight="15"/>
  <cols>
    <col min="1" max="1" width="12.28515625" style="18" customWidth="1"/>
    <col min="2" max="2" width="30.7109375" style="16" customWidth="1"/>
    <col min="3" max="3" width="13" style="16" bestFit="1" customWidth="1"/>
    <col min="4" max="5" width="13" style="16" customWidth="1"/>
    <col min="6" max="6" width="13.140625" style="16" customWidth="1"/>
    <col min="7" max="20" width="13" style="16" customWidth="1"/>
    <col min="21" max="21" width="13.5703125" style="16" bestFit="1" customWidth="1"/>
    <col min="22" max="22" width="13" style="16" customWidth="1"/>
    <col min="23" max="23" width="11.85546875" style="16" customWidth="1"/>
    <col min="24" max="24" width="9.28515625" style="16" customWidth="1"/>
    <col min="25" max="25" width="11.5703125" style="16" customWidth="1"/>
    <col min="26" max="27" width="13" style="16" bestFit="1" customWidth="1"/>
    <col min="28" max="28" width="13" style="16" customWidth="1"/>
    <col min="29" max="31" width="12.42578125" style="16" customWidth="1"/>
    <col min="32" max="32" width="10.28515625" style="16" customWidth="1"/>
    <col min="33" max="33" width="28.7109375" style="107" customWidth="1"/>
    <col min="34" max="34" width="39.140625" style="107" customWidth="1"/>
    <col min="35" max="35" width="8.140625" style="107" hidden="1" customWidth="1"/>
    <col min="36" max="36" width="8.85546875" style="107" hidden="1" customWidth="1"/>
    <col min="37" max="37" width="31.5703125" style="107" hidden="1" customWidth="1"/>
    <col min="38" max="38" width="20.140625" style="107" hidden="1" customWidth="1"/>
    <col min="39" max="39" width="13" style="107" hidden="1" customWidth="1"/>
    <col min="40" max="40" width="11.7109375" style="107" hidden="1" customWidth="1"/>
    <col min="41" max="41" width="17.140625" style="80" hidden="1" customWidth="1"/>
    <col min="42" max="42" width="11.7109375" style="107" hidden="1" customWidth="1"/>
    <col min="43" max="45" width="13.85546875" style="80" hidden="1" customWidth="1"/>
    <col min="46" max="48" width="13.5703125" style="80" hidden="1" customWidth="1"/>
    <col min="49" max="49" width="17" style="81" hidden="1" customWidth="1"/>
    <col min="50" max="51" width="13.5703125" style="80" hidden="1" customWidth="1"/>
    <col min="52" max="52" width="13.5703125" style="82" hidden="1" customWidth="1"/>
    <col min="53" max="53" width="19.28515625" style="82" hidden="1" customWidth="1"/>
    <col min="54" max="54" width="16.85546875" style="82" hidden="1" customWidth="1"/>
    <col min="55" max="55" width="16.140625" style="82" hidden="1" customWidth="1"/>
    <col min="56" max="59" width="13.5703125" style="80" hidden="1" customWidth="1"/>
    <col min="60" max="60" width="16.7109375" style="81" hidden="1" customWidth="1"/>
    <col min="61" max="61" width="16.7109375" style="80" hidden="1" customWidth="1"/>
    <col min="62" max="62" width="15.42578125" style="81" hidden="1" customWidth="1"/>
    <col min="63" max="65" width="13.5703125" style="80" hidden="1" customWidth="1"/>
    <col min="66" max="66" width="15.42578125" style="81" customWidth="1"/>
    <col min="67" max="67" width="15.28515625" style="226" hidden="1" customWidth="1"/>
    <col min="68" max="69" width="11.5703125" style="226" hidden="1" customWidth="1"/>
    <col min="70" max="70" width="13.85546875" style="107" hidden="1" customWidth="1"/>
    <col min="71" max="71" width="34.85546875" style="107" hidden="1" customWidth="1"/>
    <col min="72" max="76" width="11.42578125" style="103" hidden="1" customWidth="1"/>
    <col min="77" max="77" width="11.5703125" style="103" hidden="1" customWidth="1"/>
    <col min="78" max="78" width="26.5703125" style="103" hidden="1" customWidth="1"/>
    <col min="79" max="79" width="11.42578125" style="103" hidden="1" customWidth="1"/>
    <col min="80" max="84" width="11.42578125" style="21" hidden="1" customWidth="1"/>
    <col min="85" max="91" width="11.42578125" style="21" customWidth="1"/>
    <col min="92" max="16384" width="11.42578125" style="21"/>
  </cols>
  <sheetData>
    <row r="1" spans="1:98" ht="18" customHeight="1">
      <c r="A1" s="15" t="s">
        <v>0</v>
      </c>
      <c r="B1" s="220" t="s">
        <v>18</v>
      </c>
      <c r="C1" s="221"/>
      <c r="D1" s="221"/>
      <c r="E1" s="221"/>
      <c r="F1" s="221"/>
      <c r="G1" s="221"/>
      <c r="H1" s="66"/>
      <c r="I1" s="66"/>
      <c r="J1" s="66"/>
      <c r="K1" s="66"/>
      <c r="L1" s="221"/>
      <c r="M1" s="221"/>
      <c r="N1" s="31"/>
      <c r="O1" s="66"/>
      <c r="P1" s="189"/>
      <c r="Q1" s="189"/>
      <c r="R1" s="221"/>
      <c r="S1" s="189"/>
      <c r="T1" s="221"/>
      <c r="AG1" s="69" t="s">
        <v>337</v>
      </c>
      <c r="AH1" s="69"/>
      <c r="AI1" s="69"/>
      <c r="AJ1" s="69"/>
      <c r="AK1" s="70"/>
      <c r="AL1" s="70"/>
      <c r="AM1" s="70"/>
      <c r="AN1" s="70"/>
      <c r="AO1" s="71"/>
      <c r="AP1" s="70"/>
      <c r="AQ1" s="71"/>
      <c r="AR1" s="71"/>
      <c r="AS1" s="71"/>
      <c r="AT1" s="71"/>
      <c r="AU1" s="71"/>
      <c r="AV1" s="71"/>
      <c r="AW1" s="72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2"/>
      <c r="BI1" s="71"/>
      <c r="BJ1" s="72"/>
      <c r="BK1" s="71"/>
      <c r="BL1" s="71"/>
      <c r="BM1" s="71"/>
      <c r="BN1" s="72"/>
      <c r="BO1" s="225"/>
      <c r="BP1" s="225"/>
      <c r="BQ1" s="225"/>
      <c r="BR1" s="74"/>
      <c r="BS1" s="74"/>
      <c r="BT1" s="73"/>
      <c r="BU1" s="73">
        <v>1</v>
      </c>
      <c r="BV1" s="268">
        <v>1280.98</v>
      </c>
      <c r="BW1" s="73"/>
      <c r="BX1" s="73"/>
      <c r="BY1" s="73"/>
      <c r="BZ1" s="73"/>
      <c r="CA1" s="73"/>
    </row>
    <row r="2" spans="1:98" ht="24.95" customHeight="1">
      <c r="A2" s="17" t="s">
        <v>1</v>
      </c>
      <c r="B2" s="211" t="s">
        <v>328</v>
      </c>
      <c r="C2" s="222"/>
      <c r="D2" s="222"/>
      <c r="E2" s="222"/>
      <c r="F2" s="222"/>
      <c r="G2" s="222"/>
      <c r="H2" s="67"/>
      <c r="I2" s="67"/>
      <c r="J2" s="168"/>
      <c r="K2" s="67"/>
      <c r="L2" s="222"/>
      <c r="M2" s="222"/>
      <c r="N2" s="43"/>
      <c r="O2" s="67"/>
      <c r="P2" s="187"/>
      <c r="Q2" s="187"/>
      <c r="R2" s="222"/>
      <c r="S2" s="187"/>
      <c r="T2" s="222"/>
      <c r="AG2" s="75" t="s">
        <v>338</v>
      </c>
      <c r="AH2" s="75"/>
      <c r="AI2" s="75"/>
      <c r="AJ2" s="75"/>
      <c r="AK2" s="76"/>
      <c r="AL2" s="76"/>
      <c r="AM2" s="76"/>
      <c r="AN2" s="76"/>
      <c r="AO2" s="71"/>
      <c r="AP2" s="76"/>
      <c r="AQ2" s="71"/>
      <c r="AR2" s="71"/>
      <c r="AS2" s="71"/>
      <c r="AT2" s="71"/>
      <c r="AU2" s="71"/>
      <c r="AV2" s="71"/>
      <c r="AW2" s="72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2"/>
      <c r="BI2" s="71"/>
      <c r="BJ2" s="72"/>
      <c r="BK2" s="71"/>
      <c r="BL2" s="71"/>
      <c r="BM2" s="71"/>
      <c r="BN2" s="72"/>
      <c r="BO2" s="225"/>
      <c r="BP2" s="225"/>
      <c r="BQ2" s="225"/>
      <c r="BR2" s="74"/>
      <c r="BS2" s="74"/>
      <c r="BT2" s="73"/>
      <c r="BU2" s="73">
        <v>2</v>
      </c>
      <c r="BV2" s="268">
        <v>1222.4100000000001</v>
      </c>
      <c r="BW2" s="73"/>
      <c r="BX2" s="73"/>
      <c r="BY2" s="73"/>
      <c r="BZ2" s="73"/>
      <c r="CA2" s="73"/>
    </row>
    <row r="3" spans="1:98" ht="15.75">
      <c r="B3" s="212" t="s">
        <v>2</v>
      </c>
      <c r="C3" s="223"/>
      <c r="D3" s="223"/>
      <c r="E3" s="223"/>
      <c r="F3" s="223"/>
      <c r="G3" s="223"/>
      <c r="H3" s="68"/>
      <c r="I3" s="163"/>
      <c r="J3" s="163"/>
      <c r="K3" s="68"/>
      <c r="L3" s="223"/>
      <c r="M3" s="223"/>
      <c r="N3" s="32"/>
      <c r="O3" s="68"/>
      <c r="P3" s="188"/>
      <c r="Q3" s="188"/>
      <c r="R3" s="223"/>
      <c r="S3" s="188"/>
      <c r="T3" s="223"/>
      <c r="AG3" s="77" t="s">
        <v>807</v>
      </c>
      <c r="AH3" s="77"/>
      <c r="AI3" s="77"/>
      <c r="AJ3" s="77"/>
      <c r="AK3" s="78"/>
      <c r="AL3" s="78"/>
      <c r="AM3" s="78"/>
      <c r="AN3" s="78"/>
      <c r="AO3" s="71"/>
      <c r="AP3" s="78"/>
      <c r="AQ3" s="71"/>
      <c r="AR3" s="71"/>
      <c r="AS3" s="71"/>
      <c r="AT3" s="71"/>
      <c r="AU3" s="71"/>
      <c r="AV3" s="71"/>
      <c r="AW3" s="72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2"/>
      <c r="BI3" s="71"/>
      <c r="BJ3" s="72"/>
      <c r="BK3" s="71"/>
      <c r="BL3" s="71"/>
      <c r="BM3" s="71"/>
      <c r="BN3" s="72"/>
      <c r="BO3" s="225"/>
      <c r="BP3" s="225"/>
      <c r="BQ3" s="225"/>
      <c r="BR3" s="74"/>
      <c r="BS3" s="74"/>
      <c r="BT3" s="73"/>
      <c r="BU3" s="73">
        <v>3</v>
      </c>
      <c r="BV3" s="268">
        <v>1336.4</v>
      </c>
      <c r="BW3" s="73"/>
      <c r="BX3" s="73"/>
      <c r="BY3" s="73"/>
      <c r="BZ3" s="73"/>
      <c r="CA3" s="73"/>
    </row>
    <row r="4" spans="1:98">
      <c r="B4" s="233" t="s">
        <v>836</v>
      </c>
      <c r="C4" s="223"/>
      <c r="D4" s="223"/>
      <c r="E4" s="223"/>
      <c r="F4" s="223"/>
      <c r="G4" s="223"/>
      <c r="H4" s="68"/>
      <c r="I4" s="68"/>
      <c r="J4" s="163"/>
      <c r="K4" s="68"/>
      <c r="L4" s="223"/>
      <c r="M4" s="223"/>
      <c r="N4" s="32"/>
      <c r="O4" s="68"/>
      <c r="P4" s="188"/>
      <c r="Q4" s="188"/>
      <c r="R4" s="223"/>
      <c r="S4" s="188"/>
      <c r="T4" s="223"/>
      <c r="U4" s="60"/>
      <c r="V4" s="60"/>
      <c r="AG4" s="77"/>
      <c r="AH4" s="77"/>
      <c r="AI4" s="77"/>
      <c r="AJ4" s="77"/>
      <c r="AK4" s="78"/>
      <c r="AL4" s="78"/>
      <c r="AM4" s="78"/>
      <c r="AN4" s="78"/>
      <c r="AO4" s="71"/>
      <c r="AP4" s="78"/>
      <c r="AQ4" s="71"/>
      <c r="AR4" s="71"/>
      <c r="AS4" s="71"/>
      <c r="AT4" s="71"/>
      <c r="AU4" s="71"/>
      <c r="AV4" s="71"/>
      <c r="AW4" s="72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2"/>
      <c r="BI4" s="71"/>
      <c r="BJ4" s="72"/>
      <c r="BK4" s="71"/>
      <c r="BL4" s="71"/>
      <c r="BM4" s="71"/>
      <c r="BN4" s="72"/>
      <c r="BO4" s="225"/>
      <c r="BP4" s="225"/>
      <c r="BQ4" s="225"/>
      <c r="BR4" s="74"/>
      <c r="BS4" s="74"/>
      <c r="BT4" s="73"/>
      <c r="BU4" s="73">
        <v>4</v>
      </c>
      <c r="BV4" s="269">
        <v>1193.21</v>
      </c>
      <c r="BW4" s="73"/>
      <c r="BX4" s="73"/>
      <c r="BY4" s="73"/>
      <c r="BZ4" s="73"/>
      <c r="CA4" s="73"/>
    </row>
    <row r="5" spans="1:98" ht="15" customHeight="1">
      <c r="B5" s="42" t="s">
        <v>329</v>
      </c>
      <c r="C5" s="40"/>
      <c r="D5" s="40"/>
      <c r="E5" s="40"/>
      <c r="F5" s="40"/>
      <c r="G5" s="40"/>
      <c r="H5" s="63"/>
      <c r="I5" s="40"/>
      <c r="J5" s="40"/>
      <c r="K5" s="40"/>
      <c r="L5" s="40"/>
      <c r="M5" s="40"/>
      <c r="N5" s="63"/>
      <c r="O5" s="63"/>
      <c r="P5" s="63"/>
      <c r="Q5" s="63"/>
      <c r="R5" s="63"/>
      <c r="S5" s="63"/>
      <c r="T5" s="63"/>
      <c r="U5" s="60"/>
      <c r="V5" s="60"/>
      <c r="W5" s="60"/>
      <c r="AG5" s="77"/>
      <c r="AH5" s="77"/>
      <c r="AI5" s="77"/>
      <c r="AJ5" s="77"/>
      <c r="AK5" s="78"/>
      <c r="AL5" s="78"/>
      <c r="AM5" s="78"/>
      <c r="AN5" s="78"/>
      <c r="AO5" s="71"/>
      <c r="AP5" s="78"/>
      <c r="AQ5" s="71"/>
      <c r="AR5" s="71"/>
      <c r="AS5" s="71"/>
      <c r="AT5" s="71"/>
      <c r="AU5" s="71"/>
      <c r="AV5" s="71"/>
      <c r="AW5" s="72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2"/>
      <c r="BI5" s="71"/>
      <c r="BJ5" s="72"/>
      <c r="BK5" s="71"/>
      <c r="BL5" s="71"/>
      <c r="BM5" s="71"/>
      <c r="BN5" s="72"/>
      <c r="BO5" s="225"/>
      <c r="BP5" s="225"/>
      <c r="BQ5" s="225"/>
      <c r="BR5" s="74"/>
      <c r="BS5" s="74"/>
      <c r="BT5" s="73"/>
      <c r="BU5" s="73">
        <v>5</v>
      </c>
      <c r="BV5" s="270">
        <v>1012.47</v>
      </c>
      <c r="BW5" s="73"/>
      <c r="BX5" s="73"/>
      <c r="BY5" s="73"/>
      <c r="BZ5" s="73"/>
      <c r="CA5" s="73"/>
    </row>
    <row r="6" spans="1:98">
      <c r="B6" s="42" t="s">
        <v>4</v>
      </c>
      <c r="C6" s="40"/>
      <c r="D6" s="40"/>
      <c r="E6" s="40"/>
      <c r="F6" s="40"/>
      <c r="G6" s="40"/>
      <c r="H6" s="63"/>
      <c r="I6" s="40"/>
      <c r="J6" s="63"/>
      <c r="K6" s="40"/>
      <c r="L6" s="63"/>
      <c r="M6" s="40"/>
      <c r="N6" s="63"/>
      <c r="O6" s="40"/>
      <c r="P6" s="40"/>
      <c r="Q6" s="40"/>
      <c r="R6" s="40"/>
      <c r="S6" s="40"/>
      <c r="T6" s="40"/>
      <c r="AG6" s="77"/>
      <c r="AH6" s="77"/>
      <c r="AI6" s="77"/>
      <c r="AJ6" s="77"/>
      <c r="AK6" s="78"/>
      <c r="AL6" s="78"/>
      <c r="AM6" s="78"/>
      <c r="AN6" s="78"/>
      <c r="AO6" s="71"/>
      <c r="AP6" s="78"/>
      <c r="AQ6" s="71"/>
      <c r="AR6" s="71"/>
      <c r="AS6" s="71"/>
      <c r="AT6" s="71"/>
      <c r="AU6" s="71"/>
      <c r="AV6" s="71"/>
      <c r="AW6" s="72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2"/>
      <c r="BI6" s="71"/>
      <c r="BJ6" s="72"/>
      <c r="BK6" s="71"/>
      <c r="BL6" s="71"/>
      <c r="BM6" s="71"/>
      <c r="BN6" s="72"/>
      <c r="BO6" s="225"/>
      <c r="BP6" s="225"/>
      <c r="BQ6" s="225"/>
      <c r="BR6" s="74"/>
      <c r="BS6" s="74"/>
      <c r="BT6" s="73"/>
      <c r="BU6" s="73">
        <v>6</v>
      </c>
      <c r="BV6" s="73">
        <v>1270.4399999999998</v>
      </c>
      <c r="BW6" s="73"/>
      <c r="BX6" s="73"/>
      <c r="BY6" s="73"/>
      <c r="BZ6" s="73"/>
      <c r="CA6" s="73"/>
    </row>
    <row r="7" spans="1:98">
      <c r="B7" s="215"/>
      <c r="C7" s="215"/>
      <c r="D7" s="215"/>
      <c r="E7" s="215"/>
      <c r="F7" s="215"/>
      <c r="G7" s="215"/>
      <c r="H7" s="62"/>
      <c r="I7" s="40"/>
      <c r="J7" s="40"/>
      <c r="K7" s="62"/>
      <c r="L7" s="215"/>
      <c r="M7" s="215"/>
      <c r="N7" s="41"/>
      <c r="O7" s="62"/>
      <c r="P7" s="170"/>
      <c r="Q7" s="170"/>
      <c r="R7" s="215"/>
      <c r="S7" s="170"/>
      <c r="T7" s="215"/>
      <c r="U7" s="60"/>
      <c r="V7" s="408" t="s">
        <v>334</v>
      </c>
      <c r="W7" s="408"/>
      <c r="X7" s="408"/>
      <c r="Y7" s="408"/>
      <c r="Z7" s="408"/>
      <c r="AA7" s="408"/>
      <c r="AB7" s="408"/>
      <c r="AG7" s="79" t="s">
        <v>808</v>
      </c>
      <c r="AH7" s="79"/>
      <c r="AI7" s="79"/>
      <c r="AJ7" s="79"/>
      <c r="AK7" s="79"/>
      <c r="AL7" s="79"/>
      <c r="AM7" s="79"/>
      <c r="AN7" s="79"/>
      <c r="AP7" s="79"/>
      <c r="BR7" s="79"/>
      <c r="BS7" s="79"/>
      <c r="BT7" s="84"/>
      <c r="BU7" s="84">
        <v>7</v>
      </c>
      <c r="BV7" s="84">
        <v>1629.23</v>
      </c>
      <c r="BW7" s="84"/>
      <c r="BX7" s="84"/>
      <c r="BY7" s="84"/>
      <c r="BZ7" s="84"/>
      <c r="CA7" s="84"/>
    </row>
    <row r="8" spans="1:98" s="236" customFormat="1" ht="34.5" thickBot="1">
      <c r="A8" s="29" t="s">
        <v>5</v>
      </c>
      <c r="B8" s="19" t="s">
        <v>6</v>
      </c>
      <c r="C8" s="19" t="s">
        <v>21</v>
      </c>
      <c r="D8" s="19" t="s">
        <v>26</v>
      </c>
      <c r="E8" s="19" t="s">
        <v>22</v>
      </c>
      <c r="F8" s="19" t="s">
        <v>837</v>
      </c>
      <c r="G8" s="234" t="s">
        <v>728</v>
      </c>
      <c r="H8" s="19" t="s">
        <v>357</v>
      </c>
      <c r="I8" s="19" t="s">
        <v>358</v>
      </c>
      <c r="J8" s="19" t="s">
        <v>359</v>
      </c>
      <c r="K8" s="19" t="s">
        <v>360</v>
      </c>
      <c r="L8" s="19" t="s">
        <v>29</v>
      </c>
      <c r="M8" s="19" t="s">
        <v>363</v>
      </c>
      <c r="N8" s="19" t="s">
        <v>333</v>
      </c>
      <c r="O8" s="19" t="s">
        <v>520</v>
      </c>
      <c r="P8" s="19" t="s">
        <v>608</v>
      </c>
      <c r="Q8" s="19" t="s">
        <v>636</v>
      </c>
      <c r="R8" s="19" t="s">
        <v>729</v>
      </c>
      <c r="S8" s="19" t="s">
        <v>638</v>
      </c>
      <c r="T8" s="234" t="s">
        <v>730</v>
      </c>
      <c r="U8" s="234" t="s">
        <v>519</v>
      </c>
      <c r="V8" s="235" t="s">
        <v>639</v>
      </c>
      <c r="W8" s="235" t="s">
        <v>23</v>
      </c>
      <c r="X8" s="235" t="s">
        <v>24</v>
      </c>
      <c r="Y8" s="235" t="s">
        <v>358</v>
      </c>
      <c r="Z8" s="235" t="s">
        <v>25</v>
      </c>
      <c r="AA8" s="235" t="s">
        <v>20</v>
      </c>
      <c r="AB8" s="235" t="s">
        <v>19</v>
      </c>
      <c r="AC8" s="30"/>
      <c r="AD8" s="30"/>
      <c r="AE8" s="30"/>
      <c r="AF8" s="30"/>
      <c r="AG8" s="400" t="s">
        <v>341</v>
      </c>
      <c r="AH8" s="406" t="s">
        <v>342</v>
      </c>
      <c r="AI8" s="400"/>
      <c r="AJ8" s="406" t="s">
        <v>343</v>
      </c>
      <c r="AK8" s="406" t="s">
        <v>344</v>
      </c>
      <c r="AL8" s="400" t="s">
        <v>345</v>
      </c>
      <c r="AM8" s="393" t="s">
        <v>346</v>
      </c>
      <c r="AN8" s="393" t="s">
        <v>347</v>
      </c>
      <c r="AO8" s="402" t="s">
        <v>348</v>
      </c>
      <c r="AP8" s="404" t="s">
        <v>349</v>
      </c>
      <c r="AQ8" s="393" t="s">
        <v>350</v>
      </c>
      <c r="AR8" s="404" t="s">
        <v>351</v>
      </c>
      <c r="AS8" s="261"/>
      <c r="AT8" s="393" t="s">
        <v>352</v>
      </c>
      <c r="AU8" s="393" t="s">
        <v>353</v>
      </c>
      <c r="AV8" s="393" t="s">
        <v>354</v>
      </c>
      <c r="AW8" s="393" t="s">
        <v>355</v>
      </c>
      <c r="AX8" s="393" t="s">
        <v>356</v>
      </c>
      <c r="AY8" s="191"/>
      <c r="AZ8" s="394" t="s">
        <v>357</v>
      </c>
      <c r="BA8" s="394" t="s">
        <v>358</v>
      </c>
      <c r="BB8" s="394" t="s">
        <v>359</v>
      </c>
      <c r="BC8" s="394" t="s">
        <v>360</v>
      </c>
      <c r="BD8" s="393" t="s">
        <v>361</v>
      </c>
      <c r="BE8" s="393" t="s">
        <v>362</v>
      </c>
      <c r="BF8" s="393" t="s">
        <v>363</v>
      </c>
      <c r="BG8" s="393" t="s">
        <v>364</v>
      </c>
      <c r="BH8" s="393" t="s">
        <v>365</v>
      </c>
      <c r="BI8" s="393" t="s">
        <v>366</v>
      </c>
      <c r="BJ8" s="393" t="s">
        <v>367</v>
      </c>
      <c r="BK8" s="393" t="s">
        <v>368</v>
      </c>
      <c r="BL8" s="393" t="s">
        <v>369</v>
      </c>
      <c r="BM8" s="260"/>
      <c r="BN8" s="393" t="s">
        <v>370</v>
      </c>
      <c r="BO8" s="397" t="s">
        <v>373</v>
      </c>
      <c r="BP8" s="398"/>
      <c r="BQ8" s="399" t="s">
        <v>374</v>
      </c>
      <c r="BR8" s="396" t="s">
        <v>606</v>
      </c>
      <c r="BS8" s="396" t="s">
        <v>607</v>
      </c>
      <c r="BT8" s="84"/>
      <c r="BU8" s="84">
        <v>8</v>
      </c>
      <c r="BV8" s="84">
        <v>608.16</v>
      </c>
      <c r="BW8" s="84"/>
      <c r="BX8" s="84"/>
      <c r="BY8" s="84"/>
      <c r="BZ8" s="84">
        <f>+BZ9*2</f>
        <v>350.19873015873009</v>
      </c>
      <c r="CA8" s="84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</row>
    <row r="9" spans="1:98" ht="12.75" customHeight="1" thickTop="1">
      <c r="A9" s="49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401"/>
      <c r="AH9" s="406"/>
      <c r="AI9" s="401"/>
      <c r="AJ9" s="406"/>
      <c r="AK9" s="406"/>
      <c r="AL9" s="401"/>
      <c r="AM9" s="393"/>
      <c r="AN9" s="393"/>
      <c r="AO9" s="403"/>
      <c r="AP9" s="405"/>
      <c r="AQ9" s="393"/>
      <c r="AR9" s="405"/>
      <c r="AS9" s="262" t="s">
        <v>713</v>
      </c>
      <c r="AT9" s="393"/>
      <c r="AU9" s="393"/>
      <c r="AV9" s="393"/>
      <c r="AW9" s="393"/>
      <c r="AX9" s="393"/>
      <c r="AY9" s="192" t="s">
        <v>608</v>
      </c>
      <c r="AZ9" s="395"/>
      <c r="BA9" s="395"/>
      <c r="BB9" s="395"/>
      <c r="BC9" s="395"/>
      <c r="BD9" s="393"/>
      <c r="BE9" s="393"/>
      <c r="BF9" s="393"/>
      <c r="BG9" s="393"/>
      <c r="BH9" s="393"/>
      <c r="BI9" s="393"/>
      <c r="BJ9" s="393"/>
      <c r="BK9" s="393"/>
      <c r="BL9" s="393"/>
      <c r="BM9" s="260"/>
      <c r="BN9" s="393"/>
      <c r="BO9" s="266" t="s">
        <v>348</v>
      </c>
      <c r="BP9" s="266" t="s">
        <v>349</v>
      </c>
      <c r="BQ9" s="399"/>
      <c r="BR9" s="396"/>
      <c r="BS9" s="396"/>
      <c r="BT9" s="86"/>
      <c r="BU9" s="86">
        <v>9</v>
      </c>
      <c r="BV9" s="86">
        <v>1477.96</v>
      </c>
      <c r="BW9" s="86"/>
      <c r="BX9" s="86">
        <f>SUM(BV1:BV9)</f>
        <v>11031.259999999998</v>
      </c>
      <c r="BY9" s="86">
        <f>+BX9/9</f>
        <v>1225.6955555555553</v>
      </c>
      <c r="BZ9" s="86">
        <f>+BY9/7</f>
        <v>175.09936507936504</v>
      </c>
      <c r="CA9" s="86"/>
    </row>
    <row r="10" spans="1:98">
      <c r="A10" s="20" t="s">
        <v>34</v>
      </c>
      <c r="B10" s="21" t="s">
        <v>35</v>
      </c>
      <c r="C10" s="22">
        <f>+AQ10</f>
        <v>1166.26</v>
      </c>
      <c r="D10" s="22">
        <v>0</v>
      </c>
      <c r="E10" s="22">
        <f>+AR10</f>
        <v>2264.86</v>
      </c>
      <c r="F10" s="22">
        <v>0</v>
      </c>
      <c r="G10" s="22">
        <f>SUM(C10:F10)</f>
        <v>3431.12</v>
      </c>
      <c r="H10" s="22">
        <f>+AZ10</f>
        <v>0</v>
      </c>
      <c r="I10" s="22">
        <f t="shared" ref="I10:K10" si="0">+BA10</f>
        <v>0</v>
      </c>
      <c r="J10" s="22">
        <f t="shared" si="0"/>
        <v>0</v>
      </c>
      <c r="K10" s="22">
        <f t="shared" si="0"/>
        <v>0</v>
      </c>
      <c r="L10" s="22">
        <f>+AV10</f>
        <v>0</v>
      </c>
      <c r="M10" s="22">
        <f>+BF10</f>
        <v>0</v>
      </c>
      <c r="N10" s="22">
        <f>+BG10</f>
        <v>0</v>
      </c>
      <c r="O10" s="22">
        <f>+BI10</f>
        <v>0</v>
      </c>
      <c r="P10" s="22">
        <f>+AY10</f>
        <v>0</v>
      </c>
      <c r="Q10" s="22">
        <v>0</v>
      </c>
      <c r="R10" s="22">
        <f>+BD10</f>
        <v>0</v>
      </c>
      <c r="S10" s="22">
        <f>+BE10</f>
        <v>0</v>
      </c>
      <c r="T10" s="22">
        <f>SUM(H10:S10)</f>
        <v>0</v>
      </c>
      <c r="U10" s="22">
        <f>+G10-T10</f>
        <v>3431.12</v>
      </c>
      <c r="V10" s="22">
        <f>+G10-L10-P10-Q10</f>
        <v>3431.12</v>
      </c>
      <c r="W10" s="22">
        <f>+BK10</f>
        <v>343.11200000000002</v>
      </c>
      <c r="X10" s="22">
        <f>+'C&amp;A'!E10*0.02</f>
        <v>10.2256</v>
      </c>
      <c r="Y10" s="22">
        <f>+I10</f>
        <v>0</v>
      </c>
      <c r="Z10" s="22">
        <f>SUM(V10:Y10)</f>
        <v>3784.4576000000002</v>
      </c>
      <c r="AA10" s="22">
        <f>+Z10*0.16</f>
        <v>605.51321600000006</v>
      </c>
      <c r="AB10" s="22">
        <f>+Z10+AA10</f>
        <v>4389.970816</v>
      </c>
      <c r="AC10" s="59"/>
      <c r="AD10" s="61"/>
      <c r="AE10" s="61"/>
      <c r="AF10" s="61"/>
      <c r="AG10" s="123" t="s">
        <v>375</v>
      </c>
      <c r="AH10" s="123" t="s">
        <v>376</v>
      </c>
      <c r="AI10" s="123"/>
      <c r="AJ10" s="123" t="s">
        <v>34</v>
      </c>
      <c r="AK10" s="123" t="s">
        <v>179</v>
      </c>
      <c r="AL10" s="123"/>
      <c r="AM10" s="123"/>
      <c r="AN10" s="123"/>
      <c r="AO10" s="147">
        <v>1166.26</v>
      </c>
      <c r="AP10" s="158"/>
      <c r="AQ10" s="147">
        <f t="shared" ref="AQ10:AQ15" si="1">+AO10+AP10</f>
        <v>1166.26</v>
      </c>
      <c r="AR10" s="147">
        <v>2264.86</v>
      </c>
      <c r="AS10" s="147"/>
      <c r="AT10" s="147"/>
      <c r="AU10" s="147"/>
      <c r="AV10" s="159"/>
      <c r="AW10" s="141">
        <f t="shared" ref="AW10:AW15" si="2">SUM(AQ10:AU10)-AV10</f>
        <v>3431.12</v>
      </c>
      <c r="AX10" s="147"/>
      <c r="AY10" s="147"/>
      <c r="AZ10" s="147">
        <v>0</v>
      </c>
      <c r="BA10" s="147"/>
      <c r="BB10" s="147"/>
      <c r="BC10" s="147"/>
      <c r="BD10" s="100">
        <v>0</v>
      </c>
      <c r="BE10" s="100"/>
      <c r="BF10" s="123"/>
      <c r="BG10" s="123">
        <v>0</v>
      </c>
      <c r="BH10" s="141">
        <f t="shared" ref="BH10:BH14" si="3">+AW10-SUM(AX10:BG10)</f>
        <v>3431.12</v>
      </c>
      <c r="BI10" s="100">
        <f>IF(AW10&gt;3500,AW10*0.1,0)</f>
        <v>0</v>
      </c>
      <c r="BJ10" s="141">
        <f t="shared" ref="BJ10:BJ15" si="4">+BH10-BI10</f>
        <v>3431.12</v>
      </c>
      <c r="BK10" s="100">
        <f>IF(AW10&lt;3500,AW10*0.1,0)</f>
        <v>343.11200000000002</v>
      </c>
      <c r="BL10" s="100">
        <v>10.23</v>
      </c>
      <c r="BM10" s="100">
        <f>+BA10</f>
        <v>0</v>
      </c>
      <c r="BN10" s="141">
        <f>+AW10+BK10+BL10+BM10</f>
        <v>3784.462</v>
      </c>
      <c r="BO10" s="227"/>
      <c r="BP10" s="227"/>
      <c r="BQ10" s="227"/>
      <c r="BR10" s="103"/>
      <c r="BS10" s="103"/>
      <c r="BX10" s="50" t="s">
        <v>738</v>
      </c>
      <c r="BY10" s="51" t="s">
        <v>35</v>
      </c>
      <c r="BZ10" s="274"/>
    </row>
    <row r="11" spans="1:98">
      <c r="A11" s="20" t="s">
        <v>36</v>
      </c>
      <c r="B11" s="21" t="s">
        <v>37</v>
      </c>
      <c r="C11" s="22">
        <f t="shared" ref="C11:C74" si="5">+AQ11</f>
        <v>1633.33</v>
      </c>
      <c r="D11" s="22">
        <v>0</v>
      </c>
      <c r="E11" s="22">
        <f t="shared" ref="E11:E74" si="6">+AR11</f>
        <v>1881.9</v>
      </c>
      <c r="F11" s="22">
        <v>0</v>
      </c>
      <c r="G11" s="22">
        <f t="shared" ref="G11:G74" si="7">SUM(C11:F11)</f>
        <v>3515.23</v>
      </c>
      <c r="H11" s="22">
        <f t="shared" ref="H11:H73" si="8">+AZ11</f>
        <v>0</v>
      </c>
      <c r="I11" s="22">
        <f t="shared" ref="I11:I73" si="9">+BA11</f>
        <v>0</v>
      </c>
      <c r="J11" s="22">
        <f t="shared" ref="J11:J73" si="10">+BB11</f>
        <v>0</v>
      </c>
      <c r="K11" s="22">
        <f t="shared" ref="K11:K73" si="11">+BC11</f>
        <v>0</v>
      </c>
      <c r="L11" s="22">
        <f t="shared" ref="L11:L74" si="12">+AV11</f>
        <v>0</v>
      </c>
      <c r="M11" s="22">
        <f t="shared" ref="M11:M74" si="13">+BF11</f>
        <v>0</v>
      </c>
      <c r="N11" s="22">
        <f t="shared" ref="N11:N74" si="14">+BG11</f>
        <v>0</v>
      </c>
      <c r="O11" s="22">
        <f t="shared" ref="O11:O74" si="15">+BI11</f>
        <v>351.52300000000002</v>
      </c>
      <c r="P11" s="22">
        <f t="shared" ref="P11:P73" si="16">+AY11</f>
        <v>0</v>
      </c>
      <c r="Q11" s="22">
        <v>0</v>
      </c>
      <c r="R11" s="22">
        <f t="shared" ref="R11:R57" si="17">+BD11</f>
        <v>0</v>
      </c>
      <c r="S11" s="22">
        <f t="shared" ref="S11:S74" si="18">+BE11</f>
        <v>0</v>
      </c>
      <c r="T11" s="22">
        <f t="shared" ref="T11:T74" si="19">SUM(H11:S11)</f>
        <v>351.52300000000002</v>
      </c>
      <c r="U11" s="22">
        <f t="shared" ref="U11:U74" si="20">+G11-T11</f>
        <v>3163.7069999999999</v>
      </c>
      <c r="V11" s="22">
        <f t="shared" ref="V11:V74" si="21">+G11-L11-P11-Q11</f>
        <v>3515.23</v>
      </c>
      <c r="W11" s="22">
        <f t="shared" ref="W11:W18" si="22">+BK11</f>
        <v>0</v>
      </c>
      <c r="X11" s="22">
        <f>+'C&amp;A'!E11*0.02</f>
        <v>10.2256</v>
      </c>
      <c r="Y11" s="22">
        <f t="shared" ref="Y11:Y74" si="23">+I11</f>
        <v>0</v>
      </c>
      <c r="Z11" s="22">
        <f t="shared" ref="Z11:Z74" si="24">SUM(V11:Y11)</f>
        <v>3525.4556000000002</v>
      </c>
      <c r="AA11" s="22">
        <f t="shared" ref="AA11:AA74" si="25">+Z11*0.16</f>
        <v>564.07289600000001</v>
      </c>
      <c r="AB11" s="22">
        <f t="shared" ref="AB11:AB74" si="26">+Z11+AA11</f>
        <v>4089.5284960000004</v>
      </c>
      <c r="AC11" s="59"/>
      <c r="AD11" s="61"/>
      <c r="AE11" s="61"/>
      <c r="AF11" s="61"/>
      <c r="AG11" s="123" t="s">
        <v>377</v>
      </c>
      <c r="AH11" s="123" t="s">
        <v>378</v>
      </c>
      <c r="AI11" s="123" t="s">
        <v>379</v>
      </c>
      <c r="AJ11" s="123" t="s">
        <v>36</v>
      </c>
      <c r="AK11" s="123" t="s">
        <v>380</v>
      </c>
      <c r="AL11" s="123"/>
      <c r="AM11" s="123"/>
      <c r="AN11" s="123"/>
      <c r="AO11" s="147">
        <v>1633.33</v>
      </c>
      <c r="AP11" s="123"/>
      <c r="AQ11" s="147">
        <f t="shared" si="1"/>
        <v>1633.33</v>
      </c>
      <c r="AR11" s="147">
        <v>1881.9</v>
      </c>
      <c r="AS11" s="147"/>
      <c r="AT11" s="147"/>
      <c r="AU11" s="147"/>
      <c r="AV11" s="159"/>
      <c r="AW11" s="141">
        <f t="shared" si="2"/>
        <v>3515.23</v>
      </c>
      <c r="AX11" s="147"/>
      <c r="AY11" s="147"/>
      <c r="AZ11" s="147">
        <v>0</v>
      </c>
      <c r="BA11" s="147"/>
      <c r="BB11" s="147"/>
      <c r="BC11" s="147"/>
      <c r="BD11" s="100">
        <v>0</v>
      </c>
      <c r="BE11" s="100"/>
      <c r="BF11" s="123"/>
      <c r="BG11" s="123">
        <v>0</v>
      </c>
      <c r="BH11" s="141">
        <f t="shared" si="3"/>
        <v>3515.23</v>
      </c>
      <c r="BI11" s="100">
        <f t="shared" ref="BI11:BI15" si="27">IF(AW11&gt;3500,AW11*0.1,0)</f>
        <v>351.52300000000002</v>
      </c>
      <c r="BJ11" s="141">
        <f t="shared" si="4"/>
        <v>3163.7069999999999</v>
      </c>
      <c r="BK11" s="100">
        <f t="shared" ref="BK11:BK15" si="28">IF(AW11&lt;3500,AW11*0.1,0)</f>
        <v>0</v>
      </c>
      <c r="BL11" s="100">
        <v>10.23</v>
      </c>
      <c r="BM11" s="100">
        <f t="shared" ref="BM11:BM15" si="29">+BA11</f>
        <v>0</v>
      </c>
      <c r="BN11" s="141">
        <f t="shared" ref="BN11:BN15" si="30">+AW11+BK11+BL11+BM11</f>
        <v>3525.46</v>
      </c>
      <c r="BO11" s="227"/>
      <c r="BP11" s="227"/>
      <c r="BQ11" s="227"/>
      <c r="BR11" s="103"/>
      <c r="BS11" s="103"/>
      <c r="BX11" s="50" t="s">
        <v>494</v>
      </c>
      <c r="BY11" s="51" t="s">
        <v>37</v>
      </c>
      <c r="BZ11" s="274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  <c r="CL11" s="236"/>
      <c r="CM11" s="236"/>
      <c r="CN11" s="236"/>
      <c r="CO11" s="236"/>
      <c r="CP11" s="236"/>
      <c r="CQ11" s="236"/>
      <c r="CR11" s="236"/>
      <c r="CS11" s="236"/>
      <c r="CT11" s="236"/>
    </row>
    <row r="12" spans="1:98">
      <c r="A12" s="20" t="s">
        <v>38</v>
      </c>
      <c r="B12" s="21" t="s">
        <v>39</v>
      </c>
      <c r="C12" s="22">
        <f t="shared" si="5"/>
        <v>608.16</v>
      </c>
      <c r="D12" s="22">
        <v>0</v>
      </c>
      <c r="E12" s="22">
        <f t="shared" si="6"/>
        <v>4806.95</v>
      </c>
      <c r="F12" s="22">
        <v>0</v>
      </c>
      <c r="G12" s="22">
        <f t="shared" si="7"/>
        <v>5415.11</v>
      </c>
      <c r="H12" s="22">
        <f t="shared" si="8"/>
        <v>0</v>
      </c>
      <c r="I12" s="22">
        <f t="shared" si="9"/>
        <v>265.34039000000001</v>
      </c>
      <c r="J12" s="22">
        <f t="shared" si="10"/>
        <v>54.1511</v>
      </c>
      <c r="K12" s="22">
        <f t="shared" si="11"/>
        <v>0</v>
      </c>
      <c r="L12" s="22">
        <f t="shared" si="12"/>
        <v>0</v>
      </c>
      <c r="M12" s="22">
        <f t="shared" si="13"/>
        <v>0</v>
      </c>
      <c r="N12" s="22">
        <f t="shared" si="14"/>
        <v>0</v>
      </c>
      <c r="O12" s="22">
        <f t="shared" si="15"/>
        <v>541.51099999999997</v>
      </c>
      <c r="P12" s="22">
        <f t="shared" si="16"/>
        <v>0</v>
      </c>
      <c r="Q12" s="22">
        <v>0</v>
      </c>
      <c r="R12" s="22">
        <f t="shared" si="17"/>
        <v>0</v>
      </c>
      <c r="S12" s="22">
        <f t="shared" si="18"/>
        <v>0</v>
      </c>
      <c r="T12" s="22">
        <f t="shared" si="19"/>
        <v>861.00248999999997</v>
      </c>
      <c r="U12" s="22">
        <f t="shared" si="20"/>
        <v>4554.1075099999998</v>
      </c>
      <c r="V12" s="22">
        <f t="shared" si="21"/>
        <v>5415.11</v>
      </c>
      <c r="W12" s="22">
        <f t="shared" si="22"/>
        <v>0</v>
      </c>
      <c r="X12" s="22">
        <f>+'C&amp;A'!E12*0.02</f>
        <v>10.2256</v>
      </c>
      <c r="Y12" s="22">
        <f t="shared" si="23"/>
        <v>265.34039000000001</v>
      </c>
      <c r="Z12" s="22">
        <f t="shared" si="24"/>
        <v>5690.6759899999997</v>
      </c>
      <c r="AA12" s="22">
        <f t="shared" si="25"/>
        <v>910.50815839999996</v>
      </c>
      <c r="AB12" s="22">
        <f t="shared" si="26"/>
        <v>6601.1841483999997</v>
      </c>
      <c r="AC12" s="59"/>
      <c r="AD12" s="61"/>
      <c r="AE12" s="61"/>
      <c r="AF12" s="61"/>
      <c r="AG12" s="123" t="s">
        <v>381</v>
      </c>
      <c r="AH12" s="123" t="s">
        <v>382</v>
      </c>
      <c r="AI12" s="123"/>
      <c r="AJ12" s="123" t="s">
        <v>38</v>
      </c>
      <c r="AK12" s="123" t="s">
        <v>454</v>
      </c>
      <c r="AL12" s="123"/>
      <c r="AM12" s="123"/>
      <c r="AN12" s="123"/>
      <c r="AO12" s="147">
        <v>608.16</v>
      </c>
      <c r="AP12" s="123"/>
      <c r="AQ12" s="147">
        <f t="shared" si="1"/>
        <v>608.16</v>
      </c>
      <c r="AR12" s="147">
        <f>4804.36+2.59</f>
        <v>4806.95</v>
      </c>
      <c r="AS12" s="147"/>
      <c r="AT12" s="147"/>
      <c r="AU12" s="147"/>
      <c r="AV12" s="159"/>
      <c r="AW12" s="141">
        <f t="shared" si="2"/>
        <v>5415.11</v>
      </c>
      <c r="AX12" s="147"/>
      <c r="AY12" s="147"/>
      <c r="AZ12" s="147"/>
      <c r="BA12" s="147">
        <f>AW12*4.9%</f>
        <v>265.34039000000001</v>
      </c>
      <c r="BB12" s="147">
        <f>AW12*1%</f>
        <v>54.1511</v>
      </c>
      <c r="BC12" s="147"/>
      <c r="BD12" s="100">
        <v>0</v>
      </c>
      <c r="BE12" s="100"/>
      <c r="BF12" s="123"/>
      <c r="BG12" s="123">
        <v>0</v>
      </c>
      <c r="BH12" s="141">
        <f t="shared" si="3"/>
        <v>5095.6185099999993</v>
      </c>
      <c r="BI12" s="100">
        <f t="shared" si="27"/>
        <v>541.51099999999997</v>
      </c>
      <c r="BJ12" s="141">
        <f t="shared" si="4"/>
        <v>4554.1075099999998</v>
      </c>
      <c r="BK12" s="100">
        <f t="shared" si="28"/>
        <v>0</v>
      </c>
      <c r="BL12" s="100">
        <v>10.23</v>
      </c>
      <c r="BM12" s="100">
        <f t="shared" si="29"/>
        <v>265.34039000000001</v>
      </c>
      <c r="BN12" s="141">
        <f t="shared" si="30"/>
        <v>5690.6803899999995</v>
      </c>
      <c r="BO12" s="227"/>
      <c r="BP12" s="227"/>
      <c r="BQ12" s="227"/>
      <c r="BR12" s="103"/>
      <c r="BS12" s="103"/>
      <c r="BX12" s="50" t="s">
        <v>495</v>
      </c>
      <c r="BY12" s="51" t="s">
        <v>39</v>
      </c>
      <c r="BZ12" s="274"/>
    </row>
    <row r="13" spans="1:98">
      <c r="A13" s="50" t="s">
        <v>289</v>
      </c>
      <c r="B13" s="21" t="s">
        <v>178</v>
      </c>
      <c r="C13" s="22">
        <f t="shared" si="5"/>
        <v>739.23</v>
      </c>
      <c r="D13" s="22">
        <v>0</v>
      </c>
      <c r="E13" s="22">
        <f t="shared" si="6"/>
        <v>2628.36</v>
      </c>
      <c r="F13" s="22">
        <v>0</v>
      </c>
      <c r="G13" s="22">
        <f t="shared" si="7"/>
        <v>3367.59</v>
      </c>
      <c r="H13" s="22">
        <f t="shared" si="8"/>
        <v>0</v>
      </c>
      <c r="I13" s="22">
        <f t="shared" si="9"/>
        <v>0</v>
      </c>
      <c r="J13" s="22">
        <f t="shared" si="10"/>
        <v>0</v>
      </c>
      <c r="K13" s="22">
        <f t="shared" si="11"/>
        <v>0</v>
      </c>
      <c r="L13" s="22">
        <f t="shared" si="12"/>
        <v>0</v>
      </c>
      <c r="M13" s="22">
        <f t="shared" si="13"/>
        <v>0</v>
      </c>
      <c r="N13" s="22">
        <f t="shared" si="14"/>
        <v>0</v>
      </c>
      <c r="O13" s="22">
        <f t="shared" si="15"/>
        <v>0</v>
      </c>
      <c r="P13" s="22">
        <f t="shared" si="16"/>
        <v>0</v>
      </c>
      <c r="Q13" s="22">
        <v>0</v>
      </c>
      <c r="R13" s="22">
        <f t="shared" si="17"/>
        <v>0</v>
      </c>
      <c r="S13" s="22">
        <f t="shared" si="18"/>
        <v>0</v>
      </c>
      <c r="T13" s="22">
        <f t="shared" si="19"/>
        <v>0</v>
      </c>
      <c r="U13" s="22">
        <f t="shared" si="20"/>
        <v>3367.59</v>
      </c>
      <c r="V13" s="22">
        <f t="shared" si="21"/>
        <v>3367.59</v>
      </c>
      <c r="W13" s="22">
        <f t="shared" si="22"/>
        <v>336.75900000000001</v>
      </c>
      <c r="X13" s="22">
        <f>+'C&amp;A'!E13*0.02</f>
        <v>10.2256</v>
      </c>
      <c r="Y13" s="22">
        <f t="shared" si="23"/>
        <v>0</v>
      </c>
      <c r="Z13" s="22">
        <f t="shared" si="24"/>
        <v>3714.5746000000004</v>
      </c>
      <c r="AA13" s="22">
        <f t="shared" si="25"/>
        <v>594.33193600000004</v>
      </c>
      <c r="AB13" s="22">
        <f t="shared" si="26"/>
        <v>4308.9065360000004</v>
      </c>
      <c r="AC13" s="59"/>
      <c r="AD13" s="61"/>
      <c r="AE13" s="61"/>
      <c r="AF13" s="61"/>
      <c r="AG13" s="123" t="s">
        <v>383</v>
      </c>
      <c r="AH13" s="123" t="s">
        <v>384</v>
      </c>
      <c r="AI13" s="123"/>
      <c r="AJ13" s="123" t="s">
        <v>289</v>
      </c>
      <c r="AK13" s="123" t="s">
        <v>385</v>
      </c>
      <c r="AL13" s="123"/>
      <c r="AM13" s="123"/>
      <c r="AN13" s="123"/>
      <c r="AO13" s="147">
        <v>739.23</v>
      </c>
      <c r="AP13" s="123"/>
      <c r="AQ13" s="147">
        <f t="shared" si="1"/>
        <v>739.23</v>
      </c>
      <c r="AR13" s="147">
        <f>2615.27+13.09</f>
        <v>2628.36</v>
      </c>
      <c r="AS13" s="147"/>
      <c r="AT13" s="147"/>
      <c r="AU13" s="147"/>
      <c r="AV13" s="159"/>
      <c r="AW13" s="141">
        <f t="shared" si="2"/>
        <v>3367.59</v>
      </c>
      <c r="AX13" s="147"/>
      <c r="AY13" s="147"/>
      <c r="AZ13" s="147"/>
      <c r="BA13" s="147"/>
      <c r="BB13" s="147"/>
      <c r="BC13" s="147"/>
      <c r="BD13" s="100">
        <v>0</v>
      </c>
      <c r="BE13" s="100"/>
      <c r="BF13" s="123"/>
      <c r="BG13" s="123"/>
      <c r="BH13" s="141">
        <f t="shared" si="3"/>
        <v>3367.59</v>
      </c>
      <c r="BI13" s="100">
        <f t="shared" si="27"/>
        <v>0</v>
      </c>
      <c r="BJ13" s="141">
        <f t="shared" si="4"/>
        <v>3367.59</v>
      </c>
      <c r="BK13" s="100">
        <f t="shared" si="28"/>
        <v>336.75900000000001</v>
      </c>
      <c r="BL13" s="100">
        <v>10.23</v>
      </c>
      <c r="BM13" s="100">
        <f t="shared" si="29"/>
        <v>0</v>
      </c>
      <c r="BN13" s="141">
        <f t="shared" si="30"/>
        <v>3714.5790000000002</v>
      </c>
      <c r="BO13" s="227"/>
      <c r="BP13" s="227"/>
      <c r="BQ13" s="227"/>
      <c r="BR13" s="103"/>
      <c r="BS13" s="103"/>
      <c r="BX13" s="50" t="s">
        <v>739</v>
      </c>
      <c r="BY13" s="51" t="s">
        <v>178</v>
      </c>
      <c r="BZ13" s="274"/>
    </row>
    <row r="14" spans="1:98">
      <c r="A14" s="20" t="s">
        <v>42</v>
      </c>
      <c r="B14" s="21" t="s">
        <v>43</v>
      </c>
      <c r="C14" s="22">
        <f t="shared" si="5"/>
        <v>1633.33</v>
      </c>
      <c r="D14" s="22">
        <v>0</v>
      </c>
      <c r="E14" s="22">
        <f t="shared" si="6"/>
        <v>2134.52</v>
      </c>
      <c r="F14" s="22">
        <v>0</v>
      </c>
      <c r="G14" s="22">
        <f t="shared" si="7"/>
        <v>3767.85</v>
      </c>
      <c r="H14" s="22">
        <f t="shared" si="8"/>
        <v>0</v>
      </c>
      <c r="I14" s="22">
        <f t="shared" si="9"/>
        <v>0</v>
      </c>
      <c r="J14" s="22">
        <f t="shared" si="10"/>
        <v>0</v>
      </c>
      <c r="K14" s="22">
        <f t="shared" si="11"/>
        <v>0</v>
      </c>
      <c r="L14" s="22">
        <f t="shared" si="12"/>
        <v>0</v>
      </c>
      <c r="M14" s="22">
        <f t="shared" si="13"/>
        <v>0</v>
      </c>
      <c r="N14" s="22">
        <f t="shared" si="14"/>
        <v>0</v>
      </c>
      <c r="O14" s="22">
        <f t="shared" si="15"/>
        <v>376.78500000000003</v>
      </c>
      <c r="P14" s="22">
        <f t="shared" si="16"/>
        <v>0</v>
      </c>
      <c r="Q14" s="22">
        <v>0</v>
      </c>
      <c r="R14" s="22">
        <f t="shared" si="17"/>
        <v>0</v>
      </c>
      <c r="S14" s="22">
        <f t="shared" si="18"/>
        <v>0</v>
      </c>
      <c r="T14" s="22">
        <f t="shared" si="19"/>
        <v>376.78500000000003</v>
      </c>
      <c r="U14" s="22">
        <f t="shared" si="20"/>
        <v>3391.0650000000001</v>
      </c>
      <c r="V14" s="22">
        <f t="shared" si="21"/>
        <v>3767.85</v>
      </c>
      <c r="W14" s="22">
        <f t="shared" si="22"/>
        <v>0</v>
      </c>
      <c r="X14" s="22">
        <f>+'C&amp;A'!E14*0.02</f>
        <v>10.2256</v>
      </c>
      <c r="Y14" s="22">
        <f t="shared" si="23"/>
        <v>0</v>
      </c>
      <c r="Z14" s="22">
        <f t="shared" si="24"/>
        <v>3778.0756000000001</v>
      </c>
      <c r="AA14" s="22">
        <f t="shared" si="25"/>
        <v>604.49209600000006</v>
      </c>
      <c r="AB14" s="22">
        <f t="shared" si="26"/>
        <v>4382.5676960000001</v>
      </c>
      <c r="AC14" s="59"/>
      <c r="AD14" s="61"/>
      <c r="AE14" s="61"/>
      <c r="AF14" s="61"/>
      <c r="AG14" s="123" t="s">
        <v>377</v>
      </c>
      <c r="AH14" s="123" t="s">
        <v>387</v>
      </c>
      <c r="AI14" s="123" t="s">
        <v>379</v>
      </c>
      <c r="AJ14" s="123">
        <v>16</v>
      </c>
      <c r="AK14" s="123" t="s">
        <v>388</v>
      </c>
      <c r="AL14" s="123"/>
      <c r="AM14" s="123"/>
      <c r="AN14" s="123"/>
      <c r="AO14" s="147">
        <v>1633.33</v>
      </c>
      <c r="AP14" s="123"/>
      <c r="AQ14" s="147">
        <f t="shared" si="1"/>
        <v>1633.33</v>
      </c>
      <c r="AR14" s="147">
        <v>2134.52</v>
      </c>
      <c r="AS14" s="147"/>
      <c r="AT14" s="147"/>
      <c r="AU14" s="147"/>
      <c r="AV14" s="159"/>
      <c r="AW14" s="141">
        <f t="shared" si="2"/>
        <v>3767.85</v>
      </c>
      <c r="AX14" s="147"/>
      <c r="AY14" s="147"/>
      <c r="AZ14" s="147">
        <v>0</v>
      </c>
      <c r="BA14" s="147"/>
      <c r="BB14" s="147"/>
      <c r="BC14" s="147"/>
      <c r="BD14" s="100">
        <v>0</v>
      </c>
      <c r="BE14" s="100"/>
      <c r="BF14" s="123"/>
      <c r="BG14" s="123">
        <v>0</v>
      </c>
      <c r="BH14" s="141">
        <f t="shared" si="3"/>
        <v>3767.85</v>
      </c>
      <c r="BI14" s="100">
        <f t="shared" si="27"/>
        <v>376.78500000000003</v>
      </c>
      <c r="BJ14" s="141">
        <f t="shared" si="4"/>
        <v>3391.0650000000001</v>
      </c>
      <c r="BK14" s="100">
        <f t="shared" si="28"/>
        <v>0</v>
      </c>
      <c r="BL14" s="100">
        <v>10.23</v>
      </c>
      <c r="BM14" s="100">
        <f t="shared" si="29"/>
        <v>0</v>
      </c>
      <c r="BN14" s="141">
        <f t="shared" si="30"/>
        <v>3778.08</v>
      </c>
      <c r="BO14" s="227"/>
      <c r="BP14" s="227"/>
      <c r="BQ14" s="227"/>
      <c r="BR14" s="103"/>
      <c r="BS14" s="103"/>
      <c r="BX14" s="50" t="s">
        <v>42</v>
      </c>
      <c r="BY14" s="51" t="s">
        <v>43</v>
      </c>
      <c r="BZ14" s="274"/>
    </row>
    <row r="15" spans="1:98">
      <c r="A15" s="20" t="s">
        <v>732</v>
      </c>
      <c r="B15" s="21" t="s">
        <v>609</v>
      </c>
      <c r="C15" s="22">
        <f t="shared" si="5"/>
        <v>608.16</v>
      </c>
      <c r="D15" s="22">
        <v>0</v>
      </c>
      <c r="E15" s="22">
        <f t="shared" si="6"/>
        <v>1406.24</v>
      </c>
      <c r="F15" s="22">
        <v>0</v>
      </c>
      <c r="G15" s="22">
        <f t="shared" si="7"/>
        <v>2014.4</v>
      </c>
      <c r="H15" s="22">
        <f t="shared" si="8"/>
        <v>0</v>
      </c>
      <c r="I15" s="22">
        <f t="shared" si="9"/>
        <v>0</v>
      </c>
      <c r="J15" s="22">
        <f t="shared" si="10"/>
        <v>0</v>
      </c>
      <c r="K15" s="22">
        <f t="shared" si="11"/>
        <v>0</v>
      </c>
      <c r="L15" s="22">
        <f t="shared" si="12"/>
        <v>0</v>
      </c>
      <c r="M15" s="22">
        <f t="shared" si="13"/>
        <v>0</v>
      </c>
      <c r="N15" s="22">
        <f t="shared" si="14"/>
        <v>0</v>
      </c>
      <c r="O15" s="22">
        <f t="shared" si="15"/>
        <v>0</v>
      </c>
      <c r="P15" s="22">
        <f t="shared" si="16"/>
        <v>0</v>
      </c>
      <c r="Q15" s="22">
        <v>0</v>
      </c>
      <c r="R15" s="22">
        <f t="shared" si="17"/>
        <v>0</v>
      </c>
      <c r="S15" s="22">
        <f t="shared" si="18"/>
        <v>0</v>
      </c>
      <c r="T15" s="22">
        <f t="shared" si="19"/>
        <v>0</v>
      </c>
      <c r="U15" s="22">
        <f t="shared" si="20"/>
        <v>2014.4</v>
      </c>
      <c r="V15" s="22">
        <f t="shared" si="21"/>
        <v>2014.4</v>
      </c>
      <c r="W15" s="22">
        <f t="shared" si="22"/>
        <v>201.44000000000003</v>
      </c>
      <c r="X15" s="22">
        <f>+'C&amp;A'!E15*0.02</f>
        <v>10.2256</v>
      </c>
      <c r="Y15" s="22">
        <f t="shared" si="23"/>
        <v>0</v>
      </c>
      <c r="Z15" s="22">
        <f t="shared" si="24"/>
        <v>2226.0656000000004</v>
      </c>
      <c r="AA15" s="22">
        <f t="shared" si="25"/>
        <v>356.17049600000007</v>
      </c>
      <c r="AB15" s="22">
        <f t="shared" si="26"/>
        <v>2582.2360960000005</v>
      </c>
      <c r="AC15" s="59"/>
      <c r="AD15" s="61"/>
      <c r="AE15" s="61"/>
      <c r="AF15" s="61"/>
      <c r="AG15" s="123" t="s">
        <v>375</v>
      </c>
      <c r="AH15" s="123" t="s">
        <v>609</v>
      </c>
      <c r="AI15" s="123"/>
      <c r="AJ15" s="123"/>
      <c r="AK15" s="123" t="s">
        <v>610</v>
      </c>
      <c r="AL15" s="161">
        <v>42422</v>
      </c>
      <c r="AM15" s="123"/>
      <c r="AN15" s="123"/>
      <c r="AO15" s="147">
        <v>608.16</v>
      </c>
      <c r="AP15" s="123"/>
      <c r="AQ15" s="147">
        <f t="shared" si="1"/>
        <v>608.16</v>
      </c>
      <c r="AR15" s="147">
        <f>1400.67+5.57</f>
        <v>1406.24</v>
      </c>
      <c r="AS15" s="147"/>
      <c r="AT15" s="147"/>
      <c r="AU15" s="147"/>
      <c r="AV15" s="159"/>
      <c r="AW15" s="141">
        <f t="shared" si="2"/>
        <v>2014.4</v>
      </c>
      <c r="AX15" s="147"/>
      <c r="AY15" s="147"/>
      <c r="AZ15" s="147">
        <v>0</v>
      </c>
      <c r="BA15" s="147"/>
      <c r="BB15" s="147"/>
      <c r="BC15" s="147"/>
      <c r="BD15" s="100">
        <v>0</v>
      </c>
      <c r="BE15" s="100"/>
      <c r="BF15" s="123"/>
      <c r="BG15" s="123">
        <v>0</v>
      </c>
      <c r="BH15" s="141">
        <f t="shared" ref="BH15" si="31">+AW15-SUM(AX15:BG15)</f>
        <v>2014.4</v>
      </c>
      <c r="BI15" s="100">
        <f t="shared" si="27"/>
        <v>0</v>
      </c>
      <c r="BJ15" s="141">
        <f t="shared" si="4"/>
        <v>2014.4</v>
      </c>
      <c r="BK15" s="100">
        <f t="shared" si="28"/>
        <v>201.44000000000003</v>
      </c>
      <c r="BL15" s="100">
        <v>10.23</v>
      </c>
      <c r="BM15" s="100">
        <f t="shared" si="29"/>
        <v>0</v>
      </c>
      <c r="BN15" s="141">
        <f t="shared" si="30"/>
        <v>2226.0700000000002</v>
      </c>
      <c r="BO15" s="227"/>
      <c r="BP15" s="227"/>
      <c r="BQ15" s="227"/>
      <c r="BR15" s="103">
        <v>1456104819</v>
      </c>
      <c r="BS15" s="84"/>
      <c r="BX15" s="50" t="s">
        <v>732</v>
      </c>
      <c r="BY15" s="51" t="s">
        <v>740</v>
      </c>
      <c r="BZ15" s="274"/>
    </row>
    <row r="16" spans="1:98">
      <c r="A16" s="20" t="s">
        <v>44</v>
      </c>
      <c r="B16" s="21" t="s">
        <v>45</v>
      </c>
      <c r="C16" s="22">
        <f t="shared" si="5"/>
        <v>1166.6600000000001</v>
      </c>
      <c r="D16" s="22">
        <v>0</v>
      </c>
      <c r="E16" s="22">
        <f t="shared" si="6"/>
        <v>5429.03</v>
      </c>
      <c r="F16" s="22">
        <v>0</v>
      </c>
      <c r="G16" s="22">
        <f t="shared" si="7"/>
        <v>6595.69</v>
      </c>
      <c r="H16" s="22">
        <f t="shared" si="8"/>
        <v>0</v>
      </c>
      <c r="I16" s="22">
        <f t="shared" si="9"/>
        <v>0</v>
      </c>
      <c r="J16" s="22">
        <f t="shared" si="10"/>
        <v>0</v>
      </c>
      <c r="K16" s="22">
        <f t="shared" si="11"/>
        <v>0</v>
      </c>
      <c r="L16" s="22">
        <f t="shared" si="12"/>
        <v>0</v>
      </c>
      <c r="M16" s="22">
        <f t="shared" si="13"/>
        <v>0</v>
      </c>
      <c r="N16" s="22">
        <f t="shared" si="14"/>
        <v>368.35</v>
      </c>
      <c r="O16" s="22">
        <f t="shared" si="15"/>
        <v>659.56899999999996</v>
      </c>
      <c r="P16" s="22">
        <f t="shared" si="16"/>
        <v>0</v>
      </c>
      <c r="Q16" s="22">
        <v>0</v>
      </c>
      <c r="R16" s="22">
        <f t="shared" si="17"/>
        <v>0</v>
      </c>
      <c r="S16" s="22">
        <f t="shared" si="18"/>
        <v>0</v>
      </c>
      <c r="T16" s="22">
        <f t="shared" si="19"/>
        <v>1027.9189999999999</v>
      </c>
      <c r="U16" s="22">
        <f t="shared" si="20"/>
        <v>5567.7709999999997</v>
      </c>
      <c r="V16" s="22">
        <f t="shared" si="21"/>
        <v>6595.69</v>
      </c>
      <c r="W16" s="22">
        <f t="shared" si="22"/>
        <v>0</v>
      </c>
      <c r="X16" s="22">
        <f>+'C&amp;A'!E16*0.02</f>
        <v>10.2256</v>
      </c>
      <c r="Y16" s="22">
        <f t="shared" si="23"/>
        <v>0</v>
      </c>
      <c r="Z16" s="22">
        <f t="shared" si="24"/>
        <v>6605.9155999999994</v>
      </c>
      <c r="AA16" s="22">
        <f t="shared" si="25"/>
        <v>1056.946496</v>
      </c>
      <c r="AB16" s="22">
        <f t="shared" si="26"/>
        <v>7662.8620959999989</v>
      </c>
      <c r="AC16" s="59"/>
      <c r="AD16" s="61"/>
      <c r="AE16" s="61"/>
      <c r="AF16" s="61"/>
      <c r="AG16" s="123" t="s">
        <v>377</v>
      </c>
      <c r="AH16" s="123" t="s">
        <v>393</v>
      </c>
      <c r="AI16" s="123" t="s">
        <v>30</v>
      </c>
      <c r="AJ16" s="123" t="s">
        <v>44</v>
      </c>
      <c r="AK16" s="123" t="s">
        <v>189</v>
      </c>
      <c r="AL16" s="123"/>
      <c r="AM16" s="123"/>
      <c r="AN16" s="123"/>
      <c r="AO16" s="147">
        <v>513.33000000000004</v>
      </c>
      <c r="AP16" s="123">
        <v>653.33000000000004</v>
      </c>
      <c r="AQ16" s="147">
        <f t="shared" ref="AQ16:AQ47" si="32">+AO16+AP16</f>
        <v>1166.6600000000001</v>
      </c>
      <c r="AR16" s="147">
        <v>5429.03</v>
      </c>
      <c r="AS16" s="147"/>
      <c r="AT16" s="147"/>
      <c r="AU16" s="147"/>
      <c r="AV16" s="159"/>
      <c r="AW16" s="141">
        <f t="shared" ref="AW16:AW47" si="33">SUM(AQ16:AU16)-AV16</f>
        <v>6595.69</v>
      </c>
      <c r="AX16" s="147"/>
      <c r="AY16" s="147"/>
      <c r="AZ16" s="147">
        <v>0</v>
      </c>
      <c r="BA16" s="147"/>
      <c r="BB16" s="147"/>
      <c r="BC16" s="147"/>
      <c r="BD16" s="100">
        <v>0</v>
      </c>
      <c r="BE16" s="100"/>
      <c r="BF16" s="123"/>
      <c r="BG16" s="123">
        <v>368.35</v>
      </c>
      <c r="BH16" s="141">
        <f t="shared" ref="BH16:BH47" si="34">+AW16-SUM(AX16:BG16)</f>
        <v>6227.3399999999992</v>
      </c>
      <c r="BI16" s="100">
        <f t="shared" ref="BI16:BI47" si="35">IF(AW16&gt;3500,AW16*0.1,0)</f>
        <v>659.56899999999996</v>
      </c>
      <c r="BJ16" s="141">
        <f t="shared" ref="BJ16:BJ47" si="36">+BH16-BI16</f>
        <v>5567.7709999999988</v>
      </c>
      <c r="BK16" s="100">
        <f t="shared" ref="BK16:BK47" si="37">IF(AW16&lt;3500,AW16*0.1,0)</f>
        <v>0</v>
      </c>
      <c r="BL16" s="100">
        <v>10.23</v>
      </c>
      <c r="BM16" s="100">
        <f t="shared" ref="BM16:BM47" si="38">+BA16</f>
        <v>0</v>
      </c>
      <c r="BN16" s="141">
        <f t="shared" ref="BN16:BN47" si="39">+AW16+BK16+BL16+BM16</f>
        <v>6605.9199999999992</v>
      </c>
      <c r="BO16" s="227"/>
      <c r="BP16" s="227"/>
      <c r="BQ16" s="227"/>
      <c r="BR16" s="103"/>
      <c r="BS16" s="103"/>
      <c r="BX16" s="50" t="s">
        <v>496</v>
      </c>
      <c r="BY16" s="51" t="s">
        <v>45</v>
      </c>
      <c r="BZ16" s="274"/>
    </row>
    <row r="17" spans="1:78">
      <c r="A17" s="50" t="s">
        <v>518</v>
      </c>
      <c r="B17" s="21" t="s">
        <v>517</v>
      </c>
      <c r="C17" s="22">
        <f t="shared" si="5"/>
        <v>1166.6600000000001</v>
      </c>
      <c r="D17" s="22">
        <v>0</v>
      </c>
      <c r="E17" s="22">
        <f t="shared" si="6"/>
        <v>0</v>
      </c>
      <c r="F17" s="22">
        <v>0</v>
      </c>
      <c r="G17" s="22">
        <f t="shared" si="7"/>
        <v>1166.6600000000001</v>
      </c>
      <c r="H17" s="22">
        <f t="shared" si="8"/>
        <v>0</v>
      </c>
      <c r="I17" s="22">
        <f t="shared" si="9"/>
        <v>0</v>
      </c>
      <c r="J17" s="22">
        <f t="shared" si="10"/>
        <v>0</v>
      </c>
      <c r="K17" s="22">
        <f t="shared" si="11"/>
        <v>0</v>
      </c>
      <c r="L17" s="22">
        <f t="shared" si="12"/>
        <v>0</v>
      </c>
      <c r="M17" s="22">
        <f t="shared" si="13"/>
        <v>0</v>
      </c>
      <c r="N17" s="22">
        <f t="shared" si="14"/>
        <v>0</v>
      </c>
      <c r="O17" s="22">
        <f t="shared" si="15"/>
        <v>0</v>
      </c>
      <c r="P17" s="22">
        <f t="shared" si="16"/>
        <v>0</v>
      </c>
      <c r="Q17" s="22">
        <v>0</v>
      </c>
      <c r="R17" s="22">
        <f t="shared" si="17"/>
        <v>0</v>
      </c>
      <c r="S17" s="22">
        <f t="shared" si="18"/>
        <v>0</v>
      </c>
      <c r="T17" s="22">
        <f t="shared" si="19"/>
        <v>0</v>
      </c>
      <c r="U17" s="22">
        <f t="shared" si="20"/>
        <v>1166.6600000000001</v>
      </c>
      <c r="V17" s="22">
        <f t="shared" si="21"/>
        <v>1166.6600000000001</v>
      </c>
      <c r="W17" s="22">
        <f t="shared" si="22"/>
        <v>116.66600000000001</v>
      </c>
      <c r="X17" s="22">
        <f>+'C&amp;A'!E17*0.02</f>
        <v>10.2256</v>
      </c>
      <c r="Y17" s="22">
        <f t="shared" si="23"/>
        <v>0</v>
      </c>
      <c r="Z17" s="22">
        <f t="shared" si="24"/>
        <v>1293.5516</v>
      </c>
      <c r="AA17" s="22">
        <f t="shared" si="25"/>
        <v>206.968256</v>
      </c>
      <c r="AB17" s="22">
        <f t="shared" si="26"/>
        <v>1500.5198559999999</v>
      </c>
      <c r="AC17" s="59"/>
      <c r="AD17" s="61"/>
      <c r="AE17" s="61"/>
      <c r="AF17" s="61"/>
      <c r="AG17" s="123" t="s">
        <v>389</v>
      </c>
      <c r="AH17" s="123" t="s">
        <v>390</v>
      </c>
      <c r="AI17" s="123" t="s">
        <v>809</v>
      </c>
      <c r="AJ17" s="123"/>
      <c r="AK17" s="123" t="s">
        <v>392</v>
      </c>
      <c r="AL17" s="161">
        <v>42417</v>
      </c>
      <c r="AM17" s="123"/>
      <c r="AN17" s="123"/>
      <c r="AO17" s="147">
        <v>513.33000000000004</v>
      </c>
      <c r="AP17" s="123">
        <v>653.33000000000004</v>
      </c>
      <c r="AQ17" s="147">
        <f t="shared" si="32"/>
        <v>1166.6600000000001</v>
      </c>
      <c r="AR17" s="147"/>
      <c r="AS17" s="147"/>
      <c r="AT17" s="147"/>
      <c r="AU17" s="147"/>
      <c r="AV17" s="159"/>
      <c r="AW17" s="141">
        <f t="shared" si="33"/>
        <v>1166.6600000000001</v>
      </c>
      <c r="AX17" s="147"/>
      <c r="AY17" s="147"/>
      <c r="AZ17" s="147">
        <v>0</v>
      </c>
      <c r="BA17" s="147"/>
      <c r="BB17" s="147"/>
      <c r="BC17" s="147"/>
      <c r="BD17" s="100">
        <v>0</v>
      </c>
      <c r="BE17" s="100"/>
      <c r="BF17" s="123"/>
      <c r="BG17" s="123">
        <v>0</v>
      </c>
      <c r="BH17" s="141">
        <f t="shared" si="34"/>
        <v>1166.6600000000001</v>
      </c>
      <c r="BI17" s="100">
        <f t="shared" si="35"/>
        <v>0</v>
      </c>
      <c r="BJ17" s="141">
        <f t="shared" si="36"/>
        <v>1166.6600000000001</v>
      </c>
      <c r="BK17" s="100">
        <f t="shared" si="37"/>
        <v>116.66600000000001</v>
      </c>
      <c r="BL17" s="100">
        <v>10.23</v>
      </c>
      <c r="BM17" s="100">
        <f t="shared" si="38"/>
        <v>0</v>
      </c>
      <c r="BN17" s="141">
        <f t="shared" si="39"/>
        <v>1293.556</v>
      </c>
      <c r="BO17" s="227"/>
      <c r="BP17" s="227"/>
      <c r="BQ17" s="227"/>
      <c r="BR17" s="103"/>
      <c r="BS17" s="103"/>
      <c r="BX17" s="50" t="s">
        <v>518</v>
      </c>
      <c r="BY17" s="51" t="s">
        <v>517</v>
      </c>
      <c r="BZ17" s="274"/>
    </row>
    <row r="18" spans="1:78">
      <c r="A18" s="20" t="s">
        <v>290</v>
      </c>
      <c r="B18" s="21" t="s">
        <v>46</v>
      </c>
      <c r="C18" s="22">
        <f t="shared" si="5"/>
        <v>608.16</v>
      </c>
      <c r="D18" s="22">
        <v>0</v>
      </c>
      <c r="E18" s="22">
        <f t="shared" si="6"/>
        <v>569.1</v>
      </c>
      <c r="F18" s="22">
        <v>350.2</v>
      </c>
      <c r="G18" s="22">
        <f t="shared" si="7"/>
        <v>1527.46</v>
      </c>
      <c r="H18" s="22">
        <f t="shared" si="8"/>
        <v>150</v>
      </c>
      <c r="I18" s="22">
        <f t="shared" si="9"/>
        <v>57.685740000000003</v>
      </c>
      <c r="J18" s="22">
        <f t="shared" si="10"/>
        <v>11.772600000000001</v>
      </c>
      <c r="K18" s="22">
        <f t="shared" si="11"/>
        <v>0</v>
      </c>
      <c r="L18" s="22">
        <f t="shared" si="12"/>
        <v>0</v>
      </c>
      <c r="M18" s="22">
        <f t="shared" si="13"/>
        <v>0</v>
      </c>
      <c r="N18" s="22">
        <f t="shared" si="14"/>
        <v>0</v>
      </c>
      <c r="O18" s="22">
        <f t="shared" si="15"/>
        <v>0</v>
      </c>
      <c r="P18" s="22">
        <f t="shared" si="16"/>
        <v>0</v>
      </c>
      <c r="Q18" s="22">
        <v>0</v>
      </c>
      <c r="R18" s="22">
        <f t="shared" si="17"/>
        <v>0</v>
      </c>
      <c r="S18" s="22">
        <f t="shared" si="18"/>
        <v>0</v>
      </c>
      <c r="T18" s="22">
        <f t="shared" si="19"/>
        <v>219.45834000000002</v>
      </c>
      <c r="U18" s="22">
        <f t="shared" si="20"/>
        <v>1308.0016599999999</v>
      </c>
      <c r="V18" s="22">
        <f t="shared" si="21"/>
        <v>1527.46</v>
      </c>
      <c r="W18" s="22">
        <f t="shared" si="22"/>
        <v>117.726</v>
      </c>
      <c r="X18" s="22">
        <f>+'C&amp;A'!E18*0.02</f>
        <v>10.2256</v>
      </c>
      <c r="Y18" s="22">
        <f t="shared" si="23"/>
        <v>57.685740000000003</v>
      </c>
      <c r="Z18" s="22">
        <f t="shared" si="24"/>
        <v>1713.09734</v>
      </c>
      <c r="AA18" s="22">
        <f t="shared" si="25"/>
        <v>274.09557440000003</v>
      </c>
      <c r="AB18" s="22">
        <f t="shared" si="26"/>
        <v>1987.1929144000001</v>
      </c>
      <c r="AC18" s="59"/>
      <c r="AD18" s="61"/>
      <c r="AE18" s="61"/>
      <c r="AF18" s="61"/>
      <c r="AG18" s="123" t="s">
        <v>381</v>
      </c>
      <c r="AH18" s="123" t="s">
        <v>394</v>
      </c>
      <c r="AI18" s="123"/>
      <c r="AJ18" s="123" t="s">
        <v>191</v>
      </c>
      <c r="AK18" s="123" t="s">
        <v>190</v>
      </c>
      <c r="AL18" s="123"/>
      <c r="AM18" s="123"/>
      <c r="AN18" s="123"/>
      <c r="AO18" s="147">
        <v>608.16</v>
      </c>
      <c r="AP18" s="123"/>
      <c r="AQ18" s="147">
        <f t="shared" si="32"/>
        <v>608.16</v>
      </c>
      <c r="AR18" s="147">
        <v>569.1</v>
      </c>
      <c r="AS18" s="147"/>
      <c r="AT18" s="147"/>
      <c r="AU18" s="147"/>
      <c r="AV18" s="159"/>
      <c r="AW18" s="141">
        <f t="shared" si="33"/>
        <v>1177.26</v>
      </c>
      <c r="AX18" s="147"/>
      <c r="AY18" s="147"/>
      <c r="AZ18" s="147">
        <v>150</v>
      </c>
      <c r="BA18" s="147">
        <f>AW18*4.9%</f>
        <v>57.685740000000003</v>
      </c>
      <c r="BB18" s="147">
        <f>AW18*1%</f>
        <v>11.772600000000001</v>
      </c>
      <c r="BC18" s="147"/>
      <c r="BD18" s="100">
        <v>0</v>
      </c>
      <c r="BE18" s="100"/>
      <c r="BF18" s="123"/>
      <c r="BG18" s="123">
        <v>0</v>
      </c>
      <c r="BH18" s="141">
        <f t="shared" si="34"/>
        <v>957.80165999999997</v>
      </c>
      <c r="BI18" s="100">
        <f t="shared" si="35"/>
        <v>0</v>
      </c>
      <c r="BJ18" s="141">
        <f t="shared" si="36"/>
        <v>957.80165999999997</v>
      </c>
      <c r="BK18" s="100">
        <f t="shared" si="37"/>
        <v>117.726</v>
      </c>
      <c r="BL18" s="100">
        <v>10.23</v>
      </c>
      <c r="BM18" s="100">
        <f t="shared" si="38"/>
        <v>57.685740000000003</v>
      </c>
      <c r="BN18" s="141">
        <f t="shared" si="39"/>
        <v>1362.9017399999998</v>
      </c>
      <c r="BO18" s="227"/>
      <c r="BP18" s="227"/>
      <c r="BQ18" s="228"/>
      <c r="BR18" s="103"/>
      <c r="BS18" s="84" t="s">
        <v>810</v>
      </c>
      <c r="BX18" s="50" t="s">
        <v>290</v>
      </c>
      <c r="BY18" s="51" t="s">
        <v>46</v>
      </c>
      <c r="BZ18" s="274"/>
    </row>
    <row r="19" spans="1:78">
      <c r="A19" s="20" t="s">
        <v>14</v>
      </c>
      <c r="B19" s="21" t="s">
        <v>47</v>
      </c>
      <c r="C19" s="22">
        <f t="shared" si="5"/>
        <v>513.33000000000004</v>
      </c>
      <c r="D19" s="22">
        <v>0</v>
      </c>
      <c r="E19" s="22">
        <f t="shared" si="6"/>
        <v>2410.5700000000002</v>
      </c>
      <c r="F19" s="22">
        <v>0</v>
      </c>
      <c r="G19" s="22">
        <f t="shared" si="7"/>
        <v>2923.9</v>
      </c>
      <c r="H19" s="22">
        <f t="shared" si="8"/>
        <v>0</v>
      </c>
      <c r="I19" s="22">
        <f t="shared" si="9"/>
        <v>0</v>
      </c>
      <c r="J19" s="22">
        <f t="shared" si="10"/>
        <v>0</v>
      </c>
      <c r="K19" s="22">
        <f t="shared" si="11"/>
        <v>0</v>
      </c>
      <c r="L19" s="22">
        <f t="shared" si="12"/>
        <v>0</v>
      </c>
      <c r="M19" s="22">
        <f t="shared" si="13"/>
        <v>0</v>
      </c>
      <c r="N19" s="22">
        <f t="shared" si="14"/>
        <v>879.45</v>
      </c>
      <c r="O19" s="22">
        <f t="shared" si="15"/>
        <v>0</v>
      </c>
      <c r="P19" s="22">
        <f t="shared" si="16"/>
        <v>0</v>
      </c>
      <c r="Q19" s="22">
        <v>0</v>
      </c>
      <c r="R19" s="22">
        <f t="shared" si="17"/>
        <v>0</v>
      </c>
      <c r="S19" s="22">
        <f t="shared" si="18"/>
        <v>0</v>
      </c>
      <c r="T19" s="22">
        <f t="shared" si="19"/>
        <v>879.45</v>
      </c>
      <c r="U19" s="22">
        <f t="shared" si="20"/>
        <v>2044.45</v>
      </c>
      <c r="V19" s="22">
        <f t="shared" si="21"/>
        <v>2923.9</v>
      </c>
      <c r="W19" s="22">
        <f t="shared" ref="W19:W82" si="40">+BK19</f>
        <v>292.39000000000004</v>
      </c>
      <c r="X19" s="22">
        <f>+'C&amp;A'!E19*0.02</f>
        <v>10.2256</v>
      </c>
      <c r="Y19" s="22">
        <f t="shared" si="23"/>
        <v>0</v>
      </c>
      <c r="Z19" s="22">
        <f t="shared" si="24"/>
        <v>3226.5156000000002</v>
      </c>
      <c r="AA19" s="22">
        <f t="shared" si="25"/>
        <v>516.24249600000007</v>
      </c>
      <c r="AB19" s="22">
        <f t="shared" si="26"/>
        <v>3742.7580960000005</v>
      </c>
      <c r="AC19" s="59"/>
      <c r="AD19" s="61"/>
      <c r="AE19" s="61"/>
      <c r="AF19" s="61"/>
      <c r="AG19" s="123" t="s">
        <v>389</v>
      </c>
      <c r="AH19" s="123" t="s">
        <v>395</v>
      </c>
      <c r="AI19" s="123" t="s">
        <v>809</v>
      </c>
      <c r="AJ19" s="123" t="s">
        <v>14</v>
      </c>
      <c r="AK19" s="123" t="s">
        <v>392</v>
      </c>
      <c r="AL19" s="161">
        <v>42326</v>
      </c>
      <c r="AM19" s="123"/>
      <c r="AN19" s="123"/>
      <c r="AO19" s="147">
        <v>513.33000000000004</v>
      </c>
      <c r="AP19" s="123"/>
      <c r="AQ19" s="147">
        <f t="shared" si="32"/>
        <v>513.33000000000004</v>
      </c>
      <c r="AR19" s="147">
        <v>2410.5700000000002</v>
      </c>
      <c r="AS19" s="147"/>
      <c r="AT19" s="147"/>
      <c r="AU19" s="147"/>
      <c r="AV19" s="159"/>
      <c r="AW19" s="141">
        <f t="shared" si="33"/>
        <v>2923.9</v>
      </c>
      <c r="AX19" s="147"/>
      <c r="AY19" s="147"/>
      <c r="AZ19" s="147">
        <v>0</v>
      </c>
      <c r="BA19" s="147"/>
      <c r="BB19" s="147"/>
      <c r="BC19" s="147"/>
      <c r="BD19" s="100">
        <v>0</v>
      </c>
      <c r="BE19" s="100"/>
      <c r="BF19" s="123"/>
      <c r="BG19" s="237">
        <v>879.45</v>
      </c>
      <c r="BH19" s="141">
        <f t="shared" si="34"/>
        <v>2044.45</v>
      </c>
      <c r="BI19" s="100">
        <f t="shared" si="35"/>
        <v>0</v>
      </c>
      <c r="BJ19" s="141">
        <f t="shared" si="36"/>
        <v>2044.45</v>
      </c>
      <c r="BK19" s="100">
        <f t="shared" si="37"/>
        <v>292.39000000000004</v>
      </c>
      <c r="BL19" s="100">
        <v>10.23</v>
      </c>
      <c r="BM19" s="100">
        <f t="shared" si="38"/>
        <v>0</v>
      </c>
      <c r="BN19" s="141">
        <f t="shared" si="39"/>
        <v>3226.52</v>
      </c>
      <c r="BO19" s="227"/>
      <c r="BP19" s="227"/>
      <c r="BQ19" s="227"/>
      <c r="BR19" s="103"/>
      <c r="BS19" s="103"/>
      <c r="BX19" s="50" t="s">
        <v>741</v>
      </c>
      <c r="BY19" s="51" t="s">
        <v>47</v>
      </c>
      <c r="BZ19" s="274"/>
    </row>
    <row r="20" spans="1:78">
      <c r="A20" s="20" t="s">
        <v>48</v>
      </c>
      <c r="B20" s="21" t="s">
        <v>49</v>
      </c>
      <c r="C20" s="22">
        <f t="shared" si="5"/>
        <v>933.33</v>
      </c>
      <c r="D20" s="22">
        <v>0</v>
      </c>
      <c r="E20" s="22">
        <f t="shared" si="6"/>
        <v>550</v>
      </c>
      <c r="F20" s="22">
        <v>0</v>
      </c>
      <c r="G20" s="22">
        <f t="shared" si="7"/>
        <v>1483.33</v>
      </c>
      <c r="H20" s="22">
        <f t="shared" si="8"/>
        <v>0</v>
      </c>
      <c r="I20" s="22">
        <f t="shared" si="9"/>
        <v>0</v>
      </c>
      <c r="J20" s="22">
        <f t="shared" si="10"/>
        <v>0</v>
      </c>
      <c r="K20" s="22">
        <f t="shared" si="11"/>
        <v>0</v>
      </c>
      <c r="L20" s="22">
        <f t="shared" si="12"/>
        <v>0</v>
      </c>
      <c r="M20" s="22">
        <f t="shared" si="13"/>
        <v>0</v>
      </c>
      <c r="N20" s="22">
        <f t="shared" si="14"/>
        <v>0</v>
      </c>
      <c r="O20" s="22">
        <f t="shared" si="15"/>
        <v>0</v>
      </c>
      <c r="P20" s="22">
        <f t="shared" si="16"/>
        <v>58.91</v>
      </c>
      <c r="Q20" s="22">
        <v>0</v>
      </c>
      <c r="R20" s="22">
        <f t="shared" si="17"/>
        <v>0</v>
      </c>
      <c r="S20" s="22">
        <f t="shared" si="18"/>
        <v>0</v>
      </c>
      <c r="T20" s="22">
        <f t="shared" si="19"/>
        <v>58.91</v>
      </c>
      <c r="U20" s="22">
        <f t="shared" si="20"/>
        <v>1424.4199999999998</v>
      </c>
      <c r="V20" s="22">
        <f t="shared" si="21"/>
        <v>1424.4199999999998</v>
      </c>
      <c r="W20" s="22">
        <f t="shared" si="40"/>
        <v>148.333</v>
      </c>
      <c r="X20" s="22">
        <f>+'C&amp;A'!E20*0.02</f>
        <v>10.2256</v>
      </c>
      <c r="Y20" s="22">
        <f t="shared" si="23"/>
        <v>0</v>
      </c>
      <c r="Z20" s="22">
        <f t="shared" si="24"/>
        <v>1582.9785999999999</v>
      </c>
      <c r="AA20" s="22">
        <f t="shared" si="25"/>
        <v>253.27657600000001</v>
      </c>
      <c r="AB20" s="22">
        <f t="shared" si="26"/>
        <v>1836.2551759999999</v>
      </c>
      <c r="AC20" s="59"/>
      <c r="AD20" s="61"/>
      <c r="AE20" s="61"/>
      <c r="AF20" s="61"/>
      <c r="AG20" s="123" t="s">
        <v>396</v>
      </c>
      <c r="AH20" s="123" t="s">
        <v>613</v>
      </c>
      <c r="AI20" s="123"/>
      <c r="AJ20" s="123" t="s">
        <v>48</v>
      </c>
      <c r="AK20" s="123" t="s">
        <v>398</v>
      </c>
      <c r="AL20" s="123"/>
      <c r="AM20" s="123"/>
      <c r="AN20" s="123"/>
      <c r="AO20" s="147">
        <v>933.33</v>
      </c>
      <c r="AP20" s="123"/>
      <c r="AQ20" s="147">
        <f t="shared" si="32"/>
        <v>933.33</v>
      </c>
      <c r="AR20" s="147">
        <v>550</v>
      </c>
      <c r="AS20" s="147"/>
      <c r="AT20" s="147"/>
      <c r="AU20" s="147"/>
      <c r="AV20" s="159"/>
      <c r="AW20" s="141">
        <f t="shared" si="33"/>
        <v>1483.33</v>
      </c>
      <c r="AX20" s="147"/>
      <c r="AY20" s="147">
        <v>58.91</v>
      </c>
      <c r="AZ20" s="147">
        <v>0</v>
      </c>
      <c r="BA20" s="147"/>
      <c r="BB20" s="147"/>
      <c r="BC20" s="147"/>
      <c r="BD20" s="100">
        <v>0</v>
      </c>
      <c r="BE20" s="100"/>
      <c r="BF20" s="237"/>
      <c r="BG20" s="123">
        <v>0</v>
      </c>
      <c r="BH20" s="141">
        <f t="shared" si="34"/>
        <v>1424.4199999999998</v>
      </c>
      <c r="BI20" s="100">
        <f t="shared" si="35"/>
        <v>0</v>
      </c>
      <c r="BJ20" s="141">
        <f t="shared" si="36"/>
        <v>1424.4199999999998</v>
      </c>
      <c r="BK20" s="100">
        <f t="shared" si="37"/>
        <v>148.333</v>
      </c>
      <c r="BL20" s="100">
        <v>10.23</v>
      </c>
      <c r="BM20" s="100">
        <f t="shared" si="38"/>
        <v>0</v>
      </c>
      <c r="BN20" s="141">
        <f t="shared" si="39"/>
        <v>1641.893</v>
      </c>
      <c r="BO20" s="227"/>
      <c r="BP20" s="227"/>
      <c r="BQ20" s="228"/>
      <c r="BR20" s="103"/>
      <c r="BS20" s="103"/>
      <c r="BX20" s="50" t="s">
        <v>742</v>
      </c>
      <c r="BY20" s="51" t="s">
        <v>49</v>
      </c>
      <c r="BZ20" s="274"/>
    </row>
    <row r="21" spans="1:78">
      <c r="A21" s="20" t="s">
        <v>50</v>
      </c>
      <c r="B21" s="21" t="s">
        <v>51</v>
      </c>
      <c r="C21" s="22">
        <f t="shared" si="5"/>
        <v>513.33000000000004</v>
      </c>
      <c r="D21" s="22">
        <v>93.68</v>
      </c>
      <c r="E21" s="22">
        <f t="shared" si="6"/>
        <v>0</v>
      </c>
      <c r="F21" s="22">
        <v>0</v>
      </c>
      <c r="G21" s="22">
        <f t="shared" si="7"/>
        <v>607.01</v>
      </c>
      <c r="H21" s="22">
        <f t="shared" si="8"/>
        <v>0</v>
      </c>
      <c r="I21" s="22">
        <f t="shared" si="9"/>
        <v>0</v>
      </c>
      <c r="J21" s="22">
        <f t="shared" si="10"/>
        <v>0</v>
      </c>
      <c r="K21" s="22">
        <f t="shared" si="11"/>
        <v>0</v>
      </c>
      <c r="L21" s="22">
        <f t="shared" si="12"/>
        <v>0</v>
      </c>
      <c r="M21" s="22">
        <f t="shared" si="13"/>
        <v>0</v>
      </c>
      <c r="N21" s="22">
        <f t="shared" si="14"/>
        <v>128.33250000000001</v>
      </c>
      <c r="O21" s="22">
        <f t="shared" si="15"/>
        <v>0</v>
      </c>
      <c r="P21" s="22">
        <f t="shared" si="16"/>
        <v>58.91</v>
      </c>
      <c r="Q21" s="22">
        <v>0</v>
      </c>
      <c r="R21" s="22">
        <f t="shared" si="17"/>
        <v>0</v>
      </c>
      <c r="S21" s="22">
        <f t="shared" si="18"/>
        <v>167.44</v>
      </c>
      <c r="T21" s="22">
        <f t="shared" si="19"/>
        <v>354.6825</v>
      </c>
      <c r="U21" s="22">
        <f t="shared" si="20"/>
        <v>252.32749999999999</v>
      </c>
      <c r="V21" s="22">
        <f t="shared" si="21"/>
        <v>548.1</v>
      </c>
      <c r="W21" s="22">
        <f t="shared" si="40"/>
        <v>51.333000000000006</v>
      </c>
      <c r="X21" s="22">
        <f>+'C&amp;A'!E21*0.02</f>
        <v>5.1128</v>
      </c>
      <c r="Y21" s="22">
        <f t="shared" si="23"/>
        <v>0</v>
      </c>
      <c r="Z21" s="22">
        <f t="shared" si="24"/>
        <v>604.54579999999999</v>
      </c>
      <c r="AA21" s="22">
        <f t="shared" si="25"/>
        <v>96.727328</v>
      </c>
      <c r="AB21" s="22">
        <f t="shared" si="26"/>
        <v>701.27312800000004</v>
      </c>
      <c r="AC21" s="59"/>
      <c r="AD21" s="61"/>
      <c r="AE21" s="61"/>
      <c r="AF21" s="61"/>
      <c r="AG21" s="123" t="s">
        <v>377</v>
      </c>
      <c r="AH21" s="123" t="s">
        <v>615</v>
      </c>
      <c r="AI21" s="123" t="s">
        <v>32</v>
      </c>
      <c r="AJ21" s="123" t="s">
        <v>50</v>
      </c>
      <c r="AK21" s="123" t="s">
        <v>189</v>
      </c>
      <c r="AL21" s="123"/>
      <c r="AM21" s="123"/>
      <c r="AN21" s="123"/>
      <c r="AO21" s="147">
        <v>513.33000000000004</v>
      </c>
      <c r="AP21" s="123"/>
      <c r="AQ21" s="147">
        <f t="shared" si="32"/>
        <v>513.33000000000004</v>
      </c>
      <c r="AR21" s="147"/>
      <c r="AS21" s="147"/>
      <c r="AT21" s="147"/>
      <c r="AU21" s="147"/>
      <c r="AV21" s="159"/>
      <c r="AW21" s="141">
        <f t="shared" si="33"/>
        <v>513.33000000000004</v>
      </c>
      <c r="AX21" s="147"/>
      <c r="AY21" s="147">
        <v>58.91</v>
      </c>
      <c r="AZ21" s="147"/>
      <c r="BA21" s="147"/>
      <c r="BB21" s="147"/>
      <c r="BC21" s="147"/>
      <c r="BD21" s="100">
        <v>0</v>
      </c>
      <c r="BE21" s="100">
        <v>167.44</v>
      </c>
      <c r="BF21" s="123"/>
      <c r="BG21" s="158">
        <f>AW21*0.25</f>
        <v>128.33250000000001</v>
      </c>
      <c r="BH21" s="141">
        <f t="shared" si="34"/>
        <v>158.64750000000004</v>
      </c>
      <c r="BI21" s="100">
        <f t="shared" si="35"/>
        <v>0</v>
      </c>
      <c r="BJ21" s="141">
        <f t="shared" si="36"/>
        <v>158.64750000000004</v>
      </c>
      <c r="BK21" s="100">
        <f t="shared" si="37"/>
        <v>51.333000000000006</v>
      </c>
      <c r="BL21" s="100">
        <v>10.23</v>
      </c>
      <c r="BM21" s="100">
        <f t="shared" si="38"/>
        <v>0</v>
      </c>
      <c r="BN21" s="141">
        <f t="shared" si="39"/>
        <v>574.89300000000003</v>
      </c>
      <c r="BO21" s="227"/>
      <c r="BP21" s="227"/>
      <c r="BQ21" s="227"/>
      <c r="BR21" s="103"/>
      <c r="BS21" s="103"/>
      <c r="BT21" s="103">
        <f>1697.06-469.17</f>
        <v>1227.8899999999999</v>
      </c>
      <c r="BU21" s="103">
        <v>500</v>
      </c>
      <c r="BV21" s="103" t="s">
        <v>811</v>
      </c>
      <c r="BX21" s="50" t="s">
        <v>50</v>
      </c>
      <c r="BY21" s="51" t="s">
        <v>51</v>
      </c>
      <c r="BZ21" s="274"/>
    </row>
    <row r="22" spans="1:78">
      <c r="A22" s="50" t="s">
        <v>824</v>
      </c>
      <c r="B22" s="51" t="s">
        <v>825</v>
      </c>
      <c r="C22" s="22">
        <f t="shared" si="5"/>
        <v>333.3314285714286</v>
      </c>
      <c r="D22" s="22">
        <v>93.68</v>
      </c>
      <c r="E22" s="22">
        <f t="shared" si="6"/>
        <v>0</v>
      </c>
      <c r="F22" s="22"/>
      <c r="G22" s="22">
        <f t="shared" si="7"/>
        <v>427.01142857142861</v>
      </c>
      <c r="H22" s="22">
        <f t="shared" si="8"/>
        <v>0</v>
      </c>
      <c r="I22" s="22">
        <f t="shared" si="9"/>
        <v>0</v>
      </c>
      <c r="J22" s="22">
        <f t="shared" si="10"/>
        <v>0</v>
      </c>
      <c r="K22" s="22">
        <f t="shared" si="11"/>
        <v>0</v>
      </c>
      <c r="L22" s="22">
        <f t="shared" si="12"/>
        <v>0</v>
      </c>
      <c r="M22" s="22">
        <f t="shared" si="13"/>
        <v>0</v>
      </c>
      <c r="N22" s="22">
        <f t="shared" si="14"/>
        <v>0</v>
      </c>
      <c r="O22" s="22">
        <f t="shared" si="15"/>
        <v>0</v>
      </c>
      <c r="P22" s="22">
        <f t="shared" si="16"/>
        <v>0</v>
      </c>
      <c r="Q22" s="22"/>
      <c r="R22" s="22">
        <f t="shared" si="17"/>
        <v>0</v>
      </c>
      <c r="S22" s="22">
        <f t="shared" si="18"/>
        <v>0</v>
      </c>
      <c r="T22" s="22">
        <f t="shared" si="19"/>
        <v>0</v>
      </c>
      <c r="U22" s="22">
        <f t="shared" si="20"/>
        <v>427.01142857142861</v>
      </c>
      <c r="V22" s="22">
        <f t="shared" si="21"/>
        <v>427.01142857142861</v>
      </c>
      <c r="W22" s="22">
        <f t="shared" si="40"/>
        <v>33.33314285714286</v>
      </c>
      <c r="X22" s="22">
        <f>+'C&amp;A'!E22*0.02</f>
        <v>1.7042000000000002</v>
      </c>
      <c r="Y22" s="22">
        <f t="shared" si="23"/>
        <v>0</v>
      </c>
      <c r="Z22" s="22">
        <f t="shared" si="24"/>
        <v>462.04877142857151</v>
      </c>
      <c r="AA22" s="22">
        <f t="shared" si="25"/>
        <v>73.927803428571437</v>
      </c>
      <c r="AB22" s="22">
        <f t="shared" si="26"/>
        <v>535.97657485714296</v>
      </c>
      <c r="AC22" s="59"/>
      <c r="AD22" s="61"/>
      <c r="AE22" s="61"/>
      <c r="AF22" s="61"/>
      <c r="AG22" s="123" t="s">
        <v>377</v>
      </c>
      <c r="AH22" s="123" t="s">
        <v>812</v>
      </c>
      <c r="AI22" s="123" t="s">
        <v>31</v>
      </c>
      <c r="AJ22" s="123"/>
      <c r="AK22" s="123" t="s">
        <v>189</v>
      </c>
      <c r="AL22" s="161">
        <v>42436</v>
      </c>
      <c r="AM22" s="123"/>
      <c r="AN22" s="123"/>
      <c r="AO22" s="147">
        <f>513.33/7*2</f>
        <v>146.6657142857143</v>
      </c>
      <c r="AP22" s="237">
        <f>653.33/7*2</f>
        <v>186.6657142857143</v>
      </c>
      <c r="AQ22" s="147">
        <f t="shared" si="32"/>
        <v>333.3314285714286</v>
      </c>
      <c r="AR22" s="147"/>
      <c r="AS22" s="147"/>
      <c r="AT22" s="147"/>
      <c r="AU22" s="147"/>
      <c r="AV22" s="159"/>
      <c r="AW22" s="141">
        <f t="shared" si="33"/>
        <v>333.3314285714286</v>
      </c>
      <c r="AX22" s="147"/>
      <c r="AY22" s="147"/>
      <c r="AZ22" s="147"/>
      <c r="BA22" s="147"/>
      <c r="BB22" s="147"/>
      <c r="BC22" s="147"/>
      <c r="BD22" s="100">
        <v>0</v>
      </c>
      <c r="BE22" s="100"/>
      <c r="BF22" s="123"/>
      <c r="BG22" s="158"/>
      <c r="BH22" s="141">
        <f t="shared" si="34"/>
        <v>333.3314285714286</v>
      </c>
      <c r="BI22" s="100">
        <f t="shared" si="35"/>
        <v>0</v>
      </c>
      <c r="BJ22" s="141">
        <f t="shared" si="36"/>
        <v>333.3314285714286</v>
      </c>
      <c r="BK22" s="100">
        <f t="shared" si="37"/>
        <v>33.33314285714286</v>
      </c>
      <c r="BL22" s="100">
        <v>10.23</v>
      </c>
      <c r="BM22" s="100">
        <f t="shared" si="38"/>
        <v>0</v>
      </c>
      <c r="BN22" s="141">
        <f t="shared" si="39"/>
        <v>376.89457142857145</v>
      </c>
      <c r="BO22" s="227"/>
      <c r="BP22" s="227"/>
      <c r="BQ22" s="227"/>
      <c r="BR22" s="103"/>
      <c r="BS22" s="84" t="s">
        <v>813</v>
      </c>
      <c r="BV22" s="84">
        <v>1487589077</v>
      </c>
      <c r="BX22" s="50" t="s">
        <v>824</v>
      </c>
      <c r="BY22" s="51" t="s">
        <v>825</v>
      </c>
      <c r="BZ22" s="274"/>
    </row>
    <row r="23" spans="1:78">
      <c r="A23" s="20" t="s">
        <v>291</v>
      </c>
      <c r="B23" s="21" t="s">
        <v>52</v>
      </c>
      <c r="C23" s="22">
        <f t="shared" si="5"/>
        <v>1166.26</v>
      </c>
      <c r="D23" s="22">
        <v>0</v>
      </c>
      <c r="E23" s="22">
        <f t="shared" si="6"/>
        <v>933.32</v>
      </c>
      <c r="F23" s="22">
        <v>0</v>
      </c>
      <c r="G23" s="22">
        <f t="shared" si="7"/>
        <v>2099.58</v>
      </c>
      <c r="H23" s="22">
        <f t="shared" si="8"/>
        <v>0</v>
      </c>
      <c r="I23" s="22">
        <f t="shared" si="9"/>
        <v>0</v>
      </c>
      <c r="J23" s="22">
        <f t="shared" si="10"/>
        <v>0</v>
      </c>
      <c r="K23" s="22">
        <f t="shared" si="11"/>
        <v>0</v>
      </c>
      <c r="L23" s="22">
        <f t="shared" si="12"/>
        <v>0</v>
      </c>
      <c r="M23" s="22">
        <f t="shared" si="13"/>
        <v>0</v>
      </c>
      <c r="N23" s="22">
        <f t="shared" si="14"/>
        <v>0</v>
      </c>
      <c r="O23" s="22">
        <f t="shared" si="15"/>
        <v>0</v>
      </c>
      <c r="P23" s="22">
        <f t="shared" si="16"/>
        <v>0</v>
      </c>
      <c r="Q23" s="22">
        <v>0</v>
      </c>
      <c r="R23" s="22">
        <f t="shared" si="17"/>
        <v>0</v>
      </c>
      <c r="S23" s="22">
        <f t="shared" si="18"/>
        <v>0</v>
      </c>
      <c r="T23" s="22">
        <f t="shared" si="19"/>
        <v>0</v>
      </c>
      <c r="U23" s="22">
        <f t="shared" si="20"/>
        <v>2099.58</v>
      </c>
      <c r="V23" s="22">
        <f t="shared" si="21"/>
        <v>2099.58</v>
      </c>
      <c r="W23" s="22">
        <f t="shared" si="40"/>
        <v>209.958</v>
      </c>
      <c r="X23" s="22">
        <f>+'C&amp;A'!E23*0.02</f>
        <v>10.2256</v>
      </c>
      <c r="Y23" s="22">
        <f t="shared" si="23"/>
        <v>0</v>
      </c>
      <c r="Z23" s="22">
        <f t="shared" si="24"/>
        <v>2319.7636000000002</v>
      </c>
      <c r="AA23" s="22">
        <f t="shared" si="25"/>
        <v>371.16217600000004</v>
      </c>
      <c r="AB23" s="22">
        <f t="shared" si="26"/>
        <v>2690.925776</v>
      </c>
      <c r="AC23" s="59"/>
      <c r="AD23" s="61"/>
      <c r="AE23" s="61"/>
      <c r="AF23" s="61"/>
      <c r="AG23" s="123" t="s">
        <v>375</v>
      </c>
      <c r="AH23" s="123" t="s">
        <v>400</v>
      </c>
      <c r="AI23" s="123"/>
      <c r="AJ23" s="123" t="s">
        <v>180</v>
      </c>
      <c r="AK23" s="123" t="s">
        <v>179</v>
      </c>
      <c r="AL23" s="123"/>
      <c r="AM23" s="123"/>
      <c r="AN23" s="123"/>
      <c r="AO23" s="147">
        <v>1166.26</v>
      </c>
      <c r="AP23" s="158"/>
      <c r="AQ23" s="147">
        <f t="shared" si="32"/>
        <v>1166.26</v>
      </c>
      <c r="AR23" s="147">
        <v>933.32</v>
      </c>
      <c r="AS23" s="147"/>
      <c r="AT23" s="147"/>
      <c r="AU23" s="147"/>
      <c r="AV23" s="159"/>
      <c r="AW23" s="141">
        <f t="shared" si="33"/>
        <v>2099.58</v>
      </c>
      <c r="AX23" s="147"/>
      <c r="AY23" s="147"/>
      <c r="AZ23" s="147">
        <v>0</v>
      </c>
      <c r="BA23" s="147"/>
      <c r="BB23" s="147"/>
      <c r="BC23" s="147"/>
      <c r="BD23" s="100">
        <v>0</v>
      </c>
      <c r="BE23" s="100"/>
      <c r="BF23" s="123"/>
      <c r="BG23" s="123">
        <v>0</v>
      </c>
      <c r="BH23" s="141">
        <f t="shared" si="34"/>
        <v>2099.58</v>
      </c>
      <c r="BI23" s="100">
        <f t="shared" si="35"/>
        <v>0</v>
      </c>
      <c r="BJ23" s="141">
        <f t="shared" si="36"/>
        <v>2099.58</v>
      </c>
      <c r="BK23" s="100">
        <f t="shared" si="37"/>
        <v>209.958</v>
      </c>
      <c r="BL23" s="100">
        <v>10.23</v>
      </c>
      <c r="BM23" s="100">
        <f t="shared" si="38"/>
        <v>0</v>
      </c>
      <c r="BN23" s="141">
        <f t="shared" si="39"/>
        <v>2319.768</v>
      </c>
      <c r="BO23" s="227"/>
      <c r="BP23" s="227"/>
      <c r="BQ23" s="227"/>
      <c r="BR23" s="103"/>
      <c r="BS23" s="103"/>
      <c r="BX23" s="50" t="s">
        <v>291</v>
      </c>
      <c r="BY23" s="51" t="s">
        <v>52</v>
      </c>
      <c r="BZ23" s="274"/>
    </row>
    <row r="24" spans="1:78">
      <c r="A24" s="20" t="s">
        <v>53</v>
      </c>
      <c r="B24" s="21" t="s">
        <v>54</v>
      </c>
      <c r="C24" s="22">
        <f t="shared" si="5"/>
        <v>511.28</v>
      </c>
      <c r="D24" s="22">
        <v>0</v>
      </c>
      <c r="E24" s="22">
        <f t="shared" si="6"/>
        <v>3478.42</v>
      </c>
      <c r="F24" s="22">
        <v>0</v>
      </c>
      <c r="G24" s="22">
        <f t="shared" si="7"/>
        <v>3989.7</v>
      </c>
      <c r="H24" s="22">
        <f t="shared" si="8"/>
        <v>0</v>
      </c>
      <c r="I24" s="22">
        <f t="shared" si="9"/>
        <v>195.49529999999999</v>
      </c>
      <c r="J24" s="22">
        <f t="shared" si="10"/>
        <v>39.896999999999998</v>
      </c>
      <c r="K24" s="22">
        <f t="shared" si="11"/>
        <v>0</v>
      </c>
      <c r="L24" s="22">
        <f t="shared" si="12"/>
        <v>0</v>
      </c>
      <c r="M24" s="22">
        <f t="shared" si="13"/>
        <v>0</v>
      </c>
      <c r="N24" s="22">
        <f t="shared" si="14"/>
        <v>0</v>
      </c>
      <c r="O24" s="22">
        <f t="shared" si="15"/>
        <v>398.97</v>
      </c>
      <c r="P24" s="22">
        <f t="shared" si="16"/>
        <v>0</v>
      </c>
      <c r="Q24" s="22">
        <v>0</v>
      </c>
      <c r="R24" s="22">
        <f t="shared" si="17"/>
        <v>0</v>
      </c>
      <c r="S24" s="22">
        <f t="shared" si="18"/>
        <v>0</v>
      </c>
      <c r="T24" s="22">
        <f t="shared" si="19"/>
        <v>634.3623</v>
      </c>
      <c r="U24" s="22">
        <f t="shared" si="20"/>
        <v>3355.3377</v>
      </c>
      <c r="V24" s="22">
        <f t="shared" si="21"/>
        <v>3989.7</v>
      </c>
      <c r="W24" s="22">
        <f t="shared" si="40"/>
        <v>0</v>
      </c>
      <c r="X24" s="22">
        <f>+'C&amp;A'!E24*0.02</f>
        <v>10.2256</v>
      </c>
      <c r="Y24" s="22">
        <f t="shared" si="23"/>
        <v>195.49529999999999</v>
      </c>
      <c r="Z24" s="22">
        <f t="shared" si="24"/>
        <v>4195.4209000000001</v>
      </c>
      <c r="AA24" s="22">
        <f t="shared" si="25"/>
        <v>671.26734399999998</v>
      </c>
      <c r="AB24" s="22">
        <f t="shared" si="26"/>
        <v>4866.6882439999999</v>
      </c>
      <c r="AC24" s="59"/>
      <c r="AD24" s="61"/>
      <c r="AE24" s="61"/>
      <c r="AF24" s="61"/>
      <c r="AG24" s="123" t="s">
        <v>381</v>
      </c>
      <c r="AH24" s="123" t="s">
        <v>401</v>
      </c>
      <c r="AI24" s="123"/>
      <c r="AJ24" s="123" t="s">
        <v>53</v>
      </c>
      <c r="AK24" s="123" t="s">
        <v>181</v>
      </c>
      <c r="AL24" s="123"/>
      <c r="AM24" s="123"/>
      <c r="AN24" s="123"/>
      <c r="AO24" s="147">
        <v>511.28</v>
      </c>
      <c r="AP24" s="123"/>
      <c r="AQ24" s="147">
        <f t="shared" si="32"/>
        <v>511.28</v>
      </c>
      <c r="AR24" s="147">
        <f>3471+7.42</f>
        <v>3478.42</v>
      </c>
      <c r="AS24" s="147"/>
      <c r="AT24" s="147"/>
      <c r="AU24" s="147"/>
      <c r="AV24" s="159"/>
      <c r="AW24" s="141">
        <f t="shared" si="33"/>
        <v>3989.7</v>
      </c>
      <c r="AX24" s="147"/>
      <c r="AY24" s="147"/>
      <c r="AZ24" s="147">
        <v>0</v>
      </c>
      <c r="BA24" s="147">
        <f>AW24*4.9%</f>
        <v>195.49529999999999</v>
      </c>
      <c r="BB24" s="147">
        <f>AW24*1%</f>
        <v>39.896999999999998</v>
      </c>
      <c r="BC24" s="147"/>
      <c r="BD24" s="100">
        <v>0</v>
      </c>
      <c r="BE24" s="100"/>
      <c r="BF24" s="123"/>
      <c r="BG24" s="123">
        <v>0</v>
      </c>
      <c r="BH24" s="141">
        <f t="shared" si="34"/>
        <v>3754.3076999999998</v>
      </c>
      <c r="BI24" s="100">
        <f t="shared" si="35"/>
        <v>398.97</v>
      </c>
      <c r="BJ24" s="141">
        <f t="shared" si="36"/>
        <v>3355.3377</v>
      </c>
      <c r="BK24" s="100">
        <f t="shared" si="37"/>
        <v>0</v>
      </c>
      <c r="BL24" s="100">
        <v>10.23</v>
      </c>
      <c r="BM24" s="100">
        <f t="shared" si="38"/>
        <v>195.49529999999999</v>
      </c>
      <c r="BN24" s="141">
        <f t="shared" si="39"/>
        <v>4195.4252999999999</v>
      </c>
      <c r="BO24" s="227"/>
      <c r="BP24" s="227"/>
      <c r="BQ24" s="227"/>
      <c r="BR24" s="103"/>
      <c r="BS24" s="103"/>
      <c r="BX24" s="50" t="s">
        <v>743</v>
      </c>
      <c r="BY24" s="51" t="s">
        <v>54</v>
      </c>
      <c r="BZ24" s="274"/>
    </row>
    <row r="25" spans="1:78">
      <c r="A25" s="20" t="s">
        <v>15</v>
      </c>
      <c r="B25" s="21" t="s">
        <v>55</v>
      </c>
      <c r="C25" s="22">
        <f t="shared" si="5"/>
        <v>1633.33</v>
      </c>
      <c r="D25" s="22">
        <v>0</v>
      </c>
      <c r="E25" s="22">
        <f t="shared" si="6"/>
        <v>6954.41</v>
      </c>
      <c r="F25" s="22">
        <v>0</v>
      </c>
      <c r="G25" s="22">
        <f t="shared" si="7"/>
        <v>8587.74</v>
      </c>
      <c r="H25" s="22">
        <f t="shared" si="8"/>
        <v>700</v>
      </c>
      <c r="I25" s="22">
        <f t="shared" si="9"/>
        <v>0</v>
      </c>
      <c r="J25" s="22">
        <f t="shared" si="10"/>
        <v>0</v>
      </c>
      <c r="K25" s="22">
        <f t="shared" si="11"/>
        <v>0</v>
      </c>
      <c r="L25" s="22">
        <f t="shared" si="12"/>
        <v>0</v>
      </c>
      <c r="M25" s="22">
        <f t="shared" si="13"/>
        <v>205.7</v>
      </c>
      <c r="N25" s="22">
        <f t="shared" si="14"/>
        <v>0</v>
      </c>
      <c r="O25" s="22">
        <f t="shared" si="15"/>
        <v>858.774</v>
      </c>
      <c r="P25" s="22">
        <f t="shared" si="16"/>
        <v>0</v>
      </c>
      <c r="Q25" s="22">
        <v>0</v>
      </c>
      <c r="R25" s="22">
        <f t="shared" si="17"/>
        <v>0</v>
      </c>
      <c r="S25" s="22">
        <f t="shared" si="18"/>
        <v>0</v>
      </c>
      <c r="T25" s="22">
        <f t="shared" si="19"/>
        <v>1764.4740000000002</v>
      </c>
      <c r="U25" s="22">
        <f t="shared" si="20"/>
        <v>6823.2659999999996</v>
      </c>
      <c r="V25" s="22">
        <f t="shared" si="21"/>
        <v>8587.74</v>
      </c>
      <c r="W25" s="22">
        <f t="shared" si="40"/>
        <v>0</v>
      </c>
      <c r="X25" s="22">
        <f>+'C&amp;A'!E25*0.02</f>
        <v>10.2256</v>
      </c>
      <c r="Y25" s="22">
        <f t="shared" si="23"/>
        <v>0</v>
      </c>
      <c r="Z25" s="22">
        <f t="shared" si="24"/>
        <v>8597.9655999999995</v>
      </c>
      <c r="AA25" s="22">
        <f t="shared" si="25"/>
        <v>1375.6744959999999</v>
      </c>
      <c r="AB25" s="22">
        <f t="shared" si="26"/>
        <v>9973.6400959999992</v>
      </c>
      <c r="AC25" s="59"/>
      <c r="AD25" s="61"/>
      <c r="AE25" s="61"/>
      <c r="AF25" s="61"/>
      <c r="AG25" s="123" t="s">
        <v>377</v>
      </c>
      <c r="AH25" s="123" t="s">
        <v>616</v>
      </c>
      <c r="AI25" s="123" t="s">
        <v>379</v>
      </c>
      <c r="AJ25" s="123">
        <v>18</v>
      </c>
      <c r="AK25" s="123" t="s">
        <v>403</v>
      </c>
      <c r="AL25" s="123"/>
      <c r="AM25" s="123"/>
      <c r="AN25" s="123"/>
      <c r="AO25" s="147">
        <v>1633.33</v>
      </c>
      <c r="AP25" s="123"/>
      <c r="AQ25" s="147">
        <f t="shared" si="32"/>
        <v>1633.33</v>
      </c>
      <c r="AR25" s="147">
        <v>6954.41</v>
      </c>
      <c r="AS25" s="147"/>
      <c r="AT25" s="147"/>
      <c r="AU25" s="147"/>
      <c r="AV25" s="159"/>
      <c r="AW25" s="141">
        <f t="shared" si="33"/>
        <v>8587.74</v>
      </c>
      <c r="AX25" s="147"/>
      <c r="AY25" s="147"/>
      <c r="AZ25" s="147">
        <v>700</v>
      </c>
      <c r="BA25" s="147"/>
      <c r="BB25" s="147"/>
      <c r="BC25" s="147"/>
      <c r="BD25" s="100">
        <v>0</v>
      </c>
      <c r="BE25" s="100"/>
      <c r="BF25" s="123">
        <v>205.7</v>
      </c>
      <c r="BG25" s="123">
        <v>0</v>
      </c>
      <c r="BH25" s="141">
        <f t="shared" si="34"/>
        <v>7682.04</v>
      </c>
      <c r="BI25" s="100">
        <f t="shared" si="35"/>
        <v>858.774</v>
      </c>
      <c r="BJ25" s="141">
        <f t="shared" si="36"/>
        <v>6823.2659999999996</v>
      </c>
      <c r="BK25" s="100">
        <f t="shared" si="37"/>
        <v>0</v>
      </c>
      <c r="BL25" s="100">
        <v>10.23</v>
      </c>
      <c r="BM25" s="100">
        <f t="shared" si="38"/>
        <v>0</v>
      </c>
      <c r="BN25" s="141">
        <f t="shared" si="39"/>
        <v>8597.9699999999993</v>
      </c>
      <c r="BO25" s="227"/>
      <c r="BP25" s="227"/>
      <c r="BQ25" s="227"/>
      <c r="BR25" s="103"/>
      <c r="BS25" s="103"/>
      <c r="BX25" s="50" t="s">
        <v>497</v>
      </c>
      <c r="BY25" s="51" t="s">
        <v>55</v>
      </c>
      <c r="BZ25" s="274"/>
    </row>
    <row r="26" spans="1:78">
      <c r="A26" s="20" t="s">
        <v>56</v>
      </c>
      <c r="B26" s="21" t="s">
        <v>57</v>
      </c>
      <c r="C26" s="22">
        <f t="shared" si="5"/>
        <v>1100</v>
      </c>
      <c r="D26" s="22">
        <v>0</v>
      </c>
      <c r="E26" s="22">
        <f t="shared" si="6"/>
        <v>647.9</v>
      </c>
      <c r="F26" s="22">
        <v>0</v>
      </c>
      <c r="G26" s="22">
        <f t="shared" si="7"/>
        <v>1747.9</v>
      </c>
      <c r="H26" s="22">
        <f t="shared" si="8"/>
        <v>17.479000000000003</v>
      </c>
      <c r="I26" s="22">
        <f t="shared" si="9"/>
        <v>85.647100000000009</v>
      </c>
      <c r="J26" s="22">
        <f t="shared" si="10"/>
        <v>0</v>
      </c>
      <c r="K26" s="22">
        <f t="shared" si="11"/>
        <v>0</v>
      </c>
      <c r="L26" s="22">
        <f t="shared" si="12"/>
        <v>0</v>
      </c>
      <c r="M26" s="22">
        <f t="shared" si="13"/>
        <v>0</v>
      </c>
      <c r="N26" s="22">
        <f t="shared" si="14"/>
        <v>0</v>
      </c>
      <c r="O26" s="22">
        <f t="shared" si="15"/>
        <v>0</v>
      </c>
      <c r="P26" s="22">
        <f t="shared" si="16"/>
        <v>0</v>
      </c>
      <c r="Q26" s="22">
        <v>0</v>
      </c>
      <c r="R26" s="22">
        <f t="shared" si="17"/>
        <v>0</v>
      </c>
      <c r="S26" s="22">
        <f t="shared" si="18"/>
        <v>0</v>
      </c>
      <c r="T26" s="22">
        <f t="shared" si="19"/>
        <v>103.12610000000001</v>
      </c>
      <c r="U26" s="22">
        <f t="shared" si="20"/>
        <v>1644.7739000000001</v>
      </c>
      <c r="V26" s="22">
        <f t="shared" si="21"/>
        <v>1747.9</v>
      </c>
      <c r="W26" s="22">
        <f t="shared" si="40"/>
        <v>174.79000000000002</v>
      </c>
      <c r="X26" s="22">
        <f>+'C&amp;A'!E26*0.02</f>
        <v>10.2256</v>
      </c>
      <c r="Y26" s="22">
        <f t="shared" si="23"/>
        <v>85.647100000000009</v>
      </c>
      <c r="Z26" s="22">
        <f t="shared" si="24"/>
        <v>2018.5626999999999</v>
      </c>
      <c r="AA26" s="22">
        <f t="shared" si="25"/>
        <v>322.970032</v>
      </c>
      <c r="AB26" s="22">
        <f t="shared" si="26"/>
        <v>2341.5327320000001</v>
      </c>
      <c r="AC26" s="59"/>
      <c r="AD26" s="61"/>
      <c r="AE26" s="61"/>
      <c r="AF26" s="61"/>
      <c r="AG26" s="123" t="s">
        <v>381</v>
      </c>
      <c r="AH26" s="123" t="s">
        <v>617</v>
      </c>
      <c r="AI26" s="123"/>
      <c r="AJ26" s="123" t="s">
        <v>56</v>
      </c>
      <c r="AK26" s="123" t="s">
        <v>405</v>
      </c>
      <c r="AL26" s="123"/>
      <c r="AM26" s="123"/>
      <c r="AN26" s="123"/>
      <c r="AO26" s="147">
        <v>1100</v>
      </c>
      <c r="AP26" s="123"/>
      <c r="AQ26" s="147">
        <f t="shared" si="32"/>
        <v>1100</v>
      </c>
      <c r="AR26" s="147">
        <v>647.9</v>
      </c>
      <c r="AS26" s="147"/>
      <c r="AT26" s="147"/>
      <c r="AU26" s="147"/>
      <c r="AV26" s="159"/>
      <c r="AW26" s="141">
        <f t="shared" si="33"/>
        <v>1747.9</v>
      </c>
      <c r="AX26" s="147"/>
      <c r="AY26" s="147"/>
      <c r="AZ26" s="147">
        <f>+AW26*1%</f>
        <v>17.479000000000003</v>
      </c>
      <c r="BA26" s="147">
        <f>+AW26*4.9%</f>
        <v>85.647100000000009</v>
      </c>
      <c r="BB26" s="147"/>
      <c r="BC26" s="147"/>
      <c r="BD26" s="100">
        <v>0</v>
      </c>
      <c r="BE26" s="100"/>
      <c r="BF26" s="123"/>
      <c r="BG26" s="123">
        <v>0</v>
      </c>
      <c r="BH26" s="141">
        <f t="shared" si="34"/>
        <v>1644.7739000000001</v>
      </c>
      <c r="BI26" s="100">
        <f t="shared" si="35"/>
        <v>0</v>
      </c>
      <c r="BJ26" s="141">
        <f t="shared" si="36"/>
        <v>1644.7739000000001</v>
      </c>
      <c r="BK26" s="100">
        <f t="shared" si="37"/>
        <v>174.79000000000002</v>
      </c>
      <c r="BL26" s="100">
        <v>10.23</v>
      </c>
      <c r="BM26" s="100">
        <f t="shared" si="38"/>
        <v>85.647100000000009</v>
      </c>
      <c r="BN26" s="141">
        <f t="shared" si="39"/>
        <v>2018.5671</v>
      </c>
      <c r="BO26" s="227"/>
      <c r="BP26" s="227"/>
      <c r="BQ26" s="227"/>
      <c r="BR26" s="103"/>
      <c r="BS26" s="103"/>
      <c r="BX26" s="50" t="s">
        <v>744</v>
      </c>
      <c r="BY26" s="51" t="s">
        <v>57</v>
      </c>
      <c r="BZ26" s="274"/>
    </row>
    <row r="27" spans="1:78">
      <c r="A27" s="20" t="s">
        <v>60</v>
      </c>
      <c r="B27" s="21" t="s">
        <v>61</v>
      </c>
      <c r="C27" s="22">
        <f t="shared" si="5"/>
        <v>513.33000000000004</v>
      </c>
      <c r="D27" s="22">
        <v>0</v>
      </c>
      <c r="E27" s="22">
        <f t="shared" si="6"/>
        <v>4000</v>
      </c>
      <c r="F27" s="22">
        <v>0</v>
      </c>
      <c r="G27" s="22">
        <f t="shared" si="7"/>
        <v>4513.33</v>
      </c>
      <c r="H27" s="22">
        <f t="shared" si="8"/>
        <v>0</v>
      </c>
      <c r="I27" s="22">
        <f t="shared" si="9"/>
        <v>0</v>
      </c>
      <c r="J27" s="22">
        <f t="shared" si="10"/>
        <v>0</v>
      </c>
      <c r="K27" s="22">
        <f t="shared" si="11"/>
        <v>0</v>
      </c>
      <c r="L27" s="22">
        <f t="shared" si="12"/>
        <v>0</v>
      </c>
      <c r="M27" s="22">
        <f t="shared" si="13"/>
        <v>0</v>
      </c>
      <c r="N27" s="22">
        <f t="shared" si="14"/>
        <v>797.62</v>
      </c>
      <c r="O27" s="22">
        <f t="shared" si="15"/>
        <v>451.33300000000003</v>
      </c>
      <c r="P27" s="22">
        <f t="shared" si="16"/>
        <v>0</v>
      </c>
      <c r="Q27" s="22">
        <v>0</v>
      </c>
      <c r="R27" s="22">
        <f t="shared" si="17"/>
        <v>0</v>
      </c>
      <c r="S27" s="22">
        <f t="shared" si="18"/>
        <v>0</v>
      </c>
      <c r="T27" s="22">
        <f t="shared" si="19"/>
        <v>1248.953</v>
      </c>
      <c r="U27" s="22">
        <f t="shared" si="20"/>
        <v>3264.377</v>
      </c>
      <c r="V27" s="22">
        <f t="shared" si="21"/>
        <v>4513.33</v>
      </c>
      <c r="W27" s="22">
        <f t="shared" si="40"/>
        <v>0</v>
      </c>
      <c r="X27" s="22">
        <f>+'C&amp;A'!E27*0.02</f>
        <v>10.2256</v>
      </c>
      <c r="Y27" s="22">
        <f t="shared" si="23"/>
        <v>0</v>
      </c>
      <c r="Z27" s="22">
        <f t="shared" si="24"/>
        <v>4523.5555999999997</v>
      </c>
      <c r="AA27" s="22">
        <f t="shared" si="25"/>
        <v>723.76889599999993</v>
      </c>
      <c r="AB27" s="22">
        <f t="shared" si="26"/>
        <v>5247.3244959999993</v>
      </c>
      <c r="AC27" s="59"/>
      <c r="AD27" s="61"/>
      <c r="AE27" s="61"/>
      <c r="AF27" s="61"/>
      <c r="AG27" s="123" t="s">
        <v>389</v>
      </c>
      <c r="AH27" s="123" t="s">
        <v>407</v>
      </c>
      <c r="AI27" s="123" t="s">
        <v>809</v>
      </c>
      <c r="AJ27" s="123" t="s">
        <v>60</v>
      </c>
      <c r="AK27" s="123" t="s">
        <v>392</v>
      </c>
      <c r="AL27" s="161">
        <v>42432</v>
      </c>
      <c r="AM27" s="123"/>
      <c r="AN27" s="123"/>
      <c r="AO27" s="147">
        <v>513.33000000000004</v>
      </c>
      <c r="AP27" s="123"/>
      <c r="AQ27" s="147">
        <f t="shared" si="32"/>
        <v>513.33000000000004</v>
      </c>
      <c r="AR27" s="147">
        <v>4000</v>
      </c>
      <c r="AS27" s="147"/>
      <c r="AT27" s="147"/>
      <c r="AU27" s="147"/>
      <c r="AV27" s="159"/>
      <c r="AW27" s="141">
        <f t="shared" si="33"/>
        <v>4513.33</v>
      </c>
      <c r="AX27" s="147"/>
      <c r="AY27" s="147"/>
      <c r="AZ27" s="147">
        <v>0</v>
      </c>
      <c r="BA27" s="147"/>
      <c r="BB27" s="147"/>
      <c r="BC27" s="147"/>
      <c r="BD27" s="100">
        <v>0</v>
      </c>
      <c r="BE27" s="100"/>
      <c r="BF27" s="123"/>
      <c r="BG27" s="123">
        <f>797.62</f>
        <v>797.62</v>
      </c>
      <c r="BH27" s="141">
        <f t="shared" si="34"/>
        <v>3715.71</v>
      </c>
      <c r="BI27" s="100">
        <f t="shared" si="35"/>
        <v>451.33300000000003</v>
      </c>
      <c r="BJ27" s="141">
        <f t="shared" si="36"/>
        <v>3264.377</v>
      </c>
      <c r="BK27" s="100">
        <f t="shared" si="37"/>
        <v>0</v>
      </c>
      <c r="BL27" s="100">
        <v>10.23</v>
      </c>
      <c r="BM27" s="100">
        <f t="shared" si="38"/>
        <v>0</v>
      </c>
      <c r="BN27" s="141">
        <f t="shared" si="39"/>
        <v>4523.5599999999995</v>
      </c>
      <c r="BO27" s="227"/>
      <c r="BP27" s="227"/>
      <c r="BQ27" s="227"/>
      <c r="BR27" s="103"/>
      <c r="BS27" s="103"/>
      <c r="BX27" s="50" t="s">
        <v>746</v>
      </c>
      <c r="BY27" s="51" t="s">
        <v>61</v>
      </c>
      <c r="BZ27" s="274"/>
    </row>
    <row r="28" spans="1:78">
      <c r="A28" s="50" t="s">
        <v>835</v>
      </c>
      <c r="B28" s="51" t="s">
        <v>834</v>
      </c>
      <c r="C28" s="22">
        <f t="shared" si="5"/>
        <v>333.3314285714286</v>
      </c>
      <c r="D28" s="22">
        <v>93.68</v>
      </c>
      <c r="E28" s="22">
        <f t="shared" si="6"/>
        <v>0</v>
      </c>
      <c r="F28" s="22"/>
      <c r="G28" s="22">
        <f t="shared" si="7"/>
        <v>427.01142857142861</v>
      </c>
      <c r="H28" s="22">
        <f t="shared" si="8"/>
        <v>0</v>
      </c>
      <c r="I28" s="22">
        <f t="shared" si="9"/>
        <v>0</v>
      </c>
      <c r="J28" s="22">
        <f t="shared" si="10"/>
        <v>0</v>
      </c>
      <c r="K28" s="22">
        <f t="shared" si="11"/>
        <v>0</v>
      </c>
      <c r="L28" s="22">
        <f t="shared" si="12"/>
        <v>0</v>
      </c>
      <c r="M28" s="22">
        <f t="shared" si="13"/>
        <v>0</v>
      </c>
      <c r="N28" s="22">
        <f t="shared" si="14"/>
        <v>0</v>
      </c>
      <c r="O28" s="22">
        <f t="shared" si="15"/>
        <v>0</v>
      </c>
      <c r="P28" s="22">
        <f t="shared" si="16"/>
        <v>0</v>
      </c>
      <c r="Q28" s="22"/>
      <c r="R28" s="22">
        <f t="shared" si="17"/>
        <v>0</v>
      </c>
      <c r="S28" s="22">
        <f t="shared" si="18"/>
        <v>0</v>
      </c>
      <c r="T28" s="22">
        <f t="shared" si="19"/>
        <v>0</v>
      </c>
      <c r="U28" s="22">
        <f t="shared" si="20"/>
        <v>427.01142857142861</v>
      </c>
      <c r="V28" s="22">
        <f t="shared" si="21"/>
        <v>427.01142857142861</v>
      </c>
      <c r="W28" s="22">
        <f t="shared" si="40"/>
        <v>33.33314285714286</v>
      </c>
      <c r="X28" s="22">
        <f>+'C&amp;A'!E28*0.02</f>
        <v>1.7042000000000002</v>
      </c>
      <c r="Y28" s="22">
        <f t="shared" si="23"/>
        <v>0</v>
      </c>
      <c r="Z28" s="22">
        <f t="shared" si="24"/>
        <v>462.04877142857151</v>
      </c>
      <c r="AA28" s="22">
        <f t="shared" si="25"/>
        <v>73.927803428571437</v>
      </c>
      <c r="AB28" s="22">
        <f t="shared" si="26"/>
        <v>535.97657485714296</v>
      </c>
      <c r="AC28" s="59"/>
      <c r="AD28" s="61"/>
      <c r="AE28" s="61"/>
      <c r="AF28" s="61"/>
      <c r="AG28" s="123" t="s">
        <v>377</v>
      </c>
      <c r="AH28" s="123" t="s">
        <v>814</v>
      </c>
      <c r="AI28" s="123" t="s">
        <v>31</v>
      </c>
      <c r="AJ28" s="123"/>
      <c r="AK28" s="123" t="s">
        <v>189</v>
      </c>
      <c r="AL28" s="161">
        <v>42437</v>
      </c>
      <c r="AM28" s="123"/>
      <c r="AN28" s="123"/>
      <c r="AO28" s="197">
        <f>513.33/7*2</f>
        <v>146.6657142857143</v>
      </c>
      <c r="AP28" s="237">
        <f>653.33/7*2</f>
        <v>186.6657142857143</v>
      </c>
      <c r="AQ28" s="147">
        <f t="shared" si="32"/>
        <v>333.3314285714286</v>
      </c>
      <c r="AR28" s="147"/>
      <c r="AS28" s="147"/>
      <c r="AT28" s="147"/>
      <c r="AU28" s="147"/>
      <c r="AV28" s="159"/>
      <c r="AW28" s="141">
        <f t="shared" si="33"/>
        <v>333.3314285714286</v>
      </c>
      <c r="AX28" s="147"/>
      <c r="AY28" s="147"/>
      <c r="AZ28" s="147"/>
      <c r="BA28" s="147"/>
      <c r="BB28" s="147"/>
      <c r="BC28" s="147"/>
      <c r="BD28" s="100">
        <v>0</v>
      </c>
      <c r="BE28" s="100"/>
      <c r="BF28" s="123"/>
      <c r="BG28" s="123"/>
      <c r="BH28" s="141">
        <f t="shared" si="34"/>
        <v>333.3314285714286</v>
      </c>
      <c r="BI28" s="100">
        <f t="shared" si="35"/>
        <v>0</v>
      </c>
      <c r="BJ28" s="141">
        <f t="shared" si="36"/>
        <v>333.3314285714286</v>
      </c>
      <c r="BK28" s="100">
        <f t="shared" si="37"/>
        <v>33.33314285714286</v>
      </c>
      <c r="BL28" s="100">
        <v>10.23</v>
      </c>
      <c r="BM28" s="100">
        <f t="shared" si="38"/>
        <v>0</v>
      </c>
      <c r="BN28" s="141">
        <f t="shared" si="39"/>
        <v>376.89457142857145</v>
      </c>
      <c r="BO28" s="227"/>
      <c r="BP28" s="227"/>
      <c r="BQ28" s="227"/>
      <c r="BR28" s="103"/>
      <c r="BS28" s="84" t="s">
        <v>815</v>
      </c>
      <c r="BX28" s="50" t="s">
        <v>835</v>
      </c>
      <c r="BY28" s="51" t="s">
        <v>834</v>
      </c>
      <c r="BZ28" s="274"/>
    </row>
    <row r="29" spans="1:78">
      <c r="A29" s="20" t="s">
        <v>62</v>
      </c>
      <c r="B29" s="21" t="s">
        <v>63</v>
      </c>
      <c r="C29" s="22">
        <f t="shared" si="5"/>
        <v>739.23</v>
      </c>
      <c r="D29" s="22">
        <v>0</v>
      </c>
      <c r="E29" s="22">
        <f t="shared" si="6"/>
        <v>3136.48</v>
      </c>
      <c r="F29" s="22">
        <v>0</v>
      </c>
      <c r="G29" s="22">
        <f t="shared" si="7"/>
        <v>3875.71</v>
      </c>
      <c r="H29" s="22">
        <f t="shared" si="8"/>
        <v>0</v>
      </c>
      <c r="I29" s="22">
        <f t="shared" si="9"/>
        <v>0</v>
      </c>
      <c r="J29" s="22">
        <f t="shared" si="10"/>
        <v>0</v>
      </c>
      <c r="K29" s="22">
        <f t="shared" si="11"/>
        <v>0</v>
      </c>
      <c r="L29" s="22">
        <f t="shared" si="12"/>
        <v>0</v>
      </c>
      <c r="M29" s="22">
        <f t="shared" si="13"/>
        <v>0</v>
      </c>
      <c r="N29" s="22">
        <f t="shared" si="14"/>
        <v>0</v>
      </c>
      <c r="O29" s="22">
        <f t="shared" si="15"/>
        <v>387.57100000000003</v>
      </c>
      <c r="P29" s="22">
        <f t="shared" si="16"/>
        <v>0</v>
      </c>
      <c r="Q29" s="22">
        <v>0</v>
      </c>
      <c r="R29" s="22">
        <f t="shared" si="17"/>
        <v>0</v>
      </c>
      <c r="S29" s="22">
        <f t="shared" si="18"/>
        <v>0</v>
      </c>
      <c r="T29" s="22">
        <f t="shared" si="19"/>
        <v>387.57100000000003</v>
      </c>
      <c r="U29" s="22">
        <f t="shared" si="20"/>
        <v>3488.1390000000001</v>
      </c>
      <c r="V29" s="22">
        <f t="shared" si="21"/>
        <v>3875.71</v>
      </c>
      <c r="W29" s="22">
        <f t="shared" si="40"/>
        <v>0</v>
      </c>
      <c r="X29" s="22">
        <f>+'C&amp;A'!E29*0.02</f>
        <v>10.2256</v>
      </c>
      <c r="Y29" s="22">
        <f t="shared" si="23"/>
        <v>0</v>
      </c>
      <c r="Z29" s="22">
        <f t="shared" si="24"/>
        <v>3885.9356000000002</v>
      </c>
      <c r="AA29" s="22">
        <f t="shared" si="25"/>
        <v>621.74969600000009</v>
      </c>
      <c r="AB29" s="22">
        <f t="shared" si="26"/>
        <v>4507.6852960000006</v>
      </c>
      <c r="AC29" s="59"/>
      <c r="AD29" s="61"/>
      <c r="AE29" s="61"/>
      <c r="AF29" s="61"/>
      <c r="AG29" s="123" t="s">
        <v>383</v>
      </c>
      <c r="AH29" s="123" t="s">
        <v>408</v>
      </c>
      <c r="AI29" s="123"/>
      <c r="AJ29" s="123" t="s">
        <v>62</v>
      </c>
      <c r="AK29" s="123" t="s">
        <v>409</v>
      </c>
      <c r="AL29" s="123"/>
      <c r="AM29" s="123"/>
      <c r="AN29" s="123"/>
      <c r="AO29" s="147">
        <v>739.23</v>
      </c>
      <c r="AP29" s="123"/>
      <c r="AQ29" s="147">
        <f t="shared" si="32"/>
        <v>739.23</v>
      </c>
      <c r="AR29" s="147">
        <f>3123.39+13.09</f>
        <v>3136.48</v>
      </c>
      <c r="AS29" s="147"/>
      <c r="AT29" s="147"/>
      <c r="AU29" s="147"/>
      <c r="AV29" s="159"/>
      <c r="AW29" s="141">
        <f t="shared" si="33"/>
        <v>3875.71</v>
      </c>
      <c r="AX29" s="147"/>
      <c r="AY29" s="147"/>
      <c r="AZ29" s="147">
        <v>0</v>
      </c>
      <c r="BA29" s="147"/>
      <c r="BB29" s="147"/>
      <c r="BC29" s="147"/>
      <c r="BD29" s="100">
        <v>0</v>
      </c>
      <c r="BE29" s="100"/>
      <c r="BF29" s="123"/>
      <c r="BG29" s="123">
        <v>0</v>
      </c>
      <c r="BH29" s="141">
        <f t="shared" si="34"/>
        <v>3875.71</v>
      </c>
      <c r="BI29" s="100">
        <f t="shared" si="35"/>
        <v>387.57100000000003</v>
      </c>
      <c r="BJ29" s="141">
        <f t="shared" si="36"/>
        <v>3488.1390000000001</v>
      </c>
      <c r="BK29" s="100">
        <f t="shared" si="37"/>
        <v>0</v>
      </c>
      <c r="BL29" s="100">
        <v>10.23</v>
      </c>
      <c r="BM29" s="100">
        <f t="shared" si="38"/>
        <v>0</v>
      </c>
      <c r="BN29" s="141">
        <f t="shared" si="39"/>
        <v>3885.94</v>
      </c>
      <c r="BO29" s="227"/>
      <c r="BP29" s="227"/>
      <c r="BQ29" s="227"/>
      <c r="BR29" s="103"/>
      <c r="BS29" s="103"/>
      <c r="BX29" s="50" t="s">
        <v>747</v>
      </c>
      <c r="BY29" s="51" t="s">
        <v>63</v>
      </c>
      <c r="BZ29" s="274"/>
    </row>
    <row r="30" spans="1:78">
      <c r="A30" s="20" t="s">
        <v>64</v>
      </c>
      <c r="B30" s="21" t="s">
        <v>65</v>
      </c>
      <c r="C30" s="22">
        <f t="shared" si="5"/>
        <v>513.33000000000004</v>
      </c>
      <c r="D30" s="22">
        <v>0</v>
      </c>
      <c r="E30" s="22">
        <f t="shared" si="6"/>
        <v>1875</v>
      </c>
      <c r="F30" s="22">
        <v>0</v>
      </c>
      <c r="G30" s="22">
        <f t="shared" si="7"/>
        <v>2388.33</v>
      </c>
      <c r="H30" s="22">
        <f t="shared" si="8"/>
        <v>0</v>
      </c>
      <c r="I30" s="22">
        <f t="shared" si="9"/>
        <v>0</v>
      </c>
      <c r="J30" s="22">
        <f t="shared" si="10"/>
        <v>0</v>
      </c>
      <c r="K30" s="22">
        <f t="shared" si="11"/>
        <v>0</v>
      </c>
      <c r="L30" s="22">
        <f t="shared" si="12"/>
        <v>0</v>
      </c>
      <c r="M30" s="22">
        <f t="shared" si="13"/>
        <v>0</v>
      </c>
      <c r="N30" s="22">
        <f t="shared" si="14"/>
        <v>0</v>
      </c>
      <c r="O30" s="22">
        <f t="shared" si="15"/>
        <v>0</v>
      </c>
      <c r="P30" s="22">
        <f t="shared" si="16"/>
        <v>0</v>
      </c>
      <c r="Q30" s="22">
        <v>0</v>
      </c>
      <c r="R30" s="22">
        <f t="shared" si="17"/>
        <v>0</v>
      </c>
      <c r="S30" s="22">
        <f t="shared" si="18"/>
        <v>0</v>
      </c>
      <c r="T30" s="22">
        <f t="shared" si="19"/>
        <v>0</v>
      </c>
      <c r="U30" s="22">
        <f t="shared" si="20"/>
        <v>2388.33</v>
      </c>
      <c r="V30" s="22">
        <f t="shared" si="21"/>
        <v>2388.33</v>
      </c>
      <c r="W30" s="22">
        <f t="shared" si="40"/>
        <v>238.833</v>
      </c>
      <c r="X30" s="22">
        <f>+'C&amp;A'!E30*0.02</f>
        <v>10.2256</v>
      </c>
      <c r="Y30" s="22">
        <f t="shared" si="23"/>
        <v>0</v>
      </c>
      <c r="Z30" s="22">
        <f t="shared" si="24"/>
        <v>2637.3886000000002</v>
      </c>
      <c r="AA30" s="22">
        <f t="shared" si="25"/>
        <v>421.98217600000004</v>
      </c>
      <c r="AB30" s="22">
        <f t="shared" si="26"/>
        <v>3059.3707760000002</v>
      </c>
      <c r="AC30" s="59"/>
      <c r="AD30" s="61"/>
      <c r="AE30" s="61"/>
      <c r="AF30" s="61"/>
      <c r="AG30" s="123" t="s">
        <v>389</v>
      </c>
      <c r="AH30" s="123" t="s">
        <v>410</v>
      </c>
      <c r="AI30" s="123" t="s">
        <v>809</v>
      </c>
      <c r="AJ30" s="123" t="s">
        <v>64</v>
      </c>
      <c r="AK30" s="123" t="s">
        <v>392</v>
      </c>
      <c r="AL30" s="161">
        <v>42304</v>
      </c>
      <c r="AM30" s="123"/>
      <c r="AN30" s="123"/>
      <c r="AO30" s="147">
        <v>513.33000000000004</v>
      </c>
      <c r="AP30" s="123"/>
      <c r="AQ30" s="147">
        <f t="shared" si="32"/>
        <v>513.33000000000004</v>
      </c>
      <c r="AR30" s="147">
        <v>1875</v>
      </c>
      <c r="AS30" s="147"/>
      <c r="AT30" s="147"/>
      <c r="AU30" s="147"/>
      <c r="AV30" s="159"/>
      <c r="AW30" s="141">
        <f t="shared" si="33"/>
        <v>2388.33</v>
      </c>
      <c r="AX30" s="147"/>
      <c r="AY30" s="147"/>
      <c r="AZ30" s="147">
        <v>0</v>
      </c>
      <c r="BA30" s="147"/>
      <c r="BB30" s="147"/>
      <c r="BC30" s="147"/>
      <c r="BD30" s="100">
        <v>0</v>
      </c>
      <c r="BE30" s="100"/>
      <c r="BF30" s="123"/>
      <c r="BG30" s="123">
        <v>0</v>
      </c>
      <c r="BH30" s="141">
        <f t="shared" si="34"/>
        <v>2388.33</v>
      </c>
      <c r="BI30" s="100">
        <f t="shared" si="35"/>
        <v>0</v>
      </c>
      <c r="BJ30" s="141">
        <f t="shared" si="36"/>
        <v>2388.33</v>
      </c>
      <c r="BK30" s="100">
        <f t="shared" si="37"/>
        <v>238.833</v>
      </c>
      <c r="BL30" s="100">
        <v>10.23</v>
      </c>
      <c r="BM30" s="100">
        <f t="shared" si="38"/>
        <v>0</v>
      </c>
      <c r="BN30" s="141">
        <f t="shared" si="39"/>
        <v>2637.393</v>
      </c>
      <c r="BO30" s="227"/>
      <c r="BP30" s="227"/>
      <c r="BQ30" s="227"/>
      <c r="BR30" s="103"/>
      <c r="BS30" s="103"/>
      <c r="BX30" s="50" t="s">
        <v>748</v>
      </c>
      <c r="BY30" s="51" t="s">
        <v>65</v>
      </c>
      <c r="BZ30" s="274"/>
    </row>
    <row r="31" spans="1:78">
      <c r="A31" s="20" t="s">
        <v>66</v>
      </c>
      <c r="B31" s="21" t="s">
        <v>67</v>
      </c>
      <c r="C31" s="22">
        <f t="shared" si="5"/>
        <v>1100</v>
      </c>
      <c r="D31" s="22">
        <v>0</v>
      </c>
      <c r="E31" s="22">
        <f t="shared" si="6"/>
        <v>1400.87</v>
      </c>
      <c r="F31" s="22">
        <v>0</v>
      </c>
      <c r="G31" s="22">
        <f t="shared" si="7"/>
        <v>2500.87</v>
      </c>
      <c r="H31" s="22">
        <f t="shared" si="8"/>
        <v>0</v>
      </c>
      <c r="I31" s="22">
        <f t="shared" si="9"/>
        <v>0</v>
      </c>
      <c r="J31" s="22">
        <f t="shared" si="10"/>
        <v>0</v>
      </c>
      <c r="K31" s="22">
        <f t="shared" si="11"/>
        <v>0</v>
      </c>
      <c r="L31" s="22">
        <f t="shared" si="12"/>
        <v>0</v>
      </c>
      <c r="M31" s="22">
        <f t="shared" si="13"/>
        <v>0</v>
      </c>
      <c r="N31" s="22">
        <f t="shared" si="14"/>
        <v>0</v>
      </c>
      <c r="O31" s="22">
        <f t="shared" si="15"/>
        <v>0</v>
      </c>
      <c r="P31" s="22">
        <f t="shared" si="16"/>
        <v>0</v>
      </c>
      <c r="Q31" s="22">
        <v>0</v>
      </c>
      <c r="R31" s="22">
        <f t="shared" si="17"/>
        <v>0</v>
      </c>
      <c r="S31" s="22">
        <f t="shared" si="18"/>
        <v>0</v>
      </c>
      <c r="T31" s="22">
        <f t="shared" si="19"/>
        <v>0</v>
      </c>
      <c r="U31" s="22">
        <f t="shared" si="20"/>
        <v>2500.87</v>
      </c>
      <c r="V31" s="22">
        <f t="shared" si="21"/>
        <v>2500.87</v>
      </c>
      <c r="W31" s="22">
        <f t="shared" si="40"/>
        <v>250.08699999999999</v>
      </c>
      <c r="X31" s="22">
        <f>+'C&amp;A'!E31*0.02</f>
        <v>10.2256</v>
      </c>
      <c r="Y31" s="22">
        <f t="shared" si="23"/>
        <v>0</v>
      </c>
      <c r="Z31" s="22">
        <f t="shared" si="24"/>
        <v>2761.1826000000001</v>
      </c>
      <c r="AA31" s="22">
        <f t="shared" si="25"/>
        <v>441.78921600000001</v>
      </c>
      <c r="AB31" s="22">
        <f t="shared" si="26"/>
        <v>3202.9718160000002</v>
      </c>
      <c r="AC31" s="59"/>
      <c r="AD31" s="61"/>
      <c r="AE31" s="61"/>
      <c r="AF31" s="61"/>
      <c r="AG31" s="123" t="s">
        <v>383</v>
      </c>
      <c r="AH31" s="123" t="s">
        <v>411</v>
      </c>
      <c r="AI31" s="123"/>
      <c r="AJ31" s="123" t="s">
        <v>66</v>
      </c>
      <c r="AK31" s="123" t="s">
        <v>385</v>
      </c>
      <c r="AL31" s="123"/>
      <c r="AM31" s="123"/>
      <c r="AN31" s="123"/>
      <c r="AO31" s="147">
        <v>1100</v>
      </c>
      <c r="AP31" s="123"/>
      <c r="AQ31" s="147">
        <f t="shared" si="32"/>
        <v>1100</v>
      </c>
      <c r="AR31" s="147">
        <f>1395.3+5.57</f>
        <v>1400.87</v>
      </c>
      <c r="AS31" s="147"/>
      <c r="AT31" s="147"/>
      <c r="AU31" s="147"/>
      <c r="AV31" s="159"/>
      <c r="AW31" s="141">
        <f t="shared" si="33"/>
        <v>2500.87</v>
      </c>
      <c r="AX31" s="147"/>
      <c r="AY31" s="147"/>
      <c r="AZ31" s="147">
        <v>0</v>
      </c>
      <c r="BA31" s="147"/>
      <c r="BB31" s="147"/>
      <c r="BC31" s="147"/>
      <c r="BD31" s="100">
        <v>0</v>
      </c>
      <c r="BE31" s="100"/>
      <c r="BF31" s="123"/>
      <c r="BG31" s="123">
        <v>0</v>
      </c>
      <c r="BH31" s="141">
        <f t="shared" si="34"/>
        <v>2500.87</v>
      </c>
      <c r="BI31" s="100">
        <f t="shared" si="35"/>
        <v>0</v>
      </c>
      <c r="BJ31" s="141">
        <f t="shared" si="36"/>
        <v>2500.87</v>
      </c>
      <c r="BK31" s="100">
        <f t="shared" si="37"/>
        <v>250.08699999999999</v>
      </c>
      <c r="BL31" s="100">
        <v>10.23</v>
      </c>
      <c r="BM31" s="100">
        <f t="shared" si="38"/>
        <v>0</v>
      </c>
      <c r="BN31" s="141">
        <f t="shared" si="39"/>
        <v>2761.1869999999999</v>
      </c>
      <c r="BO31" s="227"/>
      <c r="BP31" s="227"/>
      <c r="BQ31" s="227"/>
      <c r="BR31" s="103"/>
      <c r="BS31" s="103"/>
      <c r="BX31" s="50" t="s">
        <v>749</v>
      </c>
      <c r="BY31" s="51" t="s">
        <v>67</v>
      </c>
      <c r="BZ31" s="274"/>
    </row>
    <row r="32" spans="1:78">
      <c r="A32" s="20" t="s">
        <v>68</v>
      </c>
      <c r="B32" s="21" t="s">
        <v>69</v>
      </c>
      <c r="C32" s="22">
        <f t="shared" si="5"/>
        <v>933.33</v>
      </c>
      <c r="D32" s="22">
        <v>0</v>
      </c>
      <c r="E32" s="22">
        <f t="shared" si="6"/>
        <v>550</v>
      </c>
      <c r="F32" s="22">
        <v>0</v>
      </c>
      <c r="G32" s="22">
        <f t="shared" si="7"/>
        <v>1483.33</v>
      </c>
      <c r="H32" s="22">
        <f t="shared" si="8"/>
        <v>0</v>
      </c>
      <c r="I32" s="22">
        <f t="shared" si="9"/>
        <v>0</v>
      </c>
      <c r="J32" s="22">
        <f t="shared" si="10"/>
        <v>0</v>
      </c>
      <c r="K32" s="22">
        <f t="shared" si="11"/>
        <v>0</v>
      </c>
      <c r="L32" s="22">
        <f t="shared" si="12"/>
        <v>0</v>
      </c>
      <c r="M32" s="22">
        <f t="shared" si="13"/>
        <v>0</v>
      </c>
      <c r="N32" s="22">
        <f t="shared" si="14"/>
        <v>0</v>
      </c>
      <c r="O32" s="22">
        <f t="shared" si="15"/>
        <v>0</v>
      </c>
      <c r="P32" s="22">
        <f t="shared" si="16"/>
        <v>58.91</v>
      </c>
      <c r="Q32" s="22">
        <v>0</v>
      </c>
      <c r="R32" s="22">
        <f t="shared" si="17"/>
        <v>0</v>
      </c>
      <c r="S32" s="22">
        <f t="shared" si="18"/>
        <v>0</v>
      </c>
      <c r="T32" s="22">
        <f t="shared" si="19"/>
        <v>58.91</v>
      </c>
      <c r="U32" s="22">
        <f t="shared" si="20"/>
        <v>1424.4199999999998</v>
      </c>
      <c r="V32" s="22">
        <f t="shared" si="21"/>
        <v>1424.4199999999998</v>
      </c>
      <c r="W32" s="22">
        <f t="shared" si="40"/>
        <v>148.333</v>
      </c>
      <c r="X32" s="22">
        <f>+'C&amp;A'!E32*0.02</f>
        <v>10.2256</v>
      </c>
      <c r="Y32" s="22">
        <f t="shared" si="23"/>
        <v>0</v>
      </c>
      <c r="Z32" s="22">
        <f t="shared" si="24"/>
        <v>1582.9785999999999</v>
      </c>
      <c r="AA32" s="22">
        <f t="shared" si="25"/>
        <v>253.27657600000001</v>
      </c>
      <c r="AB32" s="22">
        <f t="shared" si="26"/>
        <v>1836.2551759999999</v>
      </c>
      <c r="AC32" s="59"/>
      <c r="AD32" s="61"/>
      <c r="AE32" s="61"/>
      <c r="AF32" s="61"/>
      <c r="AG32" s="123" t="s">
        <v>396</v>
      </c>
      <c r="AH32" s="123" t="s">
        <v>412</v>
      </c>
      <c r="AI32" s="123"/>
      <c r="AJ32" s="123" t="s">
        <v>68</v>
      </c>
      <c r="AK32" s="123" t="s">
        <v>398</v>
      </c>
      <c r="AL32" s="123"/>
      <c r="AM32" s="123"/>
      <c r="AN32" s="123"/>
      <c r="AO32" s="147">
        <v>933.33</v>
      </c>
      <c r="AP32" s="123"/>
      <c r="AQ32" s="147">
        <f t="shared" si="32"/>
        <v>933.33</v>
      </c>
      <c r="AR32" s="147">
        <v>550</v>
      </c>
      <c r="AS32" s="147"/>
      <c r="AT32" s="147"/>
      <c r="AU32" s="147"/>
      <c r="AV32" s="159"/>
      <c r="AW32" s="141">
        <f t="shared" si="33"/>
        <v>1483.33</v>
      </c>
      <c r="AX32" s="147"/>
      <c r="AY32" s="147">
        <v>58.91</v>
      </c>
      <c r="AZ32" s="147">
        <v>0</v>
      </c>
      <c r="BA32" s="147"/>
      <c r="BB32" s="147"/>
      <c r="BC32" s="147"/>
      <c r="BD32" s="100">
        <v>0</v>
      </c>
      <c r="BE32" s="100"/>
      <c r="BF32" s="123"/>
      <c r="BG32" s="123">
        <v>0</v>
      </c>
      <c r="BH32" s="141">
        <f t="shared" si="34"/>
        <v>1424.4199999999998</v>
      </c>
      <c r="BI32" s="100">
        <f t="shared" si="35"/>
        <v>0</v>
      </c>
      <c r="BJ32" s="141">
        <f t="shared" si="36"/>
        <v>1424.4199999999998</v>
      </c>
      <c r="BK32" s="100">
        <f t="shared" si="37"/>
        <v>148.333</v>
      </c>
      <c r="BL32" s="100">
        <v>10.23</v>
      </c>
      <c r="BM32" s="100">
        <f t="shared" si="38"/>
        <v>0</v>
      </c>
      <c r="BN32" s="141">
        <f t="shared" si="39"/>
        <v>1641.893</v>
      </c>
      <c r="BO32" s="227"/>
      <c r="BP32" s="227"/>
      <c r="BQ32" s="227"/>
      <c r="BR32" s="103"/>
      <c r="BS32" s="103"/>
      <c r="BX32" s="50" t="s">
        <v>750</v>
      </c>
      <c r="BY32" s="51" t="s">
        <v>69</v>
      </c>
      <c r="BZ32" s="274"/>
    </row>
    <row r="33" spans="1:79">
      <c r="A33" s="20" t="s">
        <v>70</v>
      </c>
      <c r="B33" s="21" t="s">
        <v>71</v>
      </c>
      <c r="C33" s="22">
        <f t="shared" si="5"/>
        <v>1516.67</v>
      </c>
      <c r="D33" s="22">
        <v>0</v>
      </c>
      <c r="E33" s="22">
        <f t="shared" si="6"/>
        <v>0</v>
      </c>
      <c r="F33" s="22">
        <v>0</v>
      </c>
      <c r="G33" s="22">
        <f t="shared" si="7"/>
        <v>1516.67</v>
      </c>
      <c r="H33" s="22">
        <f t="shared" si="8"/>
        <v>200</v>
      </c>
      <c r="I33" s="22">
        <f t="shared" si="9"/>
        <v>0</v>
      </c>
      <c r="J33" s="22">
        <f t="shared" si="10"/>
        <v>0</v>
      </c>
      <c r="K33" s="22">
        <f t="shared" si="11"/>
        <v>0</v>
      </c>
      <c r="L33" s="22">
        <f t="shared" si="12"/>
        <v>0</v>
      </c>
      <c r="M33" s="22">
        <f t="shared" si="13"/>
        <v>0</v>
      </c>
      <c r="N33" s="22">
        <f t="shared" si="14"/>
        <v>0</v>
      </c>
      <c r="O33" s="22">
        <f t="shared" si="15"/>
        <v>0</v>
      </c>
      <c r="P33" s="22">
        <f t="shared" si="16"/>
        <v>0</v>
      </c>
      <c r="Q33" s="22">
        <v>0</v>
      </c>
      <c r="R33" s="22">
        <f t="shared" si="17"/>
        <v>0</v>
      </c>
      <c r="S33" s="22">
        <v>168.06</v>
      </c>
      <c r="T33" s="22">
        <f t="shared" si="19"/>
        <v>368.06</v>
      </c>
      <c r="U33" s="22">
        <f t="shared" si="20"/>
        <v>1148.6100000000001</v>
      </c>
      <c r="V33" s="22">
        <f t="shared" si="21"/>
        <v>1516.67</v>
      </c>
      <c r="W33" s="22">
        <f t="shared" si="40"/>
        <v>151.667</v>
      </c>
      <c r="X33" s="22">
        <f>+'C&amp;A'!E33*0.02</f>
        <v>10.2256</v>
      </c>
      <c r="Y33" s="22">
        <f t="shared" si="23"/>
        <v>0</v>
      </c>
      <c r="Z33" s="22">
        <f t="shared" si="24"/>
        <v>1678.5626</v>
      </c>
      <c r="AA33" s="22">
        <f t="shared" si="25"/>
        <v>268.57001600000001</v>
      </c>
      <c r="AB33" s="22">
        <f t="shared" si="26"/>
        <v>1947.1326159999999</v>
      </c>
      <c r="AC33" s="59"/>
      <c r="AD33" s="61"/>
      <c r="AE33" s="61"/>
      <c r="AF33" s="61"/>
      <c r="AG33" s="123" t="s">
        <v>414</v>
      </c>
      <c r="AH33" s="123" t="s">
        <v>415</v>
      </c>
      <c r="AI33" s="123"/>
      <c r="AJ33" s="123" t="s">
        <v>70</v>
      </c>
      <c r="AK33" s="123" t="s">
        <v>186</v>
      </c>
      <c r="AL33" s="123"/>
      <c r="AM33" s="123"/>
      <c r="AN33" s="237"/>
      <c r="AO33" s="147">
        <v>1516.67</v>
      </c>
      <c r="AP33" s="238"/>
      <c r="AQ33" s="147">
        <f t="shared" si="32"/>
        <v>1516.67</v>
      </c>
      <c r="AR33" s="147"/>
      <c r="AS33" s="147"/>
      <c r="AT33" s="147"/>
      <c r="AU33" s="147"/>
      <c r="AV33" s="159"/>
      <c r="AW33" s="141">
        <f t="shared" si="33"/>
        <v>1516.67</v>
      </c>
      <c r="AX33" s="147"/>
      <c r="AY33" s="147"/>
      <c r="AZ33" s="147">
        <v>200</v>
      </c>
      <c r="BA33" s="147"/>
      <c r="BB33" s="147"/>
      <c r="BC33" s="147"/>
      <c r="BD33" s="100">
        <v>0</v>
      </c>
      <c r="BE33" s="100">
        <f>AW33*0.3</f>
        <v>455.00100000000003</v>
      </c>
      <c r="BF33" s="123"/>
      <c r="BG33" s="123">
        <v>0</v>
      </c>
      <c r="BH33" s="141">
        <f t="shared" si="34"/>
        <v>861.6690000000001</v>
      </c>
      <c r="BI33" s="100">
        <f t="shared" si="35"/>
        <v>0</v>
      </c>
      <c r="BJ33" s="141">
        <f t="shared" si="36"/>
        <v>861.6690000000001</v>
      </c>
      <c r="BK33" s="100">
        <f t="shared" si="37"/>
        <v>151.667</v>
      </c>
      <c r="BL33" s="100">
        <v>10.23</v>
      </c>
      <c r="BM33" s="100">
        <f t="shared" si="38"/>
        <v>0</v>
      </c>
      <c r="BN33" s="141">
        <f t="shared" si="39"/>
        <v>1678.567</v>
      </c>
      <c r="BO33" s="227"/>
      <c r="BP33" s="227"/>
      <c r="BQ33" s="227"/>
      <c r="BR33" s="103"/>
      <c r="BS33" s="103"/>
      <c r="BX33" s="50" t="s">
        <v>751</v>
      </c>
      <c r="BY33" s="51" t="s">
        <v>71</v>
      </c>
      <c r="BZ33" s="274"/>
    </row>
    <row r="34" spans="1:79">
      <c r="A34" s="20" t="s">
        <v>72</v>
      </c>
      <c r="B34" s="21" t="s">
        <v>73</v>
      </c>
      <c r="C34" s="22">
        <f t="shared" si="5"/>
        <v>608.16</v>
      </c>
      <c r="D34" s="22">
        <v>0</v>
      </c>
      <c r="E34" s="22">
        <f t="shared" si="6"/>
        <v>2899.7000000000003</v>
      </c>
      <c r="F34" s="22">
        <v>0</v>
      </c>
      <c r="G34" s="22">
        <f t="shared" si="7"/>
        <v>3507.86</v>
      </c>
      <c r="H34" s="22">
        <f t="shared" si="8"/>
        <v>500</v>
      </c>
      <c r="I34" s="22">
        <f t="shared" si="9"/>
        <v>171.88514000000001</v>
      </c>
      <c r="J34" s="22">
        <f t="shared" si="10"/>
        <v>35.078600000000002</v>
      </c>
      <c r="K34" s="22">
        <f t="shared" si="11"/>
        <v>0</v>
      </c>
      <c r="L34" s="22">
        <f t="shared" si="12"/>
        <v>0</v>
      </c>
      <c r="M34" s="22">
        <f t="shared" si="13"/>
        <v>0</v>
      </c>
      <c r="N34" s="22">
        <f t="shared" si="14"/>
        <v>0</v>
      </c>
      <c r="O34" s="22">
        <f t="shared" si="15"/>
        <v>350.78600000000006</v>
      </c>
      <c r="P34" s="22">
        <f t="shared" si="16"/>
        <v>0</v>
      </c>
      <c r="Q34" s="22">
        <v>0</v>
      </c>
      <c r="R34" s="22">
        <f t="shared" si="17"/>
        <v>0</v>
      </c>
      <c r="S34" s="22">
        <f t="shared" si="18"/>
        <v>0</v>
      </c>
      <c r="T34" s="22">
        <f t="shared" si="19"/>
        <v>1057.7497400000002</v>
      </c>
      <c r="U34" s="22">
        <f t="shared" si="20"/>
        <v>2450.1102599999999</v>
      </c>
      <c r="V34" s="22">
        <f t="shared" si="21"/>
        <v>3507.86</v>
      </c>
      <c r="W34" s="22">
        <f t="shared" si="40"/>
        <v>0</v>
      </c>
      <c r="X34" s="22">
        <f>+'C&amp;A'!E34*0.02</f>
        <v>10.2256</v>
      </c>
      <c r="Y34" s="22">
        <f t="shared" si="23"/>
        <v>171.88514000000001</v>
      </c>
      <c r="Z34" s="22">
        <f t="shared" si="24"/>
        <v>3689.9707400000002</v>
      </c>
      <c r="AA34" s="22">
        <f t="shared" si="25"/>
        <v>590.39531840000006</v>
      </c>
      <c r="AB34" s="22">
        <f t="shared" si="26"/>
        <v>4280.3660583999999</v>
      </c>
      <c r="AC34" s="59"/>
      <c r="AD34" s="61"/>
      <c r="AE34" s="61"/>
      <c r="AF34" s="61"/>
      <c r="AG34" s="123" t="s">
        <v>381</v>
      </c>
      <c r="AH34" s="123" t="s">
        <v>416</v>
      </c>
      <c r="AI34" s="123"/>
      <c r="AJ34" s="123" t="s">
        <v>72</v>
      </c>
      <c r="AK34" s="123" t="s">
        <v>454</v>
      </c>
      <c r="AL34" s="123"/>
      <c r="AM34" s="123"/>
      <c r="AN34" s="123"/>
      <c r="AO34" s="147">
        <v>608.16</v>
      </c>
      <c r="AP34" s="123"/>
      <c r="AQ34" s="147">
        <f t="shared" si="32"/>
        <v>608.16</v>
      </c>
      <c r="AR34" s="147">
        <f>2897.11+2.59</f>
        <v>2899.7000000000003</v>
      </c>
      <c r="AS34" s="147"/>
      <c r="AT34" s="147"/>
      <c r="AU34" s="147"/>
      <c r="AV34" s="159"/>
      <c r="AW34" s="141">
        <f t="shared" si="33"/>
        <v>3507.86</v>
      </c>
      <c r="AX34" s="147"/>
      <c r="AY34" s="147"/>
      <c r="AZ34" s="147">
        <v>500</v>
      </c>
      <c r="BA34" s="147">
        <f>AW34*4.9%</f>
        <v>171.88514000000001</v>
      </c>
      <c r="BB34" s="147">
        <f>AW34*1%</f>
        <v>35.078600000000002</v>
      </c>
      <c r="BC34" s="147"/>
      <c r="BD34" s="100">
        <v>0</v>
      </c>
      <c r="BE34" s="100"/>
      <c r="BF34" s="123"/>
      <c r="BG34" s="123">
        <v>0</v>
      </c>
      <c r="BH34" s="141">
        <f t="shared" si="34"/>
        <v>2800.89626</v>
      </c>
      <c r="BI34" s="100">
        <f t="shared" si="35"/>
        <v>350.78600000000006</v>
      </c>
      <c r="BJ34" s="141">
        <f t="shared" si="36"/>
        <v>2450.1102599999999</v>
      </c>
      <c r="BK34" s="100">
        <f t="shared" si="37"/>
        <v>0</v>
      </c>
      <c r="BL34" s="100">
        <v>10.23</v>
      </c>
      <c r="BM34" s="100">
        <f t="shared" si="38"/>
        <v>171.88514000000001</v>
      </c>
      <c r="BN34" s="141">
        <f t="shared" si="39"/>
        <v>3689.97514</v>
      </c>
      <c r="BO34" s="227"/>
      <c r="BP34" s="227"/>
      <c r="BQ34" s="227"/>
      <c r="BR34" s="103"/>
      <c r="BS34" s="103"/>
      <c r="BX34" s="50" t="s">
        <v>498</v>
      </c>
      <c r="BY34" s="51" t="s">
        <v>73</v>
      </c>
      <c r="BZ34" s="274"/>
    </row>
    <row r="35" spans="1:79">
      <c r="A35" s="20" t="s">
        <v>76</v>
      </c>
      <c r="B35" s="21" t="s">
        <v>724</v>
      </c>
      <c r="C35" s="22">
        <f t="shared" si="5"/>
        <v>608.16</v>
      </c>
      <c r="D35" s="22">
        <v>0</v>
      </c>
      <c r="E35" s="22">
        <f t="shared" si="6"/>
        <v>4956.28</v>
      </c>
      <c r="F35" s="22">
        <v>0</v>
      </c>
      <c r="G35" s="22">
        <f t="shared" si="7"/>
        <v>5564.44</v>
      </c>
      <c r="H35" s="22">
        <f t="shared" si="8"/>
        <v>1000</v>
      </c>
      <c r="I35" s="22">
        <f t="shared" si="9"/>
        <v>272.65755999999999</v>
      </c>
      <c r="J35" s="22">
        <f t="shared" si="10"/>
        <v>55.644399999999997</v>
      </c>
      <c r="K35" s="22">
        <f t="shared" si="11"/>
        <v>300</v>
      </c>
      <c r="L35" s="22">
        <f t="shared" si="12"/>
        <v>0</v>
      </c>
      <c r="M35" s="22">
        <f t="shared" si="13"/>
        <v>0</v>
      </c>
      <c r="N35" s="22">
        <f t="shared" si="14"/>
        <v>0</v>
      </c>
      <c r="O35" s="22">
        <f t="shared" si="15"/>
        <v>556.44399999999996</v>
      </c>
      <c r="P35" s="22">
        <f t="shared" si="16"/>
        <v>0</v>
      </c>
      <c r="Q35" s="22">
        <v>0</v>
      </c>
      <c r="R35" s="22">
        <f t="shared" si="17"/>
        <v>0</v>
      </c>
      <c r="S35" s="22">
        <f t="shared" si="18"/>
        <v>0</v>
      </c>
      <c r="T35" s="22">
        <f t="shared" si="19"/>
        <v>2184.7459600000002</v>
      </c>
      <c r="U35" s="22">
        <f t="shared" si="20"/>
        <v>3379.6940399999994</v>
      </c>
      <c r="V35" s="22">
        <f t="shared" si="21"/>
        <v>5564.44</v>
      </c>
      <c r="W35" s="22">
        <f t="shared" si="40"/>
        <v>0</v>
      </c>
      <c r="X35" s="22">
        <f>+'C&amp;A'!E35*0.02</f>
        <v>10.2256</v>
      </c>
      <c r="Y35" s="22">
        <f t="shared" si="23"/>
        <v>272.65755999999999</v>
      </c>
      <c r="Z35" s="22">
        <f t="shared" si="24"/>
        <v>5847.323159999999</v>
      </c>
      <c r="AA35" s="22">
        <f t="shared" si="25"/>
        <v>935.57170559999986</v>
      </c>
      <c r="AB35" s="22">
        <f t="shared" si="26"/>
        <v>6782.8948655999993</v>
      </c>
      <c r="AC35" s="59"/>
      <c r="AD35" s="61"/>
      <c r="AE35" s="61"/>
      <c r="AF35" s="61"/>
      <c r="AG35" s="123" t="s">
        <v>381</v>
      </c>
      <c r="AH35" s="123" t="s">
        <v>418</v>
      </c>
      <c r="AI35" s="123"/>
      <c r="AJ35" s="123" t="s">
        <v>76</v>
      </c>
      <c r="AK35" s="123" t="s">
        <v>454</v>
      </c>
      <c r="AL35" s="123"/>
      <c r="AM35" s="123"/>
      <c r="AN35" s="123"/>
      <c r="AO35" s="147">
        <v>608.16</v>
      </c>
      <c r="AP35" s="123"/>
      <c r="AQ35" s="147">
        <f t="shared" si="32"/>
        <v>608.16</v>
      </c>
      <c r="AR35" s="147">
        <f>4950.71+5.57</f>
        <v>4956.28</v>
      </c>
      <c r="AS35" s="147"/>
      <c r="AT35" s="147"/>
      <c r="AU35" s="147"/>
      <c r="AV35" s="159"/>
      <c r="AW35" s="141">
        <f t="shared" si="33"/>
        <v>5564.44</v>
      </c>
      <c r="AX35" s="147"/>
      <c r="AY35" s="147"/>
      <c r="AZ35" s="147">
        <v>1000</v>
      </c>
      <c r="BA35" s="147">
        <f>AW35*4.9%</f>
        <v>272.65755999999999</v>
      </c>
      <c r="BB35" s="147">
        <f>AW35*1%</f>
        <v>55.644399999999997</v>
      </c>
      <c r="BC35" s="147">
        <v>300</v>
      </c>
      <c r="BD35" s="100">
        <v>0</v>
      </c>
      <c r="BE35" s="100"/>
      <c r="BF35" s="237"/>
      <c r="BG35" s="123">
        <v>0</v>
      </c>
      <c r="BH35" s="141">
        <f t="shared" si="34"/>
        <v>3936.1380399999998</v>
      </c>
      <c r="BI35" s="100">
        <f t="shared" si="35"/>
        <v>556.44399999999996</v>
      </c>
      <c r="BJ35" s="141">
        <f t="shared" si="36"/>
        <v>3379.6940399999999</v>
      </c>
      <c r="BK35" s="100">
        <f t="shared" si="37"/>
        <v>0</v>
      </c>
      <c r="BL35" s="100">
        <v>10.23</v>
      </c>
      <c r="BM35" s="100">
        <f t="shared" si="38"/>
        <v>272.65755999999999</v>
      </c>
      <c r="BN35" s="141">
        <f t="shared" si="39"/>
        <v>5847.3275599999988</v>
      </c>
      <c r="BO35" s="227"/>
      <c r="BP35" s="227"/>
      <c r="BQ35" s="227"/>
      <c r="BR35" s="103"/>
      <c r="BS35" s="103"/>
      <c r="BX35" s="50" t="s">
        <v>752</v>
      </c>
      <c r="BY35" s="51" t="s">
        <v>77</v>
      </c>
      <c r="BZ35" s="274"/>
    </row>
    <row r="36" spans="1:79">
      <c r="A36" s="20" t="s">
        <v>78</v>
      </c>
      <c r="B36" s="21" t="s">
        <v>79</v>
      </c>
      <c r="C36" s="22">
        <f t="shared" si="5"/>
        <v>1166.26</v>
      </c>
      <c r="D36" s="22">
        <v>0</v>
      </c>
      <c r="E36" s="22">
        <f t="shared" si="6"/>
        <v>725.92</v>
      </c>
      <c r="F36" s="22">
        <v>0</v>
      </c>
      <c r="G36" s="22">
        <f t="shared" si="7"/>
        <v>1892.1799999999998</v>
      </c>
      <c r="H36" s="22">
        <f t="shared" si="8"/>
        <v>0</v>
      </c>
      <c r="I36" s="22">
        <f t="shared" si="9"/>
        <v>0</v>
      </c>
      <c r="J36" s="22">
        <f t="shared" si="10"/>
        <v>0</v>
      </c>
      <c r="K36" s="22">
        <f t="shared" si="11"/>
        <v>0</v>
      </c>
      <c r="L36" s="22">
        <f t="shared" si="12"/>
        <v>0</v>
      </c>
      <c r="M36" s="22">
        <f t="shared" si="13"/>
        <v>0</v>
      </c>
      <c r="N36" s="22">
        <f t="shared" si="14"/>
        <v>0</v>
      </c>
      <c r="O36" s="22">
        <f t="shared" si="15"/>
        <v>0</v>
      </c>
      <c r="P36" s="22">
        <f t="shared" si="16"/>
        <v>0</v>
      </c>
      <c r="Q36" s="22">
        <v>0</v>
      </c>
      <c r="R36" s="22">
        <f t="shared" si="17"/>
        <v>0</v>
      </c>
      <c r="S36" s="22">
        <f t="shared" si="18"/>
        <v>0</v>
      </c>
      <c r="T36" s="22">
        <f t="shared" si="19"/>
        <v>0</v>
      </c>
      <c r="U36" s="22">
        <f t="shared" si="20"/>
        <v>1892.1799999999998</v>
      </c>
      <c r="V36" s="22">
        <f t="shared" si="21"/>
        <v>1892.1799999999998</v>
      </c>
      <c r="W36" s="22">
        <f t="shared" si="40"/>
        <v>189.21799999999999</v>
      </c>
      <c r="X36" s="22">
        <f>+'C&amp;A'!E36*0.02</f>
        <v>10.2256</v>
      </c>
      <c r="Y36" s="22">
        <f t="shared" si="23"/>
        <v>0</v>
      </c>
      <c r="Z36" s="22">
        <f t="shared" si="24"/>
        <v>2091.6235999999999</v>
      </c>
      <c r="AA36" s="22">
        <f t="shared" si="25"/>
        <v>334.65977599999997</v>
      </c>
      <c r="AB36" s="22">
        <f t="shared" si="26"/>
        <v>2426.2833759999999</v>
      </c>
      <c r="AC36" s="59"/>
      <c r="AD36" s="61"/>
      <c r="AE36" s="61"/>
      <c r="AF36" s="61"/>
      <c r="AG36" s="123" t="s">
        <v>375</v>
      </c>
      <c r="AH36" s="123" t="s">
        <v>420</v>
      </c>
      <c r="AI36" s="123"/>
      <c r="AJ36" s="123" t="s">
        <v>78</v>
      </c>
      <c r="AK36" s="123" t="s">
        <v>179</v>
      </c>
      <c r="AL36" s="123"/>
      <c r="AM36" s="123"/>
      <c r="AN36" s="123"/>
      <c r="AO36" s="147">
        <v>1166.26</v>
      </c>
      <c r="AP36" s="158"/>
      <c r="AQ36" s="147">
        <f t="shared" si="32"/>
        <v>1166.26</v>
      </c>
      <c r="AR36" s="147">
        <v>725.92</v>
      </c>
      <c r="AS36" s="147"/>
      <c r="AT36" s="147"/>
      <c r="AU36" s="147"/>
      <c r="AV36" s="159"/>
      <c r="AW36" s="141">
        <f t="shared" si="33"/>
        <v>1892.1799999999998</v>
      </c>
      <c r="AX36" s="147"/>
      <c r="AY36" s="147"/>
      <c r="AZ36" s="147">
        <v>0</v>
      </c>
      <c r="BA36" s="147"/>
      <c r="BB36" s="147"/>
      <c r="BC36" s="147"/>
      <c r="BD36" s="100">
        <v>0</v>
      </c>
      <c r="BE36" s="100"/>
      <c r="BF36" s="123"/>
      <c r="BG36" s="123">
        <v>0</v>
      </c>
      <c r="BH36" s="141">
        <f t="shared" si="34"/>
        <v>1892.1799999999998</v>
      </c>
      <c r="BI36" s="100">
        <f t="shared" si="35"/>
        <v>0</v>
      </c>
      <c r="BJ36" s="141">
        <f t="shared" si="36"/>
        <v>1892.1799999999998</v>
      </c>
      <c r="BK36" s="100">
        <f t="shared" si="37"/>
        <v>189.21799999999999</v>
      </c>
      <c r="BL36" s="100">
        <v>10.23</v>
      </c>
      <c r="BM36" s="100">
        <f t="shared" si="38"/>
        <v>0</v>
      </c>
      <c r="BN36" s="141">
        <f t="shared" si="39"/>
        <v>2091.6279999999997</v>
      </c>
      <c r="BO36" s="227"/>
      <c r="BP36" s="227"/>
      <c r="BQ36" s="227"/>
      <c r="BR36" s="103"/>
      <c r="BS36" s="103"/>
      <c r="BX36" s="50" t="s">
        <v>753</v>
      </c>
      <c r="BY36" s="51" t="s">
        <v>79</v>
      </c>
      <c r="BZ36" s="274"/>
    </row>
    <row r="37" spans="1:79">
      <c r="A37" s="50" t="s">
        <v>826</v>
      </c>
      <c r="B37" s="51" t="s">
        <v>827</v>
      </c>
      <c r="C37" s="22">
        <f t="shared" si="5"/>
        <v>999.71142857142854</v>
      </c>
      <c r="D37" s="22"/>
      <c r="E37" s="22">
        <f t="shared" si="6"/>
        <v>0</v>
      </c>
      <c r="F37" s="22"/>
      <c r="G37" s="22">
        <f t="shared" si="7"/>
        <v>999.71142857142854</v>
      </c>
      <c r="H37" s="22">
        <f t="shared" si="8"/>
        <v>0</v>
      </c>
      <c r="I37" s="22">
        <f t="shared" si="9"/>
        <v>0</v>
      </c>
      <c r="J37" s="22">
        <f t="shared" si="10"/>
        <v>0</v>
      </c>
      <c r="K37" s="22">
        <f t="shared" si="11"/>
        <v>0</v>
      </c>
      <c r="L37" s="22">
        <f t="shared" si="12"/>
        <v>0</v>
      </c>
      <c r="M37" s="22">
        <f t="shared" si="13"/>
        <v>0</v>
      </c>
      <c r="N37" s="22">
        <f t="shared" si="14"/>
        <v>0</v>
      </c>
      <c r="O37" s="22">
        <f t="shared" si="15"/>
        <v>0</v>
      </c>
      <c r="P37" s="22">
        <f t="shared" si="16"/>
        <v>0</v>
      </c>
      <c r="Q37" s="22"/>
      <c r="R37" s="22">
        <f t="shared" si="17"/>
        <v>0</v>
      </c>
      <c r="S37" s="22">
        <f t="shared" si="18"/>
        <v>0</v>
      </c>
      <c r="T37" s="22">
        <f t="shared" si="19"/>
        <v>0</v>
      </c>
      <c r="U37" s="22">
        <f t="shared" si="20"/>
        <v>999.71142857142854</v>
      </c>
      <c r="V37" s="22">
        <f t="shared" si="21"/>
        <v>999.71142857142854</v>
      </c>
      <c r="W37" s="22">
        <f t="shared" si="40"/>
        <v>99.971142857142866</v>
      </c>
      <c r="X37" s="22">
        <f>+'C&amp;A'!E37*0.02</f>
        <v>8.5213999999999999</v>
      </c>
      <c r="Y37" s="22">
        <f t="shared" si="23"/>
        <v>0</v>
      </c>
      <c r="Z37" s="22">
        <f t="shared" si="24"/>
        <v>1108.2039714285715</v>
      </c>
      <c r="AA37" s="22">
        <f t="shared" si="25"/>
        <v>177.31263542857144</v>
      </c>
      <c r="AB37" s="22">
        <f t="shared" si="26"/>
        <v>1285.516606857143</v>
      </c>
      <c r="AC37" s="59"/>
      <c r="AD37" s="61"/>
      <c r="AE37" s="61"/>
      <c r="AF37" s="61"/>
      <c r="AG37" s="123" t="s">
        <v>375</v>
      </c>
      <c r="AH37" s="123" t="s">
        <v>816</v>
      </c>
      <c r="AI37" s="123"/>
      <c r="AJ37" s="123"/>
      <c r="AK37" s="123" t="s">
        <v>179</v>
      </c>
      <c r="AL37" s="161">
        <v>42432</v>
      </c>
      <c r="AM37" s="123"/>
      <c r="AN37" s="123"/>
      <c r="AO37" s="147">
        <f>1166.33/7*6</f>
        <v>999.71142857142854</v>
      </c>
      <c r="AP37" s="158"/>
      <c r="AQ37" s="147">
        <f t="shared" si="32"/>
        <v>999.71142857142854</v>
      </c>
      <c r="AR37" s="147"/>
      <c r="AS37" s="147"/>
      <c r="AT37" s="147"/>
      <c r="AU37" s="147"/>
      <c r="AV37" s="159"/>
      <c r="AW37" s="141">
        <f t="shared" si="33"/>
        <v>999.71142857142854</v>
      </c>
      <c r="AX37" s="147"/>
      <c r="AY37" s="147"/>
      <c r="AZ37" s="147"/>
      <c r="BA37" s="147"/>
      <c r="BB37" s="147"/>
      <c r="BC37" s="147"/>
      <c r="BD37" s="100">
        <v>0</v>
      </c>
      <c r="BE37" s="100"/>
      <c r="BF37" s="123"/>
      <c r="BG37" s="123"/>
      <c r="BH37" s="141">
        <f t="shared" si="34"/>
        <v>999.71142857142854</v>
      </c>
      <c r="BI37" s="100">
        <f t="shared" si="35"/>
        <v>0</v>
      </c>
      <c r="BJ37" s="141">
        <f t="shared" si="36"/>
        <v>999.71142857142854</v>
      </c>
      <c r="BK37" s="100">
        <f t="shared" si="37"/>
        <v>99.971142857142866</v>
      </c>
      <c r="BL37" s="100">
        <v>10.23</v>
      </c>
      <c r="BM37" s="100">
        <f t="shared" si="38"/>
        <v>0</v>
      </c>
      <c r="BN37" s="141">
        <f t="shared" si="39"/>
        <v>1109.9125714285715</v>
      </c>
      <c r="BO37" s="227"/>
      <c r="BP37" s="227"/>
      <c r="BQ37" s="227"/>
      <c r="BR37" s="103"/>
      <c r="BS37" s="84">
        <v>2986476066</v>
      </c>
      <c r="BX37" s="50" t="s">
        <v>826</v>
      </c>
      <c r="BY37" s="51" t="s">
        <v>827</v>
      </c>
      <c r="BZ37" s="274"/>
    </row>
    <row r="38" spans="1:79">
      <c r="A38" s="50" t="s">
        <v>500</v>
      </c>
      <c r="B38" s="21" t="s">
        <v>501</v>
      </c>
      <c r="C38" s="22">
        <f t="shared" si="5"/>
        <v>1166.6600000000001</v>
      </c>
      <c r="D38" s="22">
        <v>0</v>
      </c>
      <c r="E38" s="22">
        <f t="shared" si="6"/>
        <v>6719.21</v>
      </c>
      <c r="F38" s="22">
        <v>0</v>
      </c>
      <c r="G38" s="22">
        <f t="shared" si="7"/>
        <v>7885.87</v>
      </c>
      <c r="H38" s="22">
        <f t="shared" si="8"/>
        <v>0</v>
      </c>
      <c r="I38" s="22">
        <f t="shared" si="9"/>
        <v>0</v>
      </c>
      <c r="J38" s="22">
        <f t="shared" si="10"/>
        <v>0</v>
      </c>
      <c r="K38" s="22">
        <f t="shared" si="11"/>
        <v>0</v>
      </c>
      <c r="L38" s="22">
        <f t="shared" si="12"/>
        <v>0</v>
      </c>
      <c r="M38" s="22">
        <f t="shared" si="13"/>
        <v>0</v>
      </c>
      <c r="N38" s="22">
        <f t="shared" si="14"/>
        <v>0</v>
      </c>
      <c r="O38" s="22">
        <f t="shared" si="15"/>
        <v>788.58699999999999</v>
      </c>
      <c r="P38" s="22">
        <f t="shared" si="16"/>
        <v>0</v>
      </c>
      <c r="Q38" s="22">
        <v>0</v>
      </c>
      <c r="R38" s="22">
        <f t="shared" si="17"/>
        <v>0</v>
      </c>
      <c r="S38" s="22">
        <f t="shared" si="18"/>
        <v>0</v>
      </c>
      <c r="T38" s="22">
        <f t="shared" si="19"/>
        <v>788.58699999999999</v>
      </c>
      <c r="U38" s="22">
        <f t="shared" si="20"/>
        <v>7097.2829999999994</v>
      </c>
      <c r="V38" s="22">
        <f t="shared" si="21"/>
        <v>7885.87</v>
      </c>
      <c r="W38" s="22">
        <f t="shared" si="40"/>
        <v>0</v>
      </c>
      <c r="X38" s="22">
        <f>+'C&amp;A'!E38*0.02</f>
        <v>10.2256</v>
      </c>
      <c r="Y38" s="22">
        <f t="shared" si="23"/>
        <v>0</v>
      </c>
      <c r="Z38" s="22">
        <f t="shared" si="24"/>
        <v>7896.0955999999996</v>
      </c>
      <c r="AA38" s="22">
        <f t="shared" si="25"/>
        <v>1263.3752959999999</v>
      </c>
      <c r="AB38" s="22">
        <f t="shared" si="26"/>
        <v>9159.4708959999989</v>
      </c>
      <c r="AC38" s="59"/>
      <c r="AD38" s="61"/>
      <c r="AE38" s="61"/>
      <c r="AF38" s="61"/>
      <c r="AG38" s="123" t="s">
        <v>377</v>
      </c>
      <c r="AH38" s="123" t="s">
        <v>421</v>
      </c>
      <c r="AI38" s="123" t="s">
        <v>30</v>
      </c>
      <c r="AJ38" s="123"/>
      <c r="AK38" s="123" t="s">
        <v>189</v>
      </c>
      <c r="AL38" s="161">
        <v>42415</v>
      </c>
      <c r="AM38" s="123"/>
      <c r="AN38" s="123"/>
      <c r="AO38" s="147">
        <v>513.33000000000004</v>
      </c>
      <c r="AP38" s="158">
        <v>653.33000000000004</v>
      </c>
      <c r="AQ38" s="147">
        <f t="shared" si="32"/>
        <v>1166.6600000000001</v>
      </c>
      <c r="AR38" s="147">
        <v>6719.21</v>
      </c>
      <c r="AS38" s="147"/>
      <c r="AT38" s="147"/>
      <c r="AU38" s="147"/>
      <c r="AV38" s="159"/>
      <c r="AW38" s="141">
        <f t="shared" si="33"/>
        <v>7885.87</v>
      </c>
      <c r="AX38" s="147"/>
      <c r="AY38" s="147"/>
      <c r="AZ38" s="147">
        <v>0</v>
      </c>
      <c r="BA38" s="147"/>
      <c r="BB38" s="147"/>
      <c r="BC38" s="147"/>
      <c r="BD38" s="100">
        <v>0</v>
      </c>
      <c r="BE38" s="100"/>
      <c r="BF38" s="123"/>
      <c r="BG38" s="123">
        <v>0</v>
      </c>
      <c r="BH38" s="141">
        <f t="shared" si="34"/>
        <v>7885.87</v>
      </c>
      <c r="BI38" s="100">
        <f t="shared" si="35"/>
        <v>788.58699999999999</v>
      </c>
      <c r="BJ38" s="141">
        <f t="shared" si="36"/>
        <v>7097.2829999999994</v>
      </c>
      <c r="BK38" s="100">
        <f t="shared" si="37"/>
        <v>0</v>
      </c>
      <c r="BL38" s="100">
        <v>10.23</v>
      </c>
      <c r="BM38" s="100">
        <f t="shared" si="38"/>
        <v>0</v>
      </c>
      <c r="BN38" s="141">
        <f t="shared" si="39"/>
        <v>7896.0999999999995</v>
      </c>
      <c r="BO38" s="227"/>
      <c r="BP38" s="227"/>
      <c r="BQ38" s="227"/>
      <c r="BR38" s="103"/>
      <c r="BS38" s="103"/>
      <c r="BX38" s="50" t="s">
        <v>500</v>
      </c>
      <c r="BY38" s="51" t="s">
        <v>501</v>
      </c>
      <c r="BZ38" s="274"/>
      <c r="CA38" s="275"/>
    </row>
    <row r="39" spans="1:79">
      <c r="A39" s="20" t="s">
        <v>80</v>
      </c>
      <c r="B39" s="21" t="s">
        <v>81</v>
      </c>
      <c r="C39" s="22">
        <f t="shared" si="5"/>
        <v>513.33000000000004</v>
      </c>
      <c r="D39" s="22">
        <v>0</v>
      </c>
      <c r="E39" s="22">
        <f t="shared" si="6"/>
        <v>2050</v>
      </c>
      <c r="F39" s="22">
        <v>0</v>
      </c>
      <c r="G39" s="22">
        <f t="shared" si="7"/>
        <v>2563.33</v>
      </c>
      <c r="H39" s="22">
        <f t="shared" si="8"/>
        <v>0</v>
      </c>
      <c r="I39" s="22">
        <f t="shared" si="9"/>
        <v>0</v>
      </c>
      <c r="J39" s="22">
        <f t="shared" si="10"/>
        <v>0</v>
      </c>
      <c r="K39" s="22">
        <f t="shared" si="11"/>
        <v>0</v>
      </c>
      <c r="L39" s="22">
        <f t="shared" si="12"/>
        <v>0</v>
      </c>
      <c r="M39" s="22">
        <f t="shared" si="13"/>
        <v>0</v>
      </c>
      <c r="N39" s="22">
        <f t="shared" si="14"/>
        <v>349.07</v>
      </c>
      <c r="O39" s="22">
        <f t="shared" si="15"/>
        <v>0</v>
      </c>
      <c r="P39" s="22">
        <f t="shared" si="16"/>
        <v>58.91</v>
      </c>
      <c r="Q39" s="22">
        <v>0</v>
      </c>
      <c r="R39" s="22">
        <f t="shared" si="17"/>
        <v>0</v>
      </c>
      <c r="S39" s="22">
        <f t="shared" si="18"/>
        <v>0</v>
      </c>
      <c r="T39" s="22">
        <f t="shared" si="19"/>
        <v>407.98</v>
      </c>
      <c r="U39" s="22">
        <f t="shared" si="20"/>
        <v>2155.35</v>
      </c>
      <c r="V39" s="22">
        <f t="shared" si="21"/>
        <v>2504.42</v>
      </c>
      <c r="W39" s="22">
        <f t="shared" si="40"/>
        <v>256.33300000000003</v>
      </c>
      <c r="X39" s="22">
        <f>+'C&amp;A'!E39*0.02</f>
        <v>10.2256</v>
      </c>
      <c r="Y39" s="22">
        <f t="shared" si="23"/>
        <v>0</v>
      </c>
      <c r="Z39" s="22">
        <f t="shared" si="24"/>
        <v>2770.9786000000004</v>
      </c>
      <c r="AA39" s="22">
        <f t="shared" si="25"/>
        <v>443.35657600000008</v>
      </c>
      <c r="AB39" s="22">
        <f t="shared" si="26"/>
        <v>3214.3351760000005</v>
      </c>
      <c r="AC39" s="59"/>
      <c r="AD39" s="61"/>
      <c r="AE39" s="61"/>
      <c r="AF39" s="61"/>
      <c r="AG39" s="123" t="s">
        <v>377</v>
      </c>
      <c r="AH39" s="123" t="s">
        <v>422</v>
      </c>
      <c r="AI39" s="123" t="s">
        <v>30</v>
      </c>
      <c r="AJ39" s="123" t="s">
        <v>273</v>
      </c>
      <c r="AK39" s="123" t="s">
        <v>189</v>
      </c>
      <c r="AL39" s="123"/>
      <c r="AM39" s="123"/>
      <c r="AN39" s="123"/>
      <c r="AO39" s="147">
        <v>513.33000000000004</v>
      </c>
      <c r="AP39" s="123"/>
      <c r="AQ39" s="147">
        <f t="shared" si="32"/>
        <v>513.33000000000004</v>
      </c>
      <c r="AR39" s="147">
        <v>2050</v>
      </c>
      <c r="AS39" s="147"/>
      <c r="AT39" s="147"/>
      <c r="AU39" s="147"/>
      <c r="AV39" s="159"/>
      <c r="AW39" s="141">
        <f t="shared" si="33"/>
        <v>2563.33</v>
      </c>
      <c r="AX39" s="147"/>
      <c r="AY39" s="147">
        <v>58.91</v>
      </c>
      <c r="AZ39" s="147">
        <v>0</v>
      </c>
      <c r="BA39" s="147"/>
      <c r="BB39" s="147"/>
      <c r="BC39" s="147"/>
      <c r="BD39" s="100">
        <v>0</v>
      </c>
      <c r="BE39" s="100"/>
      <c r="BF39" s="123"/>
      <c r="BG39" s="123">
        <v>349.07</v>
      </c>
      <c r="BH39" s="141">
        <f t="shared" si="34"/>
        <v>2155.35</v>
      </c>
      <c r="BI39" s="100">
        <f t="shared" si="35"/>
        <v>0</v>
      </c>
      <c r="BJ39" s="141">
        <f t="shared" si="36"/>
        <v>2155.35</v>
      </c>
      <c r="BK39" s="100">
        <f t="shared" si="37"/>
        <v>256.33300000000003</v>
      </c>
      <c r="BL39" s="100">
        <v>10.23</v>
      </c>
      <c r="BM39" s="100">
        <f t="shared" si="38"/>
        <v>0</v>
      </c>
      <c r="BN39" s="141">
        <f t="shared" si="39"/>
        <v>2829.893</v>
      </c>
      <c r="BO39" s="227"/>
      <c r="BP39" s="227"/>
      <c r="BQ39" s="227"/>
      <c r="BR39" s="103"/>
      <c r="BS39" s="103"/>
      <c r="BX39" s="50" t="s">
        <v>80</v>
      </c>
      <c r="BY39" s="51" t="s">
        <v>81</v>
      </c>
      <c r="BZ39" s="274"/>
    </row>
    <row r="40" spans="1:79">
      <c r="A40" s="50" t="s">
        <v>828</v>
      </c>
      <c r="B40" s="51" t="s">
        <v>829</v>
      </c>
      <c r="C40" s="22">
        <f t="shared" si="5"/>
        <v>508.38</v>
      </c>
      <c r="D40" s="22">
        <v>93.8</v>
      </c>
      <c r="E40" s="22">
        <f t="shared" si="6"/>
        <v>0</v>
      </c>
      <c r="F40" s="22"/>
      <c r="G40" s="22">
        <f t="shared" si="7"/>
        <v>602.17999999999995</v>
      </c>
      <c r="H40" s="22">
        <f t="shared" si="8"/>
        <v>0</v>
      </c>
      <c r="I40" s="22">
        <f t="shared" si="9"/>
        <v>24.910620000000002</v>
      </c>
      <c r="J40" s="22">
        <f t="shared" si="10"/>
        <v>5.0838000000000001</v>
      </c>
      <c r="K40" s="22">
        <f t="shared" si="11"/>
        <v>0</v>
      </c>
      <c r="L40" s="22">
        <f t="shared" si="12"/>
        <v>0</v>
      </c>
      <c r="M40" s="22">
        <f t="shared" si="13"/>
        <v>0</v>
      </c>
      <c r="N40" s="22">
        <f t="shared" si="14"/>
        <v>0</v>
      </c>
      <c r="O40" s="22">
        <f t="shared" si="15"/>
        <v>0</v>
      </c>
      <c r="P40" s="22">
        <f t="shared" si="16"/>
        <v>0</v>
      </c>
      <c r="Q40" s="22"/>
      <c r="R40" s="22">
        <f t="shared" si="17"/>
        <v>0</v>
      </c>
      <c r="S40" s="22">
        <f t="shared" si="18"/>
        <v>0</v>
      </c>
      <c r="T40" s="22">
        <f t="shared" si="19"/>
        <v>29.994420000000002</v>
      </c>
      <c r="U40" s="22">
        <f t="shared" si="20"/>
        <v>572.18557999999996</v>
      </c>
      <c r="V40" s="22">
        <f t="shared" si="21"/>
        <v>602.17999999999995</v>
      </c>
      <c r="W40" s="22">
        <f t="shared" si="40"/>
        <v>50.838000000000001</v>
      </c>
      <c r="X40" s="22">
        <f>+'C&amp;A'!E40*0.02</f>
        <v>9.5866000000000007</v>
      </c>
      <c r="Y40" s="22">
        <f t="shared" si="23"/>
        <v>24.910620000000002</v>
      </c>
      <c r="Z40" s="22">
        <f t="shared" si="24"/>
        <v>687.51521999999989</v>
      </c>
      <c r="AA40" s="22">
        <f t="shared" si="25"/>
        <v>110.00243519999998</v>
      </c>
      <c r="AB40" s="22">
        <f t="shared" si="26"/>
        <v>797.51765519999981</v>
      </c>
      <c r="AC40" s="59"/>
      <c r="AD40" s="61"/>
      <c r="AE40" s="61"/>
      <c r="AF40" s="61"/>
      <c r="AG40" s="123" t="s">
        <v>381</v>
      </c>
      <c r="AH40" s="123" t="s">
        <v>818</v>
      </c>
      <c r="AI40" s="123"/>
      <c r="AJ40" s="123"/>
      <c r="AK40" s="123" t="s">
        <v>190</v>
      </c>
      <c r="AL40" s="161">
        <v>42431</v>
      </c>
      <c r="AM40" s="123"/>
      <c r="AN40" s="123"/>
      <c r="AO40" s="147">
        <v>508.38</v>
      </c>
      <c r="AP40" s="123"/>
      <c r="AQ40" s="147">
        <f t="shared" si="32"/>
        <v>508.38</v>
      </c>
      <c r="AR40" s="147"/>
      <c r="AS40" s="147"/>
      <c r="AT40" s="147"/>
      <c r="AU40" s="147"/>
      <c r="AV40" s="159"/>
      <c r="AW40" s="141">
        <f t="shared" si="33"/>
        <v>508.38</v>
      </c>
      <c r="AX40" s="147"/>
      <c r="AY40" s="147"/>
      <c r="AZ40" s="147"/>
      <c r="BA40" s="147">
        <f>AW40*4.9%</f>
        <v>24.910620000000002</v>
      </c>
      <c r="BB40" s="147">
        <f>AW40*1%</f>
        <v>5.0838000000000001</v>
      </c>
      <c r="BC40" s="147"/>
      <c r="BD40" s="100">
        <v>0</v>
      </c>
      <c r="BE40" s="100"/>
      <c r="BF40" s="123"/>
      <c r="BG40" s="123"/>
      <c r="BH40" s="141">
        <f t="shared" si="34"/>
        <v>478.38558</v>
      </c>
      <c r="BI40" s="100">
        <f t="shared" si="35"/>
        <v>0</v>
      </c>
      <c r="BJ40" s="141">
        <f t="shared" si="36"/>
        <v>478.38558</v>
      </c>
      <c r="BK40" s="100">
        <f t="shared" si="37"/>
        <v>50.838000000000001</v>
      </c>
      <c r="BL40" s="100">
        <v>10.23</v>
      </c>
      <c r="BM40" s="100">
        <f t="shared" si="38"/>
        <v>24.910620000000002</v>
      </c>
      <c r="BN40" s="141">
        <f t="shared" si="39"/>
        <v>594.35861999999997</v>
      </c>
      <c r="BO40" s="227"/>
      <c r="BP40" s="227"/>
      <c r="BQ40" s="227"/>
      <c r="BR40" s="103"/>
      <c r="BS40" s="276">
        <v>2962956136</v>
      </c>
      <c r="BT40" s="242"/>
      <c r="BX40" s="50" t="s">
        <v>828</v>
      </c>
      <c r="BY40" s="51" t="s">
        <v>829</v>
      </c>
      <c r="BZ40" s="274"/>
    </row>
    <row r="41" spans="1:79">
      <c r="A41" s="20" t="s">
        <v>82</v>
      </c>
      <c r="B41" s="21" t="s">
        <v>83</v>
      </c>
      <c r="C41" s="22">
        <f t="shared" si="5"/>
        <v>513.33000000000004</v>
      </c>
      <c r="D41" s="22">
        <v>0</v>
      </c>
      <c r="E41" s="22">
        <f t="shared" si="6"/>
        <v>603.38</v>
      </c>
      <c r="F41" s="22">
        <v>0</v>
      </c>
      <c r="G41" s="22">
        <f t="shared" si="7"/>
        <v>1116.71</v>
      </c>
      <c r="H41" s="22">
        <f t="shared" si="8"/>
        <v>0</v>
      </c>
      <c r="I41" s="22">
        <f t="shared" si="9"/>
        <v>0</v>
      </c>
      <c r="J41" s="22">
        <f t="shared" si="10"/>
        <v>0</v>
      </c>
      <c r="K41" s="22">
        <f t="shared" si="11"/>
        <v>0</v>
      </c>
      <c r="L41" s="22">
        <f t="shared" si="12"/>
        <v>0</v>
      </c>
      <c r="M41" s="22">
        <f t="shared" si="13"/>
        <v>0</v>
      </c>
      <c r="N41" s="22">
        <f t="shared" si="14"/>
        <v>0</v>
      </c>
      <c r="O41" s="22">
        <f t="shared" si="15"/>
        <v>0</v>
      </c>
      <c r="P41" s="22">
        <f t="shared" si="16"/>
        <v>58.91</v>
      </c>
      <c r="Q41" s="22">
        <v>0</v>
      </c>
      <c r="R41" s="22">
        <f t="shared" si="17"/>
        <v>0</v>
      </c>
      <c r="S41" s="22">
        <f t="shared" si="18"/>
        <v>0</v>
      </c>
      <c r="T41" s="22">
        <f t="shared" si="19"/>
        <v>58.91</v>
      </c>
      <c r="U41" s="22">
        <f t="shared" si="20"/>
        <v>1057.8</v>
      </c>
      <c r="V41" s="22">
        <f t="shared" si="21"/>
        <v>1057.8</v>
      </c>
      <c r="W41" s="22">
        <f t="shared" si="40"/>
        <v>111.67100000000001</v>
      </c>
      <c r="X41" s="22">
        <f>+'C&amp;A'!E41*0.02</f>
        <v>10.2256</v>
      </c>
      <c r="Y41" s="22">
        <f t="shared" si="23"/>
        <v>0</v>
      </c>
      <c r="Z41" s="22">
        <f t="shared" si="24"/>
        <v>1179.6966</v>
      </c>
      <c r="AA41" s="22">
        <f t="shared" si="25"/>
        <v>188.75145599999999</v>
      </c>
      <c r="AB41" s="22">
        <f t="shared" si="26"/>
        <v>1368.448056</v>
      </c>
      <c r="AC41" s="59"/>
      <c r="AD41" s="61"/>
      <c r="AE41" s="61"/>
      <c r="AF41" s="61"/>
      <c r="AG41" s="123" t="s">
        <v>377</v>
      </c>
      <c r="AH41" s="123" t="s">
        <v>423</v>
      </c>
      <c r="AI41" s="123" t="s">
        <v>30</v>
      </c>
      <c r="AJ41" s="123" t="s">
        <v>82</v>
      </c>
      <c r="AK41" s="123" t="s">
        <v>189</v>
      </c>
      <c r="AL41" s="123"/>
      <c r="AM41" s="123"/>
      <c r="AN41" s="123"/>
      <c r="AO41" s="147">
        <v>513.33000000000004</v>
      </c>
      <c r="AP41" s="123"/>
      <c r="AQ41" s="147">
        <f t="shared" si="32"/>
        <v>513.33000000000004</v>
      </c>
      <c r="AR41" s="147">
        <v>603.38</v>
      </c>
      <c r="AS41" s="147"/>
      <c r="AT41" s="147"/>
      <c r="AU41" s="147"/>
      <c r="AV41" s="159"/>
      <c r="AW41" s="141">
        <f t="shared" si="33"/>
        <v>1116.71</v>
      </c>
      <c r="AX41" s="147"/>
      <c r="AY41" s="147">
        <v>58.91</v>
      </c>
      <c r="AZ41" s="147">
        <v>0</v>
      </c>
      <c r="BA41" s="147"/>
      <c r="BB41" s="147"/>
      <c r="BC41" s="147"/>
      <c r="BD41" s="100">
        <v>0</v>
      </c>
      <c r="BE41" s="100"/>
      <c r="BF41" s="123"/>
      <c r="BG41" s="123">
        <v>0</v>
      </c>
      <c r="BH41" s="141">
        <f t="shared" si="34"/>
        <v>1057.8</v>
      </c>
      <c r="BI41" s="100">
        <f t="shared" si="35"/>
        <v>0</v>
      </c>
      <c r="BJ41" s="141">
        <f t="shared" si="36"/>
        <v>1057.8</v>
      </c>
      <c r="BK41" s="100">
        <f t="shared" si="37"/>
        <v>111.67100000000001</v>
      </c>
      <c r="BL41" s="100">
        <v>10.23</v>
      </c>
      <c r="BM41" s="100">
        <f t="shared" si="38"/>
        <v>0</v>
      </c>
      <c r="BN41" s="141">
        <f t="shared" si="39"/>
        <v>1238.6110000000001</v>
      </c>
      <c r="BO41" s="227"/>
      <c r="BP41" s="227"/>
      <c r="BQ41" s="227"/>
      <c r="BR41" s="103"/>
      <c r="BS41" s="103"/>
      <c r="BX41" s="50" t="s">
        <v>82</v>
      </c>
      <c r="BY41" s="51" t="s">
        <v>83</v>
      </c>
      <c r="BZ41" s="274"/>
    </row>
    <row r="42" spans="1:79">
      <c r="A42" s="20" t="s">
        <v>197</v>
      </c>
      <c r="B42" s="21" t="s">
        <v>198</v>
      </c>
      <c r="C42" s="22">
        <f t="shared" si="5"/>
        <v>513.33000000000004</v>
      </c>
      <c r="D42" s="22">
        <v>93.68</v>
      </c>
      <c r="E42" s="22">
        <f t="shared" si="6"/>
        <v>0</v>
      </c>
      <c r="F42" s="22">
        <v>0</v>
      </c>
      <c r="G42" s="22">
        <f t="shared" si="7"/>
        <v>607.01</v>
      </c>
      <c r="H42" s="22">
        <f t="shared" si="8"/>
        <v>0</v>
      </c>
      <c r="I42" s="22">
        <f t="shared" si="9"/>
        <v>0</v>
      </c>
      <c r="J42" s="22">
        <f t="shared" si="10"/>
        <v>0</v>
      </c>
      <c r="K42" s="22">
        <f t="shared" si="11"/>
        <v>0</v>
      </c>
      <c r="L42" s="22">
        <f t="shared" si="12"/>
        <v>0</v>
      </c>
      <c r="M42" s="22">
        <f t="shared" si="13"/>
        <v>0</v>
      </c>
      <c r="N42" s="22">
        <f t="shared" si="14"/>
        <v>0</v>
      </c>
      <c r="O42" s="22">
        <f t="shared" si="15"/>
        <v>0</v>
      </c>
      <c r="P42" s="22">
        <f t="shared" si="16"/>
        <v>58.91</v>
      </c>
      <c r="Q42" s="22">
        <v>0</v>
      </c>
      <c r="R42" s="22">
        <f t="shared" si="17"/>
        <v>0</v>
      </c>
      <c r="S42" s="22">
        <f t="shared" si="18"/>
        <v>0</v>
      </c>
      <c r="T42" s="22">
        <f t="shared" si="19"/>
        <v>58.91</v>
      </c>
      <c r="U42" s="22">
        <f t="shared" si="20"/>
        <v>548.1</v>
      </c>
      <c r="V42" s="22">
        <f t="shared" si="21"/>
        <v>548.1</v>
      </c>
      <c r="W42" s="22">
        <f t="shared" si="40"/>
        <v>51.333000000000006</v>
      </c>
      <c r="X42" s="22">
        <f>+'C&amp;A'!E42*0.02</f>
        <v>9.5866000000000007</v>
      </c>
      <c r="Y42" s="22">
        <f t="shared" si="23"/>
        <v>0</v>
      </c>
      <c r="Z42" s="22">
        <f t="shared" si="24"/>
        <v>609.01959999999997</v>
      </c>
      <c r="AA42" s="22">
        <f t="shared" si="25"/>
        <v>97.443135999999996</v>
      </c>
      <c r="AB42" s="22">
        <f t="shared" si="26"/>
        <v>706.46273599999995</v>
      </c>
      <c r="AC42" s="59"/>
      <c r="AD42" s="61"/>
      <c r="AE42" s="61"/>
      <c r="AF42" s="61"/>
      <c r="AG42" s="123" t="s">
        <v>377</v>
      </c>
      <c r="AH42" s="123" t="s">
        <v>483</v>
      </c>
      <c r="AI42" s="123" t="s">
        <v>30</v>
      </c>
      <c r="AJ42" s="239"/>
      <c r="AK42" s="123" t="s">
        <v>189</v>
      </c>
      <c r="AL42" s="123"/>
      <c r="AM42" s="123"/>
      <c r="AN42" s="123"/>
      <c r="AO42" s="147">
        <v>513.33000000000004</v>
      </c>
      <c r="AP42" s="123"/>
      <c r="AQ42" s="147">
        <f t="shared" si="32"/>
        <v>513.33000000000004</v>
      </c>
      <c r="AR42" s="147"/>
      <c r="AS42" s="147"/>
      <c r="AT42" s="147"/>
      <c r="AU42" s="147"/>
      <c r="AV42" s="159"/>
      <c r="AW42" s="141">
        <f t="shared" si="33"/>
        <v>513.33000000000004</v>
      </c>
      <c r="AX42" s="147"/>
      <c r="AY42" s="147">
        <v>58.91</v>
      </c>
      <c r="AZ42" s="147"/>
      <c r="BA42" s="147"/>
      <c r="BB42" s="147"/>
      <c r="BC42" s="147"/>
      <c r="BD42" s="100">
        <v>0</v>
      </c>
      <c r="BE42" s="100"/>
      <c r="BF42" s="123"/>
      <c r="BG42" s="123">
        <v>0</v>
      </c>
      <c r="BH42" s="141">
        <f t="shared" si="34"/>
        <v>454.42000000000007</v>
      </c>
      <c r="BI42" s="100">
        <f t="shared" si="35"/>
        <v>0</v>
      </c>
      <c r="BJ42" s="141">
        <f t="shared" si="36"/>
        <v>454.42000000000007</v>
      </c>
      <c r="BK42" s="100">
        <f t="shared" si="37"/>
        <v>51.333000000000006</v>
      </c>
      <c r="BL42" s="100">
        <v>10.23</v>
      </c>
      <c r="BM42" s="100">
        <f t="shared" si="38"/>
        <v>0</v>
      </c>
      <c r="BN42" s="141">
        <f t="shared" si="39"/>
        <v>574.89300000000003</v>
      </c>
      <c r="BO42" s="227"/>
      <c r="BP42" s="227"/>
      <c r="BQ42" s="227"/>
      <c r="BR42" s="103"/>
      <c r="BS42" s="103"/>
      <c r="BX42" s="50" t="s">
        <v>754</v>
      </c>
      <c r="BY42" s="51" t="s">
        <v>198</v>
      </c>
      <c r="BZ42" s="274"/>
    </row>
    <row r="43" spans="1:79">
      <c r="A43" s="20" t="s">
        <v>86</v>
      </c>
      <c r="B43" s="21" t="s">
        <v>87</v>
      </c>
      <c r="C43" s="22">
        <f t="shared" si="5"/>
        <v>739.23</v>
      </c>
      <c r="D43" s="22">
        <v>0</v>
      </c>
      <c r="E43" s="22">
        <f t="shared" si="6"/>
        <v>1793.65</v>
      </c>
      <c r="F43" s="22">
        <v>0</v>
      </c>
      <c r="G43" s="22">
        <f t="shared" si="7"/>
        <v>2532.88</v>
      </c>
      <c r="H43" s="22">
        <f t="shared" si="8"/>
        <v>0</v>
      </c>
      <c r="I43" s="22">
        <f t="shared" si="9"/>
        <v>0</v>
      </c>
      <c r="J43" s="22">
        <f t="shared" si="10"/>
        <v>0</v>
      </c>
      <c r="K43" s="22">
        <f t="shared" si="11"/>
        <v>0</v>
      </c>
      <c r="L43" s="22">
        <f t="shared" si="12"/>
        <v>0</v>
      </c>
      <c r="M43" s="22">
        <f t="shared" si="13"/>
        <v>0</v>
      </c>
      <c r="N43" s="22">
        <f t="shared" si="14"/>
        <v>0</v>
      </c>
      <c r="O43" s="22">
        <f t="shared" si="15"/>
        <v>0</v>
      </c>
      <c r="P43" s="22">
        <f t="shared" si="16"/>
        <v>0</v>
      </c>
      <c r="Q43" s="22">
        <v>0</v>
      </c>
      <c r="R43" s="22">
        <f t="shared" si="17"/>
        <v>0</v>
      </c>
      <c r="S43" s="22">
        <f t="shared" si="18"/>
        <v>0</v>
      </c>
      <c r="T43" s="22">
        <f t="shared" si="19"/>
        <v>0</v>
      </c>
      <c r="U43" s="22">
        <f t="shared" si="20"/>
        <v>2532.88</v>
      </c>
      <c r="V43" s="22">
        <f t="shared" si="21"/>
        <v>2532.88</v>
      </c>
      <c r="W43" s="22">
        <f t="shared" si="40"/>
        <v>253.28800000000001</v>
      </c>
      <c r="X43" s="22">
        <f>+'C&amp;A'!E43*0.02</f>
        <v>10.2256</v>
      </c>
      <c r="Y43" s="22">
        <f t="shared" si="23"/>
        <v>0</v>
      </c>
      <c r="Z43" s="22">
        <f t="shared" si="24"/>
        <v>2796.3936000000003</v>
      </c>
      <c r="AA43" s="22">
        <f t="shared" si="25"/>
        <v>447.42297600000006</v>
      </c>
      <c r="AB43" s="22">
        <f t="shared" si="26"/>
        <v>3243.8165760000002</v>
      </c>
      <c r="AC43" s="59"/>
      <c r="AD43" s="61"/>
      <c r="AE43" s="61"/>
      <c r="AF43" s="61"/>
      <c r="AG43" s="123" t="s">
        <v>383</v>
      </c>
      <c r="AH43" s="123" t="s">
        <v>425</v>
      </c>
      <c r="AI43" s="123"/>
      <c r="AJ43" s="123" t="s">
        <v>86</v>
      </c>
      <c r="AK43" s="123" t="s">
        <v>181</v>
      </c>
      <c r="AL43" s="123"/>
      <c r="AM43" s="123"/>
      <c r="AN43" s="123"/>
      <c r="AO43" s="147">
        <v>739.23</v>
      </c>
      <c r="AP43" s="123"/>
      <c r="AQ43" s="147">
        <f t="shared" si="32"/>
        <v>739.23</v>
      </c>
      <c r="AR43" s="147">
        <f>1786.23+7.42</f>
        <v>1793.65</v>
      </c>
      <c r="AS43" s="147"/>
      <c r="AT43" s="147"/>
      <c r="AU43" s="147"/>
      <c r="AV43" s="159"/>
      <c r="AW43" s="141">
        <f t="shared" si="33"/>
        <v>2532.88</v>
      </c>
      <c r="AX43" s="147"/>
      <c r="AY43" s="147"/>
      <c r="AZ43" s="147">
        <v>0</v>
      </c>
      <c r="BA43" s="147"/>
      <c r="BB43" s="147"/>
      <c r="BC43" s="147"/>
      <c r="BD43" s="100">
        <v>0</v>
      </c>
      <c r="BE43" s="100"/>
      <c r="BF43" s="123"/>
      <c r="BG43" s="123">
        <v>0</v>
      </c>
      <c r="BH43" s="141">
        <f t="shared" si="34"/>
        <v>2532.88</v>
      </c>
      <c r="BI43" s="100">
        <f t="shared" si="35"/>
        <v>0</v>
      </c>
      <c r="BJ43" s="141">
        <f t="shared" si="36"/>
        <v>2532.88</v>
      </c>
      <c r="BK43" s="100">
        <f t="shared" si="37"/>
        <v>253.28800000000001</v>
      </c>
      <c r="BL43" s="100">
        <v>10.23</v>
      </c>
      <c r="BM43" s="100">
        <f t="shared" si="38"/>
        <v>0</v>
      </c>
      <c r="BN43" s="141">
        <f t="shared" si="39"/>
        <v>2796.3980000000001</v>
      </c>
      <c r="BO43" s="227"/>
      <c r="BP43" s="227"/>
      <c r="BQ43" s="227"/>
      <c r="BR43" s="103"/>
      <c r="BS43" s="103"/>
      <c r="BX43" s="50" t="s">
        <v>755</v>
      </c>
      <c r="BY43" s="51" t="s">
        <v>87</v>
      </c>
      <c r="BZ43" s="274"/>
    </row>
    <row r="44" spans="1:79">
      <c r="A44" s="20" t="s">
        <v>88</v>
      </c>
      <c r="B44" s="21" t="s">
        <v>89</v>
      </c>
      <c r="C44" s="22">
        <f t="shared" si="5"/>
        <v>513.33000000000004</v>
      </c>
      <c r="D44" s="22">
        <v>0</v>
      </c>
      <c r="E44" s="22">
        <f t="shared" si="6"/>
        <v>822.17</v>
      </c>
      <c r="F44" s="22">
        <v>0</v>
      </c>
      <c r="G44" s="22">
        <f t="shared" si="7"/>
        <v>1335.5</v>
      </c>
      <c r="H44" s="22">
        <f t="shared" si="8"/>
        <v>0</v>
      </c>
      <c r="I44" s="22">
        <f t="shared" si="9"/>
        <v>0</v>
      </c>
      <c r="J44" s="22">
        <f t="shared" si="10"/>
        <v>0</v>
      </c>
      <c r="K44" s="22">
        <f t="shared" si="11"/>
        <v>0</v>
      </c>
      <c r="L44" s="22">
        <f t="shared" si="12"/>
        <v>0</v>
      </c>
      <c r="M44" s="22">
        <f t="shared" si="13"/>
        <v>0</v>
      </c>
      <c r="N44" s="22">
        <f t="shared" si="14"/>
        <v>0</v>
      </c>
      <c r="O44" s="22">
        <f t="shared" si="15"/>
        <v>0</v>
      </c>
      <c r="P44" s="22">
        <f t="shared" si="16"/>
        <v>58.91</v>
      </c>
      <c r="Q44" s="22">
        <v>0</v>
      </c>
      <c r="R44" s="22">
        <f t="shared" si="17"/>
        <v>0</v>
      </c>
      <c r="S44" s="22">
        <f t="shared" si="18"/>
        <v>0</v>
      </c>
      <c r="T44" s="22">
        <f t="shared" si="19"/>
        <v>58.91</v>
      </c>
      <c r="U44" s="22">
        <f t="shared" si="20"/>
        <v>1276.5899999999999</v>
      </c>
      <c r="V44" s="22">
        <f t="shared" si="21"/>
        <v>1276.5899999999999</v>
      </c>
      <c r="W44" s="22">
        <f t="shared" si="40"/>
        <v>133.55000000000001</v>
      </c>
      <c r="X44" s="22">
        <f>+'C&amp;A'!E44*0.02</f>
        <v>10.2256</v>
      </c>
      <c r="Y44" s="22">
        <f t="shared" si="23"/>
        <v>0</v>
      </c>
      <c r="Z44" s="22">
        <f t="shared" si="24"/>
        <v>1420.3655999999999</v>
      </c>
      <c r="AA44" s="22">
        <f t="shared" si="25"/>
        <v>227.25849599999998</v>
      </c>
      <c r="AB44" s="22">
        <f t="shared" si="26"/>
        <v>1647.6240959999998</v>
      </c>
      <c r="AC44" s="59"/>
      <c r="AD44" s="61"/>
      <c r="AE44" s="61"/>
      <c r="AF44" s="61"/>
      <c r="AG44" s="123" t="s">
        <v>377</v>
      </c>
      <c r="AH44" s="123" t="s">
        <v>426</v>
      </c>
      <c r="AI44" s="123" t="s">
        <v>32</v>
      </c>
      <c r="AJ44" s="123" t="s">
        <v>88</v>
      </c>
      <c r="AK44" s="123" t="s">
        <v>189</v>
      </c>
      <c r="AL44" s="123"/>
      <c r="AM44" s="123"/>
      <c r="AN44" s="123"/>
      <c r="AO44" s="147">
        <v>513.33000000000004</v>
      </c>
      <c r="AP44" s="123"/>
      <c r="AQ44" s="147">
        <f t="shared" si="32"/>
        <v>513.33000000000004</v>
      </c>
      <c r="AR44" s="147">
        <v>822.17</v>
      </c>
      <c r="AS44" s="147"/>
      <c r="AT44" s="147"/>
      <c r="AU44" s="147"/>
      <c r="AV44" s="159"/>
      <c r="AW44" s="141">
        <f t="shared" si="33"/>
        <v>1335.5</v>
      </c>
      <c r="AX44" s="147"/>
      <c r="AY44" s="147">
        <v>58.91</v>
      </c>
      <c r="AZ44" s="147">
        <v>0</v>
      </c>
      <c r="BA44" s="147"/>
      <c r="BB44" s="147"/>
      <c r="BC44" s="147"/>
      <c r="BD44" s="100">
        <v>0</v>
      </c>
      <c r="BE44" s="100"/>
      <c r="BF44" s="123"/>
      <c r="BG44" s="123">
        <v>0</v>
      </c>
      <c r="BH44" s="141">
        <f t="shared" si="34"/>
        <v>1276.5899999999999</v>
      </c>
      <c r="BI44" s="100">
        <f t="shared" si="35"/>
        <v>0</v>
      </c>
      <c r="BJ44" s="141">
        <f t="shared" si="36"/>
        <v>1276.5899999999999</v>
      </c>
      <c r="BK44" s="100">
        <f t="shared" si="37"/>
        <v>133.55000000000001</v>
      </c>
      <c r="BL44" s="100">
        <v>10.23</v>
      </c>
      <c r="BM44" s="100">
        <f t="shared" si="38"/>
        <v>0</v>
      </c>
      <c r="BN44" s="141">
        <f t="shared" si="39"/>
        <v>1479.28</v>
      </c>
      <c r="BO44" s="227"/>
      <c r="BP44" s="227"/>
      <c r="BQ44" s="227"/>
      <c r="BR44" s="103"/>
      <c r="BS44" s="103"/>
      <c r="BX44" s="50" t="s">
        <v>503</v>
      </c>
      <c r="BY44" s="51" t="s">
        <v>89</v>
      </c>
      <c r="BZ44" s="274"/>
    </row>
    <row r="45" spans="1:79">
      <c r="A45" s="20" t="s">
        <v>90</v>
      </c>
      <c r="B45" s="21" t="s">
        <v>91</v>
      </c>
      <c r="C45" s="22">
        <f t="shared" si="5"/>
        <v>513.33000000000004</v>
      </c>
      <c r="D45" s="22">
        <v>0</v>
      </c>
      <c r="E45" s="22">
        <f t="shared" si="6"/>
        <v>7905.26</v>
      </c>
      <c r="F45" s="22">
        <v>0</v>
      </c>
      <c r="G45" s="22">
        <f t="shared" si="7"/>
        <v>8418.59</v>
      </c>
      <c r="H45" s="22">
        <f t="shared" si="8"/>
        <v>0</v>
      </c>
      <c r="I45" s="22">
        <f t="shared" si="9"/>
        <v>0</v>
      </c>
      <c r="J45" s="22">
        <f t="shared" si="10"/>
        <v>0</v>
      </c>
      <c r="K45" s="22">
        <f t="shared" si="11"/>
        <v>0</v>
      </c>
      <c r="L45" s="22">
        <f t="shared" si="12"/>
        <v>0</v>
      </c>
      <c r="M45" s="22">
        <f t="shared" si="13"/>
        <v>0</v>
      </c>
      <c r="N45" s="22">
        <f t="shared" si="14"/>
        <v>208.6</v>
      </c>
      <c r="O45" s="22">
        <f t="shared" si="15"/>
        <v>841.85900000000004</v>
      </c>
      <c r="P45" s="22">
        <f t="shared" si="16"/>
        <v>0</v>
      </c>
      <c r="Q45" s="22">
        <v>0</v>
      </c>
      <c r="R45" s="22">
        <f t="shared" si="17"/>
        <v>0</v>
      </c>
      <c r="S45" s="22">
        <f t="shared" si="18"/>
        <v>0</v>
      </c>
      <c r="T45" s="22">
        <f t="shared" si="19"/>
        <v>1050.4590000000001</v>
      </c>
      <c r="U45" s="22">
        <f t="shared" si="20"/>
        <v>7368.1310000000003</v>
      </c>
      <c r="V45" s="22">
        <f t="shared" si="21"/>
        <v>8418.59</v>
      </c>
      <c r="W45" s="22">
        <f t="shared" si="40"/>
        <v>0</v>
      </c>
      <c r="X45" s="22">
        <f>+'C&amp;A'!E45*0.02</f>
        <v>10.2256</v>
      </c>
      <c r="Y45" s="22">
        <f t="shared" si="23"/>
        <v>0</v>
      </c>
      <c r="Z45" s="22">
        <f t="shared" si="24"/>
        <v>8428.8155999999999</v>
      </c>
      <c r="AA45" s="22">
        <f t="shared" si="25"/>
        <v>1348.610496</v>
      </c>
      <c r="AB45" s="22">
        <f t="shared" si="26"/>
        <v>9777.4260959999992</v>
      </c>
      <c r="AC45" s="59"/>
      <c r="AD45" s="61"/>
      <c r="AE45" s="61"/>
      <c r="AF45" s="61"/>
      <c r="AG45" s="123" t="s">
        <v>377</v>
      </c>
      <c r="AH45" s="123" t="s">
        <v>427</v>
      </c>
      <c r="AI45" s="123" t="s">
        <v>31</v>
      </c>
      <c r="AJ45" s="123" t="s">
        <v>90</v>
      </c>
      <c r="AK45" s="123" t="s">
        <v>189</v>
      </c>
      <c r="AL45" s="123"/>
      <c r="AM45" s="123"/>
      <c r="AN45" s="123"/>
      <c r="AO45" s="147">
        <v>513.33000000000004</v>
      </c>
      <c r="AP45" s="123"/>
      <c r="AQ45" s="147">
        <f t="shared" si="32"/>
        <v>513.33000000000004</v>
      </c>
      <c r="AR45" s="147">
        <v>7905.26</v>
      </c>
      <c r="AS45" s="147"/>
      <c r="AT45" s="147"/>
      <c r="AU45" s="147"/>
      <c r="AV45" s="159"/>
      <c r="AW45" s="141">
        <f t="shared" si="33"/>
        <v>8418.59</v>
      </c>
      <c r="AX45" s="147"/>
      <c r="AY45" s="147"/>
      <c r="AZ45" s="147">
        <v>0</v>
      </c>
      <c r="BA45" s="147"/>
      <c r="BB45" s="147"/>
      <c r="BC45" s="147"/>
      <c r="BD45" s="100">
        <v>0</v>
      </c>
      <c r="BE45" s="100"/>
      <c r="BF45" s="123"/>
      <c r="BG45" s="123">
        <v>208.6</v>
      </c>
      <c r="BH45" s="141">
        <f t="shared" si="34"/>
        <v>8209.99</v>
      </c>
      <c r="BI45" s="100">
        <f t="shared" si="35"/>
        <v>841.85900000000004</v>
      </c>
      <c r="BJ45" s="141">
        <f t="shared" si="36"/>
        <v>7368.1309999999994</v>
      </c>
      <c r="BK45" s="100">
        <f t="shared" si="37"/>
        <v>0</v>
      </c>
      <c r="BL45" s="100">
        <v>10.23</v>
      </c>
      <c r="BM45" s="100">
        <f t="shared" si="38"/>
        <v>0</v>
      </c>
      <c r="BN45" s="141">
        <f t="shared" si="39"/>
        <v>8428.82</v>
      </c>
      <c r="BO45" s="227"/>
      <c r="BP45" s="227"/>
      <c r="BQ45" s="227"/>
      <c r="BR45" s="103"/>
      <c r="BS45" s="103"/>
      <c r="BX45" s="50" t="s">
        <v>756</v>
      </c>
      <c r="BY45" s="51" t="s">
        <v>91</v>
      </c>
      <c r="BZ45" s="274"/>
    </row>
    <row r="46" spans="1:79">
      <c r="A46" s="20" t="s">
        <v>92</v>
      </c>
      <c r="B46" s="21" t="s">
        <v>93</v>
      </c>
      <c r="C46" s="22">
        <f t="shared" si="5"/>
        <v>513.33000000000004</v>
      </c>
      <c r="D46" s="22">
        <v>0</v>
      </c>
      <c r="E46" s="22">
        <f t="shared" si="6"/>
        <v>2667.5</v>
      </c>
      <c r="F46" s="22">
        <v>0</v>
      </c>
      <c r="G46" s="22">
        <f t="shared" si="7"/>
        <v>3180.83</v>
      </c>
      <c r="H46" s="22">
        <f t="shared" si="8"/>
        <v>0</v>
      </c>
      <c r="I46" s="22">
        <f t="shared" si="9"/>
        <v>0</v>
      </c>
      <c r="J46" s="22">
        <f t="shared" si="10"/>
        <v>0</v>
      </c>
      <c r="K46" s="22">
        <f t="shared" si="11"/>
        <v>0</v>
      </c>
      <c r="L46" s="22">
        <f t="shared" si="12"/>
        <v>0</v>
      </c>
      <c r="M46" s="22">
        <f t="shared" si="13"/>
        <v>0</v>
      </c>
      <c r="N46" s="22">
        <f t="shared" si="14"/>
        <v>0</v>
      </c>
      <c r="O46" s="22">
        <f t="shared" si="15"/>
        <v>0</v>
      </c>
      <c r="P46" s="22">
        <f t="shared" si="16"/>
        <v>58.91</v>
      </c>
      <c r="Q46" s="22">
        <v>0</v>
      </c>
      <c r="R46" s="22">
        <f t="shared" si="17"/>
        <v>0</v>
      </c>
      <c r="S46" s="22">
        <f t="shared" si="18"/>
        <v>0</v>
      </c>
      <c r="T46" s="22">
        <f t="shared" si="19"/>
        <v>58.91</v>
      </c>
      <c r="U46" s="22">
        <f t="shared" si="20"/>
        <v>3121.92</v>
      </c>
      <c r="V46" s="22">
        <f t="shared" si="21"/>
        <v>3121.92</v>
      </c>
      <c r="W46" s="22">
        <f t="shared" si="40"/>
        <v>318.08300000000003</v>
      </c>
      <c r="X46" s="22">
        <f>+'C&amp;A'!E46*0.02</f>
        <v>10.2256</v>
      </c>
      <c r="Y46" s="22">
        <f t="shared" si="23"/>
        <v>0</v>
      </c>
      <c r="Z46" s="22">
        <f t="shared" si="24"/>
        <v>3450.2286000000004</v>
      </c>
      <c r="AA46" s="22">
        <f t="shared" si="25"/>
        <v>552.03657600000008</v>
      </c>
      <c r="AB46" s="22">
        <f t="shared" si="26"/>
        <v>4002.2651760000003</v>
      </c>
      <c r="AC46" s="59"/>
      <c r="AD46" s="61"/>
      <c r="AE46" s="61"/>
      <c r="AF46" s="61"/>
      <c r="AG46" s="123" t="s">
        <v>389</v>
      </c>
      <c r="AH46" s="123" t="s">
        <v>428</v>
      </c>
      <c r="AI46" s="123" t="s">
        <v>809</v>
      </c>
      <c r="AJ46" s="123" t="s">
        <v>92</v>
      </c>
      <c r="AK46" s="123" t="s">
        <v>392</v>
      </c>
      <c r="AL46" s="123"/>
      <c r="AM46" s="123"/>
      <c r="AN46" s="123"/>
      <c r="AO46" s="147">
        <v>513.33000000000004</v>
      </c>
      <c r="AP46" s="123"/>
      <c r="AQ46" s="147">
        <f t="shared" si="32"/>
        <v>513.33000000000004</v>
      </c>
      <c r="AR46" s="147">
        <v>2667.5</v>
      </c>
      <c r="AS46" s="147"/>
      <c r="AT46" s="147"/>
      <c r="AU46" s="147"/>
      <c r="AV46" s="159"/>
      <c r="AW46" s="141">
        <f t="shared" si="33"/>
        <v>3180.83</v>
      </c>
      <c r="AX46" s="147"/>
      <c r="AY46" s="147">
        <v>58.91</v>
      </c>
      <c r="AZ46" s="147">
        <v>0</v>
      </c>
      <c r="BA46" s="147"/>
      <c r="BB46" s="147"/>
      <c r="BC46" s="147"/>
      <c r="BD46" s="100">
        <v>0</v>
      </c>
      <c r="BE46" s="100"/>
      <c r="BF46" s="123"/>
      <c r="BG46" s="123">
        <v>0</v>
      </c>
      <c r="BH46" s="141">
        <f t="shared" si="34"/>
        <v>3121.92</v>
      </c>
      <c r="BI46" s="100">
        <f t="shared" si="35"/>
        <v>0</v>
      </c>
      <c r="BJ46" s="141">
        <f t="shared" si="36"/>
        <v>3121.92</v>
      </c>
      <c r="BK46" s="100">
        <f t="shared" si="37"/>
        <v>318.08300000000003</v>
      </c>
      <c r="BL46" s="100">
        <v>10.23</v>
      </c>
      <c r="BM46" s="100">
        <f t="shared" si="38"/>
        <v>0</v>
      </c>
      <c r="BN46" s="141">
        <f t="shared" si="39"/>
        <v>3509.143</v>
      </c>
      <c r="BO46" s="227"/>
      <c r="BP46" s="227"/>
      <c r="BQ46" s="227"/>
      <c r="BR46" s="103"/>
      <c r="BS46" s="103"/>
      <c r="BX46" s="50" t="s">
        <v>757</v>
      </c>
      <c r="BY46" s="51" t="s">
        <v>93</v>
      </c>
      <c r="BZ46" s="274"/>
    </row>
    <row r="47" spans="1:79">
      <c r="A47" s="20" t="s">
        <v>94</v>
      </c>
      <c r="B47" s="21" t="s">
        <v>95</v>
      </c>
      <c r="C47" s="22">
        <f t="shared" si="5"/>
        <v>513.33000000000004</v>
      </c>
      <c r="D47" s="22">
        <v>0</v>
      </c>
      <c r="E47" s="22">
        <f t="shared" si="6"/>
        <v>648.46</v>
      </c>
      <c r="F47" s="22">
        <v>0</v>
      </c>
      <c r="G47" s="22">
        <f t="shared" si="7"/>
        <v>1161.79</v>
      </c>
      <c r="H47" s="22">
        <f t="shared" si="8"/>
        <v>0</v>
      </c>
      <c r="I47" s="22">
        <f t="shared" si="9"/>
        <v>0</v>
      </c>
      <c r="J47" s="22">
        <f t="shared" si="10"/>
        <v>0</v>
      </c>
      <c r="K47" s="22">
        <f t="shared" si="11"/>
        <v>0</v>
      </c>
      <c r="L47" s="22">
        <f t="shared" si="12"/>
        <v>0</v>
      </c>
      <c r="M47" s="22">
        <f t="shared" si="13"/>
        <v>0</v>
      </c>
      <c r="N47" s="22">
        <f t="shared" si="14"/>
        <v>0</v>
      </c>
      <c r="O47" s="22">
        <f t="shared" si="15"/>
        <v>0</v>
      </c>
      <c r="P47" s="22">
        <f t="shared" si="16"/>
        <v>0</v>
      </c>
      <c r="Q47" s="22">
        <v>0</v>
      </c>
      <c r="R47" s="22">
        <f t="shared" si="17"/>
        <v>0</v>
      </c>
      <c r="S47" s="22">
        <f t="shared" si="18"/>
        <v>0</v>
      </c>
      <c r="T47" s="22">
        <f t="shared" si="19"/>
        <v>0</v>
      </c>
      <c r="U47" s="22">
        <f t="shared" si="20"/>
        <v>1161.79</v>
      </c>
      <c r="V47" s="22">
        <f t="shared" si="21"/>
        <v>1161.79</v>
      </c>
      <c r="W47" s="22">
        <f t="shared" si="40"/>
        <v>116.179</v>
      </c>
      <c r="X47" s="22">
        <f>+'C&amp;A'!E47*0.02</f>
        <v>10.2256</v>
      </c>
      <c r="Y47" s="22">
        <f t="shared" si="23"/>
        <v>0</v>
      </c>
      <c r="Z47" s="22">
        <f t="shared" si="24"/>
        <v>1288.1946</v>
      </c>
      <c r="AA47" s="22">
        <f t="shared" si="25"/>
        <v>206.11113600000002</v>
      </c>
      <c r="AB47" s="22">
        <f t="shared" si="26"/>
        <v>1494.305736</v>
      </c>
      <c r="AC47" s="59"/>
      <c r="AD47" s="61"/>
      <c r="AE47" s="61"/>
      <c r="AF47" s="61"/>
      <c r="AG47" s="123" t="s">
        <v>377</v>
      </c>
      <c r="AH47" s="123" t="s">
        <v>429</v>
      </c>
      <c r="AI47" s="123" t="s">
        <v>31</v>
      </c>
      <c r="AJ47" s="123" t="s">
        <v>94</v>
      </c>
      <c r="AK47" s="123" t="s">
        <v>189</v>
      </c>
      <c r="AL47" s="123"/>
      <c r="AM47" s="123"/>
      <c r="AN47" s="123"/>
      <c r="AO47" s="147">
        <v>513.33000000000004</v>
      </c>
      <c r="AP47" s="123"/>
      <c r="AQ47" s="147">
        <f t="shared" si="32"/>
        <v>513.33000000000004</v>
      </c>
      <c r="AR47" s="147">
        <v>648.46</v>
      </c>
      <c r="AS47" s="147"/>
      <c r="AT47" s="147"/>
      <c r="AU47" s="147"/>
      <c r="AV47" s="159"/>
      <c r="AW47" s="141">
        <f t="shared" si="33"/>
        <v>1161.79</v>
      </c>
      <c r="AX47" s="147"/>
      <c r="AY47" s="147"/>
      <c r="AZ47" s="147">
        <v>0</v>
      </c>
      <c r="BA47" s="147"/>
      <c r="BB47" s="147"/>
      <c r="BC47" s="147"/>
      <c r="BD47" s="100">
        <v>0</v>
      </c>
      <c r="BE47" s="100"/>
      <c r="BF47" s="123"/>
      <c r="BG47" s="123">
        <v>0</v>
      </c>
      <c r="BH47" s="141">
        <f t="shared" si="34"/>
        <v>1161.79</v>
      </c>
      <c r="BI47" s="100">
        <f t="shared" si="35"/>
        <v>0</v>
      </c>
      <c r="BJ47" s="141">
        <f t="shared" si="36"/>
        <v>1161.79</v>
      </c>
      <c r="BK47" s="100">
        <f t="shared" si="37"/>
        <v>116.179</v>
      </c>
      <c r="BL47" s="100">
        <v>10.23</v>
      </c>
      <c r="BM47" s="100">
        <f t="shared" si="38"/>
        <v>0</v>
      </c>
      <c r="BN47" s="141">
        <f t="shared" si="39"/>
        <v>1288.1990000000001</v>
      </c>
      <c r="BO47" s="227"/>
      <c r="BP47" s="227"/>
      <c r="BQ47" s="227"/>
      <c r="BR47" s="103"/>
      <c r="BS47" s="103"/>
      <c r="BX47" s="50" t="s">
        <v>758</v>
      </c>
      <c r="BY47" s="51" t="s">
        <v>95</v>
      </c>
      <c r="BZ47" s="274"/>
    </row>
    <row r="48" spans="1:79">
      <c r="A48" s="20" t="s">
        <v>96</v>
      </c>
      <c r="B48" s="21" t="s">
        <v>97</v>
      </c>
      <c r="C48" s="22">
        <f t="shared" si="5"/>
        <v>1633.33</v>
      </c>
      <c r="D48" s="22">
        <v>0</v>
      </c>
      <c r="E48" s="22">
        <f t="shared" si="6"/>
        <v>0</v>
      </c>
      <c r="F48" s="22">
        <v>0</v>
      </c>
      <c r="G48" s="22">
        <f t="shared" si="7"/>
        <v>1633.33</v>
      </c>
      <c r="H48" s="22">
        <f t="shared" si="8"/>
        <v>0</v>
      </c>
      <c r="I48" s="22">
        <f t="shared" si="9"/>
        <v>0</v>
      </c>
      <c r="J48" s="22">
        <f t="shared" si="10"/>
        <v>0</v>
      </c>
      <c r="K48" s="22">
        <f t="shared" si="11"/>
        <v>0</v>
      </c>
      <c r="L48" s="22">
        <f t="shared" si="12"/>
        <v>0</v>
      </c>
      <c r="M48" s="22">
        <f t="shared" si="13"/>
        <v>0</v>
      </c>
      <c r="N48" s="22">
        <f t="shared" si="14"/>
        <v>0</v>
      </c>
      <c r="O48" s="22">
        <f t="shared" si="15"/>
        <v>0</v>
      </c>
      <c r="P48" s="22">
        <f t="shared" si="16"/>
        <v>0</v>
      </c>
      <c r="Q48" s="22">
        <v>0</v>
      </c>
      <c r="R48" s="22">
        <f t="shared" si="17"/>
        <v>0</v>
      </c>
      <c r="S48" s="22">
        <f t="shared" si="18"/>
        <v>0</v>
      </c>
      <c r="T48" s="22">
        <f t="shared" si="19"/>
        <v>0</v>
      </c>
      <c r="U48" s="22">
        <f t="shared" si="20"/>
        <v>1633.33</v>
      </c>
      <c r="V48" s="22">
        <f t="shared" si="21"/>
        <v>1633.33</v>
      </c>
      <c r="W48" s="22">
        <f t="shared" si="40"/>
        <v>163.333</v>
      </c>
      <c r="X48" s="22">
        <f>+'C&amp;A'!E48*0.02</f>
        <v>10.2256</v>
      </c>
      <c r="Y48" s="22">
        <f t="shared" si="23"/>
        <v>0</v>
      </c>
      <c r="Z48" s="22">
        <f t="shared" si="24"/>
        <v>1806.8886</v>
      </c>
      <c r="AA48" s="22">
        <f t="shared" si="25"/>
        <v>289.10217599999999</v>
      </c>
      <c r="AB48" s="22">
        <f t="shared" si="26"/>
        <v>2095.9907760000001</v>
      </c>
      <c r="AC48" s="59"/>
      <c r="AD48" s="61"/>
      <c r="AE48" s="61"/>
      <c r="AF48" s="61"/>
      <c r="AG48" s="123" t="s">
        <v>375</v>
      </c>
      <c r="AH48" s="123" t="s">
        <v>430</v>
      </c>
      <c r="AI48" s="123"/>
      <c r="AJ48" s="123" t="s">
        <v>96</v>
      </c>
      <c r="AK48" s="123" t="s">
        <v>187</v>
      </c>
      <c r="AL48" s="123"/>
      <c r="AM48" s="123"/>
      <c r="AN48" s="123"/>
      <c r="AO48" s="147">
        <v>1633.33</v>
      </c>
      <c r="AP48" s="123"/>
      <c r="AQ48" s="147">
        <f t="shared" ref="AQ48:AQ79" si="41">+AO48+AP48</f>
        <v>1633.33</v>
      </c>
      <c r="AR48" s="147"/>
      <c r="AS48" s="147"/>
      <c r="AT48" s="147"/>
      <c r="AU48" s="147"/>
      <c r="AV48" s="159"/>
      <c r="AW48" s="141">
        <f t="shared" ref="AW48:AW79" si="42">SUM(AQ48:AU48)-AV48</f>
        <v>1633.33</v>
      </c>
      <c r="AX48" s="147"/>
      <c r="AY48" s="147"/>
      <c r="AZ48" s="147">
        <v>0</v>
      </c>
      <c r="BA48" s="147"/>
      <c r="BB48" s="147"/>
      <c r="BC48" s="147"/>
      <c r="BD48" s="100">
        <v>0</v>
      </c>
      <c r="BE48" s="100"/>
      <c r="BF48" s="123"/>
      <c r="BG48" s="123">
        <v>0</v>
      </c>
      <c r="BH48" s="141">
        <f t="shared" ref="BH48:BH79" si="43">+AW48-SUM(AX48:BG48)</f>
        <v>1633.33</v>
      </c>
      <c r="BI48" s="100">
        <f t="shared" ref="BI48:BI79" si="44">IF(AW48&gt;3500,AW48*0.1,0)</f>
        <v>0</v>
      </c>
      <c r="BJ48" s="141">
        <f t="shared" ref="BJ48:BJ79" si="45">+BH48-BI48</f>
        <v>1633.33</v>
      </c>
      <c r="BK48" s="100">
        <f t="shared" ref="BK48:BK79" si="46">IF(AW48&lt;3500,AW48*0.1,0)</f>
        <v>163.333</v>
      </c>
      <c r="BL48" s="100">
        <v>10.23</v>
      </c>
      <c r="BM48" s="100">
        <f t="shared" ref="BM48:BM79" si="47">+BA48</f>
        <v>0</v>
      </c>
      <c r="BN48" s="141">
        <f t="shared" ref="BN48:BN79" si="48">+AW48+BK48+BL48+BM48</f>
        <v>1806.893</v>
      </c>
      <c r="BO48" s="227"/>
      <c r="BP48" s="227"/>
      <c r="BQ48" s="227"/>
      <c r="BR48" s="103"/>
      <c r="BS48" s="103"/>
      <c r="BX48" s="50" t="s">
        <v>759</v>
      </c>
      <c r="BY48" s="51" t="s">
        <v>97</v>
      </c>
      <c r="BZ48" s="274"/>
    </row>
    <row r="49" spans="1:98">
      <c r="A49" s="20" t="s">
        <v>99</v>
      </c>
      <c r="B49" s="21" t="s">
        <v>100</v>
      </c>
      <c r="C49" s="22">
        <f t="shared" si="5"/>
        <v>513.33000000000004</v>
      </c>
      <c r="D49" s="22">
        <v>93.68</v>
      </c>
      <c r="E49" s="22">
        <f t="shared" si="6"/>
        <v>0</v>
      </c>
      <c r="F49" s="22">
        <v>0</v>
      </c>
      <c r="G49" s="22">
        <f t="shared" si="7"/>
        <v>607.01</v>
      </c>
      <c r="H49" s="22">
        <f t="shared" si="8"/>
        <v>0</v>
      </c>
      <c r="I49" s="22">
        <f t="shared" si="9"/>
        <v>0</v>
      </c>
      <c r="J49" s="22">
        <f t="shared" si="10"/>
        <v>0</v>
      </c>
      <c r="K49" s="22">
        <f t="shared" si="11"/>
        <v>0</v>
      </c>
      <c r="L49" s="22">
        <f t="shared" si="12"/>
        <v>0</v>
      </c>
      <c r="M49" s="22">
        <f t="shared" si="13"/>
        <v>0</v>
      </c>
      <c r="N49" s="22">
        <f t="shared" si="14"/>
        <v>0</v>
      </c>
      <c r="O49" s="22">
        <f t="shared" si="15"/>
        <v>0</v>
      </c>
      <c r="P49" s="22">
        <f t="shared" si="16"/>
        <v>0</v>
      </c>
      <c r="Q49" s="22">
        <v>0</v>
      </c>
      <c r="R49" s="22">
        <f t="shared" si="17"/>
        <v>0</v>
      </c>
      <c r="S49" s="22">
        <f t="shared" si="18"/>
        <v>0</v>
      </c>
      <c r="T49" s="22">
        <f t="shared" si="19"/>
        <v>0</v>
      </c>
      <c r="U49" s="22">
        <f t="shared" si="20"/>
        <v>607.01</v>
      </c>
      <c r="V49" s="22">
        <f t="shared" si="21"/>
        <v>607.01</v>
      </c>
      <c r="W49" s="22">
        <f t="shared" si="40"/>
        <v>51.333000000000006</v>
      </c>
      <c r="X49" s="22">
        <f>+'C&amp;A'!E49*0.02</f>
        <v>10.2256</v>
      </c>
      <c r="Y49" s="22">
        <f t="shared" si="23"/>
        <v>0</v>
      </c>
      <c r="Z49" s="22">
        <f t="shared" si="24"/>
        <v>668.56859999999995</v>
      </c>
      <c r="AA49" s="22">
        <f t="shared" si="25"/>
        <v>106.97097599999999</v>
      </c>
      <c r="AB49" s="22">
        <f t="shared" si="26"/>
        <v>775.5395759999999</v>
      </c>
      <c r="AC49" s="59"/>
      <c r="AD49" s="61"/>
      <c r="AE49" s="61"/>
      <c r="AF49" s="61"/>
      <c r="AG49" s="123" t="s">
        <v>377</v>
      </c>
      <c r="AH49" s="123" t="s">
        <v>620</v>
      </c>
      <c r="AI49" s="123"/>
      <c r="AJ49" s="123" t="s">
        <v>99</v>
      </c>
      <c r="AK49" s="123" t="s">
        <v>189</v>
      </c>
      <c r="AL49" s="123"/>
      <c r="AM49" s="123"/>
      <c r="AN49" s="123"/>
      <c r="AO49" s="147">
        <v>513.33000000000004</v>
      </c>
      <c r="AP49" s="123"/>
      <c r="AQ49" s="147">
        <f t="shared" si="41"/>
        <v>513.33000000000004</v>
      </c>
      <c r="AR49" s="147"/>
      <c r="AS49" s="147"/>
      <c r="AT49" s="147"/>
      <c r="AU49" s="147"/>
      <c r="AV49" s="159"/>
      <c r="AW49" s="141">
        <f t="shared" si="42"/>
        <v>513.33000000000004</v>
      </c>
      <c r="AX49" s="147"/>
      <c r="AY49" s="147"/>
      <c r="AZ49" s="147">
        <v>0</v>
      </c>
      <c r="BA49" s="147"/>
      <c r="BB49" s="147"/>
      <c r="BC49" s="147"/>
      <c r="BD49" s="100">
        <v>0</v>
      </c>
      <c r="BE49" s="100"/>
      <c r="BF49" s="123"/>
      <c r="BG49" s="123">
        <v>0</v>
      </c>
      <c r="BH49" s="141">
        <f t="shared" si="43"/>
        <v>513.33000000000004</v>
      </c>
      <c r="BI49" s="100">
        <f t="shared" si="44"/>
        <v>0</v>
      </c>
      <c r="BJ49" s="141">
        <f t="shared" si="45"/>
        <v>513.33000000000004</v>
      </c>
      <c r="BK49" s="100">
        <f t="shared" si="46"/>
        <v>51.333000000000006</v>
      </c>
      <c r="BL49" s="100">
        <v>10.23</v>
      </c>
      <c r="BM49" s="100">
        <f t="shared" si="47"/>
        <v>0</v>
      </c>
      <c r="BN49" s="141">
        <f t="shared" si="48"/>
        <v>574.89300000000003</v>
      </c>
      <c r="BO49" s="227"/>
      <c r="BP49" s="227"/>
      <c r="BQ49" s="227"/>
      <c r="BR49" s="103"/>
      <c r="BS49" s="103"/>
      <c r="BX49" s="50" t="s">
        <v>760</v>
      </c>
      <c r="BY49" s="51" t="s">
        <v>100</v>
      </c>
      <c r="BZ49" s="274"/>
    </row>
    <row r="50" spans="1:98">
      <c r="A50" s="20" t="s">
        <v>101</v>
      </c>
      <c r="B50" s="21" t="s">
        <v>102</v>
      </c>
      <c r="C50" s="22">
        <f t="shared" si="5"/>
        <v>543.20000000000005</v>
      </c>
      <c r="D50" s="22">
        <v>0</v>
      </c>
      <c r="E50" s="22">
        <f t="shared" si="6"/>
        <v>263.10000000000002</v>
      </c>
      <c r="F50" s="22">
        <v>0</v>
      </c>
      <c r="G50" s="22">
        <f t="shared" si="7"/>
        <v>806.30000000000007</v>
      </c>
      <c r="H50" s="22">
        <f t="shared" si="8"/>
        <v>100</v>
      </c>
      <c r="I50" s="22">
        <f t="shared" si="9"/>
        <v>39.508700000000005</v>
      </c>
      <c r="J50" s="22">
        <f t="shared" si="10"/>
        <v>8.0630000000000006</v>
      </c>
      <c r="K50" s="22">
        <f t="shared" si="11"/>
        <v>0</v>
      </c>
      <c r="L50" s="22">
        <f t="shared" si="12"/>
        <v>0</v>
      </c>
      <c r="M50" s="22">
        <f t="shared" si="13"/>
        <v>0</v>
      </c>
      <c r="N50" s="22">
        <f t="shared" si="14"/>
        <v>0</v>
      </c>
      <c r="O50" s="22">
        <f t="shared" si="15"/>
        <v>0</v>
      </c>
      <c r="P50" s="22">
        <f t="shared" si="16"/>
        <v>0</v>
      </c>
      <c r="Q50" s="22">
        <v>0</v>
      </c>
      <c r="R50" s="22">
        <f t="shared" si="17"/>
        <v>0</v>
      </c>
      <c r="S50" s="22">
        <f t="shared" si="18"/>
        <v>0</v>
      </c>
      <c r="T50" s="22">
        <f t="shared" si="19"/>
        <v>147.57169999999999</v>
      </c>
      <c r="U50" s="22">
        <f t="shared" si="20"/>
        <v>658.7283000000001</v>
      </c>
      <c r="V50" s="22">
        <f t="shared" si="21"/>
        <v>806.30000000000007</v>
      </c>
      <c r="W50" s="22">
        <f t="shared" si="40"/>
        <v>80.63000000000001</v>
      </c>
      <c r="X50" s="22">
        <f>+'C&amp;A'!E50*0.02</f>
        <v>10.2256</v>
      </c>
      <c r="Y50" s="22">
        <f t="shared" si="23"/>
        <v>39.508700000000005</v>
      </c>
      <c r="Z50" s="22">
        <f t="shared" si="24"/>
        <v>936.66430000000003</v>
      </c>
      <c r="AA50" s="22">
        <f t="shared" si="25"/>
        <v>149.866288</v>
      </c>
      <c r="AB50" s="22">
        <f t="shared" si="26"/>
        <v>1086.5305880000001</v>
      </c>
      <c r="AC50" s="59"/>
      <c r="AD50" s="61"/>
      <c r="AE50" s="61"/>
      <c r="AF50" s="61"/>
      <c r="AG50" s="123" t="s">
        <v>381</v>
      </c>
      <c r="AH50" s="123" t="s">
        <v>433</v>
      </c>
      <c r="AI50" s="123"/>
      <c r="AJ50" s="123" t="s">
        <v>101</v>
      </c>
      <c r="AK50" s="123" t="s">
        <v>190</v>
      </c>
      <c r="AL50" s="123"/>
      <c r="AM50" s="123"/>
      <c r="AN50" s="123"/>
      <c r="AO50" s="147">
        <v>543.20000000000005</v>
      </c>
      <c r="AP50" s="123"/>
      <c r="AQ50" s="147">
        <f t="shared" si="41"/>
        <v>543.20000000000005</v>
      </c>
      <c r="AR50" s="147">
        <v>263.10000000000002</v>
      </c>
      <c r="AS50" s="147"/>
      <c r="AT50" s="147"/>
      <c r="AU50" s="147"/>
      <c r="AV50" s="159"/>
      <c r="AW50" s="141">
        <f t="shared" si="42"/>
        <v>806.30000000000007</v>
      </c>
      <c r="AX50" s="147"/>
      <c r="AY50" s="147"/>
      <c r="AZ50" s="147">
        <v>100</v>
      </c>
      <c r="BA50" s="147">
        <f>AW50*4.9%</f>
        <v>39.508700000000005</v>
      </c>
      <c r="BB50" s="147">
        <f>AW50*1%</f>
        <v>8.0630000000000006</v>
      </c>
      <c r="BC50" s="147"/>
      <c r="BD50" s="100">
        <v>0</v>
      </c>
      <c r="BE50" s="100"/>
      <c r="BF50" s="123"/>
      <c r="BG50" s="123">
        <v>0</v>
      </c>
      <c r="BH50" s="141">
        <f t="shared" si="43"/>
        <v>658.7283000000001</v>
      </c>
      <c r="BI50" s="100">
        <f t="shared" si="44"/>
        <v>0</v>
      </c>
      <c r="BJ50" s="141">
        <f t="shared" si="45"/>
        <v>658.7283000000001</v>
      </c>
      <c r="BK50" s="100">
        <f t="shared" si="46"/>
        <v>80.63000000000001</v>
      </c>
      <c r="BL50" s="100">
        <v>10.23</v>
      </c>
      <c r="BM50" s="100">
        <f t="shared" si="47"/>
        <v>39.508700000000005</v>
      </c>
      <c r="BN50" s="141">
        <f t="shared" si="48"/>
        <v>936.66870000000006</v>
      </c>
      <c r="BO50" s="227"/>
      <c r="BP50" s="227"/>
      <c r="BQ50" s="227"/>
      <c r="BR50" s="103"/>
      <c r="BS50" s="103"/>
      <c r="BX50" s="50" t="s">
        <v>761</v>
      </c>
      <c r="BY50" s="51" t="s">
        <v>102</v>
      </c>
      <c r="BZ50" s="274"/>
    </row>
    <row r="51" spans="1:98">
      <c r="A51" s="50" t="s">
        <v>762</v>
      </c>
      <c r="B51" s="51" t="s">
        <v>763</v>
      </c>
      <c r="C51" s="22">
        <f t="shared" si="5"/>
        <v>608.16</v>
      </c>
      <c r="D51" s="22">
        <v>0</v>
      </c>
      <c r="E51" s="22">
        <f t="shared" si="6"/>
        <v>3405.6709999999998</v>
      </c>
      <c r="F51" s="22">
        <v>0</v>
      </c>
      <c r="G51" s="22">
        <f t="shared" si="7"/>
        <v>4013.8309999999997</v>
      </c>
      <c r="H51" s="22">
        <f t="shared" si="8"/>
        <v>0</v>
      </c>
      <c r="I51" s="22">
        <f t="shared" si="9"/>
        <v>196.677719</v>
      </c>
      <c r="J51" s="22">
        <f t="shared" si="10"/>
        <v>40.138309999999997</v>
      </c>
      <c r="K51" s="22">
        <f t="shared" si="11"/>
        <v>0</v>
      </c>
      <c r="L51" s="22">
        <f t="shared" si="12"/>
        <v>0</v>
      </c>
      <c r="M51" s="22">
        <f t="shared" si="13"/>
        <v>0</v>
      </c>
      <c r="N51" s="22">
        <f t="shared" si="14"/>
        <v>0</v>
      </c>
      <c r="O51" s="22">
        <f t="shared" si="15"/>
        <v>401.38310000000001</v>
      </c>
      <c r="P51" s="22">
        <f t="shared" si="16"/>
        <v>0</v>
      </c>
      <c r="Q51" s="22">
        <v>0</v>
      </c>
      <c r="R51" s="22">
        <f t="shared" si="17"/>
        <v>0</v>
      </c>
      <c r="S51" s="22">
        <f t="shared" si="18"/>
        <v>0</v>
      </c>
      <c r="T51" s="22">
        <f t="shared" si="19"/>
        <v>638.19912899999997</v>
      </c>
      <c r="U51" s="22">
        <f t="shared" si="20"/>
        <v>3375.6318709999996</v>
      </c>
      <c r="V51" s="22">
        <f t="shared" si="21"/>
        <v>4013.8309999999997</v>
      </c>
      <c r="W51" s="22">
        <f t="shared" si="40"/>
        <v>0</v>
      </c>
      <c r="X51" s="22">
        <f>+'C&amp;A'!E51*0.02</f>
        <v>10.2256</v>
      </c>
      <c r="Y51" s="22">
        <f t="shared" si="23"/>
        <v>196.677719</v>
      </c>
      <c r="Z51" s="22">
        <f t="shared" si="24"/>
        <v>4220.7343190000001</v>
      </c>
      <c r="AA51" s="22">
        <f t="shared" si="25"/>
        <v>675.31749104000005</v>
      </c>
      <c r="AB51" s="22">
        <f t="shared" si="26"/>
        <v>4896.0518100400004</v>
      </c>
      <c r="AC51" s="59"/>
      <c r="AD51" s="61"/>
      <c r="AE51" s="61"/>
      <c r="AF51" s="61"/>
      <c r="AG51" s="123" t="s">
        <v>381</v>
      </c>
      <c r="AH51" s="123" t="s">
        <v>621</v>
      </c>
      <c r="AI51" s="123"/>
      <c r="AJ51" s="123" t="s">
        <v>622</v>
      </c>
      <c r="AK51" s="123" t="s">
        <v>454</v>
      </c>
      <c r="AL51" s="123"/>
      <c r="AM51" s="123"/>
      <c r="AN51" s="123"/>
      <c r="AO51" s="147">
        <v>608.16</v>
      </c>
      <c r="AP51" s="123"/>
      <c r="AQ51" s="147">
        <f t="shared" si="41"/>
        <v>608.16</v>
      </c>
      <c r="AR51" s="147">
        <f>3400.1+5.571</f>
        <v>3405.6709999999998</v>
      </c>
      <c r="AS51" s="147"/>
      <c r="AT51" s="147"/>
      <c r="AU51" s="147"/>
      <c r="AV51" s="159"/>
      <c r="AW51" s="141">
        <f t="shared" si="42"/>
        <v>4013.8309999999997</v>
      </c>
      <c r="AX51" s="147"/>
      <c r="AY51" s="147"/>
      <c r="AZ51" s="147">
        <v>0</v>
      </c>
      <c r="BA51" s="147">
        <f>AW51*4.9%</f>
        <v>196.677719</v>
      </c>
      <c r="BB51" s="147">
        <f>AW51*1%</f>
        <v>40.138309999999997</v>
      </c>
      <c r="BC51" s="147"/>
      <c r="BD51" s="100">
        <v>0</v>
      </c>
      <c r="BE51" s="100"/>
      <c r="BF51" s="123"/>
      <c r="BG51" s="123">
        <v>0</v>
      </c>
      <c r="BH51" s="141">
        <f t="shared" si="43"/>
        <v>3777.0149709999996</v>
      </c>
      <c r="BI51" s="100">
        <f t="shared" si="44"/>
        <v>401.38310000000001</v>
      </c>
      <c r="BJ51" s="141">
        <f t="shared" si="45"/>
        <v>3375.6318709999996</v>
      </c>
      <c r="BK51" s="100">
        <f t="shared" si="46"/>
        <v>0</v>
      </c>
      <c r="BL51" s="100">
        <v>10.23</v>
      </c>
      <c r="BM51" s="100">
        <f t="shared" si="47"/>
        <v>196.677719</v>
      </c>
      <c r="BN51" s="141">
        <f t="shared" si="48"/>
        <v>4220.7387189999999</v>
      </c>
      <c r="BO51" s="227"/>
      <c r="BP51" s="227"/>
      <c r="BQ51" s="227"/>
      <c r="BR51" s="103">
        <v>2948910731</v>
      </c>
      <c r="BS51" s="84"/>
      <c r="BX51" s="50" t="s">
        <v>762</v>
      </c>
      <c r="BY51" s="51" t="s">
        <v>763</v>
      </c>
      <c r="BZ51" s="274"/>
    </row>
    <row r="52" spans="1:98">
      <c r="A52" s="20" t="s">
        <v>103</v>
      </c>
      <c r="B52" s="21" t="s">
        <v>104</v>
      </c>
      <c r="C52" s="22">
        <f t="shared" si="5"/>
        <v>608.16</v>
      </c>
      <c r="D52" s="22">
        <v>0</v>
      </c>
      <c r="E52" s="22">
        <f t="shared" si="6"/>
        <v>1830.8500000000001</v>
      </c>
      <c r="F52" s="22">
        <v>0</v>
      </c>
      <c r="G52" s="22">
        <f t="shared" si="7"/>
        <v>2439.0100000000002</v>
      </c>
      <c r="H52" s="22">
        <f t="shared" si="8"/>
        <v>0</v>
      </c>
      <c r="I52" s="22">
        <f t="shared" si="9"/>
        <v>119.51149000000001</v>
      </c>
      <c r="J52" s="22">
        <f t="shared" si="10"/>
        <v>24.390100000000004</v>
      </c>
      <c r="K52" s="22">
        <f t="shared" si="11"/>
        <v>0</v>
      </c>
      <c r="L52" s="22">
        <f t="shared" si="12"/>
        <v>0</v>
      </c>
      <c r="M52" s="22">
        <f t="shared" si="13"/>
        <v>0</v>
      </c>
      <c r="N52" s="22">
        <f t="shared" si="14"/>
        <v>0</v>
      </c>
      <c r="O52" s="22">
        <f t="shared" si="15"/>
        <v>0</v>
      </c>
      <c r="P52" s="22">
        <f t="shared" si="16"/>
        <v>0</v>
      </c>
      <c r="Q52" s="22">
        <v>0</v>
      </c>
      <c r="R52" s="22">
        <f t="shared" si="17"/>
        <v>0</v>
      </c>
      <c r="S52" s="22">
        <f t="shared" si="18"/>
        <v>0</v>
      </c>
      <c r="T52" s="22">
        <f t="shared" si="19"/>
        <v>143.90159</v>
      </c>
      <c r="U52" s="22">
        <f t="shared" si="20"/>
        <v>2295.1084100000003</v>
      </c>
      <c r="V52" s="22">
        <f t="shared" si="21"/>
        <v>2439.0100000000002</v>
      </c>
      <c r="W52" s="22">
        <f t="shared" si="40"/>
        <v>243.90100000000004</v>
      </c>
      <c r="X52" s="22">
        <f>+'C&amp;A'!E52*0.02</f>
        <v>10.2256</v>
      </c>
      <c r="Y52" s="22">
        <f t="shared" si="23"/>
        <v>119.51149000000001</v>
      </c>
      <c r="Z52" s="22">
        <f t="shared" si="24"/>
        <v>2812.6480900000001</v>
      </c>
      <c r="AA52" s="22">
        <f t="shared" si="25"/>
        <v>450.02369440000001</v>
      </c>
      <c r="AB52" s="22">
        <f t="shared" si="26"/>
        <v>3262.6717844</v>
      </c>
      <c r="AC52" s="59"/>
      <c r="AD52" s="61"/>
      <c r="AE52" s="61"/>
      <c r="AF52" s="61"/>
      <c r="AG52" s="123" t="s">
        <v>381</v>
      </c>
      <c r="AH52" s="123" t="s">
        <v>434</v>
      </c>
      <c r="AI52" s="123"/>
      <c r="AJ52" s="123" t="s">
        <v>103</v>
      </c>
      <c r="AK52" s="123" t="s">
        <v>192</v>
      </c>
      <c r="AL52" s="123"/>
      <c r="AM52" s="123"/>
      <c r="AN52" s="123"/>
      <c r="AO52" s="147">
        <v>608.16</v>
      </c>
      <c r="AP52" s="123"/>
      <c r="AQ52" s="147">
        <f t="shared" si="41"/>
        <v>608.16</v>
      </c>
      <c r="AR52" s="147">
        <f>1827.88+2.97</f>
        <v>1830.8500000000001</v>
      </c>
      <c r="AS52" s="147"/>
      <c r="AT52" s="147"/>
      <c r="AU52" s="147"/>
      <c r="AV52" s="159"/>
      <c r="AW52" s="141">
        <f t="shared" si="42"/>
        <v>2439.0100000000002</v>
      </c>
      <c r="AX52" s="147"/>
      <c r="AY52" s="147"/>
      <c r="AZ52" s="147"/>
      <c r="BA52" s="147">
        <f>AW52*4.9%</f>
        <v>119.51149000000001</v>
      </c>
      <c r="BB52" s="147">
        <f>AW52*1%</f>
        <v>24.390100000000004</v>
      </c>
      <c r="BC52" s="147"/>
      <c r="BD52" s="100">
        <v>0</v>
      </c>
      <c r="BE52" s="100"/>
      <c r="BF52" s="123"/>
      <c r="BG52" s="123">
        <v>0</v>
      </c>
      <c r="BH52" s="141">
        <f t="shared" si="43"/>
        <v>2295.1084100000003</v>
      </c>
      <c r="BI52" s="100">
        <f t="shared" si="44"/>
        <v>0</v>
      </c>
      <c r="BJ52" s="141">
        <f t="shared" si="45"/>
        <v>2295.1084100000003</v>
      </c>
      <c r="BK52" s="100">
        <f t="shared" si="46"/>
        <v>243.90100000000004</v>
      </c>
      <c r="BL52" s="100">
        <v>10.23</v>
      </c>
      <c r="BM52" s="100">
        <f t="shared" si="47"/>
        <v>119.51149000000001</v>
      </c>
      <c r="BN52" s="141">
        <f t="shared" si="48"/>
        <v>2812.6524899999999</v>
      </c>
      <c r="BO52" s="227"/>
      <c r="BP52" s="227"/>
      <c r="BQ52" s="227"/>
      <c r="BR52" s="103"/>
      <c r="BS52" s="103"/>
      <c r="BX52" s="50" t="s">
        <v>764</v>
      </c>
      <c r="BY52" s="51" t="s">
        <v>104</v>
      </c>
      <c r="BZ52" s="274"/>
    </row>
    <row r="53" spans="1:98">
      <c r="A53" s="20" t="s">
        <v>105</v>
      </c>
      <c r="B53" s="21" t="s">
        <v>106</v>
      </c>
      <c r="C53" s="22">
        <f t="shared" si="5"/>
        <v>739.23</v>
      </c>
      <c r="D53" s="22">
        <v>0</v>
      </c>
      <c r="E53" s="22">
        <f t="shared" si="6"/>
        <v>2439.77</v>
      </c>
      <c r="F53" s="22">
        <v>0</v>
      </c>
      <c r="G53" s="22">
        <f t="shared" si="7"/>
        <v>3179</v>
      </c>
      <c r="H53" s="22">
        <f t="shared" si="8"/>
        <v>0</v>
      </c>
      <c r="I53" s="22">
        <f t="shared" si="9"/>
        <v>0</v>
      </c>
      <c r="J53" s="22">
        <f t="shared" si="10"/>
        <v>0</v>
      </c>
      <c r="K53" s="22">
        <f t="shared" si="11"/>
        <v>0</v>
      </c>
      <c r="L53" s="22">
        <f t="shared" si="12"/>
        <v>0</v>
      </c>
      <c r="M53" s="22">
        <f t="shared" si="13"/>
        <v>0</v>
      </c>
      <c r="N53" s="22">
        <f t="shared" si="14"/>
        <v>0</v>
      </c>
      <c r="O53" s="22">
        <f t="shared" si="15"/>
        <v>0</v>
      </c>
      <c r="P53" s="22">
        <f t="shared" si="16"/>
        <v>0</v>
      </c>
      <c r="Q53" s="22">
        <v>0</v>
      </c>
      <c r="R53" s="22">
        <f t="shared" si="17"/>
        <v>0</v>
      </c>
      <c r="S53" s="22">
        <f t="shared" si="18"/>
        <v>0</v>
      </c>
      <c r="T53" s="22">
        <f t="shared" si="19"/>
        <v>0</v>
      </c>
      <c r="U53" s="22">
        <f t="shared" si="20"/>
        <v>3179</v>
      </c>
      <c r="V53" s="22">
        <f t="shared" si="21"/>
        <v>3179</v>
      </c>
      <c r="W53" s="22">
        <f t="shared" si="40"/>
        <v>317.90000000000003</v>
      </c>
      <c r="X53" s="22">
        <f>+'C&amp;A'!E53*0.02</f>
        <v>10.2256</v>
      </c>
      <c r="Y53" s="22">
        <f t="shared" si="23"/>
        <v>0</v>
      </c>
      <c r="Z53" s="22">
        <f t="shared" si="24"/>
        <v>3507.1256000000003</v>
      </c>
      <c r="AA53" s="22">
        <f t="shared" si="25"/>
        <v>561.14009600000009</v>
      </c>
      <c r="AB53" s="22">
        <f t="shared" si="26"/>
        <v>4068.2656960000004</v>
      </c>
      <c r="AC53" s="59"/>
      <c r="AD53" s="61"/>
      <c r="AE53" s="61"/>
      <c r="AF53" s="61"/>
      <c r="AG53" s="123" t="s">
        <v>383</v>
      </c>
      <c r="AH53" s="123" t="s">
        <v>435</v>
      </c>
      <c r="AI53" s="123"/>
      <c r="AJ53" s="123" t="s">
        <v>105</v>
      </c>
      <c r="AK53" s="123" t="s">
        <v>177</v>
      </c>
      <c r="AL53" s="123"/>
      <c r="AM53" s="123"/>
      <c r="AN53" s="123"/>
      <c r="AO53" s="147">
        <v>739.23</v>
      </c>
      <c r="AP53" s="123"/>
      <c r="AQ53" s="147">
        <f t="shared" si="41"/>
        <v>739.23</v>
      </c>
      <c r="AR53" s="147">
        <f>2426.68+13.09</f>
        <v>2439.77</v>
      </c>
      <c r="AS53" s="147"/>
      <c r="AT53" s="147"/>
      <c r="AU53" s="147"/>
      <c r="AV53" s="159"/>
      <c r="AW53" s="141">
        <f t="shared" si="42"/>
        <v>3179</v>
      </c>
      <c r="AX53" s="147"/>
      <c r="AY53" s="147"/>
      <c r="AZ53" s="147">
        <v>0</v>
      </c>
      <c r="BA53" s="147"/>
      <c r="BB53" s="147"/>
      <c r="BC53" s="147"/>
      <c r="BD53" s="100">
        <v>0</v>
      </c>
      <c r="BE53" s="100"/>
      <c r="BF53" s="123"/>
      <c r="BG53" s="123">
        <v>0</v>
      </c>
      <c r="BH53" s="141">
        <f t="shared" si="43"/>
        <v>3179</v>
      </c>
      <c r="BI53" s="100">
        <f t="shared" si="44"/>
        <v>0</v>
      </c>
      <c r="BJ53" s="141">
        <f t="shared" si="45"/>
        <v>3179</v>
      </c>
      <c r="BK53" s="100">
        <f t="shared" si="46"/>
        <v>317.90000000000003</v>
      </c>
      <c r="BL53" s="100">
        <v>10.23</v>
      </c>
      <c r="BM53" s="100">
        <f t="shared" si="47"/>
        <v>0</v>
      </c>
      <c r="BN53" s="141">
        <f t="shared" si="48"/>
        <v>3507.13</v>
      </c>
      <c r="BO53" s="227"/>
      <c r="BP53" s="227"/>
      <c r="BQ53" s="227"/>
      <c r="BR53" s="103"/>
      <c r="BS53" s="103"/>
      <c r="BX53" s="50" t="s">
        <v>765</v>
      </c>
      <c r="BY53" s="51" t="s">
        <v>106</v>
      </c>
      <c r="BZ53" s="274"/>
    </row>
    <row r="54" spans="1:98">
      <c r="A54" s="50" t="s">
        <v>516</v>
      </c>
      <c r="B54" s="21" t="s">
        <v>515</v>
      </c>
      <c r="C54" s="22">
        <f t="shared" si="5"/>
        <v>739.23</v>
      </c>
      <c r="D54" s="22">
        <v>0</v>
      </c>
      <c r="E54" s="22">
        <f t="shared" si="6"/>
        <v>2568.77</v>
      </c>
      <c r="F54" s="22">
        <v>0</v>
      </c>
      <c r="G54" s="22">
        <f t="shared" si="7"/>
        <v>3308</v>
      </c>
      <c r="H54" s="22">
        <f t="shared" si="8"/>
        <v>0</v>
      </c>
      <c r="I54" s="22">
        <f t="shared" si="9"/>
        <v>0</v>
      </c>
      <c r="J54" s="22">
        <f t="shared" si="10"/>
        <v>33.08</v>
      </c>
      <c r="K54" s="22">
        <f t="shared" si="11"/>
        <v>0</v>
      </c>
      <c r="L54" s="22">
        <f t="shared" si="12"/>
        <v>0</v>
      </c>
      <c r="M54" s="22">
        <f t="shared" si="13"/>
        <v>0</v>
      </c>
      <c r="N54" s="22">
        <f t="shared" si="14"/>
        <v>0</v>
      </c>
      <c r="O54" s="22">
        <f t="shared" si="15"/>
        <v>0</v>
      </c>
      <c r="P54" s="22">
        <f t="shared" si="16"/>
        <v>0</v>
      </c>
      <c r="Q54" s="22">
        <v>0</v>
      </c>
      <c r="R54" s="22">
        <f t="shared" si="17"/>
        <v>0</v>
      </c>
      <c r="S54" s="22">
        <f t="shared" si="18"/>
        <v>0</v>
      </c>
      <c r="T54" s="22">
        <f t="shared" si="19"/>
        <v>33.08</v>
      </c>
      <c r="U54" s="22">
        <f t="shared" si="20"/>
        <v>3274.92</v>
      </c>
      <c r="V54" s="22">
        <f t="shared" si="21"/>
        <v>3308</v>
      </c>
      <c r="W54" s="22">
        <f t="shared" si="40"/>
        <v>330.8</v>
      </c>
      <c r="X54" s="22">
        <f>+'C&amp;A'!E54*0.02</f>
        <v>10.2256</v>
      </c>
      <c r="Y54" s="22">
        <f t="shared" si="23"/>
        <v>0</v>
      </c>
      <c r="Z54" s="22">
        <f t="shared" si="24"/>
        <v>3649.0256000000004</v>
      </c>
      <c r="AA54" s="22">
        <f t="shared" si="25"/>
        <v>583.84409600000004</v>
      </c>
      <c r="AB54" s="22">
        <f t="shared" si="26"/>
        <v>4232.8696960000007</v>
      </c>
      <c r="AC54" s="59"/>
      <c r="AD54" s="61"/>
      <c r="AE54" s="61"/>
      <c r="AF54" s="61"/>
      <c r="AG54" s="123" t="s">
        <v>381</v>
      </c>
      <c r="AH54" s="123" t="s">
        <v>436</v>
      </c>
      <c r="AI54" s="123"/>
      <c r="AJ54" s="123"/>
      <c r="AK54" s="123" t="s">
        <v>177</v>
      </c>
      <c r="AL54" s="161">
        <v>42416</v>
      </c>
      <c r="AM54" s="123"/>
      <c r="AN54" s="123"/>
      <c r="AO54" s="147">
        <v>739.23</v>
      </c>
      <c r="AP54" s="123"/>
      <c r="AQ54" s="147">
        <f t="shared" si="41"/>
        <v>739.23</v>
      </c>
      <c r="AR54" s="147">
        <f>2555.68+13.09</f>
        <v>2568.77</v>
      </c>
      <c r="AS54" s="147"/>
      <c r="AT54" s="147"/>
      <c r="AU54" s="147"/>
      <c r="AV54" s="159"/>
      <c r="AW54" s="141">
        <f t="shared" si="42"/>
        <v>3308</v>
      </c>
      <c r="AX54" s="147"/>
      <c r="AY54" s="147"/>
      <c r="AZ54" s="147">
        <v>0</v>
      </c>
      <c r="BA54" s="147"/>
      <c r="BB54" s="147">
        <f>AW54*1%</f>
        <v>33.08</v>
      </c>
      <c r="BC54" s="147"/>
      <c r="BD54" s="100">
        <v>0</v>
      </c>
      <c r="BE54" s="100"/>
      <c r="BF54" s="123"/>
      <c r="BG54" s="123">
        <v>0</v>
      </c>
      <c r="BH54" s="141">
        <f t="shared" si="43"/>
        <v>3274.92</v>
      </c>
      <c r="BI54" s="100">
        <f t="shared" si="44"/>
        <v>0</v>
      </c>
      <c r="BJ54" s="141">
        <f t="shared" si="45"/>
        <v>3274.92</v>
      </c>
      <c r="BK54" s="100">
        <f t="shared" si="46"/>
        <v>330.8</v>
      </c>
      <c r="BL54" s="100">
        <v>10.23</v>
      </c>
      <c r="BM54" s="100">
        <f t="shared" si="47"/>
        <v>0</v>
      </c>
      <c r="BN54" s="141">
        <f t="shared" si="48"/>
        <v>3649.03</v>
      </c>
      <c r="BO54" s="227"/>
      <c r="BP54" s="227"/>
      <c r="BQ54" s="227"/>
      <c r="BR54" s="103">
        <v>1296641458</v>
      </c>
      <c r="BS54" s="103"/>
      <c r="BX54" s="50" t="s">
        <v>516</v>
      </c>
      <c r="BY54" s="51" t="s">
        <v>515</v>
      </c>
      <c r="BZ54" s="274"/>
    </row>
    <row r="55" spans="1:98">
      <c r="A55" s="50" t="s">
        <v>504</v>
      </c>
      <c r="B55" s="21" t="s">
        <v>505</v>
      </c>
      <c r="C55" s="22">
        <f t="shared" si="5"/>
        <v>1516.67</v>
      </c>
      <c r="D55" s="22">
        <v>0</v>
      </c>
      <c r="E55" s="22">
        <f t="shared" si="6"/>
        <v>0</v>
      </c>
      <c r="F55" s="22">
        <v>0</v>
      </c>
      <c r="G55" s="22">
        <f t="shared" si="7"/>
        <v>1516.67</v>
      </c>
      <c r="H55" s="22">
        <f t="shared" si="8"/>
        <v>0</v>
      </c>
      <c r="I55" s="22">
        <f t="shared" si="9"/>
        <v>0</v>
      </c>
      <c r="J55" s="22">
        <f t="shared" si="10"/>
        <v>0</v>
      </c>
      <c r="K55" s="22">
        <f t="shared" si="11"/>
        <v>0</v>
      </c>
      <c r="L55" s="22">
        <f t="shared" si="12"/>
        <v>0</v>
      </c>
      <c r="M55" s="22">
        <f t="shared" si="13"/>
        <v>0</v>
      </c>
      <c r="N55" s="22">
        <f t="shared" si="14"/>
        <v>0</v>
      </c>
      <c r="O55" s="22">
        <f t="shared" si="15"/>
        <v>0</v>
      </c>
      <c r="P55" s="22">
        <f t="shared" si="16"/>
        <v>0</v>
      </c>
      <c r="Q55" s="22">
        <v>0</v>
      </c>
      <c r="R55" s="22">
        <f t="shared" si="17"/>
        <v>0</v>
      </c>
      <c r="S55" s="22">
        <f t="shared" si="18"/>
        <v>0</v>
      </c>
      <c r="T55" s="22">
        <f t="shared" si="19"/>
        <v>0</v>
      </c>
      <c r="U55" s="22">
        <f t="shared" si="20"/>
        <v>1516.67</v>
      </c>
      <c r="V55" s="22">
        <f t="shared" si="21"/>
        <v>1516.67</v>
      </c>
      <c r="W55" s="22">
        <f t="shared" si="40"/>
        <v>151.667</v>
      </c>
      <c r="X55" s="22">
        <f>+'C&amp;A'!E55*0.02</f>
        <v>10.2256</v>
      </c>
      <c r="Y55" s="22">
        <f t="shared" si="23"/>
        <v>0</v>
      </c>
      <c r="Z55" s="22">
        <f t="shared" si="24"/>
        <v>1678.5626</v>
      </c>
      <c r="AA55" s="22">
        <f t="shared" si="25"/>
        <v>268.57001600000001</v>
      </c>
      <c r="AB55" s="22">
        <f t="shared" si="26"/>
        <v>1947.1326159999999</v>
      </c>
      <c r="AC55" s="59"/>
      <c r="AD55" s="61"/>
      <c r="AE55" s="61"/>
      <c r="AF55" s="61"/>
      <c r="AG55" s="123" t="s">
        <v>431</v>
      </c>
      <c r="AH55" s="123" t="s">
        <v>432</v>
      </c>
      <c r="AI55" s="123"/>
      <c r="AJ55" s="123"/>
      <c r="AK55" s="123" t="s">
        <v>186</v>
      </c>
      <c r="AL55" s="161">
        <v>42413</v>
      </c>
      <c r="AM55" s="123"/>
      <c r="AN55" s="123"/>
      <c r="AO55" s="147">
        <v>1516.67</v>
      </c>
      <c r="AP55" s="123"/>
      <c r="AQ55" s="147">
        <f t="shared" si="41"/>
        <v>1516.67</v>
      </c>
      <c r="AR55" s="147"/>
      <c r="AS55" s="147"/>
      <c r="AT55" s="147"/>
      <c r="AU55" s="147"/>
      <c r="AV55" s="159"/>
      <c r="AW55" s="141">
        <f t="shared" si="42"/>
        <v>1516.67</v>
      </c>
      <c r="AX55" s="147"/>
      <c r="AY55" s="147"/>
      <c r="AZ55" s="147">
        <v>0</v>
      </c>
      <c r="BA55" s="147"/>
      <c r="BB55" s="147"/>
      <c r="BC55" s="147"/>
      <c r="BD55" s="100">
        <v>0</v>
      </c>
      <c r="BE55" s="100"/>
      <c r="BF55" s="123"/>
      <c r="BG55" s="123">
        <v>0</v>
      </c>
      <c r="BH55" s="141">
        <f t="shared" si="43"/>
        <v>1516.67</v>
      </c>
      <c r="BI55" s="100">
        <f t="shared" si="44"/>
        <v>0</v>
      </c>
      <c r="BJ55" s="141">
        <f t="shared" si="45"/>
        <v>1516.67</v>
      </c>
      <c r="BK55" s="100">
        <f t="shared" si="46"/>
        <v>151.667</v>
      </c>
      <c r="BL55" s="100">
        <v>10.23</v>
      </c>
      <c r="BM55" s="100">
        <f t="shared" si="47"/>
        <v>0</v>
      </c>
      <c r="BN55" s="141">
        <f t="shared" si="48"/>
        <v>1678.567</v>
      </c>
      <c r="BO55" s="227"/>
      <c r="BP55" s="227"/>
      <c r="BQ55" s="227"/>
      <c r="BR55" s="103" t="s">
        <v>714</v>
      </c>
      <c r="BS55" s="103"/>
      <c r="BX55" s="50" t="s">
        <v>504</v>
      </c>
      <c r="BY55" s="51" t="s">
        <v>505</v>
      </c>
      <c r="BZ55" s="274"/>
    </row>
    <row r="56" spans="1:98">
      <c r="A56" s="20" t="s">
        <v>107</v>
      </c>
      <c r="B56" s="21" t="s">
        <v>108</v>
      </c>
      <c r="C56" s="22">
        <f t="shared" si="5"/>
        <v>513.33000000000004</v>
      </c>
      <c r="D56" s="22">
        <v>0</v>
      </c>
      <c r="E56" s="22">
        <f t="shared" si="6"/>
        <v>4213.68</v>
      </c>
      <c r="F56" s="22">
        <v>0</v>
      </c>
      <c r="G56" s="22">
        <f t="shared" si="7"/>
        <v>4727.01</v>
      </c>
      <c r="H56" s="22">
        <f t="shared" si="8"/>
        <v>0</v>
      </c>
      <c r="I56" s="22">
        <f t="shared" si="9"/>
        <v>0</v>
      </c>
      <c r="J56" s="22">
        <f t="shared" si="10"/>
        <v>0</v>
      </c>
      <c r="K56" s="22">
        <f t="shared" si="11"/>
        <v>0</v>
      </c>
      <c r="L56" s="22">
        <f t="shared" si="12"/>
        <v>0</v>
      </c>
      <c r="M56" s="22">
        <f t="shared" si="13"/>
        <v>0</v>
      </c>
      <c r="N56" s="22">
        <f t="shared" si="14"/>
        <v>0</v>
      </c>
      <c r="O56" s="22">
        <f t="shared" si="15"/>
        <v>472.70100000000002</v>
      </c>
      <c r="P56" s="22">
        <f t="shared" si="16"/>
        <v>58.91</v>
      </c>
      <c r="Q56" s="22">
        <v>0</v>
      </c>
      <c r="R56" s="22">
        <f t="shared" si="17"/>
        <v>0</v>
      </c>
      <c r="S56" s="22">
        <f t="shared" si="18"/>
        <v>0</v>
      </c>
      <c r="T56" s="22">
        <f t="shared" si="19"/>
        <v>531.61099999999999</v>
      </c>
      <c r="U56" s="22">
        <f t="shared" si="20"/>
        <v>4195.3990000000003</v>
      </c>
      <c r="V56" s="22">
        <f t="shared" si="21"/>
        <v>4668.1000000000004</v>
      </c>
      <c r="W56" s="22">
        <f t="shared" si="40"/>
        <v>0</v>
      </c>
      <c r="X56" s="22">
        <f>+'C&amp;A'!E56*0.02</f>
        <v>10.2256</v>
      </c>
      <c r="Y56" s="22">
        <f t="shared" si="23"/>
        <v>0</v>
      </c>
      <c r="Z56" s="22">
        <f t="shared" si="24"/>
        <v>4678.3256000000001</v>
      </c>
      <c r="AA56" s="22">
        <f t="shared" si="25"/>
        <v>748.53209600000002</v>
      </c>
      <c r="AB56" s="22">
        <f t="shared" si="26"/>
        <v>5426.857696</v>
      </c>
      <c r="AC56" s="59"/>
      <c r="AD56" s="61"/>
      <c r="AE56" s="61"/>
      <c r="AF56" s="61"/>
      <c r="AG56" s="123" t="s">
        <v>377</v>
      </c>
      <c r="AH56" s="123" t="s">
        <v>437</v>
      </c>
      <c r="AI56" s="123" t="s">
        <v>31</v>
      </c>
      <c r="AJ56" s="123" t="s">
        <v>107</v>
      </c>
      <c r="AK56" s="123" t="s">
        <v>189</v>
      </c>
      <c r="AL56" s="123"/>
      <c r="AM56" s="123"/>
      <c r="AN56" s="123"/>
      <c r="AO56" s="147">
        <v>513.33000000000004</v>
      </c>
      <c r="AP56" s="123"/>
      <c r="AQ56" s="147">
        <f t="shared" si="41"/>
        <v>513.33000000000004</v>
      </c>
      <c r="AR56" s="147">
        <v>4213.68</v>
      </c>
      <c r="AS56" s="147"/>
      <c r="AT56" s="147"/>
      <c r="AU56" s="147"/>
      <c r="AV56" s="159"/>
      <c r="AW56" s="141">
        <f t="shared" si="42"/>
        <v>4727.01</v>
      </c>
      <c r="AX56" s="147"/>
      <c r="AY56" s="147">
        <v>58.91</v>
      </c>
      <c r="AZ56" s="147">
        <v>0</v>
      </c>
      <c r="BA56" s="147"/>
      <c r="BB56" s="147"/>
      <c r="BC56" s="147"/>
      <c r="BD56" s="100">
        <v>0</v>
      </c>
      <c r="BE56" s="100"/>
      <c r="BF56" s="123"/>
      <c r="BG56" s="123">
        <v>0</v>
      </c>
      <c r="BH56" s="141">
        <f t="shared" si="43"/>
        <v>4668.1000000000004</v>
      </c>
      <c r="BI56" s="100">
        <f t="shared" si="44"/>
        <v>472.70100000000002</v>
      </c>
      <c r="BJ56" s="141">
        <f t="shared" si="45"/>
        <v>4195.3990000000003</v>
      </c>
      <c r="BK56" s="100">
        <f t="shared" si="46"/>
        <v>0</v>
      </c>
      <c r="BL56" s="100">
        <v>10.23</v>
      </c>
      <c r="BM56" s="100">
        <f t="shared" si="47"/>
        <v>0</v>
      </c>
      <c r="BN56" s="141">
        <f t="shared" si="48"/>
        <v>4737.24</v>
      </c>
      <c r="BO56" s="227"/>
      <c r="BP56" s="227"/>
      <c r="BQ56" s="227"/>
      <c r="BR56" s="103"/>
      <c r="BS56" s="103"/>
      <c r="BX56" s="50" t="s">
        <v>766</v>
      </c>
      <c r="BY56" s="51" t="s">
        <v>108</v>
      </c>
      <c r="BZ56" s="274"/>
    </row>
    <row r="57" spans="1:98">
      <c r="A57" s="20" t="s">
        <v>109</v>
      </c>
      <c r="B57" s="21" t="s">
        <v>110</v>
      </c>
      <c r="C57" s="22">
        <f t="shared" si="5"/>
        <v>513.33000000000004</v>
      </c>
      <c r="D57" s="22">
        <v>0</v>
      </c>
      <c r="E57" s="22">
        <f t="shared" si="6"/>
        <v>21193.09</v>
      </c>
      <c r="F57" s="22">
        <v>0</v>
      </c>
      <c r="G57" s="22">
        <f t="shared" si="7"/>
        <v>21706.420000000002</v>
      </c>
      <c r="H57" s="22">
        <f t="shared" si="8"/>
        <v>0</v>
      </c>
      <c r="I57" s="22">
        <f t="shared" si="9"/>
        <v>0</v>
      </c>
      <c r="J57" s="22">
        <f t="shared" si="10"/>
        <v>0</v>
      </c>
      <c r="K57" s="22">
        <f t="shared" si="11"/>
        <v>0</v>
      </c>
      <c r="L57" s="22">
        <f t="shared" si="12"/>
        <v>0</v>
      </c>
      <c r="M57" s="22">
        <f t="shared" si="13"/>
        <v>0</v>
      </c>
      <c r="N57" s="22">
        <f t="shared" si="14"/>
        <v>0</v>
      </c>
      <c r="O57" s="22">
        <f t="shared" si="15"/>
        <v>2170.6420000000003</v>
      </c>
      <c r="P57" s="22">
        <f t="shared" si="16"/>
        <v>0</v>
      </c>
      <c r="Q57" s="22">
        <v>0</v>
      </c>
      <c r="R57" s="22">
        <f t="shared" si="17"/>
        <v>0</v>
      </c>
      <c r="S57" s="22">
        <f t="shared" si="18"/>
        <v>0</v>
      </c>
      <c r="T57" s="22">
        <f t="shared" si="19"/>
        <v>2170.6420000000003</v>
      </c>
      <c r="U57" s="22">
        <f t="shared" si="20"/>
        <v>19535.778000000002</v>
      </c>
      <c r="V57" s="22">
        <f t="shared" si="21"/>
        <v>21706.420000000002</v>
      </c>
      <c r="W57" s="22">
        <f t="shared" si="40"/>
        <v>0</v>
      </c>
      <c r="X57" s="22">
        <f>+'C&amp;A'!E57*0.02</f>
        <v>10.2256</v>
      </c>
      <c r="Y57" s="22">
        <f t="shared" si="23"/>
        <v>0</v>
      </c>
      <c r="Z57" s="22">
        <f t="shared" si="24"/>
        <v>21716.645600000003</v>
      </c>
      <c r="AA57" s="22">
        <f t="shared" si="25"/>
        <v>3474.6632960000006</v>
      </c>
      <c r="AB57" s="22">
        <f t="shared" si="26"/>
        <v>25191.308896000002</v>
      </c>
      <c r="AC57" s="59"/>
      <c r="AD57" s="61"/>
      <c r="AE57" s="61"/>
      <c r="AF57" s="61"/>
      <c r="AG57" s="123" t="s">
        <v>377</v>
      </c>
      <c r="AH57" s="123" t="s">
        <v>438</v>
      </c>
      <c r="AI57" s="123" t="s">
        <v>32</v>
      </c>
      <c r="AJ57" s="123">
        <v>30</v>
      </c>
      <c r="AK57" s="123" t="s">
        <v>189</v>
      </c>
      <c r="AL57" s="123"/>
      <c r="AM57" s="123"/>
      <c r="AN57" s="123"/>
      <c r="AO57" s="147">
        <v>513.33000000000004</v>
      </c>
      <c r="AP57" s="123"/>
      <c r="AQ57" s="147">
        <f t="shared" si="41"/>
        <v>513.33000000000004</v>
      </c>
      <c r="AR57" s="147">
        <v>21193.09</v>
      </c>
      <c r="AS57" s="147"/>
      <c r="AT57" s="147"/>
      <c r="AU57" s="147"/>
      <c r="AV57" s="159"/>
      <c r="AW57" s="141">
        <f t="shared" si="42"/>
        <v>21706.420000000002</v>
      </c>
      <c r="AX57" s="147"/>
      <c r="AY57" s="147"/>
      <c r="AZ57" s="147">
        <v>0</v>
      </c>
      <c r="BA57" s="147"/>
      <c r="BB57" s="147"/>
      <c r="BC57" s="147"/>
      <c r="BD57" s="100">
        <v>0</v>
      </c>
      <c r="BE57" s="100"/>
      <c r="BF57" s="123"/>
      <c r="BG57" s="123">
        <v>0</v>
      </c>
      <c r="BH57" s="141">
        <f t="shared" si="43"/>
        <v>21706.420000000002</v>
      </c>
      <c r="BI57" s="100">
        <f t="shared" si="44"/>
        <v>2170.6420000000003</v>
      </c>
      <c r="BJ57" s="141">
        <f t="shared" si="45"/>
        <v>19535.778000000002</v>
      </c>
      <c r="BK57" s="100">
        <f t="shared" si="46"/>
        <v>0</v>
      </c>
      <c r="BL57" s="100">
        <v>10.23</v>
      </c>
      <c r="BM57" s="100">
        <f t="shared" si="47"/>
        <v>0</v>
      </c>
      <c r="BN57" s="141">
        <f t="shared" si="48"/>
        <v>21716.65</v>
      </c>
      <c r="BO57" s="227"/>
      <c r="BP57" s="227"/>
      <c r="BQ57" s="227"/>
      <c r="BR57" s="103"/>
      <c r="BS57" s="103"/>
      <c r="BX57" s="50" t="s">
        <v>506</v>
      </c>
      <c r="BY57" s="51" t="s">
        <v>110</v>
      </c>
      <c r="BZ57" s="274"/>
    </row>
    <row r="58" spans="1:98">
      <c r="A58" s="20" t="s">
        <v>196</v>
      </c>
      <c r="B58" s="21" t="s">
        <v>296</v>
      </c>
      <c r="C58" s="22">
        <f t="shared" si="5"/>
        <v>1166.6600000000001</v>
      </c>
      <c r="D58" s="22">
        <v>0</v>
      </c>
      <c r="E58" s="22">
        <f t="shared" si="6"/>
        <v>3564.63</v>
      </c>
      <c r="F58" s="22">
        <v>0</v>
      </c>
      <c r="G58" s="22">
        <f t="shared" si="7"/>
        <v>4731.29</v>
      </c>
      <c r="H58" s="22">
        <f t="shared" si="8"/>
        <v>0</v>
      </c>
      <c r="I58" s="22">
        <f t="shared" si="9"/>
        <v>0</v>
      </c>
      <c r="J58" s="22">
        <f t="shared" si="10"/>
        <v>0</v>
      </c>
      <c r="K58" s="22">
        <f t="shared" si="11"/>
        <v>0</v>
      </c>
      <c r="L58" s="22">
        <f t="shared" si="12"/>
        <v>0</v>
      </c>
      <c r="M58" s="22">
        <f t="shared" si="13"/>
        <v>0</v>
      </c>
      <c r="N58" s="22">
        <f t="shared" si="14"/>
        <v>875.69</v>
      </c>
      <c r="O58" s="22">
        <f t="shared" si="15"/>
        <v>473.12900000000002</v>
      </c>
      <c r="P58" s="22">
        <f t="shared" si="16"/>
        <v>0</v>
      </c>
      <c r="Q58" s="22">
        <v>0</v>
      </c>
      <c r="R58" s="22">
        <f t="shared" ref="R58:R74" si="49">+BD58</f>
        <v>0</v>
      </c>
      <c r="S58" s="22">
        <f t="shared" si="18"/>
        <v>0</v>
      </c>
      <c r="T58" s="22">
        <f t="shared" si="19"/>
        <v>1348.819</v>
      </c>
      <c r="U58" s="22">
        <f t="shared" si="20"/>
        <v>3382.471</v>
      </c>
      <c r="V58" s="22">
        <f t="shared" si="21"/>
        <v>4731.29</v>
      </c>
      <c r="W58" s="22">
        <f t="shared" si="40"/>
        <v>0</v>
      </c>
      <c r="X58" s="22">
        <f>+'C&amp;A'!E58*0.02</f>
        <v>10.2256</v>
      </c>
      <c r="Y58" s="22">
        <f t="shared" si="23"/>
        <v>0</v>
      </c>
      <c r="Z58" s="22">
        <f t="shared" si="24"/>
        <v>4741.5155999999997</v>
      </c>
      <c r="AA58" s="22">
        <f t="shared" si="25"/>
        <v>758.64249599999994</v>
      </c>
      <c r="AB58" s="22">
        <f t="shared" si="26"/>
        <v>5500.1580959999992</v>
      </c>
      <c r="AC58" s="59"/>
      <c r="AD58" s="61"/>
      <c r="AE58" s="61"/>
      <c r="AF58" s="61"/>
      <c r="AG58" s="123" t="s">
        <v>377</v>
      </c>
      <c r="AH58" s="123" t="s">
        <v>439</v>
      </c>
      <c r="AI58" s="123" t="s">
        <v>30</v>
      </c>
      <c r="AJ58" s="123" t="s">
        <v>196</v>
      </c>
      <c r="AK58" s="123" t="s">
        <v>189</v>
      </c>
      <c r="AL58" s="161">
        <v>42408</v>
      </c>
      <c r="AM58" s="123"/>
      <c r="AN58" s="123"/>
      <c r="AO58" s="147">
        <v>513.33000000000004</v>
      </c>
      <c r="AP58" s="123">
        <v>653.33000000000004</v>
      </c>
      <c r="AQ58" s="147">
        <f t="shared" si="41"/>
        <v>1166.6600000000001</v>
      </c>
      <c r="AR58" s="147">
        <v>3564.63</v>
      </c>
      <c r="AS58" s="147"/>
      <c r="AT58" s="147"/>
      <c r="AU58" s="147"/>
      <c r="AV58" s="159"/>
      <c r="AW58" s="141">
        <f t="shared" si="42"/>
        <v>4731.29</v>
      </c>
      <c r="AX58" s="147"/>
      <c r="AY58" s="147"/>
      <c r="AZ58" s="147">
        <v>0</v>
      </c>
      <c r="BA58" s="147"/>
      <c r="BB58" s="147"/>
      <c r="BC58" s="147"/>
      <c r="BD58" s="100">
        <v>0</v>
      </c>
      <c r="BE58" s="100"/>
      <c r="BF58" s="237"/>
      <c r="BG58" s="237">
        <v>875.69</v>
      </c>
      <c r="BH58" s="141">
        <f t="shared" si="43"/>
        <v>3855.6</v>
      </c>
      <c r="BI58" s="100">
        <f t="shared" si="44"/>
        <v>473.12900000000002</v>
      </c>
      <c r="BJ58" s="141">
        <f t="shared" si="45"/>
        <v>3382.471</v>
      </c>
      <c r="BK58" s="100">
        <f t="shared" si="46"/>
        <v>0</v>
      </c>
      <c r="BL58" s="100">
        <v>10.23</v>
      </c>
      <c r="BM58" s="100">
        <f t="shared" si="47"/>
        <v>0</v>
      </c>
      <c r="BN58" s="141">
        <f t="shared" si="48"/>
        <v>4741.5199999999995</v>
      </c>
      <c r="BO58" s="227"/>
      <c r="BP58" s="227"/>
      <c r="BQ58" s="228"/>
      <c r="BR58" s="103"/>
      <c r="BS58" s="103"/>
      <c r="BT58" s="103">
        <v>2967093632</v>
      </c>
      <c r="BX58" s="50" t="s">
        <v>767</v>
      </c>
      <c r="BY58" s="51" t="s">
        <v>296</v>
      </c>
      <c r="BZ58" s="274"/>
    </row>
    <row r="59" spans="1:98" s="23" customFormat="1">
      <c r="A59" s="20" t="s">
        <v>111</v>
      </c>
      <c r="B59" s="21" t="s">
        <v>112</v>
      </c>
      <c r="C59" s="22">
        <f t="shared" si="5"/>
        <v>1166.6600000000001</v>
      </c>
      <c r="D59" s="22">
        <v>0</v>
      </c>
      <c r="E59" s="22">
        <f t="shared" si="6"/>
        <v>5366.59</v>
      </c>
      <c r="F59" s="22">
        <v>0</v>
      </c>
      <c r="G59" s="22">
        <f t="shared" si="7"/>
        <v>6533.25</v>
      </c>
      <c r="H59" s="22">
        <f t="shared" si="8"/>
        <v>0</v>
      </c>
      <c r="I59" s="22">
        <f t="shared" si="9"/>
        <v>0</v>
      </c>
      <c r="J59" s="22">
        <f t="shared" si="10"/>
        <v>0</v>
      </c>
      <c r="K59" s="22">
        <f t="shared" si="11"/>
        <v>0</v>
      </c>
      <c r="L59" s="22">
        <f t="shared" si="12"/>
        <v>0</v>
      </c>
      <c r="M59" s="22">
        <f t="shared" si="13"/>
        <v>0</v>
      </c>
      <c r="N59" s="22">
        <f t="shared" si="14"/>
        <v>0</v>
      </c>
      <c r="O59" s="22">
        <f t="shared" si="15"/>
        <v>653.32500000000005</v>
      </c>
      <c r="P59" s="22">
        <f t="shared" si="16"/>
        <v>0</v>
      </c>
      <c r="Q59" s="22">
        <v>0</v>
      </c>
      <c r="R59" s="22">
        <v>532.30999999999995</v>
      </c>
      <c r="S59" s="22">
        <f t="shared" si="18"/>
        <v>0</v>
      </c>
      <c r="T59" s="22">
        <f t="shared" si="19"/>
        <v>1185.635</v>
      </c>
      <c r="U59" s="22">
        <f t="shared" si="20"/>
        <v>5347.6149999999998</v>
      </c>
      <c r="V59" s="22">
        <f t="shared" si="21"/>
        <v>6533.25</v>
      </c>
      <c r="W59" s="22">
        <f t="shared" si="40"/>
        <v>0</v>
      </c>
      <c r="X59" s="22">
        <f>+'C&amp;A'!E59*0.02</f>
        <v>10.2256</v>
      </c>
      <c r="Y59" s="22">
        <f t="shared" si="23"/>
        <v>0</v>
      </c>
      <c r="Z59" s="22">
        <f t="shared" si="24"/>
        <v>6543.4755999999998</v>
      </c>
      <c r="AA59" s="22">
        <f t="shared" si="25"/>
        <v>1046.9560959999999</v>
      </c>
      <c r="AB59" s="22">
        <f t="shared" si="26"/>
        <v>7590.4316959999996</v>
      </c>
      <c r="AC59" s="59"/>
      <c r="AD59" s="61"/>
      <c r="AE59" s="61"/>
      <c r="AF59" s="61"/>
      <c r="AG59" s="123" t="s">
        <v>389</v>
      </c>
      <c r="AH59" s="123" t="s">
        <v>440</v>
      </c>
      <c r="AI59" s="123" t="s">
        <v>809</v>
      </c>
      <c r="AJ59" s="123" t="s">
        <v>111</v>
      </c>
      <c r="AK59" s="123" t="s">
        <v>392</v>
      </c>
      <c r="AL59" s="161">
        <v>42352</v>
      </c>
      <c r="AM59" s="123"/>
      <c r="AN59" s="123"/>
      <c r="AO59" s="147">
        <v>513.33000000000004</v>
      </c>
      <c r="AP59" s="123">
        <v>653.33000000000004</v>
      </c>
      <c r="AQ59" s="147">
        <f t="shared" si="41"/>
        <v>1166.6600000000001</v>
      </c>
      <c r="AR59" s="147">
        <v>5366.59</v>
      </c>
      <c r="AS59" s="147"/>
      <c r="AT59" s="147"/>
      <c r="AU59" s="147"/>
      <c r="AV59" s="159"/>
      <c r="AW59" s="141">
        <f t="shared" si="42"/>
        <v>6533.25</v>
      </c>
      <c r="AX59" s="147"/>
      <c r="AY59" s="147"/>
      <c r="AZ59" s="147">
        <v>0</v>
      </c>
      <c r="BA59" s="147"/>
      <c r="BB59" s="147"/>
      <c r="BC59" s="147"/>
      <c r="BD59" s="100">
        <v>532.30999999999995</v>
      </c>
      <c r="BE59" s="100"/>
      <c r="BF59" s="123"/>
      <c r="BG59" s="123">
        <v>0</v>
      </c>
      <c r="BH59" s="141">
        <f t="shared" si="43"/>
        <v>6000.9400000000005</v>
      </c>
      <c r="BI59" s="100">
        <f t="shared" si="44"/>
        <v>653.32500000000005</v>
      </c>
      <c r="BJ59" s="141">
        <f t="shared" si="45"/>
        <v>5347.6150000000007</v>
      </c>
      <c r="BK59" s="100">
        <f t="shared" si="46"/>
        <v>0</v>
      </c>
      <c r="BL59" s="100">
        <v>10.23</v>
      </c>
      <c r="BM59" s="100">
        <f t="shared" si="47"/>
        <v>0</v>
      </c>
      <c r="BN59" s="141">
        <f t="shared" si="48"/>
        <v>6543.48</v>
      </c>
      <c r="BO59" s="227"/>
      <c r="BP59" s="227"/>
      <c r="BQ59" s="227"/>
      <c r="BR59" s="103"/>
      <c r="BS59" s="103"/>
      <c r="BT59" s="103"/>
      <c r="BU59" s="103"/>
      <c r="BV59" s="103"/>
      <c r="BW59" s="103"/>
      <c r="BX59" s="50" t="s">
        <v>111</v>
      </c>
      <c r="BY59" s="51" t="s">
        <v>112</v>
      </c>
      <c r="BZ59" s="274"/>
      <c r="CA59" s="103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</row>
    <row r="60" spans="1:98" s="24" customFormat="1">
      <c r="A60" s="50" t="s">
        <v>802</v>
      </c>
      <c r="B60" s="51" t="s">
        <v>803</v>
      </c>
      <c r="C60" s="22">
        <f t="shared" si="5"/>
        <v>1166.6600000000001</v>
      </c>
      <c r="D60" s="22">
        <v>0</v>
      </c>
      <c r="E60" s="22">
        <f t="shared" si="6"/>
        <v>0</v>
      </c>
      <c r="F60" s="22">
        <v>0</v>
      </c>
      <c r="G60" s="22">
        <f t="shared" si="7"/>
        <v>1166.6600000000001</v>
      </c>
      <c r="H60" s="22">
        <f t="shared" si="8"/>
        <v>0</v>
      </c>
      <c r="I60" s="22">
        <f t="shared" si="9"/>
        <v>0</v>
      </c>
      <c r="J60" s="22">
        <f t="shared" si="10"/>
        <v>0</v>
      </c>
      <c r="K60" s="22">
        <f t="shared" si="11"/>
        <v>0</v>
      </c>
      <c r="L60" s="22">
        <f t="shared" si="12"/>
        <v>0</v>
      </c>
      <c r="M60" s="22">
        <f t="shared" si="13"/>
        <v>0</v>
      </c>
      <c r="N60" s="22">
        <f t="shared" si="14"/>
        <v>0</v>
      </c>
      <c r="O60" s="22">
        <f t="shared" si="15"/>
        <v>0</v>
      </c>
      <c r="P60" s="22">
        <f t="shared" si="16"/>
        <v>0</v>
      </c>
      <c r="Q60" s="22">
        <v>0</v>
      </c>
      <c r="R60" s="22">
        <f t="shared" si="49"/>
        <v>0</v>
      </c>
      <c r="S60" s="22">
        <f t="shared" si="18"/>
        <v>0</v>
      </c>
      <c r="T60" s="22">
        <f t="shared" si="19"/>
        <v>0</v>
      </c>
      <c r="U60" s="22">
        <f t="shared" si="20"/>
        <v>1166.6600000000001</v>
      </c>
      <c r="V60" s="22">
        <f t="shared" si="21"/>
        <v>1166.6600000000001</v>
      </c>
      <c r="W60" s="22">
        <f t="shared" si="40"/>
        <v>116.66600000000001</v>
      </c>
      <c r="X60" s="22">
        <f>+'C&amp;A'!E60*0.02</f>
        <v>10.2256</v>
      </c>
      <c r="Y60" s="22">
        <f t="shared" si="23"/>
        <v>0</v>
      </c>
      <c r="Z60" s="22">
        <f t="shared" si="24"/>
        <v>1293.5516</v>
      </c>
      <c r="AA60" s="22">
        <f t="shared" si="25"/>
        <v>206.968256</v>
      </c>
      <c r="AB60" s="22">
        <f t="shared" si="26"/>
        <v>1500.5198559999999</v>
      </c>
      <c r="AC60" s="59"/>
      <c r="AD60" s="61"/>
      <c r="AE60" s="61"/>
      <c r="AF60" s="61"/>
      <c r="AG60" s="123" t="s">
        <v>377</v>
      </c>
      <c r="AH60" s="123" t="s">
        <v>625</v>
      </c>
      <c r="AI60" s="123"/>
      <c r="AJ60" s="123"/>
      <c r="AK60" s="123" t="s">
        <v>189</v>
      </c>
      <c r="AL60" s="161">
        <v>42055</v>
      </c>
      <c r="AM60" s="123"/>
      <c r="AN60" s="123"/>
      <c r="AO60" s="147">
        <v>513.33000000000004</v>
      </c>
      <c r="AP60" s="123">
        <v>653.33000000000004</v>
      </c>
      <c r="AQ60" s="147">
        <f t="shared" si="41"/>
        <v>1166.6600000000001</v>
      </c>
      <c r="AR60" s="147"/>
      <c r="AS60" s="147"/>
      <c r="AT60" s="147"/>
      <c r="AU60" s="147"/>
      <c r="AV60" s="159"/>
      <c r="AW60" s="141">
        <f t="shared" si="42"/>
        <v>1166.6600000000001</v>
      </c>
      <c r="AX60" s="147"/>
      <c r="AY60" s="147"/>
      <c r="AZ60" s="147">
        <v>0</v>
      </c>
      <c r="BA60" s="147"/>
      <c r="BB60" s="147"/>
      <c r="BC60" s="147"/>
      <c r="BD60" s="100">
        <v>0</v>
      </c>
      <c r="BE60" s="100"/>
      <c r="BF60" s="123"/>
      <c r="BG60" s="123">
        <v>0</v>
      </c>
      <c r="BH60" s="141">
        <f t="shared" si="43"/>
        <v>1166.6600000000001</v>
      </c>
      <c r="BI60" s="100">
        <f t="shared" si="44"/>
        <v>0</v>
      </c>
      <c r="BJ60" s="141">
        <f t="shared" si="45"/>
        <v>1166.6600000000001</v>
      </c>
      <c r="BK60" s="100">
        <f t="shared" si="46"/>
        <v>116.66600000000001</v>
      </c>
      <c r="BL60" s="100">
        <v>10.23</v>
      </c>
      <c r="BM60" s="100">
        <f t="shared" si="47"/>
        <v>0</v>
      </c>
      <c r="BN60" s="141">
        <f t="shared" si="48"/>
        <v>1293.556</v>
      </c>
      <c r="BO60" s="227"/>
      <c r="BP60" s="227"/>
      <c r="BQ60" s="227"/>
      <c r="BR60" s="103">
        <v>1905307865</v>
      </c>
      <c r="BS60" s="84"/>
      <c r="BT60" s="103"/>
      <c r="BU60" s="103"/>
      <c r="BV60" s="103"/>
      <c r="BW60" s="103"/>
      <c r="BX60" s="50" t="s">
        <v>802</v>
      </c>
      <c r="BY60" s="51" t="s">
        <v>803</v>
      </c>
      <c r="BZ60" s="274"/>
      <c r="CA60" s="103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</row>
    <row r="61" spans="1:98">
      <c r="A61" s="50" t="s">
        <v>768</v>
      </c>
      <c r="B61" s="51" t="s">
        <v>769</v>
      </c>
      <c r="C61" s="22">
        <f t="shared" si="5"/>
        <v>608.16</v>
      </c>
      <c r="D61" s="22">
        <v>93.75</v>
      </c>
      <c r="E61" s="22">
        <f t="shared" si="6"/>
        <v>380.8</v>
      </c>
      <c r="F61" s="22">
        <v>0</v>
      </c>
      <c r="G61" s="22">
        <f t="shared" si="7"/>
        <v>1082.71</v>
      </c>
      <c r="H61" s="22">
        <f t="shared" si="8"/>
        <v>0</v>
      </c>
      <c r="I61" s="22">
        <f t="shared" si="9"/>
        <v>0</v>
      </c>
      <c r="J61" s="22">
        <f t="shared" si="10"/>
        <v>0</v>
      </c>
      <c r="K61" s="22">
        <f t="shared" si="11"/>
        <v>0</v>
      </c>
      <c r="L61" s="22">
        <f t="shared" si="12"/>
        <v>0</v>
      </c>
      <c r="M61" s="22">
        <f t="shared" si="13"/>
        <v>0</v>
      </c>
      <c r="N61" s="22">
        <f t="shared" si="14"/>
        <v>0</v>
      </c>
      <c r="O61" s="22">
        <f t="shared" si="15"/>
        <v>0</v>
      </c>
      <c r="P61" s="22">
        <f t="shared" si="16"/>
        <v>0</v>
      </c>
      <c r="Q61" s="22">
        <v>0</v>
      </c>
      <c r="R61" s="22">
        <f t="shared" si="49"/>
        <v>0</v>
      </c>
      <c r="S61" s="22">
        <f t="shared" si="18"/>
        <v>0</v>
      </c>
      <c r="T61" s="22">
        <f t="shared" si="19"/>
        <v>0</v>
      </c>
      <c r="U61" s="22">
        <f t="shared" si="20"/>
        <v>1082.71</v>
      </c>
      <c r="V61" s="22">
        <f t="shared" si="21"/>
        <v>1082.71</v>
      </c>
      <c r="W61" s="22">
        <f t="shared" si="40"/>
        <v>98.896000000000015</v>
      </c>
      <c r="X61" s="22">
        <f>+'C&amp;A'!E61*0.02</f>
        <v>10.2256</v>
      </c>
      <c r="Y61" s="22">
        <f t="shared" si="23"/>
        <v>0</v>
      </c>
      <c r="Z61" s="22">
        <f t="shared" si="24"/>
        <v>1191.8316</v>
      </c>
      <c r="AA61" s="22">
        <f t="shared" si="25"/>
        <v>190.69305600000001</v>
      </c>
      <c r="AB61" s="22">
        <f t="shared" si="26"/>
        <v>1382.524656</v>
      </c>
      <c r="AC61" s="59"/>
      <c r="AD61" s="61"/>
      <c r="AE61" s="61"/>
      <c r="AF61" s="61"/>
      <c r="AG61" s="123" t="s">
        <v>381</v>
      </c>
      <c r="AH61" s="123" t="s">
        <v>795</v>
      </c>
      <c r="AI61" s="123"/>
      <c r="AJ61" s="239"/>
      <c r="AK61" s="123" t="s">
        <v>190</v>
      </c>
      <c r="AL61" s="161">
        <v>42430</v>
      </c>
      <c r="AM61" s="123"/>
      <c r="AN61" s="123"/>
      <c r="AO61" s="147">
        <v>608.16</v>
      </c>
      <c r="AP61" s="123"/>
      <c r="AQ61" s="147">
        <f t="shared" si="41"/>
        <v>608.16</v>
      </c>
      <c r="AR61" s="147">
        <v>380.8</v>
      </c>
      <c r="AS61" s="147"/>
      <c r="AT61" s="147"/>
      <c r="AU61" s="147"/>
      <c r="AV61" s="159"/>
      <c r="AW61" s="141">
        <f t="shared" si="42"/>
        <v>988.96</v>
      </c>
      <c r="AX61" s="147"/>
      <c r="AY61" s="147"/>
      <c r="AZ61" s="147"/>
      <c r="BA61" s="147"/>
      <c r="BB61" s="147"/>
      <c r="BC61" s="147"/>
      <c r="BD61" s="100">
        <v>0</v>
      </c>
      <c r="BE61" s="100"/>
      <c r="BF61" s="123"/>
      <c r="BG61" s="123">
        <v>0</v>
      </c>
      <c r="BH61" s="141">
        <f t="shared" si="43"/>
        <v>988.96</v>
      </c>
      <c r="BI61" s="100">
        <f t="shared" si="44"/>
        <v>0</v>
      </c>
      <c r="BJ61" s="141">
        <f t="shared" si="45"/>
        <v>988.96</v>
      </c>
      <c r="BK61" s="100">
        <f t="shared" si="46"/>
        <v>98.896000000000015</v>
      </c>
      <c r="BL61" s="100">
        <v>10.23</v>
      </c>
      <c r="BM61" s="100">
        <f t="shared" si="47"/>
        <v>0</v>
      </c>
      <c r="BN61" s="141">
        <f t="shared" si="48"/>
        <v>1098.086</v>
      </c>
      <c r="BO61" s="227"/>
      <c r="BP61" s="227"/>
      <c r="BQ61" s="227"/>
      <c r="BR61" s="103"/>
      <c r="BS61" s="242">
        <v>1171363360</v>
      </c>
      <c r="BX61" s="50" t="s">
        <v>768</v>
      </c>
      <c r="BY61" s="51" t="s">
        <v>769</v>
      </c>
      <c r="BZ61" s="274"/>
    </row>
    <row r="62" spans="1:98">
      <c r="A62" s="50" t="s">
        <v>830</v>
      </c>
      <c r="B62" s="51" t="s">
        <v>831</v>
      </c>
      <c r="C62" s="22">
        <f t="shared" si="5"/>
        <v>1516.6666666666667</v>
      </c>
      <c r="D62" s="22"/>
      <c r="E62" s="22">
        <f>+C62/15*2</f>
        <v>202.22222222222223</v>
      </c>
      <c r="F62" s="22"/>
      <c r="G62" s="22">
        <f t="shared" si="7"/>
        <v>1718.8888888888889</v>
      </c>
      <c r="H62" s="22">
        <f t="shared" si="8"/>
        <v>0</v>
      </c>
      <c r="I62" s="22">
        <f t="shared" si="9"/>
        <v>0</v>
      </c>
      <c r="J62" s="22">
        <f t="shared" si="10"/>
        <v>0</v>
      </c>
      <c r="K62" s="22">
        <f t="shared" si="11"/>
        <v>0</v>
      </c>
      <c r="L62" s="22">
        <f t="shared" si="12"/>
        <v>0</v>
      </c>
      <c r="M62" s="22">
        <f t="shared" si="13"/>
        <v>0</v>
      </c>
      <c r="N62" s="22">
        <f t="shared" si="14"/>
        <v>0</v>
      </c>
      <c r="O62" s="22">
        <f t="shared" si="15"/>
        <v>0</v>
      </c>
      <c r="P62" s="22">
        <f t="shared" si="16"/>
        <v>0</v>
      </c>
      <c r="Q62" s="22"/>
      <c r="R62" s="22">
        <f t="shared" si="49"/>
        <v>0</v>
      </c>
      <c r="S62" s="22">
        <f t="shared" si="18"/>
        <v>0</v>
      </c>
      <c r="T62" s="22">
        <f t="shared" si="19"/>
        <v>0</v>
      </c>
      <c r="U62" s="22">
        <f t="shared" si="20"/>
        <v>1718.8888888888889</v>
      </c>
      <c r="V62" s="22">
        <f t="shared" si="21"/>
        <v>1718.8888888888889</v>
      </c>
      <c r="W62" s="22">
        <f t="shared" si="40"/>
        <v>171.88866666666669</v>
      </c>
      <c r="X62" s="22">
        <f>+'C&amp;A'!E62*0.02</f>
        <v>10.2256</v>
      </c>
      <c r="Y62" s="22">
        <f t="shared" si="23"/>
        <v>0</v>
      </c>
      <c r="Z62" s="22">
        <f t="shared" si="24"/>
        <v>1901.0031555555556</v>
      </c>
      <c r="AA62" s="22">
        <f t="shared" si="25"/>
        <v>304.16050488888891</v>
      </c>
      <c r="AB62" s="22">
        <f t="shared" si="26"/>
        <v>2205.1636604444448</v>
      </c>
      <c r="AC62" s="59"/>
      <c r="AD62" s="61"/>
      <c r="AE62" s="61"/>
      <c r="AF62" s="61"/>
      <c r="AG62" s="123" t="s">
        <v>431</v>
      </c>
      <c r="AH62" s="123" t="s">
        <v>819</v>
      </c>
      <c r="AI62" s="123"/>
      <c r="AJ62" s="123" t="s">
        <v>820</v>
      </c>
      <c r="AK62" s="123" t="s">
        <v>186</v>
      </c>
      <c r="AL62" s="161"/>
      <c r="AM62" s="123"/>
      <c r="AN62" s="123"/>
      <c r="AO62" s="147">
        <f>1237.24/15*7</f>
        <v>577.37866666666673</v>
      </c>
      <c r="AP62" s="237">
        <f>2012.76/15*7</f>
        <v>939.28800000000001</v>
      </c>
      <c r="AQ62" s="147">
        <f t="shared" si="41"/>
        <v>1516.6666666666667</v>
      </c>
      <c r="AR62" s="147">
        <v>202.22</v>
      </c>
      <c r="AS62" s="147"/>
      <c r="AT62" s="147"/>
      <c r="AU62" s="147"/>
      <c r="AV62" s="159"/>
      <c r="AW62" s="141">
        <f t="shared" si="42"/>
        <v>1718.8866666666668</v>
      </c>
      <c r="AX62" s="147"/>
      <c r="AY62" s="147"/>
      <c r="AZ62" s="147"/>
      <c r="BA62" s="147"/>
      <c r="BB62" s="147"/>
      <c r="BC62" s="147"/>
      <c r="BD62" s="100">
        <v>0</v>
      </c>
      <c r="BE62" s="100"/>
      <c r="BF62" s="123"/>
      <c r="BG62" s="123"/>
      <c r="BH62" s="141">
        <f t="shared" si="43"/>
        <v>1718.8866666666668</v>
      </c>
      <c r="BI62" s="100">
        <f t="shared" si="44"/>
        <v>0</v>
      </c>
      <c r="BJ62" s="141">
        <f t="shared" si="45"/>
        <v>1718.8866666666668</v>
      </c>
      <c r="BK62" s="100">
        <f t="shared" si="46"/>
        <v>171.88866666666669</v>
      </c>
      <c r="BL62" s="100">
        <v>10.23</v>
      </c>
      <c r="BM62" s="100">
        <f t="shared" si="47"/>
        <v>0</v>
      </c>
      <c r="BN62" s="141">
        <f t="shared" si="48"/>
        <v>1901.0053333333335</v>
      </c>
      <c r="BO62" s="227"/>
      <c r="BP62" s="227"/>
      <c r="BQ62" s="227"/>
      <c r="BR62" s="103"/>
      <c r="BS62" s="84" t="s">
        <v>821</v>
      </c>
      <c r="BX62" s="50" t="s">
        <v>830</v>
      </c>
      <c r="BY62" s="51" t="s">
        <v>831</v>
      </c>
      <c r="BZ62" s="274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</row>
    <row r="63" spans="1:98">
      <c r="A63" s="50" t="s">
        <v>796</v>
      </c>
      <c r="B63" s="51" t="s">
        <v>797</v>
      </c>
      <c r="C63" s="22">
        <f t="shared" si="5"/>
        <v>1250</v>
      </c>
      <c r="D63" s="22">
        <v>0</v>
      </c>
      <c r="E63" s="22">
        <f t="shared" si="6"/>
        <v>1000</v>
      </c>
      <c r="F63" s="22">
        <v>0</v>
      </c>
      <c r="G63" s="22">
        <f t="shared" si="7"/>
        <v>2250</v>
      </c>
      <c r="H63" s="22">
        <f t="shared" si="8"/>
        <v>0</v>
      </c>
      <c r="I63" s="22">
        <f t="shared" si="9"/>
        <v>0</v>
      </c>
      <c r="J63" s="22">
        <f t="shared" si="10"/>
        <v>0</v>
      </c>
      <c r="K63" s="22">
        <f t="shared" si="11"/>
        <v>0</v>
      </c>
      <c r="L63" s="22">
        <f t="shared" si="12"/>
        <v>0</v>
      </c>
      <c r="M63" s="22">
        <f t="shared" si="13"/>
        <v>0</v>
      </c>
      <c r="N63" s="22">
        <f t="shared" si="14"/>
        <v>0</v>
      </c>
      <c r="O63" s="22">
        <f t="shared" si="15"/>
        <v>0</v>
      </c>
      <c r="P63" s="22">
        <f t="shared" si="16"/>
        <v>0</v>
      </c>
      <c r="Q63" s="22">
        <v>0</v>
      </c>
      <c r="R63" s="22">
        <f t="shared" si="49"/>
        <v>0</v>
      </c>
      <c r="S63" s="22">
        <f t="shared" si="18"/>
        <v>0</v>
      </c>
      <c r="T63" s="22">
        <f t="shared" si="19"/>
        <v>0</v>
      </c>
      <c r="U63" s="22">
        <f t="shared" si="20"/>
        <v>2250</v>
      </c>
      <c r="V63" s="22">
        <f t="shared" si="21"/>
        <v>2250</v>
      </c>
      <c r="W63" s="22">
        <f t="shared" si="40"/>
        <v>225</v>
      </c>
      <c r="X63" s="22">
        <f>+'C&amp;A'!E63*0.02</f>
        <v>10.2256</v>
      </c>
      <c r="Y63" s="22">
        <f t="shared" si="23"/>
        <v>0</v>
      </c>
      <c r="Z63" s="22">
        <f t="shared" si="24"/>
        <v>2485.2256000000002</v>
      </c>
      <c r="AA63" s="22">
        <f t="shared" si="25"/>
        <v>397.63609600000007</v>
      </c>
      <c r="AB63" s="22">
        <f t="shared" si="26"/>
        <v>2882.8616960000004</v>
      </c>
      <c r="AC63" s="59"/>
      <c r="AD63" s="61"/>
      <c r="AE63" s="61"/>
      <c r="AF63" s="61"/>
      <c r="AG63" s="240" t="s">
        <v>377</v>
      </c>
      <c r="AH63" s="240" t="s">
        <v>718</v>
      </c>
      <c r="AI63" s="123" t="s">
        <v>809</v>
      </c>
      <c r="AJ63" s="240" t="s">
        <v>719</v>
      </c>
      <c r="AK63" s="123" t="s">
        <v>392</v>
      </c>
      <c r="AL63" s="123"/>
      <c r="AM63" s="123"/>
      <c r="AN63" s="123"/>
      <c r="AO63" s="147">
        <v>1250</v>
      </c>
      <c r="AP63" s="123"/>
      <c r="AQ63" s="147">
        <f t="shared" si="41"/>
        <v>1250</v>
      </c>
      <c r="AR63" s="147">
        <v>1000</v>
      </c>
      <c r="AS63" s="147"/>
      <c r="AT63" s="147"/>
      <c r="AU63" s="147"/>
      <c r="AV63" s="159"/>
      <c r="AW63" s="141">
        <f t="shared" si="42"/>
        <v>2250</v>
      </c>
      <c r="AX63" s="147"/>
      <c r="AY63" s="147"/>
      <c r="AZ63" s="147"/>
      <c r="BA63" s="147"/>
      <c r="BB63" s="147"/>
      <c r="BC63" s="147"/>
      <c r="BD63" s="100">
        <v>0</v>
      </c>
      <c r="BE63" s="100"/>
      <c r="BF63" s="123"/>
      <c r="BG63" s="123">
        <v>0</v>
      </c>
      <c r="BH63" s="141">
        <f t="shared" si="43"/>
        <v>2250</v>
      </c>
      <c r="BI63" s="100">
        <f t="shared" si="44"/>
        <v>0</v>
      </c>
      <c r="BJ63" s="141">
        <f t="shared" si="45"/>
        <v>2250</v>
      </c>
      <c r="BK63" s="100">
        <f t="shared" si="46"/>
        <v>225</v>
      </c>
      <c r="BL63" s="100">
        <v>10.23</v>
      </c>
      <c r="BM63" s="100">
        <f t="shared" si="47"/>
        <v>0</v>
      </c>
      <c r="BN63" s="141">
        <f t="shared" si="48"/>
        <v>2485.23</v>
      </c>
      <c r="BO63" s="227"/>
      <c r="BP63" s="227"/>
      <c r="BQ63" s="227"/>
      <c r="BR63" s="103"/>
      <c r="BS63" s="103" t="s">
        <v>720</v>
      </c>
      <c r="BX63" s="50" t="s">
        <v>796</v>
      </c>
      <c r="BY63" s="51" t="s">
        <v>797</v>
      </c>
      <c r="BZ63" s="27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</row>
    <row r="64" spans="1:98" s="326" customFormat="1">
      <c r="A64" s="338" t="s">
        <v>113</v>
      </c>
      <c r="B64" s="326" t="s">
        <v>114</v>
      </c>
      <c r="C64" s="327">
        <f t="shared" si="5"/>
        <v>513.33000000000004</v>
      </c>
      <c r="D64" s="327">
        <v>93.68</v>
      </c>
      <c r="E64" s="327">
        <f t="shared" si="6"/>
        <v>0</v>
      </c>
      <c r="F64" s="327">
        <v>0</v>
      </c>
      <c r="G64" s="327">
        <f t="shared" si="7"/>
        <v>607.01</v>
      </c>
      <c r="H64" s="327">
        <f t="shared" si="8"/>
        <v>0</v>
      </c>
      <c r="I64" s="327">
        <f t="shared" si="9"/>
        <v>0</v>
      </c>
      <c r="J64" s="327">
        <f t="shared" si="10"/>
        <v>0</v>
      </c>
      <c r="K64" s="327">
        <f t="shared" si="11"/>
        <v>0</v>
      </c>
      <c r="L64" s="327">
        <f t="shared" si="12"/>
        <v>0</v>
      </c>
      <c r="M64" s="327">
        <f t="shared" si="13"/>
        <v>0</v>
      </c>
      <c r="N64" s="327">
        <f t="shared" si="14"/>
        <v>86.56</v>
      </c>
      <c r="O64" s="327">
        <f t="shared" si="15"/>
        <v>0</v>
      </c>
      <c r="P64" s="327">
        <f t="shared" si="16"/>
        <v>0</v>
      </c>
      <c r="Q64" s="327">
        <v>0</v>
      </c>
      <c r="R64" s="327">
        <v>460.45</v>
      </c>
      <c r="S64" s="327">
        <f t="shared" si="18"/>
        <v>0</v>
      </c>
      <c r="T64" s="327">
        <f t="shared" si="19"/>
        <v>547.01</v>
      </c>
      <c r="U64" s="327">
        <f t="shared" si="20"/>
        <v>60</v>
      </c>
      <c r="V64" s="327">
        <f t="shared" si="21"/>
        <v>607.01</v>
      </c>
      <c r="W64" s="327">
        <f t="shared" si="40"/>
        <v>51.333000000000006</v>
      </c>
      <c r="X64" s="327">
        <f>+'C&amp;A'!E64*0.02</f>
        <v>10.2256</v>
      </c>
      <c r="Y64" s="327">
        <f t="shared" si="23"/>
        <v>0</v>
      </c>
      <c r="Z64" s="327">
        <f t="shared" si="24"/>
        <v>668.56859999999995</v>
      </c>
      <c r="AA64" s="327">
        <f t="shared" si="25"/>
        <v>106.97097599999999</v>
      </c>
      <c r="AB64" s="327">
        <f t="shared" si="26"/>
        <v>775.5395759999999</v>
      </c>
      <c r="AC64" s="320">
        <f>+U64</f>
        <v>60</v>
      </c>
      <c r="AD64" s="325">
        <f>+'C&amp;A'!L64+SINDICATO!P64</f>
        <v>59.999999999999943</v>
      </c>
      <c r="AE64" s="320">
        <f>+AC64-AD64</f>
        <v>5.6843418860808015E-14</v>
      </c>
      <c r="AF64" s="320"/>
      <c r="AG64" s="108" t="s">
        <v>377</v>
      </c>
      <c r="AH64" s="108" t="s">
        <v>627</v>
      </c>
      <c r="AI64" s="108" t="s">
        <v>32</v>
      </c>
      <c r="AJ64" s="108" t="s">
        <v>113</v>
      </c>
      <c r="AK64" s="108" t="s">
        <v>189</v>
      </c>
      <c r="AL64" s="108"/>
      <c r="AM64" s="108"/>
      <c r="AN64" s="108"/>
      <c r="AO64" s="193">
        <v>513.33000000000004</v>
      </c>
      <c r="AP64" s="108"/>
      <c r="AQ64" s="193">
        <f t="shared" si="41"/>
        <v>513.33000000000004</v>
      </c>
      <c r="AR64" s="193"/>
      <c r="AS64" s="193"/>
      <c r="AT64" s="193"/>
      <c r="AU64" s="193"/>
      <c r="AV64" s="343"/>
      <c r="AW64" s="344">
        <f t="shared" si="42"/>
        <v>513.33000000000004</v>
      </c>
      <c r="AX64" s="193"/>
      <c r="AY64" s="193"/>
      <c r="AZ64" s="193">
        <v>0</v>
      </c>
      <c r="BA64" s="193"/>
      <c r="BB64" s="193"/>
      <c r="BC64" s="193"/>
      <c r="BD64" s="337">
        <v>460.45</v>
      </c>
      <c r="BE64" s="337"/>
      <c r="BF64" s="108"/>
      <c r="BG64" s="108">
        <v>86.56</v>
      </c>
      <c r="BH64" s="344">
        <f t="shared" si="43"/>
        <v>-33.67999999999995</v>
      </c>
      <c r="BI64" s="337">
        <f t="shared" si="44"/>
        <v>0</v>
      </c>
      <c r="BJ64" s="344">
        <f t="shared" si="45"/>
        <v>-33.67999999999995</v>
      </c>
      <c r="BK64" s="337">
        <f t="shared" si="46"/>
        <v>51.333000000000006</v>
      </c>
      <c r="BL64" s="337">
        <v>10.23</v>
      </c>
      <c r="BM64" s="337">
        <f t="shared" si="47"/>
        <v>0</v>
      </c>
      <c r="BN64" s="344">
        <f t="shared" si="48"/>
        <v>574.89300000000003</v>
      </c>
      <c r="BO64" s="336"/>
      <c r="BP64" s="336"/>
      <c r="BQ64" s="336"/>
      <c r="BR64" s="319"/>
      <c r="BS64" s="319"/>
      <c r="BT64" s="319"/>
      <c r="BU64" s="319"/>
      <c r="BV64" s="319"/>
      <c r="BW64" s="319"/>
      <c r="BX64" s="64" t="s">
        <v>770</v>
      </c>
      <c r="BY64" s="65" t="s">
        <v>114</v>
      </c>
      <c r="BZ64" s="318"/>
      <c r="CA64" s="319"/>
    </row>
    <row r="65" spans="1:78">
      <c r="A65" s="20" t="s">
        <v>115</v>
      </c>
      <c r="B65" s="21" t="s">
        <v>116</v>
      </c>
      <c r="C65" s="22">
        <f t="shared" si="5"/>
        <v>1100</v>
      </c>
      <c r="D65" s="22">
        <v>0</v>
      </c>
      <c r="E65" s="22">
        <f t="shared" si="6"/>
        <v>391.2</v>
      </c>
      <c r="F65" s="22">
        <v>0</v>
      </c>
      <c r="G65" s="22">
        <f t="shared" si="7"/>
        <v>1491.2</v>
      </c>
      <c r="H65" s="22">
        <f t="shared" si="8"/>
        <v>14.912000000000001</v>
      </c>
      <c r="I65" s="22">
        <f t="shared" si="9"/>
        <v>73.06880000000001</v>
      </c>
      <c r="J65" s="22">
        <f t="shared" si="10"/>
        <v>0</v>
      </c>
      <c r="K65" s="22">
        <f t="shared" si="11"/>
        <v>0</v>
      </c>
      <c r="L65" s="22">
        <f t="shared" si="12"/>
        <v>0</v>
      </c>
      <c r="M65" s="22">
        <f t="shared" si="13"/>
        <v>0</v>
      </c>
      <c r="N65" s="22">
        <f t="shared" si="14"/>
        <v>0</v>
      </c>
      <c r="O65" s="22">
        <f t="shared" si="15"/>
        <v>0</v>
      </c>
      <c r="P65" s="22">
        <f t="shared" si="16"/>
        <v>0</v>
      </c>
      <c r="Q65" s="22">
        <v>0</v>
      </c>
      <c r="R65" s="22">
        <f t="shared" si="49"/>
        <v>0</v>
      </c>
      <c r="S65" s="22">
        <f t="shared" si="18"/>
        <v>0</v>
      </c>
      <c r="T65" s="22">
        <f t="shared" si="19"/>
        <v>87.980800000000016</v>
      </c>
      <c r="U65" s="22">
        <f t="shared" si="20"/>
        <v>1403.2192</v>
      </c>
      <c r="V65" s="22">
        <f t="shared" si="21"/>
        <v>1491.2</v>
      </c>
      <c r="W65" s="22">
        <f t="shared" si="40"/>
        <v>149.12</v>
      </c>
      <c r="X65" s="22">
        <f>+'C&amp;A'!E65*0.02</f>
        <v>10.2256</v>
      </c>
      <c r="Y65" s="22">
        <f t="shared" si="23"/>
        <v>73.06880000000001</v>
      </c>
      <c r="Z65" s="22">
        <f t="shared" si="24"/>
        <v>1723.6144000000002</v>
      </c>
      <c r="AA65" s="22">
        <f t="shared" si="25"/>
        <v>275.77830400000005</v>
      </c>
      <c r="AB65" s="22">
        <f t="shared" si="26"/>
        <v>1999.3927040000003</v>
      </c>
      <c r="AC65" s="59"/>
      <c r="AD65" s="61"/>
      <c r="AE65" s="61"/>
      <c r="AF65" s="61"/>
      <c r="AG65" s="123" t="s">
        <v>381</v>
      </c>
      <c r="AH65" s="123" t="s">
        <v>442</v>
      </c>
      <c r="AI65" s="123"/>
      <c r="AJ65" s="123" t="s">
        <v>115</v>
      </c>
      <c r="AK65" s="123" t="s">
        <v>443</v>
      </c>
      <c r="AL65" s="123"/>
      <c r="AM65" s="123"/>
      <c r="AN65" s="123"/>
      <c r="AO65" s="147">
        <v>1100</v>
      </c>
      <c r="AP65" s="123"/>
      <c r="AQ65" s="147">
        <f t="shared" si="41"/>
        <v>1100</v>
      </c>
      <c r="AR65" s="147">
        <v>391.2</v>
      </c>
      <c r="AS65" s="147"/>
      <c r="AT65" s="147"/>
      <c r="AU65" s="147"/>
      <c r="AV65" s="159"/>
      <c r="AW65" s="141">
        <f t="shared" si="42"/>
        <v>1491.2</v>
      </c>
      <c r="AX65" s="147"/>
      <c r="AY65" s="147"/>
      <c r="AZ65" s="147">
        <f>+AW65*1%</f>
        <v>14.912000000000001</v>
      </c>
      <c r="BA65" s="147">
        <f>+AW65*4.9%</f>
        <v>73.06880000000001</v>
      </c>
      <c r="BB65" s="147"/>
      <c r="BC65" s="147"/>
      <c r="BD65" s="100">
        <v>0</v>
      </c>
      <c r="BE65" s="100"/>
      <c r="BF65" s="123"/>
      <c r="BG65" s="123">
        <v>0</v>
      </c>
      <c r="BH65" s="141">
        <f t="shared" si="43"/>
        <v>1403.2192</v>
      </c>
      <c r="BI65" s="100">
        <f t="shared" si="44"/>
        <v>0</v>
      </c>
      <c r="BJ65" s="141">
        <f t="shared" si="45"/>
        <v>1403.2192</v>
      </c>
      <c r="BK65" s="100">
        <f t="shared" si="46"/>
        <v>149.12</v>
      </c>
      <c r="BL65" s="100">
        <v>10.23</v>
      </c>
      <c r="BM65" s="100">
        <f t="shared" si="47"/>
        <v>73.06880000000001</v>
      </c>
      <c r="BN65" s="141">
        <f t="shared" si="48"/>
        <v>1723.6188000000002</v>
      </c>
      <c r="BO65" s="227"/>
      <c r="BP65" s="227"/>
      <c r="BQ65" s="227"/>
      <c r="BR65" s="103"/>
      <c r="BS65" s="103"/>
      <c r="BX65" s="50" t="s">
        <v>771</v>
      </c>
      <c r="BY65" s="51" t="s">
        <v>116</v>
      </c>
      <c r="BZ65" s="274"/>
    </row>
    <row r="66" spans="1:78">
      <c r="A66" s="20" t="s">
        <v>121</v>
      </c>
      <c r="B66" s="21" t="s">
        <v>122</v>
      </c>
      <c r="C66" s="22">
        <f t="shared" si="5"/>
        <v>511.28</v>
      </c>
      <c r="D66" s="22">
        <v>0</v>
      </c>
      <c r="E66" s="22">
        <f t="shared" si="6"/>
        <v>2330.3200000000002</v>
      </c>
      <c r="F66" s="22">
        <v>0</v>
      </c>
      <c r="G66" s="22">
        <f t="shared" si="7"/>
        <v>2841.6000000000004</v>
      </c>
      <c r="H66" s="22">
        <f t="shared" si="8"/>
        <v>100</v>
      </c>
      <c r="I66" s="22">
        <f t="shared" si="9"/>
        <v>139.23840000000001</v>
      </c>
      <c r="J66" s="22">
        <f t="shared" si="10"/>
        <v>28.416000000000004</v>
      </c>
      <c r="K66" s="22">
        <f t="shared" si="11"/>
        <v>0</v>
      </c>
      <c r="L66" s="22">
        <f t="shared" si="12"/>
        <v>0</v>
      </c>
      <c r="M66" s="22">
        <f t="shared" si="13"/>
        <v>0</v>
      </c>
      <c r="N66" s="22">
        <f t="shared" si="14"/>
        <v>0</v>
      </c>
      <c r="O66" s="22">
        <f t="shared" si="15"/>
        <v>0</v>
      </c>
      <c r="P66" s="22">
        <f t="shared" si="16"/>
        <v>0</v>
      </c>
      <c r="Q66" s="22">
        <v>0</v>
      </c>
      <c r="R66" s="22">
        <f t="shared" si="49"/>
        <v>0</v>
      </c>
      <c r="S66" s="22">
        <f t="shared" si="18"/>
        <v>0</v>
      </c>
      <c r="T66" s="22">
        <f t="shared" si="19"/>
        <v>267.65440000000001</v>
      </c>
      <c r="U66" s="22">
        <f t="shared" si="20"/>
        <v>2573.9456000000005</v>
      </c>
      <c r="V66" s="22">
        <f t="shared" si="21"/>
        <v>2841.6000000000004</v>
      </c>
      <c r="W66" s="22">
        <f t="shared" si="40"/>
        <v>284.16000000000003</v>
      </c>
      <c r="X66" s="22">
        <f>+'C&amp;A'!E66*0.02</f>
        <v>10.2256</v>
      </c>
      <c r="Y66" s="22">
        <f t="shared" si="23"/>
        <v>139.23840000000001</v>
      </c>
      <c r="Z66" s="22">
        <f t="shared" si="24"/>
        <v>3275.2240000000006</v>
      </c>
      <c r="AA66" s="22">
        <f t="shared" si="25"/>
        <v>524.03584000000012</v>
      </c>
      <c r="AB66" s="22">
        <f t="shared" si="26"/>
        <v>3799.2598400000006</v>
      </c>
      <c r="AC66" s="59"/>
      <c r="AD66" s="61"/>
      <c r="AE66" s="61"/>
      <c r="AF66" s="61"/>
      <c r="AG66" s="123" t="s">
        <v>381</v>
      </c>
      <c r="AH66" s="123" t="s">
        <v>725</v>
      </c>
      <c r="AI66" s="123"/>
      <c r="AJ66" s="123" t="s">
        <v>121</v>
      </c>
      <c r="AK66" s="123" t="s">
        <v>610</v>
      </c>
      <c r="AL66" s="123"/>
      <c r="AM66" s="123"/>
      <c r="AN66" s="123"/>
      <c r="AO66" s="147">
        <v>511.28</v>
      </c>
      <c r="AP66" s="123"/>
      <c r="AQ66" s="147">
        <f t="shared" si="41"/>
        <v>511.28</v>
      </c>
      <c r="AR66" s="147">
        <f>2322.9+7.42</f>
        <v>2330.3200000000002</v>
      </c>
      <c r="AS66" s="147"/>
      <c r="AT66" s="147"/>
      <c r="AU66" s="147"/>
      <c r="AV66" s="159"/>
      <c r="AW66" s="141">
        <f t="shared" si="42"/>
        <v>2841.6000000000004</v>
      </c>
      <c r="AX66" s="147"/>
      <c r="AY66" s="147"/>
      <c r="AZ66" s="147">
        <v>100</v>
      </c>
      <c r="BA66" s="147">
        <f>AW66*4.9%</f>
        <v>139.23840000000001</v>
      </c>
      <c r="BB66" s="147">
        <f>AW66*1%</f>
        <v>28.416000000000004</v>
      </c>
      <c r="BC66" s="147"/>
      <c r="BD66" s="100">
        <v>0</v>
      </c>
      <c r="BE66" s="100"/>
      <c r="BF66" s="123"/>
      <c r="BG66" s="123">
        <v>0</v>
      </c>
      <c r="BH66" s="141">
        <f t="shared" si="43"/>
        <v>2573.9456000000005</v>
      </c>
      <c r="BI66" s="100">
        <f t="shared" si="44"/>
        <v>0</v>
      </c>
      <c r="BJ66" s="141">
        <f t="shared" si="45"/>
        <v>2573.9456000000005</v>
      </c>
      <c r="BK66" s="100">
        <f t="shared" si="46"/>
        <v>284.16000000000003</v>
      </c>
      <c r="BL66" s="100">
        <v>10.23</v>
      </c>
      <c r="BM66" s="100">
        <f t="shared" si="47"/>
        <v>139.23840000000001</v>
      </c>
      <c r="BN66" s="141">
        <f t="shared" si="48"/>
        <v>3275.2284000000004</v>
      </c>
      <c r="BO66" s="227"/>
      <c r="BP66" s="227"/>
      <c r="BQ66" s="227"/>
      <c r="BR66" s="103"/>
      <c r="BS66" s="103"/>
      <c r="BX66" s="50" t="s">
        <v>772</v>
      </c>
      <c r="BY66" s="51" t="s">
        <v>122</v>
      </c>
      <c r="BZ66" s="274"/>
    </row>
    <row r="67" spans="1:78">
      <c r="A67" s="20" t="s">
        <v>117</v>
      </c>
      <c r="B67" s="21" t="s">
        <v>118</v>
      </c>
      <c r="C67" s="22">
        <f t="shared" si="5"/>
        <v>739.23</v>
      </c>
      <c r="D67" s="22">
        <v>0</v>
      </c>
      <c r="E67" s="22">
        <f t="shared" si="6"/>
        <v>1783.01</v>
      </c>
      <c r="F67" s="22">
        <v>0</v>
      </c>
      <c r="G67" s="22">
        <f t="shared" si="7"/>
        <v>2522.2399999999998</v>
      </c>
      <c r="H67" s="22">
        <f t="shared" si="8"/>
        <v>0</v>
      </c>
      <c r="I67" s="22">
        <f t="shared" si="9"/>
        <v>0</v>
      </c>
      <c r="J67" s="22">
        <f t="shared" si="10"/>
        <v>0</v>
      </c>
      <c r="K67" s="22">
        <f t="shared" si="11"/>
        <v>0</v>
      </c>
      <c r="L67" s="22">
        <f t="shared" si="12"/>
        <v>0</v>
      </c>
      <c r="M67" s="22">
        <f t="shared" si="13"/>
        <v>0</v>
      </c>
      <c r="N67" s="22">
        <f t="shared" si="14"/>
        <v>0</v>
      </c>
      <c r="O67" s="22">
        <f t="shared" si="15"/>
        <v>0</v>
      </c>
      <c r="P67" s="22">
        <f t="shared" si="16"/>
        <v>0</v>
      </c>
      <c r="Q67" s="22">
        <v>0</v>
      </c>
      <c r="R67" s="22">
        <f t="shared" si="49"/>
        <v>0</v>
      </c>
      <c r="S67" s="22">
        <f t="shared" si="18"/>
        <v>0</v>
      </c>
      <c r="T67" s="22">
        <f t="shared" si="19"/>
        <v>0</v>
      </c>
      <c r="U67" s="22">
        <f t="shared" si="20"/>
        <v>2522.2399999999998</v>
      </c>
      <c r="V67" s="22">
        <f t="shared" si="21"/>
        <v>2522.2399999999998</v>
      </c>
      <c r="W67" s="22">
        <f t="shared" si="40"/>
        <v>252.22399999999999</v>
      </c>
      <c r="X67" s="22">
        <f>+'C&amp;A'!E67*0.02</f>
        <v>10.2256</v>
      </c>
      <c r="Y67" s="22">
        <f t="shared" si="23"/>
        <v>0</v>
      </c>
      <c r="Z67" s="22">
        <f t="shared" si="24"/>
        <v>2784.6896000000002</v>
      </c>
      <c r="AA67" s="22">
        <f t="shared" si="25"/>
        <v>445.55033600000002</v>
      </c>
      <c r="AB67" s="22">
        <f t="shared" si="26"/>
        <v>3230.2399359999999</v>
      </c>
      <c r="AC67" s="59"/>
      <c r="AD67" s="61"/>
      <c r="AE67" s="61"/>
      <c r="AF67" s="61"/>
      <c r="AG67" s="123" t="s">
        <v>383</v>
      </c>
      <c r="AH67" s="123" t="s">
        <v>444</v>
      </c>
      <c r="AI67" s="123"/>
      <c r="AJ67" s="123" t="s">
        <v>117</v>
      </c>
      <c r="AK67" s="123" t="s">
        <v>177</v>
      </c>
      <c r="AL67" s="123"/>
      <c r="AM67" s="123"/>
      <c r="AN67" s="123"/>
      <c r="AO67" s="147">
        <v>739.23</v>
      </c>
      <c r="AP67" s="123"/>
      <c r="AQ67" s="147">
        <f t="shared" si="41"/>
        <v>739.23</v>
      </c>
      <c r="AR67" s="147">
        <f>1769.92+13.09</f>
        <v>1783.01</v>
      </c>
      <c r="AS67" s="147"/>
      <c r="AT67" s="147"/>
      <c r="AU67" s="147"/>
      <c r="AV67" s="159"/>
      <c r="AW67" s="141">
        <f t="shared" si="42"/>
        <v>2522.2399999999998</v>
      </c>
      <c r="AX67" s="147"/>
      <c r="AY67" s="147"/>
      <c r="AZ67" s="147">
        <v>0</v>
      </c>
      <c r="BA67" s="147"/>
      <c r="BB67" s="147"/>
      <c r="BC67" s="147"/>
      <c r="BD67" s="100">
        <v>0</v>
      </c>
      <c r="BE67" s="100"/>
      <c r="BF67" s="123"/>
      <c r="BG67" s="123">
        <v>0</v>
      </c>
      <c r="BH67" s="141">
        <f t="shared" si="43"/>
        <v>2522.2399999999998</v>
      </c>
      <c r="BI67" s="100">
        <f t="shared" si="44"/>
        <v>0</v>
      </c>
      <c r="BJ67" s="141">
        <f t="shared" si="45"/>
        <v>2522.2399999999998</v>
      </c>
      <c r="BK67" s="100">
        <f t="shared" si="46"/>
        <v>252.22399999999999</v>
      </c>
      <c r="BL67" s="100">
        <v>10.23</v>
      </c>
      <c r="BM67" s="100">
        <f t="shared" si="47"/>
        <v>0</v>
      </c>
      <c r="BN67" s="141">
        <f t="shared" si="48"/>
        <v>2784.694</v>
      </c>
      <c r="BO67" s="227"/>
      <c r="BP67" s="227"/>
      <c r="BQ67" s="227"/>
      <c r="BR67" s="103"/>
      <c r="BS67" s="103"/>
      <c r="BX67" s="50" t="s">
        <v>773</v>
      </c>
      <c r="BY67" s="51" t="s">
        <v>118</v>
      </c>
      <c r="BZ67" s="274"/>
    </row>
    <row r="68" spans="1:78">
      <c r="A68" s="20" t="s">
        <v>119</v>
      </c>
      <c r="B68" s="21" t="s">
        <v>120</v>
      </c>
      <c r="C68" s="22">
        <f t="shared" si="5"/>
        <v>608.16</v>
      </c>
      <c r="D68" s="22">
        <v>0</v>
      </c>
      <c r="E68" s="22">
        <f t="shared" si="6"/>
        <v>4927.8</v>
      </c>
      <c r="F68" s="22">
        <v>0</v>
      </c>
      <c r="G68" s="22">
        <f t="shared" si="7"/>
        <v>5535.96</v>
      </c>
      <c r="H68" s="22">
        <f t="shared" si="8"/>
        <v>0</v>
      </c>
      <c r="I68" s="22">
        <f t="shared" si="9"/>
        <v>271.26204000000001</v>
      </c>
      <c r="J68" s="22">
        <f t="shared" si="10"/>
        <v>55.3596</v>
      </c>
      <c r="K68" s="22">
        <f t="shared" si="11"/>
        <v>0</v>
      </c>
      <c r="L68" s="22">
        <f t="shared" si="12"/>
        <v>0</v>
      </c>
      <c r="M68" s="22">
        <f t="shared" si="13"/>
        <v>0</v>
      </c>
      <c r="N68" s="22">
        <f t="shared" si="14"/>
        <v>0</v>
      </c>
      <c r="O68" s="22">
        <f t="shared" si="15"/>
        <v>553.596</v>
      </c>
      <c r="P68" s="22">
        <f t="shared" si="16"/>
        <v>0</v>
      </c>
      <c r="Q68" s="22">
        <v>0</v>
      </c>
      <c r="R68" s="22">
        <f t="shared" si="49"/>
        <v>0</v>
      </c>
      <c r="S68" s="22">
        <f t="shared" si="18"/>
        <v>0</v>
      </c>
      <c r="T68" s="22">
        <f t="shared" si="19"/>
        <v>880.21764000000007</v>
      </c>
      <c r="U68" s="22">
        <f t="shared" si="20"/>
        <v>4655.7423600000002</v>
      </c>
      <c r="V68" s="22">
        <f t="shared" si="21"/>
        <v>5535.96</v>
      </c>
      <c r="W68" s="22">
        <f t="shared" si="40"/>
        <v>0</v>
      </c>
      <c r="X68" s="22">
        <f>+'C&amp;A'!E68*0.02</f>
        <v>10.2256</v>
      </c>
      <c r="Y68" s="22">
        <f t="shared" si="23"/>
        <v>271.26204000000001</v>
      </c>
      <c r="Z68" s="22">
        <f t="shared" si="24"/>
        <v>5817.4476399999994</v>
      </c>
      <c r="AA68" s="22">
        <f t="shared" si="25"/>
        <v>930.79162239999994</v>
      </c>
      <c r="AB68" s="22">
        <f t="shared" si="26"/>
        <v>6748.2392623999995</v>
      </c>
      <c r="AC68" s="59"/>
      <c r="AD68" s="61"/>
      <c r="AE68" s="61"/>
      <c r="AF68" s="61"/>
      <c r="AG68" s="123" t="s">
        <v>381</v>
      </c>
      <c r="AH68" s="123" t="s">
        <v>445</v>
      </c>
      <c r="AI68" s="123"/>
      <c r="AJ68" s="123" t="s">
        <v>119</v>
      </c>
      <c r="AK68" s="123" t="s">
        <v>193</v>
      </c>
      <c r="AL68" s="123"/>
      <c r="AM68" s="123"/>
      <c r="AN68" s="123"/>
      <c r="AO68" s="147">
        <v>608.16</v>
      </c>
      <c r="AP68" s="123"/>
      <c r="AQ68" s="147">
        <f t="shared" si="41"/>
        <v>608.16</v>
      </c>
      <c r="AR68" s="147">
        <f>4924.09+3.71</f>
        <v>4927.8</v>
      </c>
      <c r="AS68" s="147"/>
      <c r="AT68" s="147"/>
      <c r="AU68" s="147"/>
      <c r="AV68" s="159"/>
      <c r="AW68" s="141">
        <f t="shared" si="42"/>
        <v>5535.96</v>
      </c>
      <c r="AX68" s="147"/>
      <c r="AY68" s="147"/>
      <c r="AZ68" s="147"/>
      <c r="BA68" s="147">
        <f>AW68*4.9%</f>
        <v>271.26204000000001</v>
      </c>
      <c r="BB68" s="147">
        <f>AW68*1%</f>
        <v>55.3596</v>
      </c>
      <c r="BC68" s="147"/>
      <c r="BD68" s="100">
        <v>0</v>
      </c>
      <c r="BE68" s="100"/>
      <c r="BF68" s="123"/>
      <c r="BG68" s="123">
        <v>0</v>
      </c>
      <c r="BH68" s="141">
        <f t="shared" si="43"/>
        <v>5209.3383599999997</v>
      </c>
      <c r="BI68" s="100">
        <f t="shared" si="44"/>
        <v>553.596</v>
      </c>
      <c r="BJ68" s="141">
        <f t="shared" si="45"/>
        <v>4655.7423600000002</v>
      </c>
      <c r="BK68" s="100">
        <f t="shared" si="46"/>
        <v>0</v>
      </c>
      <c r="BL68" s="100">
        <v>10.23</v>
      </c>
      <c r="BM68" s="100">
        <f t="shared" si="47"/>
        <v>271.26204000000001</v>
      </c>
      <c r="BN68" s="141">
        <f t="shared" si="48"/>
        <v>5817.4520399999992</v>
      </c>
      <c r="BO68" s="227"/>
      <c r="BP68" s="227"/>
      <c r="BQ68" s="228"/>
      <c r="BR68" s="103" t="s">
        <v>715</v>
      </c>
      <c r="BS68" s="103"/>
      <c r="BX68" s="50" t="s">
        <v>507</v>
      </c>
      <c r="BY68" s="51" t="s">
        <v>120</v>
      </c>
      <c r="BZ68" s="274"/>
    </row>
    <row r="69" spans="1:78">
      <c r="A69" s="20" t="s">
        <v>123</v>
      </c>
      <c r="B69" s="21" t="s">
        <v>124</v>
      </c>
      <c r="C69" s="22">
        <f t="shared" si="5"/>
        <v>513.33000000000004</v>
      </c>
      <c r="D69" s="22">
        <v>0</v>
      </c>
      <c r="E69" s="22">
        <f t="shared" si="6"/>
        <v>1006.6</v>
      </c>
      <c r="F69" s="22">
        <v>0</v>
      </c>
      <c r="G69" s="22">
        <f t="shared" si="7"/>
        <v>1519.93</v>
      </c>
      <c r="H69" s="22">
        <f t="shared" si="8"/>
        <v>0</v>
      </c>
      <c r="I69" s="22">
        <f t="shared" si="9"/>
        <v>0</v>
      </c>
      <c r="J69" s="22">
        <f t="shared" si="10"/>
        <v>0</v>
      </c>
      <c r="K69" s="22">
        <f t="shared" si="11"/>
        <v>0</v>
      </c>
      <c r="L69" s="22">
        <f t="shared" si="12"/>
        <v>0</v>
      </c>
      <c r="M69" s="22">
        <f t="shared" si="13"/>
        <v>0</v>
      </c>
      <c r="N69" s="22">
        <f t="shared" si="14"/>
        <v>0</v>
      </c>
      <c r="O69" s="22">
        <f t="shared" si="15"/>
        <v>0</v>
      </c>
      <c r="P69" s="22">
        <f t="shared" si="16"/>
        <v>0</v>
      </c>
      <c r="Q69" s="22">
        <v>0</v>
      </c>
      <c r="R69" s="22">
        <f t="shared" si="49"/>
        <v>0</v>
      </c>
      <c r="S69" s="22">
        <f t="shared" si="18"/>
        <v>0</v>
      </c>
      <c r="T69" s="22">
        <f t="shared" si="19"/>
        <v>0</v>
      </c>
      <c r="U69" s="22">
        <f t="shared" si="20"/>
        <v>1519.93</v>
      </c>
      <c r="V69" s="22">
        <f t="shared" si="21"/>
        <v>1519.93</v>
      </c>
      <c r="W69" s="22">
        <f t="shared" si="40"/>
        <v>151.99300000000002</v>
      </c>
      <c r="X69" s="22">
        <f>+'C&amp;A'!E69*0.02</f>
        <v>10.2256</v>
      </c>
      <c r="Y69" s="22">
        <f t="shared" si="23"/>
        <v>0</v>
      </c>
      <c r="Z69" s="22">
        <f t="shared" si="24"/>
        <v>1682.1486</v>
      </c>
      <c r="AA69" s="22">
        <f t="shared" si="25"/>
        <v>269.143776</v>
      </c>
      <c r="AB69" s="22">
        <f t="shared" si="26"/>
        <v>1951.2923759999999</v>
      </c>
      <c r="AC69" s="59"/>
      <c r="AD69" s="61"/>
      <c r="AE69" s="61"/>
      <c r="AF69" s="61"/>
      <c r="AG69" s="123" t="s">
        <v>377</v>
      </c>
      <c r="AH69" s="123" t="s">
        <v>628</v>
      </c>
      <c r="AI69" s="123" t="s">
        <v>31</v>
      </c>
      <c r="AJ69" s="123" t="s">
        <v>123</v>
      </c>
      <c r="AK69" s="123" t="s">
        <v>189</v>
      </c>
      <c r="AL69" s="123"/>
      <c r="AM69" s="123"/>
      <c r="AN69" s="123"/>
      <c r="AO69" s="147">
        <v>513.33000000000004</v>
      </c>
      <c r="AP69" s="123"/>
      <c r="AQ69" s="147">
        <f t="shared" si="41"/>
        <v>513.33000000000004</v>
      </c>
      <c r="AR69" s="147">
        <v>1006.6</v>
      </c>
      <c r="AS69" s="147"/>
      <c r="AT69" s="147"/>
      <c r="AU69" s="147"/>
      <c r="AV69" s="159"/>
      <c r="AW69" s="141">
        <f t="shared" si="42"/>
        <v>1519.93</v>
      </c>
      <c r="AX69" s="147"/>
      <c r="AY69" s="147"/>
      <c r="AZ69" s="147">
        <v>0</v>
      </c>
      <c r="BA69" s="147"/>
      <c r="BB69" s="147"/>
      <c r="BC69" s="147"/>
      <c r="BD69" s="100">
        <v>0</v>
      </c>
      <c r="BE69" s="100"/>
      <c r="BF69" s="123"/>
      <c r="BG69" s="123">
        <v>0</v>
      </c>
      <c r="BH69" s="141">
        <f t="shared" si="43"/>
        <v>1519.93</v>
      </c>
      <c r="BI69" s="100">
        <f t="shared" si="44"/>
        <v>0</v>
      </c>
      <c r="BJ69" s="141">
        <f t="shared" si="45"/>
        <v>1519.93</v>
      </c>
      <c r="BK69" s="100">
        <f t="shared" si="46"/>
        <v>151.99300000000002</v>
      </c>
      <c r="BL69" s="100">
        <v>10.23</v>
      </c>
      <c r="BM69" s="100">
        <f t="shared" si="47"/>
        <v>0</v>
      </c>
      <c r="BN69" s="141">
        <f t="shared" si="48"/>
        <v>1682.153</v>
      </c>
      <c r="BO69" s="227"/>
      <c r="BP69" s="227"/>
      <c r="BQ69" s="227"/>
      <c r="BR69" s="103"/>
      <c r="BS69" s="103"/>
      <c r="BX69" s="50" t="s">
        <v>774</v>
      </c>
      <c r="BY69" s="51" t="s">
        <v>124</v>
      </c>
      <c r="BZ69" s="274"/>
    </row>
    <row r="70" spans="1:78">
      <c r="A70" s="20" t="s">
        <v>125</v>
      </c>
      <c r="B70" s="21" t="s">
        <v>126</v>
      </c>
      <c r="C70" s="22">
        <f t="shared" si="5"/>
        <v>739.23</v>
      </c>
      <c r="D70" s="22">
        <v>0</v>
      </c>
      <c r="E70" s="22">
        <f t="shared" si="6"/>
        <v>5102.1900000000005</v>
      </c>
      <c r="F70" s="22">
        <v>0</v>
      </c>
      <c r="G70" s="22">
        <f t="shared" si="7"/>
        <v>5841.42</v>
      </c>
      <c r="H70" s="22">
        <f t="shared" si="8"/>
        <v>0</v>
      </c>
      <c r="I70" s="22">
        <f t="shared" si="9"/>
        <v>0</v>
      </c>
      <c r="J70" s="22">
        <f t="shared" si="10"/>
        <v>0</v>
      </c>
      <c r="K70" s="22">
        <f t="shared" si="11"/>
        <v>0</v>
      </c>
      <c r="L70" s="22">
        <f t="shared" si="12"/>
        <v>0</v>
      </c>
      <c r="M70" s="22">
        <f t="shared" si="13"/>
        <v>0</v>
      </c>
      <c r="N70" s="22">
        <f t="shared" si="14"/>
        <v>0</v>
      </c>
      <c r="O70" s="22">
        <f t="shared" si="15"/>
        <v>584.14200000000005</v>
      </c>
      <c r="P70" s="22">
        <f t="shared" si="16"/>
        <v>0</v>
      </c>
      <c r="Q70" s="22">
        <v>0</v>
      </c>
      <c r="R70" s="22">
        <f t="shared" si="49"/>
        <v>0</v>
      </c>
      <c r="S70" s="22">
        <f t="shared" si="18"/>
        <v>0</v>
      </c>
      <c r="T70" s="22">
        <f t="shared" si="19"/>
        <v>584.14200000000005</v>
      </c>
      <c r="U70" s="22">
        <f t="shared" si="20"/>
        <v>5257.2780000000002</v>
      </c>
      <c r="V70" s="22">
        <f t="shared" si="21"/>
        <v>5841.42</v>
      </c>
      <c r="W70" s="22">
        <f t="shared" si="40"/>
        <v>0</v>
      </c>
      <c r="X70" s="22">
        <f>+'C&amp;A'!E70*0.02</f>
        <v>10.2256</v>
      </c>
      <c r="Y70" s="22">
        <f t="shared" si="23"/>
        <v>0</v>
      </c>
      <c r="Z70" s="22">
        <f t="shared" si="24"/>
        <v>5851.6455999999998</v>
      </c>
      <c r="AA70" s="22">
        <f t="shared" si="25"/>
        <v>936.26329599999997</v>
      </c>
      <c r="AB70" s="22">
        <f t="shared" si="26"/>
        <v>6787.9088959999999</v>
      </c>
      <c r="AC70" s="59"/>
      <c r="AD70" s="61"/>
      <c r="AE70" s="61"/>
      <c r="AF70" s="61"/>
      <c r="AG70" s="123" t="s">
        <v>383</v>
      </c>
      <c r="AH70" s="123" t="s">
        <v>448</v>
      </c>
      <c r="AI70" s="123"/>
      <c r="AJ70" s="123" t="s">
        <v>125</v>
      </c>
      <c r="AK70" s="123" t="s">
        <v>449</v>
      </c>
      <c r="AL70" s="123"/>
      <c r="AM70" s="123"/>
      <c r="AN70" s="123"/>
      <c r="AO70" s="147">
        <v>739.23</v>
      </c>
      <c r="AP70" s="123"/>
      <c r="AQ70" s="147">
        <f t="shared" si="41"/>
        <v>739.23</v>
      </c>
      <c r="AR70" s="147">
        <f>5089.1+13.09</f>
        <v>5102.1900000000005</v>
      </c>
      <c r="AS70" s="147"/>
      <c r="AT70" s="241"/>
      <c r="AU70" s="147"/>
      <c r="AV70" s="159"/>
      <c r="AW70" s="141">
        <f t="shared" si="42"/>
        <v>5841.42</v>
      </c>
      <c r="AX70" s="147"/>
      <c r="AY70" s="147"/>
      <c r="AZ70" s="147">
        <v>0</v>
      </c>
      <c r="BA70" s="147"/>
      <c r="BB70" s="147"/>
      <c r="BC70" s="147"/>
      <c r="BD70" s="100">
        <v>0</v>
      </c>
      <c r="BE70" s="100"/>
      <c r="BF70" s="123"/>
      <c r="BG70" s="123">
        <v>0</v>
      </c>
      <c r="BH70" s="141">
        <f t="shared" si="43"/>
        <v>5841.42</v>
      </c>
      <c r="BI70" s="100">
        <f t="shared" si="44"/>
        <v>584.14200000000005</v>
      </c>
      <c r="BJ70" s="141">
        <f t="shared" si="45"/>
        <v>5257.2780000000002</v>
      </c>
      <c r="BK70" s="100">
        <f t="shared" si="46"/>
        <v>0</v>
      </c>
      <c r="BL70" s="100">
        <v>10.23</v>
      </c>
      <c r="BM70" s="100">
        <f t="shared" si="47"/>
        <v>0</v>
      </c>
      <c r="BN70" s="141">
        <f t="shared" si="48"/>
        <v>5851.65</v>
      </c>
      <c r="BO70" s="227"/>
      <c r="BP70" s="227"/>
      <c r="BQ70" s="227"/>
      <c r="BR70" s="103"/>
      <c r="BS70" s="103"/>
      <c r="BX70" s="50" t="s">
        <v>508</v>
      </c>
      <c r="BY70" s="51" t="s">
        <v>126</v>
      </c>
      <c r="BZ70" s="274"/>
    </row>
    <row r="71" spans="1:78">
      <c r="A71" s="50" t="s">
        <v>832</v>
      </c>
      <c r="B71" s="51" t="s">
        <v>833</v>
      </c>
      <c r="C71" s="22">
        <f t="shared" si="5"/>
        <v>1166.6600000000001</v>
      </c>
      <c r="D71" s="22"/>
      <c r="E71" s="22">
        <f t="shared" si="6"/>
        <v>0</v>
      </c>
      <c r="F71" s="22"/>
      <c r="G71" s="22">
        <f t="shared" si="7"/>
        <v>1166.6600000000001</v>
      </c>
      <c r="H71" s="22">
        <f t="shared" si="8"/>
        <v>0</v>
      </c>
      <c r="I71" s="22">
        <f t="shared" si="9"/>
        <v>0</v>
      </c>
      <c r="J71" s="22">
        <f t="shared" si="10"/>
        <v>0</v>
      </c>
      <c r="K71" s="22">
        <f t="shared" si="11"/>
        <v>0</v>
      </c>
      <c r="L71" s="22">
        <f t="shared" si="12"/>
        <v>0</v>
      </c>
      <c r="M71" s="22">
        <f t="shared" si="13"/>
        <v>0</v>
      </c>
      <c r="N71" s="22">
        <f t="shared" si="14"/>
        <v>0</v>
      </c>
      <c r="O71" s="22">
        <f t="shared" si="15"/>
        <v>0</v>
      </c>
      <c r="P71" s="22">
        <f t="shared" si="16"/>
        <v>0</v>
      </c>
      <c r="Q71" s="22"/>
      <c r="R71" s="22">
        <f t="shared" si="49"/>
        <v>0</v>
      </c>
      <c r="S71" s="22">
        <f t="shared" si="18"/>
        <v>0</v>
      </c>
      <c r="T71" s="22">
        <f t="shared" si="19"/>
        <v>0</v>
      </c>
      <c r="U71" s="22">
        <f t="shared" si="20"/>
        <v>1166.6600000000001</v>
      </c>
      <c r="V71" s="22">
        <f t="shared" si="21"/>
        <v>1166.6600000000001</v>
      </c>
      <c r="W71" s="22">
        <f t="shared" si="40"/>
        <v>116.66600000000001</v>
      </c>
      <c r="X71" s="22">
        <f>+'C&amp;A'!E71*0.02</f>
        <v>10.2256</v>
      </c>
      <c r="Y71" s="22">
        <f t="shared" si="23"/>
        <v>0</v>
      </c>
      <c r="Z71" s="22">
        <f t="shared" si="24"/>
        <v>1293.5516</v>
      </c>
      <c r="AA71" s="22">
        <f t="shared" si="25"/>
        <v>206.968256</v>
      </c>
      <c r="AB71" s="22">
        <f t="shared" si="26"/>
        <v>1500.5198559999999</v>
      </c>
      <c r="AC71" s="59"/>
      <c r="AD71" s="61"/>
      <c r="AE71" s="61"/>
      <c r="AF71" s="61"/>
      <c r="AG71" s="123" t="s">
        <v>377</v>
      </c>
      <c r="AH71" s="123" t="s">
        <v>822</v>
      </c>
      <c r="AI71" s="123" t="s">
        <v>809</v>
      </c>
      <c r="AJ71" s="123"/>
      <c r="AK71" s="123" t="s">
        <v>392</v>
      </c>
      <c r="AL71" s="161">
        <v>42430</v>
      </c>
      <c r="AM71" s="123"/>
      <c r="AN71" s="123"/>
      <c r="AO71" s="147">
        <v>513.33000000000004</v>
      </c>
      <c r="AP71" s="123">
        <v>653.33000000000004</v>
      </c>
      <c r="AQ71" s="147">
        <f t="shared" si="41"/>
        <v>1166.6600000000001</v>
      </c>
      <c r="AR71" s="147"/>
      <c r="AS71" s="147"/>
      <c r="AT71" s="241"/>
      <c r="AU71" s="147"/>
      <c r="AV71" s="159"/>
      <c r="AW71" s="141">
        <f t="shared" si="42"/>
        <v>1166.6600000000001</v>
      </c>
      <c r="AX71" s="147"/>
      <c r="AY71" s="147"/>
      <c r="AZ71" s="147"/>
      <c r="BA71" s="147"/>
      <c r="BB71" s="147"/>
      <c r="BC71" s="147"/>
      <c r="BD71" s="100">
        <v>0</v>
      </c>
      <c r="BE71" s="100"/>
      <c r="BF71" s="123"/>
      <c r="BG71" s="123">
        <v>0</v>
      </c>
      <c r="BH71" s="141">
        <f t="shared" si="43"/>
        <v>1166.6600000000001</v>
      </c>
      <c r="BI71" s="100">
        <f t="shared" si="44"/>
        <v>0</v>
      </c>
      <c r="BJ71" s="141">
        <f t="shared" si="45"/>
        <v>1166.6600000000001</v>
      </c>
      <c r="BK71" s="100">
        <f t="shared" si="46"/>
        <v>116.66600000000001</v>
      </c>
      <c r="BL71" s="100">
        <v>10.23</v>
      </c>
      <c r="BM71" s="100">
        <f t="shared" si="47"/>
        <v>0</v>
      </c>
      <c r="BN71" s="141">
        <f t="shared" si="48"/>
        <v>1293.556</v>
      </c>
      <c r="BO71" s="227"/>
      <c r="BP71" s="227"/>
      <c r="BQ71" s="227"/>
      <c r="BR71" s="103"/>
      <c r="BS71" s="84">
        <v>2913584305</v>
      </c>
      <c r="BX71" s="50" t="s">
        <v>832</v>
      </c>
      <c r="BY71" s="51" t="s">
        <v>833</v>
      </c>
      <c r="BZ71" s="274"/>
    </row>
    <row r="72" spans="1:78">
      <c r="A72" s="20" t="s">
        <v>129</v>
      </c>
      <c r="B72" s="21" t="s">
        <v>130</v>
      </c>
      <c r="C72" s="22">
        <f t="shared" si="5"/>
        <v>739.23</v>
      </c>
      <c r="D72" s="22">
        <v>0</v>
      </c>
      <c r="E72" s="22">
        <f t="shared" si="6"/>
        <v>2911.31</v>
      </c>
      <c r="F72" s="22">
        <v>0</v>
      </c>
      <c r="G72" s="22">
        <f t="shared" si="7"/>
        <v>3650.54</v>
      </c>
      <c r="H72" s="22">
        <f t="shared" si="8"/>
        <v>0</v>
      </c>
      <c r="I72" s="22">
        <f t="shared" si="9"/>
        <v>0</v>
      </c>
      <c r="J72" s="22">
        <f t="shared" si="10"/>
        <v>0</v>
      </c>
      <c r="K72" s="22">
        <f t="shared" si="11"/>
        <v>0</v>
      </c>
      <c r="L72" s="22">
        <f t="shared" si="12"/>
        <v>0</v>
      </c>
      <c r="M72" s="22">
        <f t="shared" si="13"/>
        <v>0</v>
      </c>
      <c r="N72" s="22">
        <f t="shared" si="14"/>
        <v>0</v>
      </c>
      <c r="O72" s="22">
        <f t="shared" si="15"/>
        <v>365.05400000000003</v>
      </c>
      <c r="P72" s="22">
        <f t="shared" si="16"/>
        <v>0</v>
      </c>
      <c r="Q72" s="22">
        <v>0</v>
      </c>
      <c r="R72" s="22">
        <f t="shared" si="49"/>
        <v>0</v>
      </c>
      <c r="S72" s="22">
        <f t="shared" si="18"/>
        <v>0</v>
      </c>
      <c r="T72" s="22">
        <f t="shared" si="19"/>
        <v>365.05400000000003</v>
      </c>
      <c r="U72" s="22">
        <f t="shared" si="20"/>
        <v>3285.4859999999999</v>
      </c>
      <c r="V72" s="22">
        <f t="shared" si="21"/>
        <v>3650.54</v>
      </c>
      <c r="W72" s="22">
        <f t="shared" si="40"/>
        <v>0</v>
      </c>
      <c r="X72" s="22">
        <f>+'C&amp;A'!E72*0.02</f>
        <v>10.2256</v>
      </c>
      <c r="Y72" s="22">
        <f t="shared" si="23"/>
        <v>0</v>
      </c>
      <c r="Z72" s="22">
        <f t="shared" si="24"/>
        <v>3660.7656000000002</v>
      </c>
      <c r="AA72" s="22">
        <f t="shared" si="25"/>
        <v>585.72249600000009</v>
      </c>
      <c r="AB72" s="22">
        <f t="shared" si="26"/>
        <v>4246.488096</v>
      </c>
      <c r="AC72" s="59"/>
      <c r="AD72" s="61"/>
      <c r="AE72" s="61"/>
      <c r="AF72" s="61"/>
      <c r="AG72" s="123" t="s">
        <v>383</v>
      </c>
      <c r="AH72" s="123" t="s">
        <v>452</v>
      </c>
      <c r="AI72" s="123"/>
      <c r="AJ72" s="123" t="s">
        <v>129</v>
      </c>
      <c r="AK72" s="123" t="s">
        <v>177</v>
      </c>
      <c r="AL72" s="123"/>
      <c r="AM72" s="123"/>
      <c r="AN72" s="123"/>
      <c r="AO72" s="147">
        <v>739.23</v>
      </c>
      <c r="AP72" s="123"/>
      <c r="AQ72" s="147">
        <f t="shared" si="41"/>
        <v>739.23</v>
      </c>
      <c r="AR72" s="147">
        <f>2903.89+7.42</f>
        <v>2911.31</v>
      </c>
      <c r="AS72" s="147"/>
      <c r="AT72" s="147"/>
      <c r="AU72" s="147"/>
      <c r="AV72" s="159"/>
      <c r="AW72" s="141">
        <f t="shared" si="42"/>
        <v>3650.54</v>
      </c>
      <c r="AX72" s="147"/>
      <c r="AY72" s="147"/>
      <c r="AZ72" s="147">
        <v>0</v>
      </c>
      <c r="BA72" s="147"/>
      <c r="BB72" s="147"/>
      <c r="BC72" s="147"/>
      <c r="BD72" s="100">
        <v>0</v>
      </c>
      <c r="BE72" s="100"/>
      <c r="BF72" s="123"/>
      <c r="BG72" s="123">
        <v>0</v>
      </c>
      <c r="BH72" s="141">
        <f t="shared" si="43"/>
        <v>3650.54</v>
      </c>
      <c r="BI72" s="100">
        <f t="shared" si="44"/>
        <v>365.05400000000003</v>
      </c>
      <c r="BJ72" s="141">
        <f t="shared" si="45"/>
        <v>3285.4859999999999</v>
      </c>
      <c r="BK72" s="100">
        <f t="shared" si="46"/>
        <v>0</v>
      </c>
      <c r="BL72" s="100">
        <v>10.23</v>
      </c>
      <c r="BM72" s="100">
        <f t="shared" si="47"/>
        <v>0</v>
      </c>
      <c r="BN72" s="141">
        <f t="shared" si="48"/>
        <v>3660.77</v>
      </c>
      <c r="BO72" s="227"/>
      <c r="BP72" s="227"/>
      <c r="BQ72" s="227"/>
      <c r="BR72" s="103"/>
      <c r="BS72" s="103"/>
      <c r="BX72" s="50" t="s">
        <v>775</v>
      </c>
      <c r="BY72" s="51" t="s">
        <v>130</v>
      </c>
      <c r="BZ72" s="274"/>
    </row>
    <row r="73" spans="1:78">
      <c r="A73" s="50" t="s">
        <v>798</v>
      </c>
      <c r="B73" s="51" t="s">
        <v>799</v>
      </c>
      <c r="C73" s="22">
        <f t="shared" si="5"/>
        <v>739.23</v>
      </c>
      <c r="D73" s="22">
        <v>0</v>
      </c>
      <c r="E73" s="305">
        <f>+AR73</f>
        <v>3067.0299999999997</v>
      </c>
      <c r="F73" s="22">
        <v>0</v>
      </c>
      <c r="G73" s="22">
        <f t="shared" si="7"/>
        <v>3806.2599999999998</v>
      </c>
      <c r="H73" s="22">
        <f t="shared" si="8"/>
        <v>0</v>
      </c>
      <c r="I73" s="22">
        <f t="shared" si="9"/>
        <v>0</v>
      </c>
      <c r="J73" s="22">
        <f t="shared" si="10"/>
        <v>0</v>
      </c>
      <c r="K73" s="22">
        <f t="shared" si="11"/>
        <v>0</v>
      </c>
      <c r="L73" s="22">
        <f t="shared" si="12"/>
        <v>0</v>
      </c>
      <c r="M73" s="22">
        <f t="shared" si="13"/>
        <v>0</v>
      </c>
      <c r="N73" s="22">
        <f t="shared" si="14"/>
        <v>98.564000000000007</v>
      </c>
      <c r="O73" s="22">
        <f t="shared" si="15"/>
        <v>380.62599999999998</v>
      </c>
      <c r="P73" s="22">
        <f t="shared" si="16"/>
        <v>0</v>
      </c>
      <c r="Q73" s="305">
        <f>+C73/15*2</f>
        <v>98.564000000000007</v>
      </c>
      <c r="R73" s="22">
        <f t="shared" si="49"/>
        <v>0</v>
      </c>
      <c r="S73" s="22">
        <f t="shared" si="18"/>
        <v>0</v>
      </c>
      <c r="T73" s="22">
        <f t="shared" si="19"/>
        <v>577.75400000000002</v>
      </c>
      <c r="U73" s="22">
        <f t="shared" si="20"/>
        <v>3228.5059999999999</v>
      </c>
      <c r="V73" s="22">
        <f t="shared" si="21"/>
        <v>3707.6959999999999</v>
      </c>
      <c r="W73" s="22">
        <f t="shared" si="40"/>
        <v>0</v>
      </c>
      <c r="X73" s="22">
        <f>+'C&amp;A'!E73*0.02</f>
        <v>10.2256</v>
      </c>
      <c r="Y73" s="22">
        <f t="shared" si="23"/>
        <v>0</v>
      </c>
      <c r="Z73" s="22">
        <f t="shared" si="24"/>
        <v>3717.9216000000001</v>
      </c>
      <c r="AA73" s="22">
        <f t="shared" si="25"/>
        <v>594.86745600000006</v>
      </c>
      <c r="AB73" s="22">
        <f t="shared" si="26"/>
        <v>4312.7890560000005</v>
      </c>
      <c r="AC73" s="59"/>
      <c r="AD73" s="61"/>
      <c r="AE73" s="61"/>
      <c r="AF73" s="61"/>
      <c r="AG73" s="123" t="s">
        <v>383</v>
      </c>
      <c r="AH73" s="123" t="s">
        <v>629</v>
      </c>
      <c r="AI73" s="123"/>
      <c r="AJ73" s="123"/>
      <c r="AK73" s="123" t="s">
        <v>177</v>
      </c>
      <c r="AL73" s="161">
        <v>42422</v>
      </c>
      <c r="AM73" s="123"/>
      <c r="AN73" s="123"/>
      <c r="AO73" s="147">
        <v>739.23</v>
      </c>
      <c r="AP73" s="123"/>
      <c r="AQ73" s="147">
        <f t="shared" si="41"/>
        <v>739.23</v>
      </c>
      <c r="AR73" s="147">
        <f>1790.87+13.09+1263.07</f>
        <v>3067.0299999999997</v>
      </c>
      <c r="AS73" s="147"/>
      <c r="AT73" s="147"/>
      <c r="AU73" s="147"/>
      <c r="AV73" s="159"/>
      <c r="AW73" s="141">
        <f t="shared" si="42"/>
        <v>3806.2599999999998</v>
      </c>
      <c r="AX73" s="147"/>
      <c r="AY73" s="147"/>
      <c r="AZ73" s="147">
        <v>0</v>
      </c>
      <c r="BA73" s="147"/>
      <c r="BB73" s="147"/>
      <c r="BC73" s="147"/>
      <c r="BD73" s="100">
        <v>0</v>
      </c>
      <c r="BE73" s="100"/>
      <c r="BF73" s="123"/>
      <c r="BG73" s="304">
        <f>+Q73</f>
        <v>98.564000000000007</v>
      </c>
      <c r="BH73" s="141">
        <f t="shared" si="43"/>
        <v>3707.6959999999999</v>
      </c>
      <c r="BI73" s="100">
        <f t="shared" si="44"/>
        <v>380.62599999999998</v>
      </c>
      <c r="BJ73" s="141">
        <f t="shared" si="45"/>
        <v>3327.0699999999997</v>
      </c>
      <c r="BK73" s="100">
        <f t="shared" si="46"/>
        <v>0</v>
      </c>
      <c r="BL73" s="100">
        <v>10.23</v>
      </c>
      <c r="BM73" s="100">
        <f t="shared" si="47"/>
        <v>0</v>
      </c>
      <c r="BN73" s="141">
        <f t="shared" si="48"/>
        <v>3816.49</v>
      </c>
      <c r="BO73" s="227"/>
      <c r="BP73" s="227"/>
      <c r="BQ73" s="227"/>
      <c r="BR73" s="103"/>
      <c r="BS73" s="84" t="s">
        <v>823</v>
      </c>
      <c r="BX73" s="50" t="s">
        <v>798</v>
      </c>
      <c r="BY73" s="51" t="s">
        <v>799</v>
      </c>
      <c r="BZ73" s="274"/>
    </row>
    <row r="74" spans="1:78">
      <c r="A74" s="20" t="s">
        <v>131</v>
      </c>
      <c r="B74" s="21" t="s">
        <v>132</v>
      </c>
      <c r="C74" s="22">
        <f t="shared" si="5"/>
        <v>608.16</v>
      </c>
      <c r="D74" s="22">
        <v>0</v>
      </c>
      <c r="E74" s="22">
        <f t="shared" si="6"/>
        <v>995.83</v>
      </c>
      <c r="F74" s="22">
        <v>0</v>
      </c>
      <c r="G74" s="22">
        <f t="shared" si="7"/>
        <v>1603.99</v>
      </c>
      <c r="H74" s="22">
        <f t="shared" ref="H74:H97" si="50">+AZ74</f>
        <v>0</v>
      </c>
      <c r="I74" s="22">
        <f t="shared" ref="I74:I97" si="51">+BA74</f>
        <v>78.595510000000004</v>
      </c>
      <c r="J74" s="22">
        <f t="shared" ref="J74:J97" si="52">+BB74</f>
        <v>16.039899999999999</v>
      </c>
      <c r="K74" s="22">
        <f t="shared" ref="K74:K97" si="53">+BC74</f>
        <v>0</v>
      </c>
      <c r="L74" s="22">
        <f t="shared" si="12"/>
        <v>0</v>
      </c>
      <c r="M74" s="22">
        <f t="shared" si="13"/>
        <v>0</v>
      </c>
      <c r="N74" s="22">
        <f t="shared" si="14"/>
        <v>0</v>
      </c>
      <c r="O74" s="22">
        <f t="shared" si="15"/>
        <v>0</v>
      </c>
      <c r="P74" s="22">
        <f t="shared" ref="P74:P97" si="54">+AY74</f>
        <v>0</v>
      </c>
      <c r="Q74" s="22">
        <v>0</v>
      </c>
      <c r="R74" s="22">
        <f t="shared" si="49"/>
        <v>0</v>
      </c>
      <c r="S74" s="22">
        <f t="shared" si="18"/>
        <v>0</v>
      </c>
      <c r="T74" s="22">
        <f t="shared" si="19"/>
        <v>94.635410000000007</v>
      </c>
      <c r="U74" s="22">
        <f t="shared" si="20"/>
        <v>1509.3545899999999</v>
      </c>
      <c r="V74" s="22">
        <f t="shared" si="21"/>
        <v>1603.99</v>
      </c>
      <c r="W74" s="22">
        <f t="shared" si="40"/>
        <v>160.399</v>
      </c>
      <c r="X74" s="22">
        <f>+'C&amp;A'!E74*0.02</f>
        <v>10.2256</v>
      </c>
      <c r="Y74" s="22">
        <f t="shared" si="23"/>
        <v>78.595510000000004</v>
      </c>
      <c r="Z74" s="22">
        <f t="shared" si="24"/>
        <v>1853.2101100000002</v>
      </c>
      <c r="AA74" s="22">
        <f t="shared" si="25"/>
        <v>296.51361760000003</v>
      </c>
      <c r="AB74" s="22">
        <f t="shared" si="26"/>
        <v>2149.7237276000001</v>
      </c>
      <c r="AC74" s="59"/>
      <c r="AD74" s="61"/>
      <c r="AE74" s="61"/>
      <c r="AF74" s="61"/>
      <c r="AG74" s="123" t="s">
        <v>381</v>
      </c>
      <c r="AH74" s="123" t="s">
        <v>453</v>
      </c>
      <c r="AI74" s="123"/>
      <c r="AJ74" s="123" t="s">
        <v>131</v>
      </c>
      <c r="AK74" s="123" t="s">
        <v>454</v>
      </c>
      <c r="AL74" s="123"/>
      <c r="AM74" s="123"/>
      <c r="AN74" s="123"/>
      <c r="AO74" s="147">
        <v>608.16</v>
      </c>
      <c r="AP74" s="123"/>
      <c r="AQ74" s="147">
        <f t="shared" si="41"/>
        <v>608.16</v>
      </c>
      <c r="AR74" s="147">
        <f>992.1+3.73</f>
        <v>995.83</v>
      </c>
      <c r="AS74" s="147"/>
      <c r="AT74" s="147"/>
      <c r="AU74" s="147"/>
      <c r="AV74" s="159"/>
      <c r="AW74" s="141">
        <f t="shared" si="42"/>
        <v>1603.99</v>
      </c>
      <c r="AX74" s="147"/>
      <c r="AY74" s="147"/>
      <c r="AZ74" s="147"/>
      <c r="BA74" s="147">
        <f>AW74*4.9%</f>
        <v>78.595510000000004</v>
      </c>
      <c r="BB74" s="147">
        <f>AW74*1%</f>
        <v>16.039899999999999</v>
      </c>
      <c r="BC74" s="147"/>
      <c r="BD74" s="100">
        <v>0</v>
      </c>
      <c r="BE74" s="100"/>
      <c r="BF74" s="123"/>
      <c r="BG74" s="123">
        <v>0</v>
      </c>
      <c r="BH74" s="141">
        <f t="shared" si="43"/>
        <v>1509.3545899999999</v>
      </c>
      <c r="BI74" s="100">
        <f t="shared" si="44"/>
        <v>0</v>
      </c>
      <c r="BJ74" s="141">
        <f t="shared" si="45"/>
        <v>1509.3545899999999</v>
      </c>
      <c r="BK74" s="100">
        <f t="shared" si="46"/>
        <v>160.399</v>
      </c>
      <c r="BL74" s="100">
        <v>10.23</v>
      </c>
      <c r="BM74" s="100">
        <f t="shared" si="47"/>
        <v>78.595510000000004</v>
      </c>
      <c r="BN74" s="141">
        <f t="shared" si="48"/>
        <v>1853.2145100000002</v>
      </c>
      <c r="BO74" s="227"/>
      <c r="BP74" s="227"/>
      <c r="BQ74" s="227"/>
      <c r="BR74" s="103"/>
      <c r="BS74" s="103"/>
      <c r="BX74" s="50" t="s">
        <v>131</v>
      </c>
      <c r="BY74" s="51" t="s">
        <v>132</v>
      </c>
      <c r="BZ74" s="274"/>
    </row>
    <row r="75" spans="1:78">
      <c r="A75" s="20" t="s">
        <v>133</v>
      </c>
      <c r="B75" s="21" t="s">
        <v>134</v>
      </c>
      <c r="C75" s="22">
        <f t="shared" ref="C75:C97" si="55">+AQ75</f>
        <v>608.16</v>
      </c>
      <c r="D75" s="22">
        <v>0</v>
      </c>
      <c r="E75" s="22">
        <f t="shared" ref="E75:E97" si="56">+AR75</f>
        <v>4764.28</v>
      </c>
      <c r="F75" s="22">
        <v>0</v>
      </c>
      <c r="G75" s="22">
        <f t="shared" ref="G75:G97" si="57">SUM(C75:F75)</f>
        <v>5372.44</v>
      </c>
      <c r="H75" s="22">
        <f t="shared" si="50"/>
        <v>200</v>
      </c>
      <c r="I75" s="22">
        <f t="shared" si="51"/>
        <v>263.24955999999997</v>
      </c>
      <c r="J75" s="22">
        <f t="shared" si="52"/>
        <v>53.724399999999996</v>
      </c>
      <c r="K75" s="22">
        <f t="shared" si="53"/>
        <v>321.74</v>
      </c>
      <c r="L75" s="22">
        <f t="shared" ref="L75:L97" si="58">+AV75</f>
        <v>0</v>
      </c>
      <c r="M75" s="22">
        <f t="shared" ref="M75:N97" si="59">+BF75</f>
        <v>0</v>
      </c>
      <c r="N75" s="22">
        <f t="shared" si="59"/>
        <v>0</v>
      </c>
      <c r="O75" s="22">
        <f t="shared" ref="O75:O97" si="60">+BI75</f>
        <v>537.24400000000003</v>
      </c>
      <c r="P75" s="22">
        <f t="shared" si="54"/>
        <v>0</v>
      </c>
      <c r="Q75" s="22">
        <v>0</v>
      </c>
      <c r="R75" s="22">
        <f t="shared" ref="R75:R97" si="61">+BD75</f>
        <v>0</v>
      </c>
      <c r="S75" s="22">
        <f t="shared" ref="S75:S97" si="62">+BE75</f>
        <v>0</v>
      </c>
      <c r="T75" s="22">
        <f t="shared" ref="T75:T97" si="63">SUM(H75:S75)</f>
        <v>1375.95796</v>
      </c>
      <c r="U75" s="22">
        <f t="shared" ref="U75:U97" si="64">+G75-T75</f>
        <v>3996.4820399999999</v>
      </c>
      <c r="V75" s="22">
        <f t="shared" ref="V75:V97" si="65">+G75-L75-P75-Q75</f>
        <v>5372.44</v>
      </c>
      <c r="W75" s="22">
        <f t="shared" si="40"/>
        <v>0</v>
      </c>
      <c r="X75" s="22">
        <f>+'C&amp;A'!E75*0.02</f>
        <v>10.2256</v>
      </c>
      <c r="Y75" s="22">
        <f t="shared" ref="Y75:Y97" si="66">+I75</f>
        <v>263.24955999999997</v>
      </c>
      <c r="Z75" s="22">
        <f t="shared" ref="Z75:Z97" si="67">SUM(V75:Y75)</f>
        <v>5645.9151599999996</v>
      </c>
      <c r="AA75" s="22">
        <f t="shared" ref="AA75:AA97" si="68">+Z75*0.16</f>
        <v>903.34642559999998</v>
      </c>
      <c r="AB75" s="22">
        <f t="shared" ref="AB75:AB97" si="69">+Z75+AA75</f>
        <v>6549.2615855999993</v>
      </c>
      <c r="AC75" s="59"/>
      <c r="AD75" s="61"/>
      <c r="AE75" s="61"/>
      <c r="AF75" s="61"/>
      <c r="AG75" s="123" t="s">
        <v>381</v>
      </c>
      <c r="AH75" s="123" t="s">
        <v>455</v>
      </c>
      <c r="AI75" s="123"/>
      <c r="AJ75" s="123" t="s">
        <v>133</v>
      </c>
      <c r="AK75" s="123" t="s">
        <v>454</v>
      </c>
      <c r="AL75" s="123"/>
      <c r="AM75" s="123"/>
      <c r="AN75" s="123"/>
      <c r="AO75" s="147">
        <v>608.16</v>
      </c>
      <c r="AP75" s="123"/>
      <c r="AQ75" s="147">
        <f t="shared" si="41"/>
        <v>608.16</v>
      </c>
      <c r="AR75" s="147">
        <f>4758.71+5.57</f>
        <v>4764.28</v>
      </c>
      <c r="AS75" s="147"/>
      <c r="AT75" s="147"/>
      <c r="AU75" s="147"/>
      <c r="AV75" s="159"/>
      <c r="AW75" s="141">
        <f t="shared" si="42"/>
        <v>5372.44</v>
      </c>
      <c r="AX75" s="147"/>
      <c r="AY75" s="147"/>
      <c r="AZ75" s="147">
        <v>200</v>
      </c>
      <c r="BA75" s="147">
        <f>AW75*4.9%</f>
        <v>263.24955999999997</v>
      </c>
      <c r="BB75" s="147">
        <f>AW75*1%</f>
        <v>53.724399999999996</v>
      </c>
      <c r="BC75" s="147">
        <v>321.74</v>
      </c>
      <c r="BD75" s="100">
        <v>0</v>
      </c>
      <c r="BE75" s="100"/>
      <c r="BF75" s="123"/>
      <c r="BG75" s="123">
        <v>0</v>
      </c>
      <c r="BH75" s="141">
        <f t="shared" si="43"/>
        <v>4533.7260399999996</v>
      </c>
      <c r="BI75" s="100">
        <f t="shared" si="44"/>
        <v>537.24400000000003</v>
      </c>
      <c r="BJ75" s="141">
        <f t="shared" si="45"/>
        <v>3996.4820399999994</v>
      </c>
      <c r="BK75" s="100">
        <f t="shared" si="46"/>
        <v>0</v>
      </c>
      <c r="BL75" s="100">
        <v>10.23</v>
      </c>
      <c r="BM75" s="100">
        <f t="shared" si="47"/>
        <v>263.24955999999997</v>
      </c>
      <c r="BN75" s="141">
        <f t="shared" si="48"/>
        <v>5645.9195599999994</v>
      </c>
      <c r="BO75" s="227"/>
      <c r="BP75" s="227"/>
      <c r="BQ75" s="227"/>
      <c r="BR75" s="103"/>
      <c r="BS75" s="103"/>
      <c r="BX75" s="50" t="s">
        <v>778</v>
      </c>
      <c r="BY75" s="51" t="s">
        <v>134</v>
      </c>
      <c r="BZ75" s="274"/>
    </row>
    <row r="76" spans="1:78">
      <c r="A76" s="20" t="s">
        <v>199</v>
      </c>
      <c r="B76" s="21" t="s">
        <v>309</v>
      </c>
      <c r="C76" s="22">
        <f t="shared" si="55"/>
        <v>1166.6600000000001</v>
      </c>
      <c r="D76" s="22">
        <v>0</v>
      </c>
      <c r="E76" s="22">
        <f t="shared" si="56"/>
        <v>3779.31</v>
      </c>
      <c r="F76" s="22">
        <v>0</v>
      </c>
      <c r="G76" s="22">
        <f t="shared" si="57"/>
        <v>4945.97</v>
      </c>
      <c r="H76" s="22">
        <f t="shared" si="50"/>
        <v>0</v>
      </c>
      <c r="I76" s="22">
        <f t="shared" si="51"/>
        <v>0</v>
      </c>
      <c r="J76" s="22">
        <f t="shared" si="52"/>
        <v>0</v>
      </c>
      <c r="K76" s="22">
        <f t="shared" si="53"/>
        <v>0</v>
      </c>
      <c r="L76" s="22">
        <f t="shared" si="58"/>
        <v>0</v>
      </c>
      <c r="M76" s="22">
        <f t="shared" si="59"/>
        <v>0</v>
      </c>
      <c r="N76" s="22">
        <f t="shared" si="59"/>
        <v>291.5</v>
      </c>
      <c r="O76" s="22">
        <f t="shared" si="60"/>
        <v>494.59700000000004</v>
      </c>
      <c r="P76" s="22">
        <f t="shared" si="54"/>
        <v>0</v>
      </c>
      <c r="Q76" s="22">
        <v>0</v>
      </c>
      <c r="R76" s="22">
        <f t="shared" si="61"/>
        <v>0</v>
      </c>
      <c r="S76" s="22">
        <f t="shared" si="62"/>
        <v>0</v>
      </c>
      <c r="T76" s="22">
        <f t="shared" si="63"/>
        <v>786.09699999999998</v>
      </c>
      <c r="U76" s="22">
        <f t="shared" si="64"/>
        <v>4159.8730000000005</v>
      </c>
      <c r="V76" s="22">
        <f t="shared" si="65"/>
        <v>4945.97</v>
      </c>
      <c r="W76" s="22">
        <f t="shared" si="40"/>
        <v>0</v>
      </c>
      <c r="X76" s="22">
        <f>+'C&amp;A'!E76*0.02</f>
        <v>10.2256</v>
      </c>
      <c r="Y76" s="22">
        <f t="shared" si="66"/>
        <v>0</v>
      </c>
      <c r="Z76" s="22">
        <f t="shared" si="67"/>
        <v>4956.1956</v>
      </c>
      <c r="AA76" s="22">
        <f t="shared" si="68"/>
        <v>792.99129600000003</v>
      </c>
      <c r="AB76" s="22">
        <f t="shared" si="69"/>
        <v>5749.1868960000002</v>
      </c>
      <c r="AC76" s="59"/>
      <c r="AD76" s="61"/>
      <c r="AE76" s="61"/>
      <c r="AF76" s="61"/>
      <c r="AG76" s="123" t="s">
        <v>377</v>
      </c>
      <c r="AH76" s="123" t="s">
        <v>480</v>
      </c>
      <c r="AI76" s="123" t="s">
        <v>32</v>
      </c>
      <c r="AJ76" s="239" t="s">
        <v>199</v>
      </c>
      <c r="AK76" s="123" t="s">
        <v>189</v>
      </c>
      <c r="AL76" s="123"/>
      <c r="AM76" s="123"/>
      <c r="AN76" s="123"/>
      <c r="AO76" s="147">
        <v>513.33000000000004</v>
      </c>
      <c r="AP76" s="123">
        <v>653.33000000000004</v>
      </c>
      <c r="AQ76" s="147">
        <f t="shared" si="41"/>
        <v>1166.6600000000001</v>
      </c>
      <c r="AR76" s="147">
        <v>3779.31</v>
      </c>
      <c r="AS76" s="147"/>
      <c r="AT76" s="147"/>
      <c r="AU76" s="147"/>
      <c r="AV76" s="159"/>
      <c r="AW76" s="141">
        <f t="shared" si="42"/>
        <v>4945.97</v>
      </c>
      <c r="AX76" s="147"/>
      <c r="AY76" s="147"/>
      <c r="AZ76" s="147"/>
      <c r="BA76" s="147"/>
      <c r="BB76" s="147"/>
      <c r="BC76" s="147"/>
      <c r="BD76" s="100">
        <v>0</v>
      </c>
      <c r="BE76" s="100"/>
      <c r="BF76" s="123"/>
      <c r="BG76" s="123">
        <v>291.5</v>
      </c>
      <c r="BH76" s="141">
        <f t="shared" si="43"/>
        <v>4654.47</v>
      </c>
      <c r="BI76" s="100">
        <f t="shared" si="44"/>
        <v>494.59700000000004</v>
      </c>
      <c r="BJ76" s="141">
        <f t="shared" si="45"/>
        <v>4159.8730000000005</v>
      </c>
      <c r="BK76" s="100">
        <f t="shared" si="46"/>
        <v>0</v>
      </c>
      <c r="BL76" s="100">
        <v>10.23</v>
      </c>
      <c r="BM76" s="100">
        <f t="shared" si="47"/>
        <v>0</v>
      </c>
      <c r="BN76" s="141">
        <f t="shared" si="48"/>
        <v>4956.2</v>
      </c>
      <c r="BO76" s="227"/>
      <c r="BP76" s="227"/>
      <c r="BQ76" s="227"/>
      <c r="BR76" s="103"/>
      <c r="BS76" s="103"/>
      <c r="BX76" s="50" t="s">
        <v>780</v>
      </c>
      <c r="BY76" s="51" t="s">
        <v>309</v>
      </c>
      <c r="BZ76" s="274"/>
    </row>
    <row r="77" spans="1:78">
      <c r="A77" s="20" t="s">
        <v>137</v>
      </c>
      <c r="B77" s="21" t="s">
        <v>138</v>
      </c>
      <c r="C77" s="22">
        <f t="shared" si="55"/>
        <v>608.16</v>
      </c>
      <c r="D77" s="22">
        <v>0</v>
      </c>
      <c r="E77" s="22">
        <f t="shared" si="56"/>
        <v>203.2</v>
      </c>
      <c r="F77" s="22">
        <v>0</v>
      </c>
      <c r="G77" s="22">
        <f t="shared" si="57"/>
        <v>811.3599999999999</v>
      </c>
      <c r="H77" s="22">
        <f t="shared" si="50"/>
        <v>0</v>
      </c>
      <c r="I77" s="22">
        <f t="shared" si="51"/>
        <v>39.756639999999997</v>
      </c>
      <c r="J77" s="22">
        <f t="shared" si="52"/>
        <v>8.1135999999999999</v>
      </c>
      <c r="K77" s="22">
        <f t="shared" si="53"/>
        <v>0</v>
      </c>
      <c r="L77" s="22">
        <f t="shared" si="58"/>
        <v>0</v>
      </c>
      <c r="M77" s="22">
        <f t="shared" si="59"/>
        <v>0</v>
      </c>
      <c r="N77" s="22">
        <f t="shared" si="59"/>
        <v>0</v>
      </c>
      <c r="O77" s="22">
        <f t="shared" si="60"/>
        <v>0</v>
      </c>
      <c r="P77" s="22">
        <f t="shared" si="54"/>
        <v>0</v>
      </c>
      <c r="Q77" s="22">
        <v>0</v>
      </c>
      <c r="R77" s="22">
        <f t="shared" si="61"/>
        <v>0</v>
      </c>
      <c r="S77" s="22">
        <f t="shared" si="62"/>
        <v>0</v>
      </c>
      <c r="T77" s="22">
        <f t="shared" si="63"/>
        <v>47.870239999999995</v>
      </c>
      <c r="U77" s="22">
        <f t="shared" si="64"/>
        <v>763.48975999999993</v>
      </c>
      <c r="V77" s="22">
        <f t="shared" si="65"/>
        <v>811.3599999999999</v>
      </c>
      <c r="W77" s="22">
        <f t="shared" si="40"/>
        <v>81.135999999999996</v>
      </c>
      <c r="X77" s="22">
        <f>+'C&amp;A'!E77*0.02</f>
        <v>10.2256</v>
      </c>
      <c r="Y77" s="22">
        <f t="shared" si="66"/>
        <v>39.756639999999997</v>
      </c>
      <c r="Z77" s="22">
        <f t="shared" si="67"/>
        <v>942.4782399999998</v>
      </c>
      <c r="AA77" s="22">
        <f t="shared" si="68"/>
        <v>150.79651839999997</v>
      </c>
      <c r="AB77" s="22">
        <f t="shared" si="69"/>
        <v>1093.2747583999999</v>
      </c>
      <c r="AC77" s="59"/>
      <c r="AD77" s="61"/>
      <c r="AE77" s="61"/>
      <c r="AF77" s="61"/>
      <c r="AG77" s="123" t="s">
        <v>381</v>
      </c>
      <c r="AH77" s="123" t="s">
        <v>457</v>
      </c>
      <c r="AI77" s="123"/>
      <c r="AJ77" s="123" t="s">
        <v>259</v>
      </c>
      <c r="AK77" s="123" t="s">
        <v>190</v>
      </c>
      <c r="AL77" s="123"/>
      <c r="AM77" s="123"/>
      <c r="AN77" s="123"/>
      <c r="AO77" s="147">
        <v>608.16</v>
      </c>
      <c r="AP77" s="123"/>
      <c r="AQ77" s="147">
        <f t="shared" si="41"/>
        <v>608.16</v>
      </c>
      <c r="AR77" s="147">
        <v>203.2</v>
      </c>
      <c r="AS77" s="147"/>
      <c r="AT77" s="147"/>
      <c r="AU77" s="147"/>
      <c r="AV77" s="159"/>
      <c r="AW77" s="141">
        <f t="shared" si="42"/>
        <v>811.3599999999999</v>
      </c>
      <c r="AX77" s="147"/>
      <c r="AY77" s="147"/>
      <c r="AZ77" s="147">
        <v>0</v>
      </c>
      <c r="BA77" s="147">
        <f>AW77*4.9%</f>
        <v>39.756639999999997</v>
      </c>
      <c r="BB77" s="147">
        <f>AW77*1%</f>
        <v>8.1135999999999999</v>
      </c>
      <c r="BC77" s="147"/>
      <c r="BD77" s="100">
        <v>0</v>
      </c>
      <c r="BE77" s="100"/>
      <c r="BF77" s="123"/>
      <c r="BG77" s="123">
        <v>0</v>
      </c>
      <c r="BH77" s="141">
        <f t="shared" si="43"/>
        <v>763.48975999999993</v>
      </c>
      <c r="BI77" s="100">
        <f t="shared" si="44"/>
        <v>0</v>
      </c>
      <c r="BJ77" s="141">
        <f t="shared" si="45"/>
        <v>763.48975999999993</v>
      </c>
      <c r="BK77" s="100">
        <f t="shared" si="46"/>
        <v>81.135999999999996</v>
      </c>
      <c r="BL77" s="100">
        <v>10.23</v>
      </c>
      <c r="BM77" s="100">
        <f t="shared" si="47"/>
        <v>39.756639999999997</v>
      </c>
      <c r="BN77" s="141">
        <f t="shared" si="48"/>
        <v>942.48263999999983</v>
      </c>
      <c r="BO77" s="227"/>
      <c r="BP77" s="227"/>
      <c r="BQ77" s="227"/>
      <c r="BR77" s="103"/>
      <c r="BS77" s="103"/>
      <c r="BX77" s="50" t="s">
        <v>137</v>
      </c>
      <c r="BY77" s="51" t="s">
        <v>138</v>
      </c>
      <c r="BZ77" s="274"/>
    </row>
    <row r="78" spans="1:78">
      <c r="A78" s="20" t="s">
        <v>139</v>
      </c>
      <c r="B78" s="21" t="s">
        <v>140</v>
      </c>
      <c r="C78" s="22">
        <f t="shared" si="55"/>
        <v>1516.67</v>
      </c>
      <c r="D78" s="22">
        <v>0</v>
      </c>
      <c r="E78" s="22">
        <f t="shared" si="56"/>
        <v>0</v>
      </c>
      <c r="F78" s="22">
        <v>0</v>
      </c>
      <c r="G78" s="22">
        <f t="shared" si="57"/>
        <v>1516.67</v>
      </c>
      <c r="H78" s="22">
        <f t="shared" si="50"/>
        <v>0</v>
      </c>
      <c r="I78" s="22">
        <f t="shared" si="51"/>
        <v>0</v>
      </c>
      <c r="J78" s="22">
        <f t="shared" si="52"/>
        <v>0</v>
      </c>
      <c r="K78" s="22">
        <f t="shared" si="53"/>
        <v>0</v>
      </c>
      <c r="L78" s="22">
        <f t="shared" si="58"/>
        <v>0</v>
      </c>
      <c r="M78" s="22">
        <f t="shared" si="59"/>
        <v>0</v>
      </c>
      <c r="N78" s="22">
        <f t="shared" si="59"/>
        <v>0</v>
      </c>
      <c r="O78" s="22">
        <f t="shared" si="60"/>
        <v>0</v>
      </c>
      <c r="P78" s="22">
        <f t="shared" si="54"/>
        <v>0</v>
      </c>
      <c r="Q78" s="22">
        <v>0</v>
      </c>
      <c r="R78" s="22">
        <f t="shared" si="61"/>
        <v>0</v>
      </c>
      <c r="S78" s="22">
        <f t="shared" si="62"/>
        <v>0</v>
      </c>
      <c r="T78" s="22">
        <f t="shared" si="63"/>
        <v>0</v>
      </c>
      <c r="U78" s="22">
        <f t="shared" si="64"/>
        <v>1516.67</v>
      </c>
      <c r="V78" s="22">
        <f t="shared" si="65"/>
        <v>1516.67</v>
      </c>
      <c r="W78" s="22">
        <f t="shared" si="40"/>
        <v>151.667</v>
      </c>
      <c r="X78" s="22">
        <f>+'C&amp;A'!E78*0.02</f>
        <v>10.2256</v>
      </c>
      <c r="Y78" s="22">
        <f t="shared" si="66"/>
        <v>0</v>
      </c>
      <c r="Z78" s="22">
        <f t="shared" si="67"/>
        <v>1678.5626</v>
      </c>
      <c r="AA78" s="22">
        <f t="shared" si="68"/>
        <v>268.57001600000001</v>
      </c>
      <c r="AB78" s="22">
        <f t="shared" si="69"/>
        <v>1947.1326159999999</v>
      </c>
      <c r="AC78" s="59"/>
      <c r="AD78" s="61"/>
      <c r="AE78" s="61"/>
      <c r="AF78" s="61"/>
      <c r="AG78" s="123" t="s">
        <v>375</v>
      </c>
      <c r="AH78" s="123" t="s">
        <v>458</v>
      </c>
      <c r="AI78" s="123"/>
      <c r="AJ78" s="123" t="s">
        <v>139</v>
      </c>
      <c r="AK78" s="123" t="s">
        <v>186</v>
      </c>
      <c r="AL78" s="123"/>
      <c r="AM78" s="123"/>
      <c r="AN78" s="123"/>
      <c r="AO78" s="147">
        <v>1516.67</v>
      </c>
      <c r="AP78" s="123"/>
      <c r="AQ78" s="147">
        <f t="shared" si="41"/>
        <v>1516.67</v>
      </c>
      <c r="AR78" s="147"/>
      <c r="AS78" s="147"/>
      <c r="AT78" s="147"/>
      <c r="AU78" s="147"/>
      <c r="AV78" s="159"/>
      <c r="AW78" s="141">
        <f t="shared" si="42"/>
        <v>1516.67</v>
      </c>
      <c r="AX78" s="147"/>
      <c r="AY78" s="147"/>
      <c r="AZ78" s="147">
        <v>0</v>
      </c>
      <c r="BA78" s="147"/>
      <c r="BB78" s="147"/>
      <c r="BC78" s="147"/>
      <c r="BD78" s="100">
        <v>0</v>
      </c>
      <c r="BE78" s="100"/>
      <c r="BF78" s="123"/>
      <c r="BG78" s="123">
        <v>0</v>
      </c>
      <c r="BH78" s="141">
        <f t="shared" si="43"/>
        <v>1516.67</v>
      </c>
      <c r="BI78" s="100">
        <f t="shared" si="44"/>
        <v>0</v>
      </c>
      <c r="BJ78" s="141">
        <f t="shared" si="45"/>
        <v>1516.67</v>
      </c>
      <c r="BK78" s="100">
        <f t="shared" si="46"/>
        <v>151.667</v>
      </c>
      <c r="BL78" s="100">
        <v>10.23</v>
      </c>
      <c r="BM78" s="100">
        <f t="shared" si="47"/>
        <v>0</v>
      </c>
      <c r="BN78" s="141">
        <f t="shared" si="48"/>
        <v>1678.567</v>
      </c>
      <c r="BO78" s="227"/>
      <c r="BP78" s="227"/>
      <c r="BQ78" s="227"/>
      <c r="BR78" s="103"/>
      <c r="BS78" s="103"/>
      <c r="BX78" s="50" t="s">
        <v>781</v>
      </c>
      <c r="BY78" s="51" t="s">
        <v>140</v>
      </c>
      <c r="BZ78" s="274"/>
    </row>
    <row r="79" spans="1:78">
      <c r="A79" s="50" t="s">
        <v>509</v>
      </c>
      <c r="B79" s="21" t="s">
        <v>510</v>
      </c>
      <c r="C79" s="22">
        <f t="shared" si="55"/>
        <v>739.23</v>
      </c>
      <c r="D79" s="22">
        <v>0</v>
      </c>
      <c r="E79" s="22">
        <f t="shared" si="56"/>
        <v>1930.88</v>
      </c>
      <c r="F79" s="22">
        <v>0</v>
      </c>
      <c r="G79" s="22">
        <f t="shared" si="57"/>
        <v>2670.11</v>
      </c>
      <c r="H79" s="22">
        <f t="shared" si="50"/>
        <v>0</v>
      </c>
      <c r="I79" s="22">
        <f t="shared" si="51"/>
        <v>0</v>
      </c>
      <c r="J79" s="22">
        <f t="shared" si="52"/>
        <v>0</v>
      </c>
      <c r="K79" s="22">
        <f t="shared" si="53"/>
        <v>0</v>
      </c>
      <c r="L79" s="22">
        <f t="shared" si="58"/>
        <v>0</v>
      </c>
      <c r="M79" s="22">
        <f t="shared" si="59"/>
        <v>0</v>
      </c>
      <c r="N79" s="22">
        <f t="shared" si="59"/>
        <v>0</v>
      </c>
      <c r="O79" s="22">
        <f t="shared" si="60"/>
        <v>0</v>
      </c>
      <c r="P79" s="22">
        <f t="shared" si="54"/>
        <v>0</v>
      </c>
      <c r="Q79" s="22">
        <v>0</v>
      </c>
      <c r="R79" s="22">
        <f t="shared" si="61"/>
        <v>0</v>
      </c>
      <c r="S79" s="22">
        <f t="shared" si="62"/>
        <v>0</v>
      </c>
      <c r="T79" s="22">
        <f t="shared" si="63"/>
        <v>0</v>
      </c>
      <c r="U79" s="22">
        <f t="shared" si="64"/>
        <v>2670.11</v>
      </c>
      <c r="V79" s="22">
        <f t="shared" si="65"/>
        <v>2670.11</v>
      </c>
      <c r="W79" s="22">
        <f t="shared" si="40"/>
        <v>267.01100000000002</v>
      </c>
      <c r="X79" s="22">
        <f>+'C&amp;A'!E79*0.02</f>
        <v>10.2256</v>
      </c>
      <c r="Y79" s="22">
        <f t="shared" si="66"/>
        <v>0</v>
      </c>
      <c r="Z79" s="22">
        <f t="shared" si="67"/>
        <v>2947.3466000000003</v>
      </c>
      <c r="AA79" s="22">
        <f t="shared" si="68"/>
        <v>471.57545600000003</v>
      </c>
      <c r="AB79" s="22">
        <f t="shared" si="69"/>
        <v>3418.9220560000003</v>
      </c>
      <c r="AC79" s="59"/>
      <c r="AD79" s="61"/>
      <c r="AE79" s="61"/>
      <c r="AF79" s="61"/>
      <c r="AG79" s="123" t="s">
        <v>383</v>
      </c>
      <c r="AH79" s="123" t="s">
        <v>459</v>
      </c>
      <c r="AI79" s="123"/>
      <c r="AJ79" s="123"/>
      <c r="AK79" s="123" t="s">
        <v>177</v>
      </c>
      <c r="AL79" s="161">
        <v>42416</v>
      </c>
      <c r="AM79" s="123"/>
      <c r="AN79" s="123"/>
      <c r="AO79" s="147">
        <v>739.23</v>
      </c>
      <c r="AP79" s="123"/>
      <c r="AQ79" s="147">
        <f t="shared" si="41"/>
        <v>739.23</v>
      </c>
      <c r="AR79" s="147">
        <f>1923.46+7.42</f>
        <v>1930.88</v>
      </c>
      <c r="AS79" s="147"/>
      <c r="AT79" s="147"/>
      <c r="AU79" s="147"/>
      <c r="AV79" s="159"/>
      <c r="AW79" s="141">
        <f t="shared" si="42"/>
        <v>2670.11</v>
      </c>
      <c r="AX79" s="147"/>
      <c r="AY79" s="147"/>
      <c r="AZ79" s="147">
        <v>0</v>
      </c>
      <c r="BA79" s="147"/>
      <c r="BB79" s="147"/>
      <c r="BC79" s="147"/>
      <c r="BD79" s="100">
        <v>0</v>
      </c>
      <c r="BE79" s="100"/>
      <c r="BF79" s="123"/>
      <c r="BG79" s="123">
        <v>0</v>
      </c>
      <c r="BH79" s="141">
        <f t="shared" si="43"/>
        <v>2670.11</v>
      </c>
      <c r="BI79" s="100">
        <f t="shared" si="44"/>
        <v>0</v>
      </c>
      <c r="BJ79" s="141">
        <f t="shared" si="45"/>
        <v>2670.11</v>
      </c>
      <c r="BK79" s="100">
        <f t="shared" si="46"/>
        <v>267.01100000000002</v>
      </c>
      <c r="BL79" s="100">
        <v>10.23</v>
      </c>
      <c r="BM79" s="100">
        <f t="shared" si="47"/>
        <v>0</v>
      </c>
      <c r="BN79" s="141">
        <f t="shared" si="48"/>
        <v>2947.3510000000001</v>
      </c>
      <c r="BO79" s="227"/>
      <c r="BP79" s="227"/>
      <c r="BQ79" s="227"/>
      <c r="BR79" s="103"/>
      <c r="BS79" s="103"/>
      <c r="BX79" s="50" t="s">
        <v>509</v>
      </c>
      <c r="BY79" s="51" t="s">
        <v>510</v>
      </c>
      <c r="BZ79" s="274"/>
    </row>
    <row r="80" spans="1:78">
      <c r="A80" s="20" t="s">
        <v>141</v>
      </c>
      <c r="B80" s="21" t="s">
        <v>142</v>
      </c>
      <c r="C80" s="22">
        <f t="shared" si="55"/>
        <v>511.28</v>
      </c>
      <c r="D80" s="22">
        <v>0</v>
      </c>
      <c r="E80" s="22">
        <f t="shared" si="56"/>
        <v>2734.7000000000003</v>
      </c>
      <c r="F80" s="22">
        <v>0</v>
      </c>
      <c r="G80" s="22">
        <f t="shared" si="57"/>
        <v>3245.9800000000005</v>
      </c>
      <c r="H80" s="22">
        <f t="shared" si="50"/>
        <v>300</v>
      </c>
      <c r="I80" s="22">
        <f t="shared" si="51"/>
        <v>0</v>
      </c>
      <c r="J80" s="22">
        <f t="shared" si="52"/>
        <v>0</v>
      </c>
      <c r="K80" s="22">
        <f t="shared" si="53"/>
        <v>0</v>
      </c>
      <c r="L80" s="22">
        <f t="shared" si="58"/>
        <v>0</v>
      </c>
      <c r="M80" s="22">
        <f t="shared" si="59"/>
        <v>0</v>
      </c>
      <c r="N80" s="22">
        <f t="shared" si="59"/>
        <v>971.68</v>
      </c>
      <c r="O80" s="22">
        <f t="shared" si="60"/>
        <v>0</v>
      </c>
      <c r="P80" s="22">
        <f t="shared" si="54"/>
        <v>0</v>
      </c>
      <c r="Q80" s="22">
        <v>0</v>
      </c>
      <c r="R80" s="22">
        <f t="shared" si="61"/>
        <v>0</v>
      </c>
      <c r="S80" s="22">
        <f t="shared" si="62"/>
        <v>0</v>
      </c>
      <c r="T80" s="22">
        <f t="shared" si="63"/>
        <v>1271.6799999999998</v>
      </c>
      <c r="U80" s="22">
        <f t="shared" si="64"/>
        <v>1974.3000000000006</v>
      </c>
      <c r="V80" s="22">
        <f t="shared" si="65"/>
        <v>3245.9800000000005</v>
      </c>
      <c r="W80" s="22">
        <f t="shared" si="40"/>
        <v>324.59800000000007</v>
      </c>
      <c r="X80" s="22">
        <f>+'C&amp;A'!E80*0.02</f>
        <v>10.2256</v>
      </c>
      <c r="Y80" s="22">
        <f t="shared" si="66"/>
        <v>0</v>
      </c>
      <c r="Z80" s="22">
        <f t="shared" si="67"/>
        <v>3580.8036000000006</v>
      </c>
      <c r="AA80" s="22">
        <f t="shared" si="68"/>
        <v>572.92857600000013</v>
      </c>
      <c r="AB80" s="22">
        <f t="shared" si="69"/>
        <v>4153.7321760000004</v>
      </c>
      <c r="AC80" s="59"/>
      <c r="AD80" s="61"/>
      <c r="AE80" s="61"/>
      <c r="AF80" s="61"/>
      <c r="AG80" s="123" t="s">
        <v>381</v>
      </c>
      <c r="AH80" s="123" t="s">
        <v>460</v>
      </c>
      <c r="AI80" s="123"/>
      <c r="AJ80" s="123" t="s">
        <v>141</v>
      </c>
      <c r="AK80" s="123" t="s">
        <v>195</v>
      </c>
      <c r="AL80" s="123"/>
      <c r="AM80" s="123"/>
      <c r="AN80" s="123"/>
      <c r="AO80" s="147">
        <v>511.28</v>
      </c>
      <c r="AP80" s="123"/>
      <c r="AQ80" s="147">
        <f t="shared" ref="AQ80:AQ97" si="70">+AO80+AP80</f>
        <v>511.28</v>
      </c>
      <c r="AR80" s="147">
        <f>2227.28+7.42+500</f>
        <v>2734.7000000000003</v>
      </c>
      <c r="AS80" s="147"/>
      <c r="AT80" s="147"/>
      <c r="AU80" s="147"/>
      <c r="AV80" s="159"/>
      <c r="AW80" s="141">
        <f t="shared" ref="AW80:AW97" si="71">SUM(AQ80:AU80)-AV80</f>
        <v>3245.9800000000005</v>
      </c>
      <c r="AX80" s="147"/>
      <c r="AY80" s="147"/>
      <c r="AZ80" s="147">
        <v>300</v>
      </c>
      <c r="BA80" s="147"/>
      <c r="BB80" s="147"/>
      <c r="BC80" s="147"/>
      <c r="BD80" s="100">
        <v>0</v>
      </c>
      <c r="BE80" s="100"/>
      <c r="BF80" s="123"/>
      <c r="BG80" s="123">
        <f>831.77+139.91</f>
        <v>971.68</v>
      </c>
      <c r="BH80" s="141">
        <f t="shared" ref="BH80:BH97" si="72">+AW80-SUM(AX80:BG80)</f>
        <v>1974.3000000000006</v>
      </c>
      <c r="BI80" s="100">
        <f t="shared" ref="BI80:BI97" si="73">IF(AW80&gt;3500,AW80*0.1,0)</f>
        <v>0</v>
      </c>
      <c r="BJ80" s="141">
        <f t="shared" ref="BJ80:BJ97" si="74">+BH80-BI80</f>
        <v>1974.3000000000006</v>
      </c>
      <c r="BK80" s="100">
        <f t="shared" ref="BK80:BK97" si="75">IF(AW80&lt;3500,AW80*0.1,0)</f>
        <v>324.59800000000007</v>
      </c>
      <c r="BL80" s="100">
        <v>10.23</v>
      </c>
      <c r="BM80" s="100">
        <f t="shared" ref="BM80:BM97" si="76">+BA80</f>
        <v>0</v>
      </c>
      <c r="BN80" s="141">
        <f t="shared" ref="BN80:BN97" si="77">+AW80+BK80+BL80+BM80</f>
        <v>3580.8080000000004</v>
      </c>
      <c r="BO80" s="227"/>
      <c r="BP80" s="227"/>
      <c r="BQ80" s="227"/>
      <c r="BR80" s="103"/>
      <c r="BS80" s="103"/>
      <c r="BX80" s="50" t="s">
        <v>782</v>
      </c>
      <c r="BY80" s="51" t="s">
        <v>142</v>
      </c>
      <c r="BZ80" s="274"/>
    </row>
    <row r="81" spans="1:78">
      <c r="A81" s="20" t="s">
        <v>143</v>
      </c>
      <c r="B81" s="21" t="s">
        <v>144</v>
      </c>
      <c r="C81" s="22">
        <f t="shared" si="55"/>
        <v>1166.26</v>
      </c>
      <c r="D81" s="22">
        <v>0</v>
      </c>
      <c r="E81" s="22">
        <f t="shared" si="56"/>
        <v>2885.07</v>
      </c>
      <c r="F81" s="22">
        <v>0</v>
      </c>
      <c r="G81" s="22">
        <f t="shared" si="57"/>
        <v>4051.33</v>
      </c>
      <c r="H81" s="22">
        <f t="shared" si="50"/>
        <v>0</v>
      </c>
      <c r="I81" s="22">
        <f t="shared" si="51"/>
        <v>0</v>
      </c>
      <c r="J81" s="22">
        <f t="shared" si="52"/>
        <v>0</v>
      </c>
      <c r="K81" s="22">
        <f t="shared" si="53"/>
        <v>0</v>
      </c>
      <c r="L81" s="22">
        <f t="shared" si="58"/>
        <v>0</v>
      </c>
      <c r="M81" s="22">
        <f t="shared" si="59"/>
        <v>0</v>
      </c>
      <c r="N81" s="22">
        <f t="shared" si="59"/>
        <v>0</v>
      </c>
      <c r="O81" s="22">
        <f t="shared" si="60"/>
        <v>405.13300000000004</v>
      </c>
      <c r="P81" s="22">
        <f t="shared" si="54"/>
        <v>0</v>
      </c>
      <c r="Q81" s="22">
        <v>0</v>
      </c>
      <c r="R81" s="22">
        <f t="shared" si="61"/>
        <v>0</v>
      </c>
      <c r="S81" s="22">
        <f t="shared" si="62"/>
        <v>0</v>
      </c>
      <c r="T81" s="22">
        <f t="shared" si="63"/>
        <v>405.13300000000004</v>
      </c>
      <c r="U81" s="22">
        <f t="shared" si="64"/>
        <v>3646.1970000000001</v>
      </c>
      <c r="V81" s="22">
        <f t="shared" si="65"/>
        <v>4051.33</v>
      </c>
      <c r="W81" s="22">
        <f t="shared" si="40"/>
        <v>0</v>
      </c>
      <c r="X81" s="22">
        <f>+'C&amp;A'!E81*0.02</f>
        <v>10.2256</v>
      </c>
      <c r="Y81" s="22">
        <f t="shared" si="66"/>
        <v>0</v>
      </c>
      <c r="Z81" s="22">
        <f t="shared" si="67"/>
        <v>4061.5556000000001</v>
      </c>
      <c r="AA81" s="22">
        <f t="shared" si="68"/>
        <v>649.84889600000008</v>
      </c>
      <c r="AB81" s="22">
        <f t="shared" si="69"/>
        <v>4711.4044960000001</v>
      </c>
      <c r="AC81" s="59"/>
      <c r="AD81" s="61"/>
      <c r="AE81" s="61"/>
      <c r="AF81" s="61"/>
      <c r="AG81" s="123" t="s">
        <v>375</v>
      </c>
      <c r="AH81" s="123" t="s">
        <v>461</v>
      </c>
      <c r="AI81" s="123"/>
      <c r="AJ81" s="123" t="s">
        <v>143</v>
      </c>
      <c r="AK81" s="123" t="s">
        <v>179</v>
      </c>
      <c r="AL81" s="123"/>
      <c r="AM81" s="123"/>
      <c r="AN81" s="123"/>
      <c r="AO81" s="147">
        <v>1166.26</v>
      </c>
      <c r="AP81" s="158"/>
      <c r="AQ81" s="147">
        <f t="shared" si="70"/>
        <v>1166.26</v>
      </c>
      <c r="AR81" s="147">
        <v>2885.07</v>
      </c>
      <c r="AS81" s="147"/>
      <c r="AT81" s="147"/>
      <c r="AU81" s="147"/>
      <c r="AV81" s="159"/>
      <c r="AW81" s="141">
        <f t="shared" si="71"/>
        <v>4051.33</v>
      </c>
      <c r="AX81" s="147"/>
      <c r="AY81" s="147"/>
      <c r="AZ81" s="147">
        <v>0</v>
      </c>
      <c r="BA81" s="147"/>
      <c r="BB81" s="147"/>
      <c r="BC81" s="147"/>
      <c r="BD81" s="100">
        <v>0</v>
      </c>
      <c r="BE81" s="100"/>
      <c r="BF81" s="123"/>
      <c r="BG81" s="123">
        <v>0</v>
      </c>
      <c r="BH81" s="141">
        <f t="shared" si="72"/>
        <v>4051.33</v>
      </c>
      <c r="BI81" s="100">
        <f t="shared" si="73"/>
        <v>405.13300000000004</v>
      </c>
      <c r="BJ81" s="141">
        <f t="shared" si="74"/>
        <v>3646.1970000000001</v>
      </c>
      <c r="BK81" s="100">
        <f t="shared" si="75"/>
        <v>0</v>
      </c>
      <c r="BL81" s="100">
        <v>10.23</v>
      </c>
      <c r="BM81" s="100">
        <f t="shared" si="76"/>
        <v>0</v>
      </c>
      <c r="BN81" s="141">
        <f t="shared" si="77"/>
        <v>4061.56</v>
      </c>
      <c r="BO81" s="227"/>
      <c r="BP81" s="227"/>
      <c r="BQ81" s="227"/>
      <c r="BR81" s="103"/>
      <c r="BS81" s="103"/>
      <c r="BX81" s="50" t="s">
        <v>783</v>
      </c>
      <c r="BY81" s="51" t="s">
        <v>144</v>
      </c>
      <c r="BZ81" s="274"/>
    </row>
    <row r="82" spans="1:78">
      <c r="A82" s="20" t="s">
        <v>188</v>
      </c>
      <c r="B82" s="21" t="s">
        <v>726</v>
      </c>
      <c r="C82" s="22">
        <f t="shared" si="55"/>
        <v>1100</v>
      </c>
      <c r="D82" s="22">
        <v>0</v>
      </c>
      <c r="E82" s="22">
        <f t="shared" si="56"/>
        <v>0</v>
      </c>
      <c r="F82" s="22">
        <v>0</v>
      </c>
      <c r="G82" s="22">
        <f t="shared" si="57"/>
        <v>1100</v>
      </c>
      <c r="H82" s="22">
        <f t="shared" si="50"/>
        <v>0</v>
      </c>
      <c r="I82" s="22">
        <f t="shared" si="51"/>
        <v>0</v>
      </c>
      <c r="J82" s="22">
        <f t="shared" si="52"/>
        <v>0</v>
      </c>
      <c r="K82" s="22">
        <f t="shared" si="53"/>
        <v>0</v>
      </c>
      <c r="L82" s="22">
        <f t="shared" si="58"/>
        <v>0</v>
      </c>
      <c r="M82" s="22">
        <f t="shared" si="59"/>
        <v>0</v>
      </c>
      <c r="N82" s="22">
        <f t="shared" si="59"/>
        <v>0</v>
      </c>
      <c r="O82" s="22">
        <f t="shared" si="60"/>
        <v>0</v>
      </c>
      <c r="P82" s="22">
        <f t="shared" si="54"/>
        <v>0</v>
      </c>
      <c r="Q82" s="22">
        <v>0</v>
      </c>
      <c r="R82" s="22">
        <f t="shared" si="61"/>
        <v>0</v>
      </c>
      <c r="S82" s="22">
        <f t="shared" si="62"/>
        <v>0</v>
      </c>
      <c r="T82" s="22">
        <f t="shared" si="63"/>
        <v>0</v>
      </c>
      <c r="U82" s="22">
        <f t="shared" si="64"/>
        <v>1100</v>
      </c>
      <c r="V82" s="22">
        <f t="shared" si="65"/>
        <v>1100</v>
      </c>
      <c r="W82" s="22">
        <f t="shared" si="40"/>
        <v>110</v>
      </c>
      <c r="X82" s="22">
        <f>+'C&amp;A'!E82*0.02</f>
        <v>10.2256</v>
      </c>
      <c r="Y82" s="22">
        <f t="shared" si="66"/>
        <v>0</v>
      </c>
      <c r="Z82" s="22">
        <f t="shared" si="67"/>
        <v>1220.2256</v>
      </c>
      <c r="AA82" s="22">
        <f t="shared" si="68"/>
        <v>195.236096</v>
      </c>
      <c r="AB82" s="22">
        <f t="shared" si="69"/>
        <v>1415.4616960000001</v>
      </c>
      <c r="AC82" s="59"/>
      <c r="AD82" s="61"/>
      <c r="AE82" s="61"/>
      <c r="AF82" s="61"/>
      <c r="AG82" s="123" t="s">
        <v>431</v>
      </c>
      <c r="AH82" s="123" t="s">
        <v>727</v>
      </c>
      <c r="AI82" s="123"/>
      <c r="AJ82" s="123" t="s">
        <v>188</v>
      </c>
      <c r="AK82" s="123" t="s">
        <v>185</v>
      </c>
      <c r="AL82" s="123"/>
      <c r="AM82" s="123"/>
      <c r="AN82" s="123"/>
      <c r="AO82" s="147">
        <v>1100</v>
      </c>
      <c r="AP82" s="123"/>
      <c r="AQ82" s="147">
        <f t="shared" si="70"/>
        <v>1100</v>
      </c>
      <c r="AR82" s="147"/>
      <c r="AS82" s="147"/>
      <c r="AT82" s="147"/>
      <c r="AU82" s="147"/>
      <c r="AV82" s="159"/>
      <c r="AW82" s="141">
        <f t="shared" si="71"/>
        <v>1100</v>
      </c>
      <c r="AX82" s="147"/>
      <c r="AY82" s="147"/>
      <c r="AZ82" s="147">
        <v>0</v>
      </c>
      <c r="BA82" s="147"/>
      <c r="BB82" s="147"/>
      <c r="BC82" s="147"/>
      <c r="BD82" s="100">
        <v>0</v>
      </c>
      <c r="BE82" s="100"/>
      <c r="BF82" s="123"/>
      <c r="BG82" s="123">
        <v>0</v>
      </c>
      <c r="BH82" s="141">
        <f t="shared" si="72"/>
        <v>1100</v>
      </c>
      <c r="BI82" s="100">
        <f t="shared" si="73"/>
        <v>0</v>
      </c>
      <c r="BJ82" s="141">
        <f t="shared" si="74"/>
        <v>1100</v>
      </c>
      <c r="BK82" s="100">
        <f t="shared" si="75"/>
        <v>110</v>
      </c>
      <c r="BL82" s="100">
        <v>10.23</v>
      </c>
      <c r="BM82" s="100">
        <f t="shared" si="76"/>
        <v>0</v>
      </c>
      <c r="BN82" s="141">
        <f t="shared" si="77"/>
        <v>1220.23</v>
      </c>
      <c r="BO82" s="227"/>
      <c r="BP82" s="227"/>
      <c r="BQ82" s="227"/>
      <c r="BR82" s="103"/>
      <c r="BS82" s="103"/>
      <c r="BX82" s="50" t="s">
        <v>784</v>
      </c>
      <c r="BY82" s="51" t="s">
        <v>314</v>
      </c>
      <c r="BZ82" s="274"/>
    </row>
    <row r="83" spans="1:78">
      <c r="A83" s="20" t="s">
        <v>148</v>
      </c>
      <c r="B83" s="21" t="s">
        <v>149</v>
      </c>
      <c r="C83" s="22">
        <f t="shared" si="55"/>
        <v>513.33000000000004</v>
      </c>
      <c r="D83" s="22">
        <v>0</v>
      </c>
      <c r="E83" s="22">
        <f t="shared" si="56"/>
        <v>3045.71</v>
      </c>
      <c r="F83" s="22">
        <v>0</v>
      </c>
      <c r="G83" s="22">
        <f t="shared" si="57"/>
        <v>3559.04</v>
      </c>
      <c r="H83" s="22">
        <f t="shared" si="50"/>
        <v>0</v>
      </c>
      <c r="I83" s="22">
        <f t="shared" si="51"/>
        <v>0</v>
      </c>
      <c r="J83" s="22">
        <f t="shared" si="52"/>
        <v>0</v>
      </c>
      <c r="K83" s="22">
        <f t="shared" si="53"/>
        <v>0</v>
      </c>
      <c r="L83" s="22">
        <f t="shared" si="58"/>
        <v>0</v>
      </c>
      <c r="M83" s="22">
        <f t="shared" si="59"/>
        <v>0</v>
      </c>
      <c r="N83" s="22">
        <f t="shared" si="59"/>
        <v>0</v>
      </c>
      <c r="O83" s="22">
        <f t="shared" si="60"/>
        <v>355.904</v>
      </c>
      <c r="P83" s="22">
        <f t="shared" si="54"/>
        <v>58.91</v>
      </c>
      <c r="Q83" s="22">
        <v>0</v>
      </c>
      <c r="R83" s="22">
        <f t="shared" si="61"/>
        <v>0</v>
      </c>
      <c r="S83" s="22">
        <f t="shared" si="62"/>
        <v>0</v>
      </c>
      <c r="T83" s="22">
        <f t="shared" si="63"/>
        <v>414.81399999999996</v>
      </c>
      <c r="U83" s="22">
        <f t="shared" si="64"/>
        <v>3144.2260000000001</v>
      </c>
      <c r="V83" s="22">
        <f t="shared" si="65"/>
        <v>3500.13</v>
      </c>
      <c r="W83" s="22">
        <f t="shared" ref="W83:W97" si="78">+BK83</f>
        <v>0</v>
      </c>
      <c r="X83" s="22">
        <f>+'C&amp;A'!E83*0.02</f>
        <v>10.2256</v>
      </c>
      <c r="Y83" s="22">
        <f t="shared" si="66"/>
        <v>0</v>
      </c>
      <c r="Z83" s="22">
        <f t="shared" si="67"/>
        <v>3510.3556000000003</v>
      </c>
      <c r="AA83" s="22">
        <f t="shared" si="68"/>
        <v>561.65689600000007</v>
      </c>
      <c r="AB83" s="22">
        <f t="shared" si="69"/>
        <v>4072.0124960000003</v>
      </c>
      <c r="AC83" s="59"/>
      <c r="AD83" s="61"/>
      <c r="AE83" s="61"/>
      <c r="AF83" s="61"/>
      <c r="AG83" s="123" t="s">
        <v>377</v>
      </c>
      <c r="AH83" s="123" t="s">
        <v>464</v>
      </c>
      <c r="AI83" s="123" t="s">
        <v>30</v>
      </c>
      <c r="AJ83" s="123" t="s">
        <v>148</v>
      </c>
      <c r="AK83" s="123" t="s">
        <v>189</v>
      </c>
      <c r="AL83" s="123"/>
      <c r="AM83" s="123"/>
      <c r="AN83" s="123"/>
      <c r="AO83" s="147">
        <v>513.33000000000004</v>
      </c>
      <c r="AP83" s="123"/>
      <c r="AQ83" s="147">
        <f t="shared" si="70"/>
        <v>513.33000000000004</v>
      </c>
      <c r="AR83" s="147">
        <v>3045.71</v>
      </c>
      <c r="AS83" s="147"/>
      <c r="AT83" s="147"/>
      <c r="AU83" s="147"/>
      <c r="AV83" s="159"/>
      <c r="AW83" s="141">
        <f t="shared" si="71"/>
        <v>3559.04</v>
      </c>
      <c r="AX83" s="147"/>
      <c r="AY83" s="147">
        <v>58.91</v>
      </c>
      <c r="AZ83" s="147">
        <v>0</v>
      </c>
      <c r="BA83" s="147"/>
      <c r="BB83" s="147"/>
      <c r="BC83" s="147"/>
      <c r="BD83" s="100">
        <v>0</v>
      </c>
      <c r="BE83" s="100"/>
      <c r="BF83" s="123"/>
      <c r="BG83" s="123">
        <v>0</v>
      </c>
      <c r="BH83" s="141">
        <f t="shared" si="72"/>
        <v>3500.13</v>
      </c>
      <c r="BI83" s="100">
        <f t="shared" si="73"/>
        <v>355.904</v>
      </c>
      <c r="BJ83" s="141">
        <f t="shared" si="74"/>
        <v>3144.2260000000001</v>
      </c>
      <c r="BK83" s="100">
        <f t="shared" si="75"/>
        <v>0</v>
      </c>
      <c r="BL83" s="100">
        <v>10.23</v>
      </c>
      <c r="BM83" s="100">
        <f t="shared" si="76"/>
        <v>0</v>
      </c>
      <c r="BN83" s="141">
        <f t="shared" si="77"/>
        <v>3569.27</v>
      </c>
      <c r="BO83" s="227"/>
      <c r="BP83" s="227"/>
      <c r="BQ83" s="227"/>
      <c r="BR83" s="103"/>
      <c r="BS83" s="103"/>
      <c r="BX83" s="50" t="s">
        <v>785</v>
      </c>
      <c r="BY83" s="51" t="s">
        <v>149</v>
      </c>
      <c r="BZ83" s="274"/>
    </row>
    <row r="84" spans="1:78">
      <c r="A84" s="20" t="s">
        <v>150</v>
      </c>
      <c r="B84" s="21" t="s">
        <v>151</v>
      </c>
      <c r="C84" s="22">
        <f t="shared" si="55"/>
        <v>543.20000000000005</v>
      </c>
      <c r="D84" s="22">
        <v>0</v>
      </c>
      <c r="E84" s="22">
        <f t="shared" si="56"/>
        <v>1031.9000000000001</v>
      </c>
      <c r="F84" s="22">
        <v>0</v>
      </c>
      <c r="G84" s="22">
        <f t="shared" si="57"/>
        <v>1575.1000000000001</v>
      </c>
      <c r="H84" s="22">
        <f t="shared" si="50"/>
        <v>0</v>
      </c>
      <c r="I84" s="22">
        <f t="shared" si="51"/>
        <v>77.179900000000004</v>
      </c>
      <c r="J84" s="22">
        <f t="shared" si="52"/>
        <v>15.751000000000001</v>
      </c>
      <c r="K84" s="22">
        <f t="shared" si="53"/>
        <v>0</v>
      </c>
      <c r="L84" s="22">
        <f t="shared" si="58"/>
        <v>0</v>
      </c>
      <c r="M84" s="22">
        <f t="shared" si="59"/>
        <v>0</v>
      </c>
      <c r="N84" s="22">
        <f t="shared" si="59"/>
        <v>0</v>
      </c>
      <c r="O84" s="22">
        <f t="shared" si="60"/>
        <v>0</v>
      </c>
      <c r="P84" s="22">
        <f t="shared" si="54"/>
        <v>0</v>
      </c>
      <c r="Q84" s="22">
        <v>0</v>
      </c>
      <c r="R84" s="22">
        <f t="shared" si="61"/>
        <v>0</v>
      </c>
      <c r="S84" s="22">
        <f t="shared" si="62"/>
        <v>0</v>
      </c>
      <c r="T84" s="22">
        <f t="shared" si="63"/>
        <v>92.930900000000008</v>
      </c>
      <c r="U84" s="22">
        <f t="shared" si="64"/>
        <v>1482.1691000000001</v>
      </c>
      <c r="V84" s="22">
        <f t="shared" si="65"/>
        <v>1575.1000000000001</v>
      </c>
      <c r="W84" s="22">
        <f t="shared" si="78"/>
        <v>157.51000000000002</v>
      </c>
      <c r="X84" s="22">
        <f>+'C&amp;A'!E84*0.02</f>
        <v>10.2256</v>
      </c>
      <c r="Y84" s="22">
        <f t="shared" si="66"/>
        <v>77.179900000000004</v>
      </c>
      <c r="Z84" s="22">
        <f t="shared" si="67"/>
        <v>1820.0155000000002</v>
      </c>
      <c r="AA84" s="22">
        <f t="shared" si="68"/>
        <v>291.20248000000004</v>
      </c>
      <c r="AB84" s="22">
        <f t="shared" si="69"/>
        <v>2111.2179800000004</v>
      </c>
      <c r="AC84" s="59"/>
      <c r="AD84" s="61"/>
      <c r="AE84" s="61"/>
      <c r="AF84" s="61"/>
      <c r="AG84" s="123" t="s">
        <v>381</v>
      </c>
      <c r="AH84" s="123" t="s">
        <v>465</v>
      </c>
      <c r="AI84" s="123"/>
      <c r="AJ84" s="123" t="s">
        <v>261</v>
      </c>
      <c r="AK84" s="123" t="s">
        <v>466</v>
      </c>
      <c r="AL84" s="123"/>
      <c r="AM84" s="123"/>
      <c r="AN84" s="123"/>
      <c r="AO84" s="147">
        <v>543.20000000000005</v>
      </c>
      <c r="AP84" s="123"/>
      <c r="AQ84" s="147">
        <f t="shared" si="70"/>
        <v>543.20000000000005</v>
      </c>
      <c r="AR84" s="147">
        <v>1031.9000000000001</v>
      </c>
      <c r="AS84" s="147"/>
      <c r="AT84" s="147"/>
      <c r="AU84" s="147"/>
      <c r="AV84" s="159"/>
      <c r="AW84" s="141">
        <f t="shared" si="71"/>
        <v>1575.1000000000001</v>
      </c>
      <c r="AX84" s="147"/>
      <c r="AY84" s="147"/>
      <c r="AZ84" s="147">
        <v>0</v>
      </c>
      <c r="BA84" s="147">
        <f>AW84*4.9%</f>
        <v>77.179900000000004</v>
      </c>
      <c r="BB84" s="147">
        <f>AW84*1%</f>
        <v>15.751000000000001</v>
      </c>
      <c r="BC84" s="147"/>
      <c r="BD84" s="100">
        <v>0</v>
      </c>
      <c r="BE84" s="100"/>
      <c r="BF84" s="123"/>
      <c r="BG84" s="123">
        <v>0</v>
      </c>
      <c r="BH84" s="141">
        <f t="shared" si="72"/>
        <v>1482.1691000000001</v>
      </c>
      <c r="BI84" s="100">
        <f t="shared" si="73"/>
        <v>0</v>
      </c>
      <c r="BJ84" s="141">
        <f t="shared" si="74"/>
        <v>1482.1691000000001</v>
      </c>
      <c r="BK84" s="100">
        <f t="shared" si="75"/>
        <v>157.51000000000002</v>
      </c>
      <c r="BL84" s="100">
        <v>10.23</v>
      </c>
      <c r="BM84" s="100">
        <f t="shared" si="76"/>
        <v>77.179900000000004</v>
      </c>
      <c r="BN84" s="141">
        <f t="shared" si="77"/>
        <v>1820.0199000000002</v>
      </c>
      <c r="BO84" s="227"/>
      <c r="BP84" s="227"/>
      <c r="BQ84" s="227"/>
      <c r="BR84" s="103"/>
      <c r="BS84" s="103"/>
      <c r="BX84" s="50" t="s">
        <v>150</v>
      </c>
      <c r="BY84" s="51" t="s">
        <v>151</v>
      </c>
      <c r="BZ84" s="274"/>
    </row>
    <row r="85" spans="1:78">
      <c r="A85" s="20" t="s">
        <v>152</v>
      </c>
      <c r="B85" s="21" t="s">
        <v>153</v>
      </c>
      <c r="C85" s="22">
        <f t="shared" si="55"/>
        <v>608.16</v>
      </c>
      <c r="D85" s="22">
        <v>0</v>
      </c>
      <c r="E85" s="22">
        <f t="shared" si="56"/>
        <v>2354.2000000000003</v>
      </c>
      <c r="F85" s="22">
        <v>0</v>
      </c>
      <c r="G85" s="22">
        <f t="shared" si="57"/>
        <v>2962.36</v>
      </c>
      <c r="H85" s="22">
        <f t="shared" si="50"/>
        <v>200</v>
      </c>
      <c r="I85" s="22">
        <f t="shared" si="51"/>
        <v>145.15564000000001</v>
      </c>
      <c r="J85" s="22">
        <f t="shared" si="52"/>
        <v>29.623600000000003</v>
      </c>
      <c r="K85" s="22">
        <f t="shared" si="53"/>
        <v>257.64</v>
      </c>
      <c r="L85" s="22">
        <f t="shared" si="58"/>
        <v>0</v>
      </c>
      <c r="M85" s="22">
        <f t="shared" si="59"/>
        <v>201.24</v>
      </c>
      <c r="N85" s="22">
        <f t="shared" si="59"/>
        <v>0</v>
      </c>
      <c r="O85" s="22">
        <f t="shared" si="60"/>
        <v>0</v>
      </c>
      <c r="P85" s="22">
        <f t="shared" si="54"/>
        <v>0</v>
      </c>
      <c r="Q85" s="22">
        <v>0</v>
      </c>
      <c r="R85" s="22">
        <f t="shared" si="61"/>
        <v>0</v>
      </c>
      <c r="S85" s="22">
        <f t="shared" si="62"/>
        <v>0</v>
      </c>
      <c r="T85" s="22">
        <f t="shared" si="63"/>
        <v>833.65923999999995</v>
      </c>
      <c r="U85" s="22">
        <f t="shared" si="64"/>
        <v>2128.7007600000002</v>
      </c>
      <c r="V85" s="22">
        <f t="shared" si="65"/>
        <v>2962.36</v>
      </c>
      <c r="W85" s="22">
        <f t="shared" si="78"/>
        <v>296.23600000000005</v>
      </c>
      <c r="X85" s="22">
        <f>+'C&amp;A'!E85*0.02</f>
        <v>10.2256</v>
      </c>
      <c r="Y85" s="22">
        <f t="shared" si="66"/>
        <v>145.15564000000001</v>
      </c>
      <c r="Z85" s="22">
        <f t="shared" si="67"/>
        <v>3413.9772400000002</v>
      </c>
      <c r="AA85" s="22">
        <f t="shared" si="68"/>
        <v>546.23635840000009</v>
      </c>
      <c r="AB85" s="22">
        <f t="shared" si="69"/>
        <v>3960.2135984000001</v>
      </c>
      <c r="AC85" s="59"/>
      <c r="AD85" s="61"/>
      <c r="AE85" s="61"/>
      <c r="AF85" s="61"/>
      <c r="AG85" s="123" t="s">
        <v>381</v>
      </c>
      <c r="AH85" s="123" t="s">
        <v>467</v>
      </c>
      <c r="AI85" s="123"/>
      <c r="AJ85" s="123" t="s">
        <v>152</v>
      </c>
      <c r="AK85" s="123" t="s">
        <v>454</v>
      </c>
      <c r="AL85" s="123"/>
      <c r="AM85" s="123"/>
      <c r="AN85" s="123"/>
      <c r="AO85" s="147">
        <v>608.16</v>
      </c>
      <c r="AP85" s="123"/>
      <c r="AQ85" s="147">
        <f t="shared" si="70"/>
        <v>608.16</v>
      </c>
      <c r="AR85" s="147">
        <f>2351.61+2.59</f>
        <v>2354.2000000000003</v>
      </c>
      <c r="AS85" s="147"/>
      <c r="AT85" s="147"/>
      <c r="AU85" s="147"/>
      <c r="AV85" s="159"/>
      <c r="AW85" s="141">
        <f t="shared" si="71"/>
        <v>2962.36</v>
      </c>
      <c r="AX85" s="147"/>
      <c r="AY85" s="147"/>
      <c r="AZ85" s="147">
        <v>200</v>
      </c>
      <c r="BA85" s="147">
        <f>AW85*4.9%</f>
        <v>145.15564000000001</v>
      </c>
      <c r="BB85" s="147">
        <f>AW85*1%</f>
        <v>29.623600000000003</v>
      </c>
      <c r="BC85" s="147">
        <v>257.64</v>
      </c>
      <c r="BD85" s="100">
        <v>0</v>
      </c>
      <c r="BE85" s="100"/>
      <c r="BF85" s="123">
        <v>201.24</v>
      </c>
      <c r="BG85" s="123">
        <v>0</v>
      </c>
      <c r="BH85" s="141">
        <f t="shared" si="72"/>
        <v>2128.7007600000002</v>
      </c>
      <c r="BI85" s="100">
        <f t="shared" si="73"/>
        <v>0</v>
      </c>
      <c r="BJ85" s="141">
        <f t="shared" si="74"/>
        <v>2128.7007600000002</v>
      </c>
      <c r="BK85" s="100">
        <f t="shared" si="75"/>
        <v>296.23600000000005</v>
      </c>
      <c r="BL85" s="100">
        <v>10.23</v>
      </c>
      <c r="BM85" s="100">
        <f t="shared" si="76"/>
        <v>145.15564000000001</v>
      </c>
      <c r="BN85" s="141">
        <f t="shared" si="77"/>
        <v>3413.98164</v>
      </c>
      <c r="BO85" s="227"/>
      <c r="BP85" s="227"/>
      <c r="BQ85" s="228"/>
      <c r="BR85" s="103"/>
      <c r="BS85" s="103"/>
      <c r="BX85" s="50" t="s">
        <v>786</v>
      </c>
      <c r="BY85" s="51" t="s">
        <v>153</v>
      </c>
      <c r="BZ85" s="274"/>
    </row>
    <row r="86" spans="1:78">
      <c r="A86" s="20" t="s">
        <v>317</v>
      </c>
      <c r="B86" s="21" t="s">
        <v>154</v>
      </c>
      <c r="C86" s="22">
        <f t="shared" si="55"/>
        <v>739.23</v>
      </c>
      <c r="D86" s="22">
        <v>0</v>
      </c>
      <c r="E86" s="22">
        <f t="shared" si="56"/>
        <v>2580.23</v>
      </c>
      <c r="F86" s="22">
        <v>0</v>
      </c>
      <c r="G86" s="22">
        <f t="shared" si="57"/>
        <v>3319.46</v>
      </c>
      <c r="H86" s="22">
        <f t="shared" si="50"/>
        <v>150</v>
      </c>
      <c r="I86" s="22">
        <f t="shared" si="51"/>
        <v>0</v>
      </c>
      <c r="J86" s="22">
        <f t="shared" si="52"/>
        <v>0</v>
      </c>
      <c r="K86" s="22">
        <f t="shared" si="53"/>
        <v>0</v>
      </c>
      <c r="L86" s="22">
        <f t="shared" si="58"/>
        <v>0</v>
      </c>
      <c r="M86" s="22">
        <f t="shared" si="59"/>
        <v>0</v>
      </c>
      <c r="N86" s="22">
        <f t="shared" si="59"/>
        <v>0</v>
      </c>
      <c r="O86" s="22">
        <f t="shared" si="60"/>
        <v>0</v>
      </c>
      <c r="P86" s="22">
        <f t="shared" si="54"/>
        <v>0</v>
      </c>
      <c r="Q86" s="22">
        <v>0</v>
      </c>
      <c r="R86" s="22">
        <f t="shared" si="61"/>
        <v>0</v>
      </c>
      <c r="S86" s="22">
        <f t="shared" si="62"/>
        <v>0</v>
      </c>
      <c r="T86" s="22">
        <f t="shared" si="63"/>
        <v>150</v>
      </c>
      <c r="U86" s="22">
        <f t="shared" si="64"/>
        <v>3169.46</v>
      </c>
      <c r="V86" s="22">
        <f t="shared" si="65"/>
        <v>3319.46</v>
      </c>
      <c r="W86" s="22">
        <f t="shared" si="78"/>
        <v>331.94600000000003</v>
      </c>
      <c r="X86" s="22">
        <f>+'C&amp;A'!E86*0.02</f>
        <v>10.2256</v>
      </c>
      <c r="Y86" s="22">
        <f t="shared" si="66"/>
        <v>0</v>
      </c>
      <c r="Z86" s="22">
        <f t="shared" si="67"/>
        <v>3661.6316000000002</v>
      </c>
      <c r="AA86" s="22">
        <f t="shared" si="68"/>
        <v>585.86105600000008</v>
      </c>
      <c r="AB86" s="22">
        <f t="shared" si="69"/>
        <v>4247.4926560000004</v>
      </c>
      <c r="AC86" s="59"/>
      <c r="AD86" s="61"/>
      <c r="AE86" s="61"/>
      <c r="AF86" s="61"/>
      <c r="AG86" s="123" t="s">
        <v>383</v>
      </c>
      <c r="AH86" s="123" t="s">
        <v>468</v>
      </c>
      <c r="AI86" s="123"/>
      <c r="AJ86" s="123" t="s">
        <v>182</v>
      </c>
      <c r="AK86" s="123" t="s">
        <v>183</v>
      </c>
      <c r="AL86" s="123"/>
      <c r="AM86" s="123"/>
      <c r="AN86" s="123"/>
      <c r="AO86" s="147">
        <v>739.23</v>
      </c>
      <c r="AP86" s="123"/>
      <c r="AQ86" s="147">
        <f t="shared" si="70"/>
        <v>739.23</v>
      </c>
      <c r="AR86" s="147">
        <f>2572.81+7.42</f>
        <v>2580.23</v>
      </c>
      <c r="AS86" s="147"/>
      <c r="AT86" s="147"/>
      <c r="AU86" s="147"/>
      <c r="AV86" s="159"/>
      <c r="AW86" s="141">
        <f t="shared" si="71"/>
        <v>3319.46</v>
      </c>
      <c r="AX86" s="147"/>
      <c r="AY86" s="147"/>
      <c r="AZ86" s="147">
        <v>150</v>
      </c>
      <c r="BA86" s="147"/>
      <c r="BB86" s="147"/>
      <c r="BC86" s="147"/>
      <c r="BD86" s="100">
        <v>0</v>
      </c>
      <c r="BE86" s="100"/>
      <c r="BF86" s="123"/>
      <c r="BG86" s="123">
        <v>0</v>
      </c>
      <c r="BH86" s="141">
        <f t="shared" si="72"/>
        <v>3169.46</v>
      </c>
      <c r="BI86" s="100">
        <f t="shared" si="73"/>
        <v>0</v>
      </c>
      <c r="BJ86" s="141">
        <f t="shared" si="74"/>
        <v>3169.46</v>
      </c>
      <c r="BK86" s="100">
        <f t="shared" si="75"/>
        <v>331.94600000000003</v>
      </c>
      <c r="BL86" s="100">
        <v>10.23</v>
      </c>
      <c r="BM86" s="100">
        <f t="shared" si="76"/>
        <v>0</v>
      </c>
      <c r="BN86" s="141">
        <f t="shared" si="77"/>
        <v>3661.636</v>
      </c>
      <c r="BO86" s="227"/>
      <c r="BP86" s="227"/>
      <c r="BQ86" s="227"/>
      <c r="BR86" s="103"/>
      <c r="BS86" s="103"/>
      <c r="BX86" s="50" t="s">
        <v>317</v>
      </c>
      <c r="BY86" s="51" t="s">
        <v>154</v>
      </c>
      <c r="BZ86" s="274"/>
    </row>
    <row r="87" spans="1:78">
      <c r="A87" s="20" t="s">
        <v>155</v>
      </c>
      <c r="B87" s="21" t="s">
        <v>156</v>
      </c>
      <c r="C87" s="22">
        <f t="shared" si="55"/>
        <v>1516.67</v>
      </c>
      <c r="D87" s="22">
        <v>0</v>
      </c>
      <c r="E87" s="22">
        <f t="shared" si="56"/>
        <v>0</v>
      </c>
      <c r="F87" s="22">
        <v>0</v>
      </c>
      <c r="G87" s="22">
        <f t="shared" si="57"/>
        <v>1516.67</v>
      </c>
      <c r="H87" s="22">
        <f t="shared" si="50"/>
        <v>0</v>
      </c>
      <c r="I87" s="22">
        <f t="shared" si="51"/>
        <v>0</v>
      </c>
      <c r="J87" s="22">
        <f t="shared" si="52"/>
        <v>0</v>
      </c>
      <c r="K87" s="22">
        <f t="shared" si="53"/>
        <v>0</v>
      </c>
      <c r="L87" s="22">
        <f t="shared" si="58"/>
        <v>0</v>
      </c>
      <c r="M87" s="22">
        <f t="shared" si="59"/>
        <v>0</v>
      </c>
      <c r="N87" s="22">
        <f t="shared" si="59"/>
        <v>355.65</v>
      </c>
      <c r="O87" s="22">
        <f t="shared" si="60"/>
        <v>0</v>
      </c>
      <c r="P87" s="22">
        <f t="shared" si="54"/>
        <v>0</v>
      </c>
      <c r="Q87" s="22">
        <v>0</v>
      </c>
      <c r="R87" s="22">
        <f t="shared" si="61"/>
        <v>0</v>
      </c>
      <c r="S87" s="22">
        <f t="shared" si="62"/>
        <v>0</v>
      </c>
      <c r="T87" s="22">
        <f t="shared" si="63"/>
        <v>355.65</v>
      </c>
      <c r="U87" s="22">
        <f t="shared" si="64"/>
        <v>1161.02</v>
      </c>
      <c r="V87" s="22">
        <f t="shared" si="65"/>
        <v>1516.67</v>
      </c>
      <c r="W87" s="22">
        <f t="shared" si="78"/>
        <v>151.667</v>
      </c>
      <c r="X87" s="22">
        <f>+'C&amp;A'!E87*0.02</f>
        <v>10.2256</v>
      </c>
      <c r="Y87" s="22">
        <f t="shared" si="66"/>
        <v>0</v>
      </c>
      <c r="Z87" s="22">
        <f t="shared" si="67"/>
        <v>1678.5626</v>
      </c>
      <c r="AA87" s="22">
        <f t="shared" si="68"/>
        <v>268.57001600000001</v>
      </c>
      <c r="AB87" s="22">
        <f t="shared" si="69"/>
        <v>1947.1326159999999</v>
      </c>
      <c r="AC87" s="59"/>
      <c r="AD87" s="61"/>
      <c r="AE87" s="61"/>
      <c r="AF87" s="61"/>
      <c r="AG87" s="123" t="s">
        <v>431</v>
      </c>
      <c r="AH87" s="123" t="s">
        <v>469</v>
      </c>
      <c r="AI87" s="123"/>
      <c r="AJ87" s="123" t="s">
        <v>155</v>
      </c>
      <c r="AK87" s="123" t="s">
        <v>186</v>
      </c>
      <c r="AL87" s="123"/>
      <c r="AM87" s="123"/>
      <c r="AN87" s="123"/>
      <c r="AO87" s="147">
        <v>1516.67</v>
      </c>
      <c r="AP87" s="123"/>
      <c r="AQ87" s="147">
        <f t="shared" si="70"/>
        <v>1516.67</v>
      </c>
      <c r="AR87" s="147"/>
      <c r="AS87" s="147"/>
      <c r="AT87" s="147"/>
      <c r="AU87" s="147"/>
      <c r="AV87" s="159"/>
      <c r="AW87" s="141">
        <f t="shared" si="71"/>
        <v>1516.67</v>
      </c>
      <c r="AX87" s="147"/>
      <c r="AY87" s="147"/>
      <c r="AZ87" s="147">
        <v>0</v>
      </c>
      <c r="BA87" s="147"/>
      <c r="BB87" s="147"/>
      <c r="BC87" s="147"/>
      <c r="BD87" s="100">
        <v>0</v>
      </c>
      <c r="BE87" s="100"/>
      <c r="BF87" s="123"/>
      <c r="BG87" s="123">
        <f>355.65</f>
        <v>355.65</v>
      </c>
      <c r="BH87" s="141">
        <f t="shared" si="72"/>
        <v>1161.02</v>
      </c>
      <c r="BI87" s="100">
        <f t="shared" si="73"/>
        <v>0</v>
      </c>
      <c r="BJ87" s="141">
        <f t="shared" si="74"/>
        <v>1161.02</v>
      </c>
      <c r="BK87" s="100">
        <f t="shared" si="75"/>
        <v>151.667</v>
      </c>
      <c r="BL87" s="100">
        <v>10.23</v>
      </c>
      <c r="BM87" s="100">
        <f t="shared" si="76"/>
        <v>0</v>
      </c>
      <c r="BN87" s="141">
        <f t="shared" si="77"/>
        <v>1678.567</v>
      </c>
      <c r="BO87" s="227"/>
      <c r="BP87" s="227"/>
      <c r="BQ87" s="227"/>
      <c r="BR87" s="103"/>
      <c r="BS87" s="103"/>
      <c r="BX87" s="50" t="s">
        <v>787</v>
      </c>
      <c r="BY87" s="51" t="s">
        <v>156</v>
      </c>
      <c r="BZ87" s="274"/>
    </row>
    <row r="88" spans="1:78">
      <c r="A88" s="50" t="s">
        <v>511</v>
      </c>
      <c r="B88" s="21" t="s">
        <v>512</v>
      </c>
      <c r="C88" s="22">
        <f t="shared" si="55"/>
        <v>1516.67</v>
      </c>
      <c r="D88" s="22">
        <v>0</v>
      </c>
      <c r="E88" s="22">
        <f t="shared" si="56"/>
        <v>0</v>
      </c>
      <c r="F88" s="22">
        <v>0</v>
      </c>
      <c r="G88" s="22">
        <f t="shared" si="57"/>
        <v>1516.67</v>
      </c>
      <c r="H88" s="22">
        <f t="shared" si="50"/>
        <v>0</v>
      </c>
      <c r="I88" s="22">
        <f t="shared" si="51"/>
        <v>0</v>
      </c>
      <c r="J88" s="22">
        <f t="shared" si="52"/>
        <v>0</v>
      </c>
      <c r="K88" s="22">
        <f t="shared" si="53"/>
        <v>0</v>
      </c>
      <c r="L88" s="22">
        <f t="shared" si="58"/>
        <v>0</v>
      </c>
      <c r="M88" s="22">
        <f t="shared" si="59"/>
        <v>0</v>
      </c>
      <c r="N88" s="22">
        <f t="shared" si="59"/>
        <v>0</v>
      </c>
      <c r="O88" s="22">
        <f t="shared" si="60"/>
        <v>0</v>
      </c>
      <c r="P88" s="22">
        <f t="shared" si="54"/>
        <v>0</v>
      </c>
      <c r="Q88" s="22">
        <v>0</v>
      </c>
      <c r="R88" s="22">
        <f t="shared" si="61"/>
        <v>0</v>
      </c>
      <c r="S88" s="22">
        <f t="shared" si="62"/>
        <v>0</v>
      </c>
      <c r="T88" s="22">
        <f t="shared" si="63"/>
        <v>0</v>
      </c>
      <c r="U88" s="22">
        <f t="shared" si="64"/>
        <v>1516.67</v>
      </c>
      <c r="V88" s="22">
        <f t="shared" si="65"/>
        <v>1516.67</v>
      </c>
      <c r="W88" s="22">
        <f t="shared" si="78"/>
        <v>151.667</v>
      </c>
      <c r="X88" s="22">
        <f>+'C&amp;A'!E88*0.02</f>
        <v>10.2256</v>
      </c>
      <c r="Y88" s="22">
        <f t="shared" si="66"/>
        <v>0</v>
      </c>
      <c r="Z88" s="22">
        <f t="shared" si="67"/>
        <v>1678.5626</v>
      </c>
      <c r="AA88" s="22">
        <f t="shared" si="68"/>
        <v>268.57001600000001</v>
      </c>
      <c r="AB88" s="22">
        <f t="shared" si="69"/>
        <v>1947.1326159999999</v>
      </c>
      <c r="AC88" s="59"/>
      <c r="AD88" s="61"/>
      <c r="AE88" s="61"/>
      <c r="AF88" s="61"/>
      <c r="AG88" s="123" t="s">
        <v>431</v>
      </c>
      <c r="AH88" s="123" t="s">
        <v>632</v>
      </c>
      <c r="AI88" s="123"/>
      <c r="AJ88" s="123"/>
      <c r="AK88" s="123" t="s">
        <v>186</v>
      </c>
      <c r="AL88" s="161">
        <v>42410</v>
      </c>
      <c r="AM88" s="123"/>
      <c r="AN88" s="123"/>
      <c r="AO88" s="147">
        <v>1516.67</v>
      </c>
      <c r="AP88" s="123"/>
      <c r="AQ88" s="147">
        <f t="shared" si="70"/>
        <v>1516.67</v>
      </c>
      <c r="AR88" s="147"/>
      <c r="AS88" s="147"/>
      <c r="AT88" s="147"/>
      <c r="AU88" s="147"/>
      <c r="AV88" s="159"/>
      <c r="AW88" s="141">
        <f t="shared" si="71"/>
        <v>1516.67</v>
      </c>
      <c r="AX88" s="147"/>
      <c r="AY88" s="147"/>
      <c r="AZ88" s="147">
        <v>0</v>
      </c>
      <c r="BA88" s="147"/>
      <c r="BB88" s="147"/>
      <c r="BC88" s="147"/>
      <c r="BD88" s="100">
        <v>0</v>
      </c>
      <c r="BE88" s="100"/>
      <c r="BF88" s="123"/>
      <c r="BG88" s="123"/>
      <c r="BH88" s="141">
        <f t="shared" si="72"/>
        <v>1516.67</v>
      </c>
      <c r="BI88" s="100">
        <f t="shared" si="73"/>
        <v>0</v>
      </c>
      <c r="BJ88" s="141">
        <f t="shared" si="74"/>
        <v>1516.67</v>
      </c>
      <c r="BK88" s="100">
        <f t="shared" si="75"/>
        <v>151.667</v>
      </c>
      <c r="BL88" s="100">
        <v>10.23</v>
      </c>
      <c r="BM88" s="100">
        <f t="shared" si="76"/>
        <v>0</v>
      </c>
      <c r="BN88" s="141">
        <f t="shared" si="77"/>
        <v>1678.567</v>
      </c>
      <c r="BO88" s="227"/>
      <c r="BP88" s="227"/>
      <c r="BQ88" s="227"/>
      <c r="BR88" s="103"/>
      <c r="BS88" s="103"/>
      <c r="BX88" s="50" t="s">
        <v>511</v>
      </c>
      <c r="BY88" s="51" t="s">
        <v>512</v>
      </c>
      <c r="BZ88" s="274"/>
    </row>
    <row r="89" spans="1:78">
      <c r="A89" s="20" t="s">
        <v>157</v>
      </c>
      <c r="B89" s="21" t="s">
        <v>158</v>
      </c>
      <c r="C89" s="22">
        <f t="shared" si="55"/>
        <v>739.23</v>
      </c>
      <c r="D89" s="22">
        <v>0</v>
      </c>
      <c r="E89" s="22">
        <f t="shared" si="56"/>
        <v>1507.96</v>
      </c>
      <c r="F89" s="22">
        <v>0</v>
      </c>
      <c r="G89" s="22">
        <f t="shared" si="57"/>
        <v>2247.19</v>
      </c>
      <c r="H89" s="22">
        <f t="shared" si="50"/>
        <v>0</v>
      </c>
      <c r="I89" s="22">
        <f t="shared" si="51"/>
        <v>0</v>
      </c>
      <c r="J89" s="22">
        <f t="shared" si="52"/>
        <v>0</v>
      </c>
      <c r="K89" s="22">
        <f t="shared" si="53"/>
        <v>0</v>
      </c>
      <c r="L89" s="22">
        <f t="shared" si="58"/>
        <v>0</v>
      </c>
      <c r="M89" s="22">
        <f t="shared" si="59"/>
        <v>0</v>
      </c>
      <c r="N89" s="22">
        <f t="shared" si="59"/>
        <v>0</v>
      </c>
      <c r="O89" s="22">
        <f t="shared" si="60"/>
        <v>0</v>
      </c>
      <c r="P89" s="22">
        <f t="shared" si="54"/>
        <v>0</v>
      </c>
      <c r="Q89" s="22">
        <v>0</v>
      </c>
      <c r="R89" s="22">
        <f t="shared" si="61"/>
        <v>0</v>
      </c>
      <c r="S89" s="22">
        <f t="shared" si="62"/>
        <v>0</v>
      </c>
      <c r="T89" s="22">
        <f t="shared" si="63"/>
        <v>0</v>
      </c>
      <c r="U89" s="22">
        <f t="shared" si="64"/>
        <v>2247.19</v>
      </c>
      <c r="V89" s="22">
        <f t="shared" si="65"/>
        <v>2247.19</v>
      </c>
      <c r="W89" s="22">
        <f t="shared" si="78"/>
        <v>224.71900000000002</v>
      </c>
      <c r="X89" s="22">
        <f>+'C&amp;A'!E89*0.02</f>
        <v>10.2256</v>
      </c>
      <c r="Y89" s="22">
        <f t="shared" si="66"/>
        <v>0</v>
      </c>
      <c r="Z89" s="22">
        <f t="shared" si="67"/>
        <v>2482.1346000000003</v>
      </c>
      <c r="AA89" s="22">
        <f t="shared" si="68"/>
        <v>397.14153600000009</v>
      </c>
      <c r="AB89" s="22">
        <f t="shared" si="69"/>
        <v>2879.2761360000004</v>
      </c>
      <c r="AC89" s="59"/>
      <c r="AD89" s="61"/>
      <c r="AE89" s="61"/>
      <c r="AF89" s="61"/>
      <c r="AG89" s="123" t="s">
        <v>383</v>
      </c>
      <c r="AH89" s="123" t="s">
        <v>633</v>
      </c>
      <c r="AI89" s="123"/>
      <c r="AJ89" s="123" t="s">
        <v>157</v>
      </c>
      <c r="AK89" s="123" t="s">
        <v>177</v>
      </c>
      <c r="AL89" s="123"/>
      <c r="AM89" s="123"/>
      <c r="AN89" s="123"/>
      <c r="AO89" s="147">
        <v>739.23</v>
      </c>
      <c r="AP89" s="123"/>
      <c r="AQ89" s="147">
        <f t="shared" si="70"/>
        <v>739.23</v>
      </c>
      <c r="AR89" s="147">
        <f>1500.54+7.42</f>
        <v>1507.96</v>
      </c>
      <c r="AS89" s="147"/>
      <c r="AT89" s="147"/>
      <c r="AU89" s="147"/>
      <c r="AV89" s="159"/>
      <c r="AW89" s="141">
        <f t="shared" si="71"/>
        <v>2247.19</v>
      </c>
      <c r="AX89" s="147"/>
      <c r="AY89" s="147"/>
      <c r="AZ89" s="147">
        <v>0</v>
      </c>
      <c r="BA89" s="147"/>
      <c r="BB89" s="147"/>
      <c r="BC89" s="147"/>
      <c r="BD89" s="100">
        <v>0</v>
      </c>
      <c r="BE89" s="100"/>
      <c r="BF89" s="123"/>
      <c r="BG89" s="123">
        <v>0</v>
      </c>
      <c r="BH89" s="141">
        <f t="shared" si="72"/>
        <v>2247.19</v>
      </c>
      <c r="BI89" s="100">
        <f t="shared" si="73"/>
        <v>0</v>
      </c>
      <c r="BJ89" s="141">
        <f t="shared" si="74"/>
        <v>2247.19</v>
      </c>
      <c r="BK89" s="100">
        <f t="shared" si="75"/>
        <v>224.71900000000002</v>
      </c>
      <c r="BL89" s="100">
        <v>10.23</v>
      </c>
      <c r="BM89" s="100">
        <f t="shared" si="76"/>
        <v>0</v>
      </c>
      <c r="BN89" s="141">
        <f t="shared" si="77"/>
        <v>2482.1390000000001</v>
      </c>
      <c r="BO89" s="227"/>
      <c r="BP89" s="227"/>
      <c r="BQ89" s="227"/>
      <c r="BR89" s="103"/>
      <c r="BS89" s="103"/>
      <c r="BX89" s="50" t="s">
        <v>788</v>
      </c>
      <c r="BY89" s="51" t="s">
        <v>158</v>
      </c>
      <c r="BZ89" s="274"/>
    </row>
    <row r="90" spans="1:78">
      <c r="A90" s="20" t="s">
        <v>159</v>
      </c>
      <c r="B90" s="21" t="s">
        <v>160</v>
      </c>
      <c r="C90" s="22">
        <f t="shared" si="55"/>
        <v>739.23</v>
      </c>
      <c r="D90" s="22">
        <v>0</v>
      </c>
      <c r="E90" s="22">
        <f t="shared" si="56"/>
        <v>2467.2800000000002</v>
      </c>
      <c r="F90" s="22">
        <v>0</v>
      </c>
      <c r="G90" s="22">
        <f t="shared" si="57"/>
        <v>3206.51</v>
      </c>
      <c r="H90" s="22">
        <f t="shared" si="50"/>
        <v>0</v>
      </c>
      <c r="I90" s="22">
        <f t="shared" si="51"/>
        <v>0</v>
      </c>
      <c r="J90" s="22">
        <f t="shared" si="52"/>
        <v>0</v>
      </c>
      <c r="K90" s="22">
        <f t="shared" si="53"/>
        <v>0</v>
      </c>
      <c r="L90" s="22">
        <f t="shared" si="58"/>
        <v>0</v>
      </c>
      <c r="M90" s="22">
        <f t="shared" si="59"/>
        <v>0</v>
      </c>
      <c r="N90" s="22">
        <f t="shared" si="59"/>
        <v>0</v>
      </c>
      <c r="O90" s="22">
        <f t="shared" si="60"/>
        <v>0</v>
      </c>
      <c r="P90" s="22">
        <f t="shared" si="54"/>
        <v>0</v>
      </c>
      <c r="Q90" s="22">
        <v>0</v>
      </c>
      <c r="R90" s="22">
        <f t="shared" si="61"/>
        <v>0</v>
      </c>
      <c r="S90" s="22">
        <f t="shared" si="62"/>
        <v>0</v>
      </c>
      <c r="T90" s="22">
        <f t="shared" si="63"/>
        <v>0</v>
      </c>
      <c r="U90" s="22">
        <f t="shared" si="64"/>
        <v>3206.51</v>
      </c>
      <c r="V90" s="22">
        <f t="shared" si="65"/>
        <v>3206.51</v>
      </c>
      <c r="W90" s="22">
        <f t="shared" si="78"/>
        <v>320.65100000000007</v>
      </c>
      <c r="X90" s="22">
        <f>+'C&amp;A'!E90*0.02</f>
        <v>10.2256</v>
      </c>
      <c r="Y90" s="22">
        <f t="shared" si="66"/>
        <v>0</v>
      </c>
      <c r="Z90" s="22">
        <f t="shared" si="67"/>
        <v>3537.3866000000003</v>
      </c>
      <c r="AA90" s="22">
        <f t="shared" si="68"/>
        <v>565.98185600000011</v>
      </c>
      <c r="AB90" s="22">
        <f t="shared" si="69"/>
        <v>4103.3684560000002</v>
      </c>
      <c r="AC90" s="59"/>
      <c r="AD90" s="61"/>
      <c r="AE90" s="61"/>
      <c r="AF90" s="61"/>
      <c r="AG90" s="123" t="s">
        <v>383</v>
      </c>
      <c r="AH90" s="123" t="s">
        <v>472</v>
      </c>
      <c r="AI90" s="123"/>
      <c r="AJ90" s="123" t="s">
        <v>159</v>
      </c>
      <c r="AK90" s="123" t="s">
        <v>184</v>
      </c>
      <c r="AL90" s="123"/>
      <c r="AM90" s="123"/>
      <c r="AN90" s="123"/>
      <c r="AO90" s="147">
        <v>739.23</v>
      </c>
      <c r="AP90" s="123"/>
      <c r="AQ90" s="147">
        <f t="shared" si="70"/>
        <v>739.23</v>
      </c>
      <c r="AR90" s="147">
        <f>2454.19+13.09</f>
        <v>2467.2800000000002</v>
      </c>
      <c r="AS90" s="147"/>
      <c r="AT90" s="147"/>
      <c r="AU90" s="147"/>
      <c r="AV90" s="159"/>
      <c r="AW90" s="141">
        <f t="shared" si="71"/>
        <v>3206.51</v>
      </c>
      <c r="AX90" s="147"/>
      <c r="AY90" s="147"/>
      <c r="AZ90" s="147">
        <v>0</v>
      </c>
      <c r="BA90" s="147"/>
      <c r="BB90" s="147"/>
      <c r="BC90" s="147"/>
      <c r="BD90" s="100">
        <v>0</v>
      </c>
      <c r="BE90" s="100"/>
      <c r="BF90" s="123"/>
      <c r="BG90" s="123">
        <v>0</v>
      </c>
      <c r="BH90" s="141">
        <f t="shared" si="72"/>
        <v>3206.51</v>
      </c>
      <c r="BI90" s="100">
        <f t="shared" si="73"/>
        <v>0</v>
      </c>
      <c r="BJ90" s="141">
        <f t="shared" si="74"/>
        <v>3206.51</v>
      </c>
      <c r="BK90" s="100">
        <f t="shared" si="75"/>
        <v>320.65100000000007</v>
      </c>
      <c r="BL90" s="100">
        <v>10.23</v>
      </c>
      <c r="BM90" s="100">
        <f t="shared" si="76"/>
        <v>0</v>
      </c>
      <c r="BN90" s="141">
        <f t="shared" si="77"/>
        <v>3537.3910000000001</v>
      </c>
      <c r="BO90" s="227"/>
      <c r="BP90" s="227"/>
      <c r="BQ90" s="227"/>
      <c r="BR90" s="103"/>
      <c r="BS90" s="103"/>
      <c r="BX90" s="50" t="s">
        <v>789</v>
      </c>
      <c r="BY90" s="51" t="s">
        <v>160</v>
      </c>
      <c r="BZ90" s="274"/>
    </row>
    <row r="91" spans="1:78">
      <c r="A91" s="20" t="s">
        <v>161</v>
      </c>
      <c r="B91" s="21" t="s">
        <v>162</v>
      </c>
      <c r="C91" s="22">
        <f t="shared" si="55"/>
        <v>1166.26</v>
      </c>
      <c r="D91" s="22">
        <v>0</v>
      </c>
      <c r="E91" s="22">
        <f t="shared" si="56"/>
        <v>1779.92</v>
      </c>
      <c r="F91" s="22">
        <v>0</v>
      </c>
      <c r="G91" s="22">
        <f t="shared" si="57"/>
        <v>2946.1800000000003</v>
      </c>
      <c r="H91" s="22">
        <f t="shared" si="50"/>
        <v>0</v>
      </c>
      <c r="I91" s="22">
        <f t="shared" si="51"/>
        <v>0</v>
      </c>
      <c r="J91" s="22">
        <f t="shared" si="52"/>
        <v>0</v>
      </c>
      <c r="K91" s="22">
        <f t="shared" si="53"/>
        <v>0</v>
      </c>
      <c r="L91" s="22">
        <f t="shared" si="58"/>
        <v>0</v>
      </c>
      <c r="M91" s="22">
        <f t="shared" si="59"/>
        <v>0</v>
      </c>
      <c r="N91" s="22">
        <f t="shared" si="59"/>
        <v>0</v>
      </c>
      <c r="O91" s="22">
        <f t="shared" si="60"/>
        <v>0</v>
      </c>
      <c r="P91" s="22">
        <f t="shared" si="54"/>
        <v>0</v>
      </c>
      <c r="Q91" s="22">
        <v>0</v>
      </c>
      <c r="R91" s="22">
        <f t="shared" si="61"/>
        <v>0</v>
      </c>
      <c r="S91" s="22">
        <f t="shared" si="62"/>
        <v>0</v>
      </c>
      <c r="T91" s="22">
        <f t="shared" si="63"/>
        <v>0</v>
      </c>
      <c r="U91" s="22">
        <f t="shared" si="64"/>
        <v>2946.1800000000003</v>
      </c>
      <c r="V91" s="22">
        <f t="shared" si="65"/>
        <v>2946.1800000000003</v>
      </c>
      <c r="W91" s="22">
        <f t="shared" si="78"/>
        <v>294.61800000000005</v>
      </c>
      <c r="X91" s="22">
        <f>+'C&amp;A'!E91*0.02</f>
        <v>10.2256</v>
      </c>
      <c r="Y91" s="22">
        <f t="shared" si="66"/>
        <v>0</v>
      </c>
      <c r="Z91" s="22">
        <f t="shared" si="67"/>
        <v>3251.0236000000004</v>
      </c>
      <c r="AA91" s="22">
        <f t="shared" si="68"/>
        <v>520.1637760000001</v>
      </c>
      <c r="AB91" s="22">
        <f t="shared" si="69"/>
        <v>3771.1873760000008</v>
      </c>
      <c r="AC91" s="59"/>
      <c r="AD91" s="61"/>
      <c r="AE91" s="61"/>
      <c r="AF91" s="61"/>
      <c r="AG91" s="123" t="s">
        <v>375</v>
      </c>
      <c r="AH91" s="123" t="s">
        <v>481</v>
      </c>
      <c r="AI91" s="123"/>
      <c r="AJ91" s="239"/>
      <c r="AK91" s="123" t="s">
        <v>482</v>
      </c>
      <c r="AL91" s="123"/>
      <c r="AM91" s="123"/>
      <c r="AN91" s="123"/>
      <c r="AO91" s="147">
        <v>1166.26</v>
      </c>
      <c r="AP91" s="123"/>
      <c r="AQ91" s="147">
        <f t="shared" si="70"/>
        <v>1166.26</v>
      </c>
      <c r="AR91" s="147">
        <v>1779.92</v>
      </c>
      <c r="AS91" s="147"/>
      <c r="AT91" s="147"/>
      <c r="AU91" s="147"/>
      <c r="AV91" s="159"/>
      <c r="AW91" s="141">
        <f t="shared" si="71"/>
        <v>2946.1800000000003</v>
      </c>
      <c r="AX91" s="147"/>
      <c r="AY91" s="147"/>
      <c r="AZ91" s="147"/>
      <c r="BA91" s="147"/>
      <c r="BB91" s="147"/>
      <c r="BC91" s="147"/>
      <c r="BD91" s="100">
        <v>0</v>
      </c>
      <c r="BE91" s="100"/>
      <c r="BF91" s="123"/>
      <c r="BG91" s="123">
        <v>0</v>
      </c>
      <c r="BH91" s="141">
        <f t="shared" si="72"/>
        <v>2946.1800000000003</v>
      </c>
      <c r="BI91" s="100">
        <f t="shared" si="73"/>
        <v>0</v>
      </c>
      <c r="BJ91" s="141">
        <f t="shared" si="74"/>
        <v>2946.1800000000003</v>
      </c>
      <c r="BK91" s="100">
        <f t="shared" si="75"/>
        <v>294.61800000000005</v>
      </c>
      <c r="BL91" s="100">
        <v>10.23</v>
      </c>
      <c r="BM91" s="100">
        <f t="shared" si="76"/>
        <v>0</v>
      </c>
      <c r="BN91" s="141">
        <f t="shared" si="77"/>
        <v>3251.0280000000002</v>
      </c>
      <c r="BO91" s="227"/>
      <c r="BP91" s="227"/>
      <c r="BQ91" s="227"/>
      <c r="BR91" s="103"/>
      <c r="BS91" s="103"/>
      <c r="BX91" s="50" t="s">
        <v>790</v>
      </c>
      <c r="BY91" s="51" t="s">
        <v>162</v>
      </c>
      <c r="BZ91" s="274"/>
    </row>
    <row r="92" spans="1:78">
      <c r="A92" s="20" t="s">
        <v>163</v>
      </c>
      <c r="B92" s="21" t="s">
        <v>164</v>
      </c>
      <c r="C92" s="22">
        <f t="shared" si="55"/>
        <v>513.33000000000004</v>
      </c>
      <c r="D92" s="22"/>
      <c r="E92" s="22">
        <f t="shared" si="56"/>
        <v>3869.73</v>
      </c>
      <c r="F92" s="22">
        <v>0</v>
      </c>
      <c r="G92" s="22">
        <f t="shared" si="57"/>
        <v>4383.0600000000004</v>
      </c>
      <c r="H92" s="22">
        <f t="shared" si="50"/>
        <v>0</v>
      </c>
      <c r="I92" s="22">
        <f t="shared" si="51"/>
        <v>0</v>
      </c>
      <c r="J92" s="22">
        <f t="shared" si="52"/>
        <v>0</v>
      </c>
      <c r="K92" s="22">
        <f t="shared" si="53"/>
        <v>0</v>
      </c>
      <c r="L92" s="22">
        <f t="shared" si="58"/>
        <v>0</v>
      </c>
      <c r="M92" s="22">
        <f t="shared" si="59"/>
        <v>0</v>
      </c>
      <c r="N92" s="22">
        <f t="shared" si="59"/>
        <v>1095.7650000000001</v>
      </c>
      <c r="O92" s="22">
        <f t="shared" si="60"/>
        <v>438.30600000000004</v>
      </c>
      <c r="P92" s="22">
        <f t="shared" si="54"/>
        <v>0</v>
      </c>
      <c r="Q92" s="22">
        <v>0</v>
      </c>
      <c r="R92" s="22">
        <v>537.87</v>
      </c>
      <c r="S92" s="22">
        <f t="shared" si="62"/>
        <v>0</v>
      </c>
      <c r="T92" s="22">
        <f t="shared" si="63"/>
        <v>2071.9410000000003</v>
      </c>
      <c r="U92" s="22">
        <f t="shared" si="64"/>
        <v>2311.1190000000001</v>
      </c>
      <c r="V92" s="22">
        <f t="shared" si="65"/>
        <v>4383.0600000000004</v>
      </c>
      <c r="W92" s="22">
        <f t="shared" si="78"/>
        <v>0</v>
      </c>
      <c r="X92" s="22">
        <f>+'C&amp;A'!E92*0.02</f>
        <v>10.2256</v>
      </c>
      <c r="Y92" s="22">
        <f t="shared" si="66"/>
        <v>0</v>
      </c>
      <c r="Z92" s="22">
        <f t="shared" si="67"/>
        <v>4393.2856000000002</v>
      </c>
      <c r="AA92" s="22">
        <f t="shared" si="68"/>
        <v>702.92569600000002</v>
      </c>
      <c r="AB92" s="22">
        <f t="shared" si="69"/>
        <v>5096.2112960000004</v>
      </c>
      <c r="AC92" s="59"/>
      <c r="AD92" s="61"/>
      <c r="AE92" s="61"/>
      <c r="AF92" s="61"/>
      <c r="AG92" s="123" t="s">
        <v>377</v>
      </c>
      <c r="AH92" s="123" t="s">
        <v>634</v>
      </c>
      <c r="AI92" s="123" t="s">
        <v>32</v>
      </c>
      <c r="AJ92" s="123" t="s">
        <v>163</v>
      </c>
      <c r="AK92" s="123" t="s">
        <v>189</v>
      </c>
      <c r="AL92" s="123"/>
      <c r="AM92" s="123"/>
      <c r="AN92" s="123"/>
      <c r="AO92" s="147">
        <v>513.33000000000004</v>
      </c>
      <c r="AP92" s="123"/>
      <c r="AQ92" s="147">
        <f t="shared" si="70"/>
        <v>513.33000000000004</v>
      </c>
      <c r="AR92" s="147">
        <v>3869.73</v>
      </c>
      <c r="AS92" s="147"/>
      <c r="AT92" s="147"/>
      <c r="AU92" s="147"/>
      <c r="AV92" s="159"/>
      <c r="AW92" s="141">
        <f t="shared" si="71"/>
        <v>4383.0600000000004</v>
      </c>
      <c r="AX92" s="147"/>
      <c r="AY92" s="147"/>
      <c r="AZ92" s="147">
        <v>0</v>
      </c>
      <c r="BA92" s="147"/>
      <c r="BB92" s="147"/>
      <c r="BC92" s="147"/>
      <c r="BD92" s="100">
        <v>537.87</v>
      </c>
      <c r="BE92" s="100"/>
      <c r="BF92" s="123"/>
      <c r="BG92" s="238">
        <f>AW92*0.25</f>
        <v>1095.7650000000001</v>
      </c>
      <c r="BH92" s="141">
        <f t="shared" si="72"/>
        <v>2749.4250000000002</v>
      </c>
      <c r="BI92" s="100">
        <f t="shared" si="73"/>
        <v>438.30600000000004</v>
      </c>
      <c r="BJ92" s="141">
        <f t="shared" si="74"/>
        <v>2311.1190000000001</v>
      </c>
      <c r="BK92" s="100">
        <f t="shared" si="75"/>
        <v>0</v>
      </c>
      <c r="BL92" s="100">
        <v>10.23</v>
      </c>
      <c r="BM92" s="100">
        <f t="shared" si="76"/>
        <v>0</v>
      </c>
      <c r="BN92" s="141">
        <f t="shared" si="77"/>
        <v>4393.29</v>
      </c>
      <c r="BO92" s="227"/>
      <c r="BP92" s="227"/>
      <c r="BQ92" s="227"/>
      <c r="BR92" s="103"/>
      <c r="BS92" s="103"/>
      <c r="BX92" s="50" t="s">
        <v>513</v>
      </c>
      <c r="BY92" s="51" t="s">
        <v>164</v>
      </c>
      <c r="BZ92" s="274"/>
    </row>
    <row r="93" spans="1:78" ht="19.5" customHeight="1">
      <c r="A93" s="20" t="s">
        <v>165</v>
      </c>
      <c r="B93" s="21" t="s">
        <v>166</v>
      </c>
      <c r="C93" s="22">
        <f t="shared" si="55"/>
        <v>1633.33</v>
      </c>
      <c r="D93" s="22">
        <v>0</v>
      </c>
      <c r="E93" s="22">
        <f t="shared" si="56"/>
        <v>2327.29</v>
      </c>
      <c r="F93" s="22">
        <v>0</v>
      </c>
      <c r="G93" s="22">
        <f t="shared" si="57"/>
        <v>3960.62</v>
      </c>
      <c r="H93" s="22">
        <f t="shared" si="50"/>
        <v>0</v>
      </c>
      <c r="I93" s="22">
        <f t="shared" si="51"/>
        <v>0</v>
      </c>
      <c r="J93" s="22">
        <f t="shared" si="52"/>
        <v>0</v>
      </c>
      <c r="K93" s="22">
        <f t="shared" si="53"/>
        <v>0</v>
      </c>
      <c r="L93" s="22">
        <f t="shared" si="58"/>
        <v>0</v>
      </c>
      <c r="M93" s="22">
        <f t="shared" si="59"/>
        <v>0</v>
      </c>
      <c r="N93" s="22">
        <f t="shared" si="59"/>
        <v>0</v>
      </c>
      <c r="O93" s="22">
        <f t="shared" si="60"/>
        <v>396.06200000000001</v>
      </c>
      <c r="P93" s="22">
        <f t="shared" si="54"/>
        <v>58.91</v>
      </c>
      <c r="Q93" s="22">
        <v>0</v>
      </c>
      <c r="R93" s="22">
        <f t="shared" si="61"/>
        <v>0</v>
      </c>
      <c r="S93" s="22">
        <f t="shared" si="62"/>
        <v>0</v>
      </c>
      <c r="T93" s="22">
        <f t="shared" si="63"/>
        <v>454.97199999999998</v>
      </c>
      <c r="U93" s="22">
        <f t="shared" si="64"/>
        <v>3505.6480000000001</v>
      </c>
      <c r="V93" s="22">
        <f t="shared" si="65"/>
        <v>3901.71</v>
      </c>
      <c r="W93" s="22">
        <f t="shared" si="78"/>
        <v>0</v>
      </c>
      <c r="X93" s="22">
        <f>+'C&amp;A'!E93*0.02</f>
        <v>10.2256</v>
      </c>
      <c r="Y93" s="22">
        <f t="shared" si="66"/>
        <v>0</v>
      </c>
      <c r="Z93" s="22">
        <f t="shared" si="67"/>
        <v>3911.9356000000002</v>
      </c>
      <c r="AA93" s="22">
        <f t="shared" si="68"/>
        <v>625.90969600000005</v>
      </c>
      <c r="AB93" s="22">
        <f t="shared" si="69"/>
        <v>4537.8452960000004</v>
      </c>
      <c r="AC93" s="59"/>
      <c r="AD93" s="61"/>
      <c r="AE93" s="61"/>
      <c r="AF93" s="61"/>
      <c r="AG93" s="123" t="s">
        <v>389</v>
      </c>
      <c r="AH93" s="123" t="s">
        <v>635</v>
      </c>
      <c r="AI93" s="123" t="s">
        <v>379</v>
      </c>
      <c r="AJ93" s="123" t="s">
        <v>165</v>
      </c>
      <c r="AK93" s="123" t="s">
        <v>392</v>
      </c>
      <c r="AL93" s="123"/>
      <c r="AM93" s="123"/>
      <c r="AN93" s="123"/>
      <c r="AO93" s="197">
        <v>1633.33</v>
      </c>
      <c r="AP93" s="123"/>
      <c r="AQ93" s="147">
        <f t="shared" si="70"/>
        <v>1633.33</v>
      </c>
      <c r="AR93" s="147">
        <v>2327.29</v>
      </c>
      <c r="AS93" s="147"/>
      <c r="AT93" s="147"/>
      <c r="AU93" s="147"/>
      <c r="AV93" s="159"/>
      <c r="AW93" s="141">
        <f t="shared" si="71"/>
        <v>3960.62</v>
      </c>
      <c r="AX93" s="147"/>
      <c r="AY93" s="147">
        <v>58.91</v>
      </c>
      <c r="AZ93" s="147">
        <v>0</v>
      </c>
      <c r="BA93" s="147"/>
      <c r="BB93" s="147"/>
      <c r="BC93" s="147"/>
      <c r="BD93" s="100">
        <v>0</v>
      </c>
      <c r="BE93" s="100"/>
      <c r="BF93" s="123"/>
      <c r="BG93" s="123">
        <v>0</v>
      </c>
      <c r="BH93" s="141">
        <f t="shared" si="72"/>
        <v>3901.71</v>
      </c>
      <c r="BI93" s="100">
        <f t="shared" si="73"/>
        <v>396.06200000000001</v>
      </c>
      <c r="BJ93" s="141">
        <f t="shared" si="74"/>
        <v>3505.6480000000001</v>
      </c>
      <c r="BK93" s="100">
        <f t="shared" si="75"/>
        <v>0</v>
      </c>
      <c r="BL93" s="100">
        <v>10.23</v>
      </c>
      <c r="BM93" s="100">
        <f t="shared" si="76"/>
        <v>0</v>
      </c>
      <c r="BN93" s="141">
        <f t="shared" si="77"/>
        <v>3970.85</v>
      </c>
      <c r="BO93" s="227"/>
      <c r="BP93" s="227"/>
      <c r="BQ93" s="227"/>
      <c r="BR93" s="103"/>
      <c r="BS93" s="103"/>
      <c r="BX93" s="50" t="s">
        <v>165</v>
      </c>
      <c r="BY93" s="51" t="s">
        <v>166</v>
      </c>
    </row>
    <row r="94" spans="1:78">
      <c r="A94" s="20" t="s">
        <v>167</v>
      </c>
      <c r="B94" s="21" t="s">
        <v>168</v>
      </c>
      <c r="C94" s="22">
        <f t="shared" si="55"/>
        <v>608.16</v>
      </c>
      <c r="D94" s="22">
        <v>0</v>
      </c>
      <c r="E94" s="22">
        <f t="shared" si="56"/>
        <v>1741.54</v>
      </c>
      <c r="F94" s="22">
        <v>0</v>
      </c>
      <c r="G94" s="22">
        <f t="shared" si="57"/>
        <v>2349.6999999999998</v>
      </c>
      <c r="H94" s="22">
        <f t="shared" si="50"/>
        <v>200</v>
      </c>
      <c r="I94" s="22">
        <f t="shared" si="51"/>
        <v>115.1353</v>
      </c>
      <c r="J94" s="22">
        <f t="shared" si="52"/>
        <v>23.497</v>
      </c>
      <c r="K94" s="22">
        <f t="shared" si="53"/>
        <v>0</v>
      </c>
      <c r="L94" s="22">
        <f t="shared" si="58"/>
        <v>0</v>
      </c>
      <c r="M94" s="22">
        <f t="shared" si="59"/>
        <v>0</v>
      </c>
      <c r="N94" s="22">
        <f t="shared" si="59"/>
        <v>0</v>
      </c>
      <c r="O94" s="22">
        <f t="shared" si="60"/>
        <v>0</v>
      </c>
      <c r="P94" s="22">
        <f t="shared" si="54"/>
        <v>0</v>
      </c>
      <c r="Q94" s="22">
        <v>0</v>
      </c>
      <c r="R94" s="22">
        <f t="shared" si="61"/>
        <v>0</v>
      </c>
      <c r="S94" s="22">
        <f t="shared" si="62"/>
        <v>0</v>
      </c>
      <c r="T94" s="22">
        <f t="shared" si="63"/>
        <v>338.63230000000004</v>
      </c>
      <c r="U94" s="22">
        <f t="shared" si="64"/>
        <v>2011.0676999999998</v>
      </c>
      <c r="V94" s="22">
        <f t="shared" si="65"/>
        <v>2349.6999999999998</v>
      </c>
      <c r="W94" s="22">
        <f t="shared" si="78"/>
        <v>234.97</v>
      </c>
      <c r="X94" s="22">
        <f>+'C&amp;A'!E94*0.02</f>
        <v>10.2256</v>
      </c>
      <c r="Y94" s="22">
        <f t="shared" si="66"/>
        <v>115.1353</v>
      </c>
      <c r="Z94" s="22">
        <f t="shared" si="67"/>
        <v>2710.0308999999997</v>
      </c>
      <c r="AA94" s="22">
        <f t="shared" si="68"/>
        <v>433.60494399999999</v>
      </c>
      <c r="AB94" s="22">
        <f t="shared" si="69"/>
        <v>3143.6358439999999</v>
      </c>
      <c r="AC94" s="59"/>
      <c r="AD94" s="61"/>
      <c r="AE94" s="61"/>
      <c r="AF94" s="61"/>
      <c r="AG94" s="123" t="s">
        <v>381</v>
      </c>
      <c r="AH94" s="123" t="s">
        <v>475</v>
      </c>
      <c r="AI94" s="123"/>
      <c r="AJ94" s="123" t="s">
        <v>167</v>
      </c>
      <c r="AK94" s="123" t="s">
        <v>193</v>
      </c>
      <c r="AL94" s="123"/>
      <c r="AM94" s="123"/>
      <c r="AN94" s="123"/>
      <c r="AO94" s="197">
        <v>608.16</v>
      </c>
      <c r="AP94" s="123"/>
      <c r="AQ94" s="147">
        <f t="shared" si="70"/>
        <v>608.16</v>
      </c>
      <c r="AR94" s="147">
        <f>1737.83+3.71</f>
        <v>1741.54</v>
      </c>
      <c r="AS94" s="147"/>
      <c r="AT94" s="147"/>
      <c r="AU94" s="147"/>
      <c r="AV94" s="159"/>
      <c r="AW94" s="141">
        <f t="shared" si="71"/>
        <v>2349.6999999999998</v>
      </c>
      <c r="AX94" s="147"/>
      <c r="AY94" s="147"/>
      <c r="AZ94" s="147">
        <v>200</v>
      </c>
      <c r="BA94" s="147">
        <f>AW94*4.9%</f>
        <v>115.1353</v>
      </c>
      <c r="BB94" s="147">
        <f>AW94*1%</f>
        <v>23.497</v>
      </c>
      <c r="BC94" s="147"/>
      <c r="BD94" s="100">
        <v>0</v>
      </c>
      <c r="BE94" s="100"/>
      <c r="BF94" s="123"/>
      <c r="BG94" s="123">
        <v>0</v>
      </c>
      <c r="BH94" s="141">
        <f t="shared" si="72"/>
        <v>2011.0676999999998</v>
      </c>
      <c r="BI94" s="100">
        <f t="shared" si="73"/>
        <v>0</v>
      </c>
      <c r="BJ94" s="141">
        <f t="shared" si="74"/>
        <v>2011.0676999999998</v>
      </c>
      <c r="BK94" s="100">
        <f t="shared" si="75"/>
        <v>234.97</v>
      </c>
      <c r="BL94" s="100">
        <v>10.23</v>
      </c>
      <c r="BM94" s="100">
        <f t="shared" si="76"/>
        <v>115.1353</v>
      </c>
      <c r="BN94" s="141">
        <f t="shared" si="77"/>
        <v>2710.0352999999996</v>
      </c>
      <c r="BO94" s="227"/>
      <c r="BP94" s="227"/>
      <c r="BQ94" s="227"/>
      <c r="BR94" s="103"/>
      <c r="BS94" s="103"/>
      <c r="BX94" s="50" t="s">
        <v>791</v>
      </c>
      <c r="BY94" s="51" t="s">
        <v>168</v>
      </c>
    </row>
    <row r="95" spans="1:78">
      <c r="A95" s="20" t="s">
        <v>169</v>
      </c>
      <c r="B95" s="21" t="s">
        <v>170</v>
      </c>
      <c r="C95" s="22">
        <f t="shared" si="55"/>
        <v>1100</v>
      </c>
      <c r="D95" s="22">
        <v>0</v>
      </c>
      <c r="E95" s="22">
        <f t="shared" si="56"/>
        <v>0</v>
      </c>
      <c r="F95" s="22">
        <v>0</v>
      </c>
      <c r="G95" s="22">
        <f t="shared" si="57"/>
        <v>1100</v>
      </c>
      <c r="H95" s="22">
        <f t="shared" si="50"/>
        <v>0</v>
      </c>
      <c r="I95" s="22">
        <f t="shared" si="51"/>
        <v>0</v>
      </c>
      <c r="J95" s="22">
        <f t="shared" si="52"/>
        <v>0</v>
      </c>
      <c r="K95" s="22">
        <f t="shared" si="53"/>
        <v>0</v>
      </c>
      <c r="L95" s="22">
        <f t="shared" si="58"/>
        <v>0</v>
      </c>
      <c r="M95" s="22">
        <f t="shared" si="59"/>
        <v>0</v>
      </c>
      <c r="N95" s="22">
        <f t="shared" si="59"/>
        <v>0</v>
      </c>
      <c r="O95" s="22">
        <f t="shared" si="60"/>
        <v>0</v>
      </c>
      <c r="P95" s="22">
        <f t="shared" si="54"/>
        <v>0</v>
      </c>
      <c r="Q95" s="22">
        <v>0</v>
      </c>
      <c r="R95" s="22">
        <f t="shared" si="61"/>
        <v>0</v>
      </c>
      <c r="S95" s="22">
        <f t="shared" si="62"/>
        <v>0</v>
      </c>
      <c r="T95" s="22">
        <f t="shared" si="63"/>
        <v>0</v>
      </c>
      <c r="U95" s="22">
        <f t="shared" si="64"/>
        <v>1100</v>
      </c>
      <c r="V95" s="22">
        <f t="shared" si="65"/>
        <v>1100</v>
      </c>
      <c r="W95" s="22">
        <f t="shared" si="78"/>
        <v>110</v>
      </c>
      <c r="X95" s="22">
        <f>+'C&amp;A'!E95*0.02</f>
        <v>10.2256</v>
      </c>
      <c r="Y95" s="22">
        <f t="shared" si="66"/>
        <v>0</v>
      </c>
      <c r="Z95" s="22">
        <f t="shared" si="67"/>
        <v>1220.2256</v>
      </c>
      <c r="AA95" s="22">
        <f t="shared" si="68"/>
        <v>195.236096</v>
      </c>
      <c r="AB95" s="22">
        <f t="shared" si="69"/>
        <v>1415.4616960000001</v>
      </c>
      <c r="AC95" s="59"/>
      <c r="AD95" s="61"/>
      <c r="AE95" s="61"/>
      <c r="AF95" s="61"/>
      <c r="AG95" s="123" t="s">
        <v>375</v>
      </c>
      <c r="AH95" s="123" t="s">
        <v>476</v>
      </c>
      <c r="AI95" s="123"/>
      <c r="AJ95" s="123" t="s">
        <v>169</v>
      </c>
      <c r="AK95" s="123" t="s">
        <v>185</v>
      </c>
      <c r="AL95" s="123"/>
      <c r="AM95" s="123"/>
      <c r="AN95" s="123"/>
      <c r="AO95" s="147">
        <v>1100</v>
      </c>
      <c r="AP95" s="123"/>
      <c r="AQ95" s="147">
        <f t="shared" si="70"/>
        <v>1100</v>
      </c>
      <c r="AR95" s="147"/>
      <c r="AS95" s="147"/>
      <c r="AT95" s="147"/>
      <c r="AU95" s="147"/>
      <c r="AV95" s="159"/>
      <c r="AW95" s="141">
        <f t="shared" si="71"/>
        <v>1100</v>
      </c>
      <c r="AX95" s="147"/>
      <c r="AY95" s="147"/>
      <c r="AZ95" s="147">
        <v>0</v>
      </c>
      <c r="BA95" s="147"/>
      <c r="BB95" s="147"/>
      <c r="BC95" s="147"/>
      <c r="BD95" s="100">
        <v>0</v>
      </c>
      <c r="BE95" s="100"/>
      <c r="BF95" s="123"/>
      <c r="BG95" s="123">
        <v>0</v>
      </c>
      <c r="BH95" s="141">
        <f t="shared" si="72"/>
        <v>1100</v>
      </c>
      <c r="BI95" s="100">
        <f t="shared" si="73"/>
        <v>0</v>
      </c>
      <c r="BJ95" s="141">
        <f t="shared" si="74"/>
        <v>1100</v>
      </c>
      <c r="BK95" s="100">
        <f t="shared" si="75"/>
        <v>110</v>
      </c>
      <c r="BL95" s="100">
        <v>10.23</v>
      </c>
      <c r="BM95" s="100">
        <f t="shared" si="76"/>
        <v>0</v>
      </c>
      <c r="BN95" s="141">
        <f t="shared" si="77"/>
        <v>1220.23</v>
      </c>
      <c r="BO95" s="227"/>
      <c r="BP95" s="227"/>
      <c r="BQ95" s="227"/>
      <c r="BR95" s="103"/>
      <c r="BS95" s="103"/>
      <c r="BX95" s="50" t="s">
        <v>792</v>
      </c>
      <c r="BY95" s="51" t="s">
        <v>170</v>
      </c>
    </row>
    <row r="96" spans="1:78" ht="15" customHeight="1">
      <c r="A96" s="20" t="s">
        <v>171</v>
      </c>
      <c r="B96" s="21" t="s">
        <v>172</v>
      </c>
      <c r="C96" s="22">
        <f t="shared" si="55"/>
        <v>513.33000000000004</v>
      </c>
      <c r="D96" s="22">
        <v>93.675398729432189</v>
      </c>
      <c r="E96" s="22">
        <f t="shared" si="56"/>
        <v>0</v>
      </c>
      <c r="F96" s="22">
        <v>0</v>
      </c>
      <c r="G96" s="22">
        <f>SUM(C96:F96)</f>
        <v>607.00539872943227</v>
      </c>
      <c r="H96" s="22">
        <f t="shared" si="50"/>
        <v>0</v>
      </c>
      <c r="I96" s="22">
        <f t="shared" si="51"/>
        <v>0</v>
      </c>
      <c r="J96" s="22">
        <f t="shared" si="52"/>
        <v>0</v>
      </c>
      <c r="K96" s="22">
        <f t="shared" si="53"/>
        <v>0</v>
      </c>
      <c r="L96" s="22">
        <f t="shared" si="58"/>
        <v>0</v>
      </c>
      <c r="M96" s="22">
        <f t="shared" si="59"/>
        <v>0</v>
      </c>
      <c r="N96" s="22">
        <f t="shared" si="59"/>
        <v>0</v>
      </c>
      <c r="O96" s="22">
        <f t="shared" si="60"/>
        <v>0</v>
      </c>
      <c r="P96" s="22">
        <f t="shared" si="54"/>
        <v>0</v>
      </c>
      <c r="Q96" s="22">
        <v>0</v>
      </c>
      <c r="R96" s="22">
        <f t="shared" si="61"/>
        <v>0</v>
      </c>
      <c r="S96" s="22">
        <f t="shared" si="62"/>
        <v>0</v>
      </c>
      <c r="T96" s="22">
        <f t="shared" si="63"/>
        <v>0</v>
      </c>
      <c r="U96" s="22">
        <f t="shared" si="64"/>
        <v>607.00539872943227</v>
      </c>
      <c r="V96" s="22">
        <f>+G96-L96-P96-Q96</f>
        <v>607.00539872943227</v>
      </c>
      <c r="W96" s="22">
        <f t="shared" si="78"/>
        <v>51.333000000000006</v>
      </c>
      <c r="X96" s="22">
        <f>+'C&amp;A'!E96*0.02</f>
        <v>10.2256</v>
      </c>
      <c r="Y96" s="22">
        <f t="shared" si="66"/>
        <v>0</v>
      </c>
      <c r="Z96" s="22">
        <f t="shared" si="67"/>
        <v>668.56399872943223</v>
      </c>
      <c r="AA96" s="22">
        <f t="shared" si="68"/>
        <v>106.97023979670917</v>
      </c>
      <c r="AB96" s="22">
        <f t="shared" si="69"/>
        <v>775.53423852614139</v>
      </c>
      <c r="AC96" s="59"/>
      <c r="AD96" s="61"/>
      <c r="AE96" s="61"/>
      <c r="AF96" s="61"/>
      <c r="AG96" s="123" t="s">
        <v>377</v>
      </c>
      <c r="AH96" s="123" t="s">
        <v>477</v>
      </c>
      <c r="AI96" s="123" t="s">
        <v>31</v>
      </c>
      <c r="AJ96" s="123" t="s">
        <v>171</v>
      </c>
      <c r="AK96" s="123" t="s">
        <v>189</v>
      </c>
      <c r="AL96" s="123"/>
      <c r="AM96" s="123"/>
      <c r="AN96" s="123"/>
      <c r="AO96" s="197">
        <v>513.33000000000004</v>
      </c>
      <c r="AP96" s="123"/>
      <c r="AQ96" s="147">
        <f t="shared" si="70"/>
        <v>513.33000000000004</v>
      </c>
      <c r="AR96" s="147"/>
      <c r="AS96" s="147"/>
      <c r="AT96" s="147"/>
      <c r="AU96" s="147"/>
      <c r="AV96" s="159"/>
      <c r="AW96" s="141">
        <f t="shared" si="71"/>
        <v>513.33000000000004</v>
      </c>
      <c r="AX96" s="147"/>
      <c r="AY96" s="147"/>
      <c r="AZ96" s="147">
        <v>0</v>
      </c>
      <c r="BA96" s="147"/>
      <c r="BB96" s="147"/>
      <c r="BC96" s="147"/>
      <c r="BD96" s="100">
        <v>0</v>
      </c>
      <c r="BE96" s="100"/>
      <c r="BF96" s="123"/>
      <c r="BG96" s="123">
        <v>0</v>
      </c>
      <c r="BH96" s="141">
        <f t="shared" si="72"/>
        <v>513.33000000000004</v>
      </c>
      <c r="BI96" s="100">
        <f t="shared" si="73"/>
        <v>0</v>
      </c>
      <c r="BJ96" s="141">
        <f t="shared" si="74"/>
        <v>513.33000000000004</v>
      </c>
      <c r="BK96" s="100">
        <f t="shared" si="75"/>
        <v>51.333000000000006</v>
      </c>
      <c r="BL96" s="100">
        <v>10.23</v>
      </c>
      <c r="BM96" s="100">
        <f t="shared" si="76"/>
        <v>0</v>
      </c>
      <c r="BN96" s="141">
        <f t="shared" si="77"/>
        <v>574.89300000000003</v>
      </c>
      <c r="BO96" s="227"/>
      <c r="BP96" s="227"/>
      <c r="BQ96" s="227"/>
      <c r="BR96" s="103"/>
      <c r="BS96" s="103"/>
      <c r="BX96" s="50" t="s">
        <v>793</v>
      </c>
      <c r="BY96" s="51" t="s">
        <v>172</v>
      </c>
    </row>
    <row r="97" spans="1:98" s="244" customFormat="1">
      <c r="A97" s="20" t="s">
        <v>173</v>
      </c>
      <c r="B97" s="21" t="s">
        <v>174</v>
      </c>
      <c r="C97" s="22">
        <f t="shared" si="55"/>
        <v>739.23</v>
      </c>
      <c r="D97" s="22">
        <v>0</v>
      </c>
      <c r="E97" s="22">
        <f t="shared" si="56"/>
        <v>2488.88</v>
      </c>
      <c r="F97" s="22">
        <v>0</v>
      </c>
      <c r="G97" s="22">
        <f t="shared" si="57"/>
        <v>3228.11</v>
      </c>
      <c r="H97" s="22">
        <f t="shared" si="50"/>
        <v>500</v>
      </c>
      <c r="I97" s="22">
        <f t="shared" si="51"/>
        <v>0</v>
      </c>
      <c r="J97" s="22">
        <f t="shared" si="52"/>
        <v>0</v>
      </c>
      <c r="K97" s="22">
        <f t="shared" si="53"/>
        <v>0</v>
      </c>
      <c r="L97" s="22">
        <f t="shared" si="58"/>
        <v>0</v>
      </c>
      <c r="M97" s="22">
        <f t="shared" si="59"/>
        <v>0</v>
      </c>
      <c r="N97" s="22">
        <f t="shared" si="59"/>
        <v>0</v>
      </c>
      <c r="O97" s="22">
        <f t="shared" si="60"/>
        <v>0</v>
      </c>
      <c r="P97" s="22">
        <f t="shared" si="54"/>
        <v>0</v>
      </c>
      <c r="Q97" s="22">
        <v>0</v>
      </c>
      <c r="R97" s="22">
        <f t="shared" si="61"/>
        <v>0</v>
      </c>
      <c r="S97" s="22">
        <f t="shared" si="62"/>
        <v>0</v>
      </c>
      <c r="T97" s="22">
        <f t="shared" si="63"/>
        <v>500</v>
      </c>
      <c r="U97" s="22">
        <f t="shared" si="64"/>
        <v>2728.11</v>
      </c>
      <c r="V97" s="22">
        <f t="shared" si="65"/>
        <v>3228.11</v>
      </c>
      <c r="W97" s="22">
        <f t="shared" si="78"/>
        <v>322.81100000000004</v>
      </c>
      <c r="X97" s="22">
        <f>+'C&amp;A'!E97*0.02</f>
        <v>10.2256</v>
      </c>
      <c r="Y97" s="22">
        <f t="shared" si="66"/>
        <v>0</v>
      </c>
      <c r="Z97" s="22">
        <f t="shared" si="67"/>
        <v>3561.1466000000005</v>
      </c>
      <c r="AA97" s="22">
        <f t="shared" si="68"/>
        <v>569.78345600000011</v>
      </c>
      <c r="AB97" s="22">
        <f t="shared" si="69"/>
        <v>4130.9300560000011</v>
      </c>
      <c r="AC97" s="59"/>
      <c r="AD97" s="61"/>
      <c r="AE97" s="61"/>
      <c r="AF97" s="61"/>
      <c r="AG97" s="123" t="s">
        <v>383</v>
      </c>
      <c r="AH97" s="123" t="s">
        <v>478</v>
      </c>
      <c r="AI97" s="123"/>
      <c r="AJ97" s="123" t="s">
        <v>173</v>
      </c>
      <c r="AK97" s="123" t="s">
        <v>184</v>
      </c>
      <c r="AL97" s="123"/>
      <c r="AM97" s="123"/>
      <c r="AN97" s="123"/>
      <c r="AO97" s="147">
        <v>739.23</v>
      </c>
      <c r="AP97" s="123"/>
      <c r="AQ97" s="147">
        <f t="shared" si="70"/>
        <v>739.23</v>
      </c>
      <c r="AR97" s="147">
        <f>2475.79+13.09</f>
        <v>2488.88</v>
      </c>
      <c r="AS97" s="147"/>
      <c r="AT97" s="147"/>
      <c r="AU97" s="147"/>
      <c r="AV97" s="159"/>
      <c r="AW97" s="141">
        <f t="shared" si="71"/>
        <v>3228.11</v>
      </c>
      <c r="AX97" s="147"/>
      <c r="AY97" s="147"/>
      <c r="AZ97" s="147">
        <v>500</v>
      </c>
      <c r="BA97" s="147"/>
      <c r="BB97" s="147"/>
      <c r="BC97" s="147"/>
      <c r="BD97" s="100">
        <v>0</v>
      </c>
      <c r="BE97" s="100"/>
      <c r="BF97" s="123"/>
      <c r="BG97" s="123">
        <v>0</v>
      </c>
      <c r="BH97" s="141">
        <f t="shared" si="72"/>
        <v>2728.11</v>
      </c>
      <c r="BI97" s="100">
        <f t="shared" si="73"/>
        <v>0</v>
      </c>
      <c r="BJ97" s="141">
        <f t="shared" si="74"/>
        <v>2728.11</v>
      </c>
      <c r="BK97" s="100">
        <f t="shared" si="75"/>
        <v>322.81100000000004</v>
      </c>
      <c r="BL97" s="100">
        <v>10.23</v>
      </c>
      <c r="BM97" s="100">
        <f t="shared" si="76"/>
        <v>0</v>
      </c>
      <c r="BN97" s="141">
        <f t="shared" si="77"/>
        <v>3561.1510000000003</v>
      </c>
      <c r="BO97" s="227"/>
      <c r="BP97" s="227"/>
      <c r="BQ97" s="227"/>
      <c r="BR97" s="103"/>
      <c r="BS97" s="103"/>
      <c r="BT97" s="103"/>
      <c r="BU97" s="103"/>
      <c r="BV97" s="103"/>
      <c r="BW97" s="103"/>
      <c r="BX97" s="50" t="s">
        <v>794</v>
      </c>
      <c r="BY97" s="51" t="s">
        <v>174</v>
      </c>
      <c r="BZ97" s="103"/>
      <c r="CA97" s="103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</row>
    <row r="98" spans="1:98">
      <c r="A98" s="20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135"/>
      <c r="AH98" s="123"/>
      <c r="AI98" s="123"/>
      <c r="AJ98" s="123"/>
      <c r="AK98" s="123"/>
      <c r="AL98" s="123"/>
      <c r="AM98" s="123"/>
      <c r="AN98" s="123"/>
      <c r="AO98" s="147"/>
      <c r="AP98" s="123"/>
      <c r="AQ98" s="147"/>
      <c r="AR98" s="147"/>
      <c r="AS98" s="147"/>
      <c r="AT98" s="147"/>
      <c r="AU98" s="147"/>
      <c r="AV98" s="159"/>
      <c r="AW98" s="141"/>
      <c r="AX98" s="147"/>
      <c r="AY98" s="147"/>
      <c r="AZ98" s="147"/>
      <c r="BA98" s="147"/>
      <c r="BB98" s="147"/>
      <c r="BC98" s="147"/>
      <c r="BD98" s="100"/>
      <c r="BE98" s="100"/>
      <c r="BF98" s="100"/>
      <c r="BG98" s="100"/>
      <c r="BH98" s="141"/>
      <c r="BI98" s="100">
        <f t="shared" ref="BI98" si="79">IF(AW98&gt;3500,AW98*0.1,0)</f>
        <v>0</v>
      </c>
      <c r="BJ98" s="141"/>
      <c r="BK98" s="100">
        <f t="shared" ref="BK98" si="80">IF(AW98&lt;3500,AW98*0.1,0)</f>
        <v>0</v>
      </c>
      <c r="BL98" s="100"/>
      <c r="BM98" s="100">
        <f t="shared" ref="BM98" si="81">+BA98</f>
        <v>0</v>
      </c>
      <c r="BN98" s="141">
        <f t="shared" ref="BN98" si="82">+AW98+BK98+BL98+BM98</f>
        <v>0</v>
      </c>
      <c r="BO98" s="227"/>
      <c r="BP98" s="227"/>
      <c r="BQ98" s="227"/>
      <c r="BR98" s="103"/>
      <c r="BS98" s="103"/>
    </row>
    <row r="99" spans="1:98" ht="15.75" thickBot="1">
      <c r="A99" s="20"/>
      <c r="B99" s="21"/>
      <c r="C99" s="22"/>
      <c r="D99" s="22"/>
      <c r="E99" s="22"/>
      <c r="F99" s="22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2"/>
      <c r="V99" s="22"/>
      <c r="W99" s="22"/>
      <c r="X99" s="22"/>
      <c r="Y99" s="22"/>
      <c r="Z99" s="22"/>
      <c r="AA99" s="22"/>
      <c r="AB99" s="22"/>
      <c r="AC99" s="21"/>
      <c r="AD99" s="21"/>
      <c r="AE99" s="21"/>
      <c r="AF99" s="26"/>
      <c r="AG99" s="135"/>
      <c r="AH99" s="139"/>
      <c r="AI99" s="139"/>
      <c r="AJ99" s="139"/>
      <c r="AK99" s="139"/>
      <c r="AL99" s="139"/>
      <c r="AM99" s="139"/>
      <c r="AN99" s="139"/>
      <c r="AO99" s="140"/>
      <c r="AP99" s="139"/>
      <c r="AQ99" s="140"/>
      <c r="AR99" s="140"/>
      <c r="AS99" s="140"/>
      <c r="AT99" s="140"/>
      <c r="AU99" s="140"/>
      <c r="AV99" s="140"/>
      <c r="AW99" s="141"/>
      <c r="AX99" s="140"/>
      <c r="AY99" s="140"/>
      <c r="AZ99" s="140"/>
      <c r="BA99" s="140"/>
      <c r="BB99" s="140"/>
      <c r="BC99" s="140"/>
      <c r="BD99" s="100"/>
      <c r="BE99" s="100"/>
      <c r="BF99" s="100"/>
      <c r="BG99" s="100"/>
      <c r="BH99" s="142"/>
      <c r="BI99" s="100"/>
      <c r="BJ99" s="141"/>
      <c r="BK99" s="100"/>
      <c r="BL99" s="100"/>
      <c r="BM99" s="100"/>
      <c r="BN99" s="141"/>
      <c r="BO99" s="227"/>
      <c r="BP99" s="227"/>
      <c r="BQ99" s="227"/>
      <c r="BR99" s="103"/>
      <c r="BS99" s="103"/>
    </row>
    <row r="100" spans="1:98" ht="16.5" thickTop="1" thickBot="1">
      <c r="A100" s="25" t="s">
        <v>17</v>
      </c>
      <c r="B100" s="245" t="s">
        <v>735</v>
      </c>
      <c r="C100" s="26">
        <f t="shared" ref="C100:AB100" si="83">SUM(C10:C99)</f>
        <v>74459.630952381034</v>
      </c>
      <c r="D100" s="26">
        <f t="shared" si="83"/>
        <v>843.30539872943234</v>
      </c>
      <c r="E100" s="26">
        <f t="shared" si="83"/>
        <v>189286.00322222229</v>
      </c>
      <c r="F100" s="26">
        <f t="shared" si="83"/>
        <v>350.2</v>
      </c>
      <c r="G100" s="26">
        <f t="shared" si="83"/>
        <v>264939.13957333262</v>
      </c>
      <c r="H100" s="293">
        <f t="shared" si="83"/>
        <v>4332.3909999999996</v>
      </c>
      <c r="I100" s="293">
        <f t="shared" si="83"/>
        <v>2631.9615490000001</v>
      </c>
      <c r="J100" s="293">
        <f t="shared" si="83"/>
        <v>537.82400999999982</v>
      </c>
      <c r="K100" s="293">
        <f t="shared" si="83"/>
        <v>879.38</v>
      </c>
      <c r="L100" s="26">
        <f t="shared" si="83"/>
        <v>0</v>
      </c>
      <c r="M100" s="293">
        <f t="shared" si="83"/>
        <v>406.94</v>
      </c>
      <c r="N100" s="26">
        <f t="shared" si="83"/>
        <v>6506.8315000000002</v>
      </c>
      <c r="O100" s="26">
        <f t="shared" si="83"/>
        <v>15245.556100000002</v>
      </c>
      <c r="P100" s="26">
        <f t="shared" si="83"/>
        <v>648.00999999999976</v>
      </c>
      <c r="Q100" s="26">
        <f t="shared" si="83"/>
        <v>98.564000000000007</v>
      </c>
      <c r="R100" s="26">
        <f t="shared" si="83"/>
        <v>1530.63</v>
      </c>
      <c r="S100" s="26">
        <f t="shared" si="83"/>
        <v>335.5</v>
      </c>
      <c r="T100" s="26">
        <f t="shared" si="83"/>
        <v>33153.588159000006</v>
      </c>
      <c r="U100" s="26">
        <f t="shared" si="83"/>
        <v>231785.55141433253</v>
      </c>
      <c r="V100" s="26">
        <f t="shared" si="83"/>
        <v>264192.5655733326</v>
      </c>
      <c r="W100" s="26">
        <f t="shared" si="83"/>
        <v>11129.007095238096</v>
      </c>
      <c r="X100" s="26">
        <f t="shared" si="83"/>
        <v>874.71499999999901</v>
      </c>
      <c r="Y100" s="293">
        <f t="shared" si="83"/>
        <v>2631.9615490000001</v>
      </c>
      <c r="Z100" s="26">
        <f t="shared" si="83"/>
        <v>278828.24921757088</v>
      </c>
      <c r="AA100" s="26">
        <f t="shared" si="83"/>
        <v>44612.519874811318</v>
      </c>
      <c r="AB100" s="26">
        <f t="shared" si="83"/>
        <v>323440.76909238199</v>
      </c>
      <c r="AC100" s="26"/>
      <c r="AD100" s="26"/>
      <c r="AE100" s="232"/>
      <c r="AF100" s="21"/>
      <c r="AG100" s="103"/>
      <c r="AH100" s="277" t="s">
        <v>484</v>
      </c>
      <c r="AI100" s="277"/>
      <c r="AJ100" s="277"/>
      <c r="AK100" s="277"/>
      <c r="AL100" s="277"/>
      <c r="AM100" s="277"/>
      <c r="AN100" s="277"/>
      <c r="AO100" s="278">
        <f t="shared" ref="AO100" si="84">SUM(AO10:AO99)</f>
        <v>67920.37152380959</v>
      </c>
      <c r="AP100" s="278">
        <f t="shared" ref="AP100" si="85">SUM(AP10:AP99)</f>
        <v>6539.2594285714295</v>
      </c>
      <c r="AQ100" s="278">
        <f t="shared" ref="AQ100:AV100" si="86">SUM(AQ10:AQ99)</f>
        <v>74459.630952381034</v>
      </c>
      <c r="AR100" s="278">
        <f t="shared" si="86"/>
        <v>189286.00100000008</v>
      </c>
      <c r="AS100" s="278">
        <f t="shared" si="86"/>
        <v>0</v>
      </c>
      <c r="AT100" s="278">
        <f t="shared" si="86"/>
        <v>0</v>
      </c>
      <c r="AU100" s="278">
        <f t="shared" si="86"/>
        <v>0</v>
      </c>
      <c r="AV100" s="278">
        <f t="shared" si="86"/>
        <v>0</v>
      </c>
      <c r="AW100" s="278">
        <f>SUM(AW10:AW99)</f>
        <v>263745.63195238099</v>
      </c>
      <c r="AX100" s="278">
        <f>SUM(AX10:AX99)</f>
        <v>0</v>
      </c>
      <c r="AY100" s="278"/>
      <c r="AZ100" s="278">
        <f t="shared" ref="AZ100:BQ100" si="87">SUM(AZ10:AZ99)</f>
        <v>4332.3909999999996</v>
      </c>
      <c r="BA100" s="278">
        <f t="shared" si="87"/>
        <v>2631.9615490000001</v>
      </c>
      <c r="BB100" s="278">
        <f t="shared" si="87"/>
        <v>537.82400999999982</v>
      </c>
      <c r="BC100" s="278">
        <f t="shared" si="87"/>
        <v>879.38</v>
      </c>
      <c r="BD100" s="278">
        <f t="shared" si="87"/>
        <v>1530.63</v>
      </c>
      <c r="BE100" s="278">
        <f t="shared" si="87"/>
        <v>622.44100000000003</v>
      </c>
      <c r="BF100" s="278">
        <f t="shared" si="87"/>
        <v>406.94</v>
      </c>
      <c r="BG100" s="278">
        <f t="shared" si="87"/>
        <v>6506.8315000000002</v>
      </c>
      <c r="BH100" s="278">
        <f t="shared" si="87"/>
        <v>245649.22289338094</v>
      </c>
      <c r="BI100" s="278">
        <f t="shared" si="87"/>
        <v>15245.556100000002</v>
      </c>
      <c r="BJ100" s="278">
        <f t="shared" si="87"/>
        <v>230403.66679338092</v>
      </c>
      <c r="BK100" s="278">
        <f t="shared" si="87"/>
        <v>11129.007095238096</v>
      </c>
      <c r="BL100" s="278">
        <f t="shared" si="87"/>
        <v>900.24000000000103</v>
      </c>
      <c r="BM100" s="278">
        <f t="shared" si="87"/>
        <v>2631.9615490000001</v>
      </c>
      <c r="BN100" s="278">
        <f t="shared" si="87"/>
        <v>278406.840596619</v>
      </c>
      <c r="BO100" s="279">
        <f t="shared" si="87"/>
        <v>0</v>
      </c>
      <c r="BP100" s="279">
        <f t="shared" si="87"/>
        <v>0</v>
      </c>
      <c r="BQ100" s="279">
        <f t="shared" si="87"/>
        <v>0</v>
      </c>
      <c r="BR100" s="103"/>
      <c r="BS100" s="103"/>
      <c r="CB100" s="244"/>
      <c r="CC100" s="244"/>
      <c r="CD100" s="244"/>
      <c r="CE100" s="244"/>
      <c r="CF100" s="244"/>
      <c r="CG100" s="244"/>
      <c r="CH100" s="244"/>
      <c r="CI100" s="244"/>
      <c r="CJ100" s="244"/>
      <c r="CK100" s="244"/>
      <c r="CL100" s="244"/>
      <c r="CM100" s="244"/>
      <c r="CN100" s="244"/>
      <c r="CO100" s="244"/>
      <c r="CP100" s="244"/>
      <c r="CQ100" s="244"/>
      <c r="CR100" s="244"/>
      <c r="CS100" s="244"/>
      <c r="CT100" s="244"/>
    </row>
    <row r="101" spans="1:98" ht="15.75" thickTop="1">
      <c r="A101" s="20"/>
      <c r="B101" s="21"/>
      <c r="C101" s="229"/>
      <c r="D101" s="229"/>
      <c r="E101" s="229"/>
      <c r="F101" s="21"/>
      <c r="G101" s="229"/>
      <c r="H101" s="407" t="s">
        <v>521</v>
      </c>
      <c r="I101" s="407"/>
      <c r="J101" s="407"/>
      <c r="K101" s="407"/>
      <c r="L101" s="21"/>
      <c r="M101" s="294" t="s">
        <v>521</v>
      </c>
      <c r="N101" s="21"/>
      <c r="O101" s="21"/>
      <c r="P101" s="21"/>
      <c r="Q101" s="21"/>
      <c r="R101" s="21"/>
      <c r="S101" s="21"/>
      <c r="T101" s="229"/>
      <c r="U101" s="229"/>
      <c r="V101" s="229"/>
      <c r="W101" s="229"/>
      <c r="X101" s="21"/>
      <c r="Y101" s="294" t="s">
        <v>521</v>
      </c>
      <c r="Z101" s="229"/>
      <c r="AA101" s="229"/>
      <c r="AB101" s="21"/>
      <c r="AC101" s="21"/>
      <c r="AD101" s="54"/>
      <c r="AE101" s="54"/>
      <c r="AF101" s="21"/>
      <c r="AG101" s="103"/>
      <c r="AH101" s="103"/>
      <c r="AI101" s="103"/>
      <c r="AJ101" s="103"/>
      <c r="AK101" s="103"/>
      <c r="AL101" s="103"/>
      <c r="AM101" s="103"/>
      <c r="AN101" s="103"/>
      <c r="AO101" s="82"/>
      <c r="AP101" s="103"/>
      <c r="AQ101" s="82"/>
      <c r="AR101" s="82"/>
      <c r="AS101" s="82"/>
      <c r="AT101" s="82"/>
      <c r="AU101" s="82"/>
      <c r="AV101" s="82"/>
      <c r="AW101" s="249"/>
      <c r="AX101" s="82"/>
      <c r="AY101" s="82"/>
      <c r="BD101" s="82"/>
      <c r="BE101" s="82"/>
      <c r="BF101" s="82"/>
      <c r="BG101" s="82"/>
      <c r="BH101" s="249"/>
      <c r="BI101" s="82"/>
      <c r="BJ101" s="249"/>
      <c r="BK101" s="82"/>
      <c r="BL101" s="82"/>
      <c r="BM101" s="82"/>
      <c r="BN101" s="249">
        <f>BN100*0.16</f>
        <v>44545.094495459045</v>
      </c>
      <c r="BO101" s="280">
        <f>+V100</f>
        <v>264192.5655733326</v>
      </c>
      <c r="BP101" s="227">
        <f>+BO101-BN100</f>
        <v>-14214.275023286405</v>
      </c>
      <c r="BQ101" s="227"/>
      <c r="BR101" s="103"/>
      <c r="BS101" s="103"/>
    </row>
    <row r="102" spans="1:98">
      <c r="A102" s="20"/>
      <c r="B102" s="281" t="s">
        <v>736</v>
      </c>
      <c r="C102" s="229"/>
      <c r="D102" s="21"/>
      <c r="E102" s="229"/>
      <c r="F102" s="21"/>
      <c r="G102" s="229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29"/>
      <c r="V102" s="229"/>
      <c r="W102" s="21"/>
      <c r="X102" s="21"/>
      <c r="Y102" s="21"/>
      <c r="Z102" s="229"/>
      <c r="AA102" s="21"/>
      <c r="AB102" s="21"/>
      <c r="AC102" s="21"/>
      <c r="AD102" s="21"/>
      <c r="AE102" s="21"/>
      <c r="AF102" s="61"/>
      <c r="AG102" s="409" t="s">
        <v>721</v>
      </c>
      <c r="AH102" s="409"/>
      <c r="AI102" s="282"/>
      <c r="AJ102" s="103"/>
      <c r="AK102" s="103"/>
      <c r="AL102" s="103"/>
      <c r="AM102" s="103"/>
      <c r="AN102" s="103"/>
      <c r="AO102" s="82"/>
      <c r="AP102" s="103"/>
      <c r="AQ102" s="82"/>
      <c r="AR102" s="82"/>
      <c r="AS102" s="82"/>
      <c r="AT102" s="82"/>
      <c r="AU102" s="82"/>
      <c r="AV102" s="82"/>
      <c r="AW102" s="249"/>
      <c r="AX102" s="82"/>
      <c r="AY102" s="82"/>
      <c r="BD102" s="82"/>
      <c r="BE102" s="82"/>
      <c r="BF102" s="82"/>
      <c r="BG102" s="82"/>
      <c r="BH102" s="249"/>
      <c r="BI102" s="82"/>
      <c r="BJ102" s="249"/>
      <c r="BK102" s="82"/>
      <c r="BL102" s="82"/>
      <c r="BM102" s="82"/>
      <c r="BN102" s="249">
        <f>+BN100+BN101</f>
        <v>322951.93509207806</v>
      </c>
      <c r="BO102" s="227"/>
      <c r="BP102" s="227"/>
      <c r="BQ102" s="227"/>
      <c r="BR102" s="103"/>
      <c r="BS102" s="103"/>
    </row>
    <row r="103" spans="1:98">
      <c r="A103" s="283"/>
      <c r="B103" s="244" t="s">
        <v>716</v>
      </c>
      <c r="C103" s="284">
        <f>AQ99</f>
        <v>0</v>
      </c>
      <c r="D103" s="284">
        <v>0</v>
      </c>
      <c r="E103" s="284">
        <f>+AS99</f>
        <v>0</v>
      </c>
      <c r="F103" s="284">
        <v>0</v>
      </c>
      <c r="G103" s="284">
        <f>SUM(C103:F103)</f>
        <v>0</v>
      </c>
      <c r="H103" s="284">
        <f>+BA99</f>
        <v>0</v>
      </c>
      <c r="I103" s="284">
        <f>+BB99</f>
        <v>0</v>
      </c>
      <c r="J103" s="284">
        <f>+BC99</f>
        <v>0</v>
      </c>
      <c r="K103" s="284">
        <f>+BD99</f>
        <v>0</v>
      </c>
      <c r="L103" s="284">
        <f>+AW99</f>
        <v>0</v>
      </c>
      <c r="M103" s="284">
        <f>+BG99</f>
        <v>0</v>
      </c>
      <c r="N103" s="284">
        <f>+BH99</f>
        <v>0</v>
      </c>
      <c r="O103" s="284">
        <f>+BJ99</f>
        <v>0</v>
      </c>
      <c r="P103" s="284">
        <f>+AZ99</f>
        <v>0</v>
      </c>
      <c r="Q103" s="284">
        <v>0</v>
      </c>
      <c r="R103" s="284">
        <f>+BE99</f>
        <v>0</v>
      </c>
      <c r="S103" s="284">
        <f>+BF99</f>
        <v>0</v>
      </c>
      <c r="T103" s="284">
        <f>SUM(H103:S103)</f>
        <v>0</v>
      </c>
      <c r="U103" s="284">
        <f>+G103-T103</f>
        <v>0</v>
      </c>
      <c r="V103" s="284">
        <f>+G103-L103-P103-Q103</f>
        <v>0</v>
      </c>
      <c r="W103" s="284">
        <f>+BL99</f>
        <v>0</v>
      </c>
      <c r="X103" s="284" t="e">
        <f>+'C&amp;A'!#REF!*0.02</f>
        <v>#REF!</v>
      </c>
      <c r="Y103" s="284">
        <f>+I103</f>
        <v>0</v>
      </c>
      <c r="Z103" s="284" t="e">
        <f>SUM(V103:Y103)</f>
        <v>#REF!</v>
      </c>
      <c r="AA103" s="284" t="e">
        <f>+Z103*0.16</f>
        <v>#REF!</v>
      </c>
      <c r="AB103" s="284" t="e">
        <f>+Z103+AA103</f>
        <v>#REF!</v>
      </c>
      <c r="AC103" s="285"/>
      <c r="AD103" s="286"/>
      <c r="AE103" s="286"/>
      <c r="AF103" s="286"/>
      <c r="AG103" s="135"/>
      <c r="AH103" s="123" t="s">
        <v>722</v>
      </c>
      <c r="AI103" s="123"/>
      <c r="AJ103" s="123"/>
      <c r="AK103" s="123"/>
      <c r="AL103" s="123"/>
      <c r="AM103" s="123"/>
      <c r="AN103" s="123"/>
      <c r="AO103" s="147"/>
      <c r="AP103" s="123"/>
      <c r="AQ103" s="147"/>
      <c r="AR103" s="147">
        <v>554.70000000000005</v>
      </c>
      <c r="AS103" s="147"/>
      <c r="AT103" s="147"/>
      <c r="AU103" s="147"/>
      <c r="AV103" s="147"/>
      <c r="AW103" s="141">
        <f>SUM(AQ103:AV103)</f>
        <v>554.70000000000005</v>
      </c>
      <c r="AX103" s="147"/>
      <c r="AY103" s="147"/>
      <c r="AZ103" s="147"/>
      <c r="BA103" s="147"/>
      <c r="BB103" s="147"/>
      <c r="BC103" s="147"/>
      <c r="BD103" s="100"/>
      <c r="BE103" s="100"/>
      <c r="BF103" s="100"/>
      <c r="BG103" s="100"/>
      <c r="BH103" s="141">
        <f>+AW103-AX103</f>
        <v>554.70000000000005</v>
      </c>
      <c r="BI103" s="100">
        <f>+BH103*0.05</f>
        <v>27.735000000000003</v>
      </c>
      <c r="BJ103" s="141">
        <f>+BH103-BD103-BG103</f>
        <v>554.70000000000005</v>
      </c>
      <c r="BK103" s="100">
        <f>IF(BH103&lt;3000,BH103*0.1,0)</f>
        <v>55.470000000000006</v>
      </c>
      <c r="BL103" s="100">
        <v>0</v>
      </c>
      <c r="BM103" s="100"/>
      <c r="BN103" s="141">
        <f>+BH103+BK103+BL103</f>
        <v>610.17000000000007</v>
      </c>
      <c r="BO103" s="287"/>
      <c r="BP103" s="287"/>
      <c r="BQ103" s="287"/>
      <c r="BR103" s="103"/>
      <c r="BS103" s="103"/>
    </row>
    <row r="104" spans="1:98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54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135"/>
      <c r="AH104" s="123" t="s">
        <v>723</v>
      </c>
      <c r="AI104" s="123"/>
      <c r="AJ104" s="123"/>
      <c r="AK104" s="123"/>
      <c r="AL104" s="123"/>
      <c r="AM104" s="123"/>
      <c r="AN104" s="123"/>
      <c r="AO104" s="147"/>
      <c r="AP104" s="123"/>
      <c r="AQ104" s="147"/>
      <c r="AR104" s="147">
        <v>3665.68</v>
      </c>
      <c r="AS104" s="147"/>
      <c r="AT104" s="147"/>
      <c r="AU104" s="147"/>
      <c r="AV104" s="147"/>
      <c r="AW104" s="141">
        <f>SUM(AQ104:AV104)</f>
        <v>3665.68</v>
      </c>
      <c r="AX104" s="147"/>
      <c r="AY104" s="147"/>
      <c r="AZ104" s="147"/>
      <c r="BA104" s="147"/>
      <c r="BB104" s="147"/>
      <c r="BC104" s="147"/>
      <c r="BD104" s="100"/>
      <c r="BE104" s="100"/>
      <c r="BF104" s="100"/>
      <c r="BG104" s="100"/>
      <c r="BH104" s="141">
        <f>+AW104-AX104</f>
        <v>3665.68</v>
      </c>
      <c r="BI104" s="100">
        <f>+BH104*0.05</f>
        <v>183.28399999999999</v>
      </c>
      <c r="BJ104" s="141">
        <f>+BH104-BD104-BG104</f>
        <v>3665.68</v>
      </c>
      <c r="BK104" s="100">
        <f>IF(BH104&lt;3000,BH104*0.1,0)</f>
        <v>0</v>
      </c>
      <c r="BL104" s="100">
        <v>0</v>
      </c>
      <c r="BM104" s="100"/>
      <c r="BN104" s="141">
        <f>+BH104+BK104+BL104</f>
        <v>3665.68</v>
      </c>
      <c r="BO104" s="287"/>
      <c r="BP104" s="287"/>
      <c r="BQ104" s="287"/>
      <c r="BR104" s="103"/>
      <c r="BS104" s="103"/>
    </row>
    <row r="105" spans="1:98">
      <c r="A105" s="20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103"/>
      <c r="AH105" s="103"/>
      <c r="AI105" s="103"/>
      <c r="AJ105" s="103"/>
      <c r="AK105" s="103"/>
      <c r="AL105" s="103"/>
      <c r="AM105" s="103"/>
      <c r="AN105" s="103"/>
      <c r="AO105" s="82"/>
      <c r="AP105" s="103"/>
      <c r="AQ105" s="82"/>
      <c r="AR105" s="82"/>
      <c r="AS105" s="82"/>
      <c r="AT105" s="82"/>
      <c r="AU105" s="82"/>
      <c r="AV105" s="82"/>
      <c r="AW105" s="249"/>
      <c r="AX105" s="82"/>
      <c r="AY105" s="82"/>
      <c r="BD105" s="82"/>
      <c r="BE105" s="82"/>
      <c r="BF105" s="82"/>
      <c r="BG105" s="82"/>
      <c r="BH105" s="249"/>
      <c r="BI105" s="82"/>
      <c r="BJ105" s="249"/>
      <c r="BK105" s="82"/>
      <c r="BL105" s="82"/>
      <c r="BM105" s="82"/>
      <c r="BN105" s="249">
        <f>SUM(BN103:BN104)</f>
        <v>4275.8500000000004</v>
      </c>
      <c r="BO105" s="227"/>
      <c r="BP105" s="227"/>
      <c r="BQ105" s="227"/>
      <c r="BR105" s="103"/>
      <c r="BS105" s="103"/>
    </row>
    <row r="106" spans="1:98">
      <c r="A106" s="20"/>
      <c r="B106" s="27" t="s">
        <v>335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54"/>
      <c r="AA106" s="21"/>
      <c r="AB106" s="21"/>
      <c r="AC106" s="21"/>
      <c r="AD106" s="21"/>
      <c r="AE106" s="21"/>
      <c r="AF106" s="21"/>
      <c r="AG106" s="103"/>
      <c r="AH106" s="248"/>
      <c r="AI106" s="248"/>
      <c r="AJ106" s="248"/>
      <c r="AK106" s="103"/>
      <c r="AL106" s="103"/>
      <c r="AM106" s="103"/>
      <c r="AN106" s="103"/>
      <c r="AO106" s="82"/>
      <c r="AP106" s="103"/>
      <c r="AQ106" s="82"/>
      <c r="AR106" s="82"/>
      <c r="AS106" s="82"/>
      <c r="AT106" s="82"/>
      <c r="AU106" s="82"/>
      <c r="AV106" s="82"/>
      <c r="AW106" s="249"/>
      <c r="AX106" s="82"/>
      <c r="AY106" s="82"/>
      <c r="BD106" s="82"/>
      <c r="BE106" s="82"/>
      <c r="BF106" s="82"/>
      <c r="BG106" s="82"/>
      <c r="BH106" s="249"/>
      <c r="BI106" s="82"/>
      <c r="BJ106" s="249"/>
      <c r="BK106" s="82"/>
      <c r="BL106" s="82"/>
      <c r="BM106" s="82"/>
      <c r="BN106" s="249">
        <f>+BN105*0.16</f>
        <v>684.13600000000008</v>
      </c>
      <c r="BO106" s="227"/>
      <c r="BP106" s="227"/>
      <c r="BQ106" s="227"/>
      <c r="BR106" s="103"/>
      <c r="BS106" s="103"/>
    </row>
    <row r="107" spans="1:98">
      <c r="A107" s="409" t="s">
        <v>721</v>
      </c>
      <c r="B107" s="409"/>
      <c r="C107" s="282"/>
      <c r="D107" s="103"/>
      <c r="E107" s="103"/>
      <c r="F107" s="103"/>
      <c r="G107" s="103"/>
      <c r="H107" s="103"/>
      <c r="I107" s="82"/>
      <c r="J107" s="103"/>
      <c r="K107" s="82"/>
      <c r="L107" s="82"/>
      <c r="M107" s="82"/>
      <c r="N107" s="82"/>
      <c r="O107" s="82"/>
      <c r="P107" s="82"/>
      <c r="Q107" s="249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249"/>
      <c r="AC107" s="82"/>
      <c r="AD107" s="249"/>
      <c r="AE107" s="82"/>
      <c r="AF107" s="82"/>
      <c r="AG107" s="82"/>
      <c r="AH107" s="249">
        <f>+AH105+AH106</f>
        <v>0</v>
      </c>
      <c r="AI107" s="227"/>
      <c r="AJ107" s="227"/>
      <c r="AK107" s="227"/>
      <c r="AL107" s="103"/>
      <c r="AM107" s="103"/>
      <c r="AN107" s="103"/>
      <c r="AO107" s="82"/>
      <c r="AP107" s="103"/>
      <c r="AQ107" s="82"/>
      <c r="AR107" s="82"/>
      <c r="AS107" s="82"/>
      <c r="AT107" s="82"/>
      <c r="AU107" s="82"/>
      <c r="AV107" s="82"/>
      <c r="AW107" s="249"/>
      <c r="AX107" s="82"/>
      <c r="AY107" s="82"/>
      <c r="BD107" s="82"/>
      <c r="BE107" s="82"/>
      <c r="BF107" s="82"/>
      <c r="BG107" s="82"/>
      <c r="BH107" s="249"/>
      <c r="BI107" s="82"/>
      <c r="BJ107" s="249"/>
      <c r="BK107" s="82"/>
      <c r="BL107" s="82"/>
      <c r="BM107" s="82"/>
      <c r="BN107" s="249">
        <f>+BN105+BN106</f>
        <v>4959.9860000000008</v>
      </c>
      <c r="BO107" s="227"/>
      <c r="BP107" s="227"/>
      <c r="BQ107" s="227"/>
      <c r="BR107" s="103"/>
      <c r="BS107" s="103"/>
    </row>
    <row r="108" spans="1:98">
      <c r="A108" s="135"/>
      <c r="B108" s="123" t="s">
        <v>722</v>
      </c>
      <c r="C108" s="123"/>
      <c r="D108" s="123"/>
      <c r="E108" s="123"/>
      <c r="F108" s="123"/>
      <c r="G108" s="123"/>
      <c r="H108" s="123"/>
      <c r="I108" s="147"/>
      <c r="J108" s="123"/>
      <c r="K108" s="147"/>
      <c r="L108" s="147">
        <v>554.70000000000005</v>
      </c>
      <c r="M108" s="147"/>
      <c r="N108" s="147"/>
      <c r="O108" s="147"/>
      <c r="P108" s="147"/>
      <c r="Q108" s="141">
        <f>SUM(K108:P108)</f>
        <v>554.70000000000005</v>
      </c>
      <c r="R108" s="147"/>
      <c r="S108" s="147"/>
      <c r="T108" s="147"/>
      <c r="U108" s="147"/>
      <c r="V108" s="147"/>
      <c r="W108" s="147"/>
      <c r="X108" s="100"/>
      <c r="Y108" s="100"/>
      <c r="Z108" s="100"/>
      <c r="AA108" s="100"/>
      <c r="AB108" s="141">
        <f>+Q108-R108</f>
        <v>554.70000000000005</v>
      </c>
      <c r="AC108" s="100"/>
      <c r="AD108" s="141"/>
      <c r="AE108" s="100">
        <f>IF(AB108&lt;3000,AB108*0.1,0)</f>
        <v>55.470000000000006</v>
      </c>
      <c r="AF108" s="100">
        <v>0</v>
      </c>
      <c r="AG108" s="100"/>
      <c r="AH108" s="141">
        <f>+AB108+AE108+AF108</f>
        <v>610.17000000000007</v>
      </c>
      <c r="AI108" s="287"/>
      <c r="AJ108" s="287"/>
      <c r="AK108" s="287"/>
      <c r="AL108" s="103"/>
      <c r="AM108" s="103"/>
      <c r="AN108" s="103"/>
      <c r="AO108" s="82"/>
      <c r="AP108" s="103"/>
      <c r="AQ108" s="82"/>
      <c r="AR108" s="82"/>
      <c r="AS108" s="82"/>
      <c r="AT108" s="82"/>
      <c r="AU108" s="82"/>
      <c r="AV108" s="82"/>
      <c r="AW108" s="249"/>
      <c r="AX108" s="82"/>
      <c r="AY108" s="82"/>
      <c r="BD108" s="82"/>
      <c r="BE108" s="82"/>
      <c r="BF108" s="82"/>
      <c r="BG108" s="82"/>
      <c r="BH108" s="249"/>
      <c r="BI108" s="82"/>
      <c r="BJ108" s="249"/>
      <c r="BK108" s="82"/>
      <c r="BL108" s="82"/>
      <c r="BM108" s="82"/>
      <c r="BN108" s="249"/>
      <c r="BO108" s="227"/>
      <c r="BP108" s="227"/>
      <c r="BQ108" s="227"/>
      <c r="BR108" s="103"/>
      <c r="BS108" s="103"/>
    </row>
    <row r="109" spans="1:98">
      <c r="A109" s="135"/>
      <c r="B109" s="123" t="s">
        <v>723</v>
      </c>
      <c r="C109" s="123"/>
      <c r="D109" s="123"/>
      <c r="E109" s="123"/>
      <c r="F109" s="123"/>
      <c r="G109" s="123"/>
      <c r="H109" s="123"/>
      <c r="I109" s="147"/>
      <c r="J109" s="123"/>
      <c r="K109" s="147"/>
      <c r="L109" s="147">
        <v>3665.68</v>
      </c>
      <c r="M109" s="147"/>
      <c r="N109" s="147"/>
      <c r="O109" s="147"/>
      <c r="P109" s="147"/>
      <c r="Q109" s="141">
        <f>SUM(K109:P109)</f>
        <v>3665.68</v>
      </c>
      <c r="R109" s="147"/>
      <c r="S109" s="147"/>
      <c r="T109" s="147"/>
      <c r="U109" s="147"/>
      <c r="V109" s="147"/>
      <c r="W109" s="147"/>
      <c r="X109" s="100"/>
      <c r="Y109" s="100"/>
      <c r="Z109" s="100"/>
      <c r="AA109" s="100"/>
      <c r="AB109" s="141">
        <f>+Q109-R109</f>
        <v>3665.68</v>
      </c>
      <c r="AC109" s="100"/>
      <c r="AD109" s="141"/>
      <c r="AE109" s="100">
        <f>IF(AB109&lt;3000,AB109*0.1,0)</f>
        <v>0</v>
      </c>
      <c r="AF109" s="100">
        <v>0</v>
      </c>
      <c r="AG109" s="100"/>
      <c r="AH109" s="141">
        <f>+AB109+AE109+AF109</f>
        <v>3665.68</v>
      </c>
      <c r="AI109" s="287"/>
      <c r="AJ109" s="287"/>
      <c r="AK109" s="287"/>
      <c r="AL109" s="103"/>
      <c r="AM109" s="103"/>
      <c r="AN109" s="103"/>
      <c r="AO109" s="82"/>
      <c r="AP109" s="103"/>
      <c r="AQ109" s="82"/>
      <c r="AR109" s="82"/>
      <c r="AS109" s="82"/>
      <c r="AT109" s="82"/>
      <c r="AU109" s="82"/>
      <c r="AV109" s="82"/>
      <c r="AW109" s="249"/>
      <c r="AX109" s="82"/>
      <c r="AY109" s="82"/>
      <c r="BD109" s="82"/>
      <c r="BE109" s="82"/>
      <c r="BF109" s="82"/>
      <c r="BG109" s="82"/>
      <c r="BH109" s="249"/>
      <c r="BI109" s="82"/>
      <c r="BJ109" s="249"/>
      <c r="BK109" s="82"/>
      <c r="BL109" s="82"/>
      <c r="BM109" s="82"/>
      <c r="BN109" s="249">
        <f>+BN102+BN107</f>
        <v>327911.92109207803</v>
      </c>
      <c r="BO109" s="227"/>
      <c r="BP109" s="227"/>
      <c r="BQ109" s="227"/>
      <c r="BR109" s="103"/>
      <c r="BS109" s="103"/>
    </row>
    <row r="110" spans="1:98">
      <c r="A110" s="271"/>
      <c r="B110" s="272"/>
      <c r="C110" s="21"/>
      <c r="D110" s="21"/>
      <c r="E110" s="273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59"/>
      <c r="AD110" s="61"/>
      <c r="AE110" s="61"/>
      <c r="AF110" s="21"/>
      <c r="AG110" s="103"/>
      <c r="AH110" s="248"/>
      <c r="AI110" s="248"/>
      <c r="AJ110" s="248"/>
      <c r="AK110" s="103"/>
      <c r="AL110" s="103"/>
      <c r="AM110" s="103"/>
      <c r="AN110" s="103"/>
      <c r="AO110" s="82"/>
      <c r="AP110" s="103"/>
      <c r="AQ110" s="82"/>
      <c r="AR110" s="82"/>
      <c r="AS110" s="82"/>
      <c r="AT110" s="82"/>
      <c r="AU110" s="82"/>
      <c r="AV110" s="82"/>
      <c r="AW110" s="249"/>
      <c r="AX110" s="82"/>
      <c r="AY110" s="82"/>
      <c r="BD110" s="82"/>
      <c r="BE110" s="82"/>
      <c r="BF110" s="82"/>
      <c r="BG110" s="82"/>
      <c r="BH110" s="249"/>
      <c r="BI110" s="82"/>
      <c r="BJ110" s="249"/>
      <c r="BK110" s="82"/>
      <c r="BL110" s="82"/>
      <c r="BM110" s="82"/>
      <c r="BN110" s="249"/>
      <c r="BO110" s="227"/>
      <c r="BP110" s="227"/>
      <c r="BQ110" s="227"/>
      <c r="BR110" s="103"/>
      <c r="BS110" s="103"/>
    </row>
    <row r="111" spans="1:98">
      <c r="A111" s="271"/>
      <c r="B111" s="272"/>
      <c r="C111" s="21"/>
      <c r="D111" s="21"/>
      <c r="E111" s="273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59"/>
      <c r="AD111" s="61"/>
      <c r="AE111" s="61"/>
      <c r="AF111" s="21"/>
      <c r="AG111" s="103"/>
      <c r="AH111" s="248"/>
      <c r="AI111" s="248"/>
      <c r="AJ111" s="248"/>
      <c r="AK111" s="103"/>
      <c r="AL111" s="103"/>
      <c r="AM111" s="103"/>
      <c r="AN111" s="103"/>
      <c r="AO111" s="82"/>
      <c r="AP111" s="103"/>
      <c r="AQ111" s="82"/>
      <c r="AR111" s="82"/>
      <c r="AS111" s="82"/>
      <c r="AT111" s="82"/>
      <c r="AU111" s="82"/>
      <c r="AV111" s="82"/>
      <c r="AW111" s="249"/>
      <c r="AX111" s="82"/>
      <c r="AY111" s="82"/>
      <c r="BD111" s="82"/>
      <c r="BE111" s="82"/>
      <c r="BF111" s="82"/>
      <c r="BG111" s="82"/>
      <c r="BH111" s="249"/>
      <c r="BI111" s="82"/>
      <c r="BJ111" s="249"/>
      <c r="BK111" s="82"/>
      <c r="BL111" s="82"/>
      <c r="BM111" s="82"/>
      <c r="BN111" s="249"/>
      <c r="BO111" s="227"/>
      <c r="BP111" s="227"/>
      <c r="BQ111" s="227"/>
      <c r="BR111" s="103"/>
      <c r="BS111" s="103"/>
    </row>
    <row r="112" spans="1:98">
      <c r="A112" s="21" t="s">
        <v>637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59"/>
      <c r="AD112" s="61"/>
      <c r="AE112" s="61"/>
      <c r="AF112" s="21"/>
      <c r="AG112" s="103"/>
      <c r="AH112" s="103"/>
      <c r="AI112" s="103"/>
      <c r="AJ112" s="103"/>
      <c r="AK112" s="103"/>
      <c r="AL112" s="103"/>
      <c r="AM112" s="103"/>
      <c r="AN112" s="103"/>
      <c r="AO112" s="82"/>
      <c r="AP112" s="103"/>
      <c r="AQ112" s="82"/>
      <c r="AR112" s="82"/>
      <c r="AS112" s="82"/>
      <c r="AT112" s="82"/>
      <c r="AU112" s="82"/>
      <c r="AV112" s="82"/>
      <c r="AW112" s="249"/>
      <c r="AX112" s="82"/>
      <c r="AY112" s="82"/>
      <c r="BD112" s="82"/>
      <c r="BE112" s="82"/>
      <c r="BF112" s="82"/>
      <c r="BG112" s="82"/>
      <c r="BH112" s="249"/>
      <c r="BI112" s="82"/>
      <c r="BJ112" s="249"/>
      <c r="BK112" s="82"/>
      <c r="BL112" s="82"/>
      <c r="BM112" s="82"/>
      <c r="BN112" s="249"/>
      <c r="BO112" s="227"/>
      <c r="BP112" s="227"/>
      <c r="BQ112" s="227"/>
      <c r="BR112" s="103"/>
      <c r="BS112" s="103"/>
    </row>
    <row r="113" spans="1:78">
      <c r="A113" s="50" t="s">
        <v>800</v>
      </c>
      <c r="B113" s="51" t="s">
        <v>801</v>
      </c>
      <c r="C113" s="22">
        <f>+AO113</f>
        <v>0</v>
      </c>
      <c r="D113" s="22">
        <v>0</v>
      </c>
      <c r="E113" s="22">
        <f>+AR113</f>
        <v>0</v>
      </c>
      <c r="F113" s="22">
        <v>0</v>
      </c>
      <c r="G113" s="22">
        <f>SUM(C113:F113)</f>
        <v>0</v>
      </c>
      <c r="H113" s="22">
        <f>+AZ113</f>
        <v>0</v>
      </c>
      <c r="I113" s="22">
        <f>+BA113</f>
        <v>0</v>
      </c>
      <c r="J113" s="22">
        <f>+BB113</f>
        <v>0</v>
      </c>
      <c r="K113" s="22">
        <f>+BC113</f>
        <v>0</v>
      </c>
      <c r="L113" s="22">
        <f>+AW113</f>
        <v>0</v>
      </c>
      <c r="M113" s="22">
        <f>+BG113</f>
        <v>0</v>
      </c>
      <c r="N113" s="22">
        <f>+BH113</f>
        <v>0</v>
      </c>
      <c r="O113" s="22">
        <f>+BJ113</f>
        <v>0</v>
      </c>
      <c r="P113" s="22">
        <f>+AY113</f>
        <v>0</v>
      </c>
      <c r="Q113" s="22">
        <v>0</v>
      </c>
      <c r="R113" s="22">
        <f>+BE113</f>
        <v>0</v>
      </c>
      <c r="S113" s="22">
        <f>+BE113</f>
        <v>0</v>
      </c>
      <c r="T113" s="22">
        <f>SUM(H113:S113)</f>
        <v>0</v>
      </c>
      <c r="U113" s="22">
        <f>+G113-T113</f>
        <v>0</v>
      </c>
      <c r="V113" s="22">
        <f>+G113-L113-P113-Q113</f>
        <v>0</v>
      </c>
      <c r="W113" s="22">
        <f>+BL113</f>
        <v>0</v>
      </c>
      <c r="X113" s="22">
        <f>+'C&amp;A'!E35*0.02</f>
        <v>10.2256</v>
      </c>
      <c r="Y113" s="22">
        <f>+I113</f>
        <v>0</v>
      </c>
      <c r="Z113" s="22">
        <f>SUM(V113:Y113)</f>
        <v>10.2256</v>
      </c>
      <c r="AA113" s="22">
        <f>+Z113*0.16</f>
        <v>1.636096</v>
      </c>
      <c r="AB113" s="22">
        <f>+Z113+AA113</f>
        <v>11.861696</v>
      </c>
      <c r="AC113" s="59"/>
      <c r="AD113" s="61"/>
      <c r="AE113" s="61"/>
      <c r="AF113" s="61"/>
      <c r="AG113" s="288" t="s">
        <v>383</v>
      </c>
      <c r="AH113" s="288" t="s">
        <v>619</v>
      </c>
      <c r="AI113" s="288"/>
      <c r="AJ113" s="288"/>
      <c r="AK113" s="288" t="s">
        <v>385</v>
      </c>
      <c r="AL113" s="289">
        <v>42422</v>
      </c>
      <c r="AM113" s="288"/>
      <c r="AN113" s="288"/>
      <c r="AO113" s="290">
        <v>0</v>
      </c>
      <c r="AP113" s="291"/>
      <c r="AQ113" s="290">
        <f>+AO113+AP113</f>
        <v>0</v>
      </c>
      <c r="AR113" s="290"/>
      <c r="AS113" s="290"/>
      <c r="AT113" s="290"/>
      <c r="AU113" s="290"/>
      <c r="AV113" s="290"/>
      <c r="AW113" s="246">
        <f>SUM(AQ113:AU113)-AV113</f>
        <v>0</v>
      </c>
      <c r="AX113" s="290"/>
      <c r="AY113" s="290"/>
      <c r="AZ113" s="290">
        <v>0</v>
      </c>
      <c r="BA113" s="290"/>
      <c r="BB113" s="290"/>
      <c r="BC113" s="290"/>
      <c r="BD113" s="292"/>
      <c r="BE113" s="292"/>
      <c r="BF113" s="288"/>
      <c r="BG113" s="288">
        <v>0</v>
      </c>
      <c r="BH113" s="246">
        <f>+AW113-SUM(AX113:BG113)</f>
        <v>0</v>
      </c>
      <c r="BI113" s="292">
        <f>IF(AW113&gt;3500,AW113*0.1,0)</f>
        <v>0</v>
      </c>
      <c r="BJ113" s="246">
        <f>+BH113-BI113</f>
        <v>0</v>
      </c>
      <c r="BK113" s="292">
        <f>IF(AW113&lt;3500,AW113*0.1,0)</f>
        <v>0</v>
      </c>
      <c r="BL113" s="292">
        <v>0</v>
      </c>
      <c r="BM113" s="292">
        <f>+BA113</f>
        <v>0</v>
      </c>
      <c r="BN113" s="246">
        <f>+AW113+BK113+BL113+BM113</f>
        <v>0</v>
      </c>
      <c r="BO113" s="228"/>
      <c r="BP113" s="228"/>
      <c r="BQ113" s="228"/>
      <c r="BR113" s="275">
        <v>1182316935</v>
      </c>
      <c r="BS113" s="247" t="s">
        <v>817</v>
      </c>
      <c r="BT113" s="275"/>
      <c r="BU113" s="275"/>
      <c r="BV113" s="275"/>
      <c r="BW113" s="275"/>
      <c r="BX113" s="50" t="s">
        <v>800</v>
      </c>
      <c r="BY113" s="51" t="s">
        <v>801</v>
      </c>
      <c r="BZ113" s="274"/>
    </row>
    <row r="114" spans="1:78">
      <c r="A114" s="20"/>
      <c r="B114" s="21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59"/>
      <c r="AD114" s="61"/>
      <c r="AE114" s="61"/>
      <c r="AF114" s="61"/>
      <c r="AG114" s="103"/>
      <c r="AH114" s="103"/>
      <c r="AI114" s="103"/>
      <c r="AJ114" s="103"/>
      <c r="AK114" s="103"/>
      <c r="AL114" s="103"/>
      <c r="AM114" s="103"/>
      <c r="AN114" s="103"/>
      <c r="AO114" s="82"/>
      <c r="AP114" s="103"/>
      <c r="AQ114" s="82"/>
      <c r="AR114" s="82"/>
      <c r="AS114" s="82"/>
      <c r="AT114" s="82"/>
      <c r="AU114" s="82"/>
      <c r="AV114" s="82"/>
      <c r="AW114" s="249"/>
      <c r="AX114" s="82"/>
      <c r="AY114" s="82"/>
      <c r="BD114" s="82"/>
      <c r="BE114" s="82"/>
      <c r="BF114" s="82"/>
      <c r="BG114" s="82"/>
      <c r="BH114" s="249"/>
      <c r="BI114" s="82"/>
      <c r="BJ114" s="249"/>
      <c r="BK114" s="82"/>
      <c r="BL114" s="82"/>
      <c r="BM114" s="82"/>
      <c r="BN114" s="249"/>
      <c r="BO114" s="227"/>
      <c r="BP114" s="227"/>
      <c r="BQ114" s="227"/>
      <c r="BR114" s="103"/>
      <c r="BS114" s="103"/>
    </row>
    <row r="115" spans="1:78">
      <c r="A115" s="20"/>
      <c r="B115" s="21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59"/>
      <c r="AD115" s="61"/>
      <c r="AE115" s="61"/>
      <c r="AF115" s="61"/>
    </row>
    <row r="118" spans="1:78">
      <c r="AG118" s="107" t="s">
        <v>488</v>
      </c>
      <c r="AH118" s="80"/>
      <c r="AI118" s="80"/>
    </row>
    <row r="119" spans="1:78">
      <c r="AG119" s="107" t="s">
        <v>489</v>
      </c>
      <c r="AH119" s="80"/>
      <c r="AI119" s="80"/>
    </row>
    <row r="120" spans="1:78">
      <c r="AG120" s="107" t="s">
        <v>490</v>
      </c>
      <c r="AH120" s="80"/>
      <c r="AI120" s="80"/>
    </row>
    <row r="121" spans="1:78">
      <c r="AG121" s="107" t="s">
        <v>491</v>
      </c>
      <c r="AH121" s="80"/>
      <c r="AI121" s="80"/>
    </row>
    <row r="122" spans="1:78">
      <c r="AG122" s="107" t="s">
        <v>492</v>
      </c>
      <c r="AH122" s="80"/>
      <c r="AI122" s="80"/>
    </row>
    <row r="123" spans="1:78">
      <c r="AG123" s="107" t="s">
        <v>493</v>
      </c>
      <c r="AH123" s="80"/>
      <c r="AI123" s="80"/>
    </row>
    <row r="127" spans="1:78">
      <c r="AH127" s="88"/>
      <c r="AI127" s="150"/>
    </row>
    <row r="128" spans="1:78">
      <c r="AH128" s="88"/>
      <c r="AI128" s="150"/>
    </row>
    <row r="129" spans="34:35">
      <c r="AH129" s="88"/>
      <c r="AI129" s="150"/>
    </row>
  </sheetData>
  <sortState ref="AG67:BT69">
    <sortCondition ref="AH67:AH69"/>
  </sortState>
  <mergeCells count="39">
    <mergeCell ref="H101:K101"/>
    <mergeCell ref="V7:AB7"/>
    <mergeCell ref="A107:B107"/>
    <mergeCell ref="AG8:AG9"/>
    <mergeCell ref="AH8:AH9"/>
    <mergeCell ref="AG102:AH102"/>
    <mergeCell ref="AI8:AI9"/>
    <mergeCell ref="AJ8:AJ9"/>
    <mergeCell ref="AK8:AK9"/>
    <mergeCell ref="AR8:AR9"/>
    <mergeCell ref="AT8:AT9"/>
    <mergeCell ref="AU8:AU9"/>
    <mergeCell ref="AV8:AV9"/>
    <mergeCell ref="AL8:AL9"/>
    <mergeCell ref="AM8:AM9"/>
    <mergeCell ref="AN8:AN9"/>
    <mergeCell ref="AO8:AO9"/>
    <mergeCell ref="AP8:AP9"/>
    <mergeCell ref="AQ8:AQ9"/>
    <mergeCell ref="BS8:BS9"/>
    <mergeCell ref="BH8:BH9"/>
    <mergeCell ref="BI8:BI9"/>
    <mergeCell ref="BJ8:BJ9"/>
    <mergeCell ref="BK8:BK9"/>
    <mergeCell ref="BL8:BL9"/>
    <mergeCell ref="BN8:BN9"/>
    <mergeCell ref="BO8:BP8"/>
    <mergeCell ref="BQ8:BQ9"/>
    <mergeCell ref="BR8:BR9"/>
    <mergeCell ref="BC8:BC9"/>
    <mergeCell ref="BD8:BD9"/>
    <mergeCell ref="BE8:BE9"/>
    <mergeCell ref="BF8:BF9"/>
    <mergeCell ref="BG8:BG9"/>
    <mergeCell ref="AW8:AW9"/>
    <mergeCell ref="AX8:AX9"/>
    <mergeCell ref="AZ8:AZ9"/>
    <mergeCell ref="BA8:BA9"/>
    <mergeCell ref="BB8:BB9"/>
  </mergeCells>
  <pageMargins left="0.70866141732283472" right="0.70866141732283472" top="0.74803149606299213" bottom="0.74803149606299213" header="0.31496062992125984" footer="0.31496062992125984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87"/>
  <sheetViews>
    <sheetView topLeftCell="A64" workbookViewId="0">
      <selection activeCell="H21" sqref="H21"/>
    </sheetView>
  </sheetViews>
  <sheetFormatPr baseColWidth="10" defaultRowHeight="15"/>
  <cols>
    <col min="6" max="6" width="30" customWidth="1"/>
    <col min="11" max="11" width="26.85546875" bestFit="1" customWidth="1"/>
  </cols>
  <sheetData>
    <row r="1" spans="1:13" ht="19.5">
      <c r="A1" s="179">
        <v>46</v>
      </c>
      <c r="B1" s="180" t="s">
        <v>522</v>
      </c>
      <c r="C1" s="180" t="s">
        <v>523</v>
      </c>
      <c r="D1" s="179">
        <v>2889514104</v>
      </c>
      <c r="E1" s="181">
        <v>2043.7</v>
      </c>
      <c r="F1" s="180" t="s">
        <v>590</v>
      </c>
      <c r="G1" s="180" t="s">
        <v>524</v>
      </c>
      <c r="H1" s="180" t="s">
        <v>525</v>
      </c>
      <c r="J1" s="50" t="s">
        <v>34</v>
      </c>
      <c r="K1" s="51" t="s">
        <v>35</v>
      </c>
      <c r="L1" s="58">
        <v>2043.6999999999998</v>
      </c>
      <c r="M1" s="175">
        <f>+L1-E1</f>
        <v>0</v>
      </c>
    </row>
    <row r="2" spans="1:13" ht="19.5">
      <c r="A2" s="179">
        <v>36</v>
      </c>
      <c r="B2" s="180" t="s">
        <v>522</v>
      </c>
      <c r="C2" s="180" t="s">
        <v>523</v>
      </c>
      <c r="D2" s="179">
        <v>2848478236</v>
      </c>
      <c r="E2" s="186">
        <v>7905.82</v>
      </c>
      <c r="F2" s="180" t="s">
        <v>583</v>
      </c>
      <c r="G2" s="180" t="s">
        <v>524</v>
      </c>
      <c r="H2" s="180" t="s">
        <v>525</v>
      </c>
      <c r="J2" s="50" t="s">
        <v>36</v>
      </c>
      <c r="K2" s="51" t="s">
        <v>37</v>
      </c>
      <c r="L2" s="58">
        <v>8966.2180000000008</v>
      </c>
      <c r="M2" s="175">
        <f>+L2-E2</f>
        <v>1060.398000000001</v>
      </c>
    </row>
    <row r="3" spans="1:13" ht="19.5">
      <c r="A3" s="176">
        <v>71</v>
      </c>
      <c r="B3" s="177" t="s">
        <v>522</v>
      </c>
      <c r="C3" s="177" t="s">
        <v>523</v>
      </c>
      <c r="D3" s="176">
        <v>2958467625</v>
      </c>
      <c r="E3" s="178">
        <v>4471.84</v>
      </c>
      <c r="F3" s="177" t="s">
        <v>599</v>
      </c>
      <c r="G3" s="177" t="s">
        <v>524</v>
      </c>
      <c r="H3" s="177" t="s">
        <v>525</v>
      </c>
      <c r="J3" s="50" t="s">
        <v>38</v>
      </c>
      <c r="K3" s="51" t="s">
        <v>39</v>
      </c>
      <c r="L3" s="58">
        <v>5153.2496900000006</v>
      </c>
      <c r="M3" s="175">
        <f t="shared" ref="M3:M15" si="0">+L3-E3</f>
        <v>681.40969000000041</v>
      </c>
    </row>
    <row r="4" spans="1:13" ht="19.5">
      <c r="A4" s="176">
        <v>1</v>
      </c>
      <c r="B4" s="177" t="s">
        <v>522</v>
      </c>
      <c r="C4" s="177" t="s">
        <v>523</v>
      </c>
      <c r="D4" s="176">
        <v>2706107109</v>
      </c>
      <c r="E4" s="178">
        <v>2401.9</v>
      </c>
      <c r="F4" s="177" t="s">
        <v>565</v>
      </c>
      <c r="G4" s="177" t="s">
        <v>524</v>
      </c>
      <c r="H4" s="177" t="s">
        <v>525</v>
      </c>
      <c r="J4" s="50" t="s">
        <v>289</v>
      </c>
      <c r="K4" s="51" t="s">
        <v>178</v>
      </c>
      <c r="L4" s="58">
        <v>2401.9</v>
      </c>
      <c r="M4" s="175">
        <f t="shared" si="0"/>
        <v>0</v>
      </c>
    </row>
    <row r="5" spans="1:13" ht="19.5">
      <c r="A5" s="179">
        <v>76</v>
      </c>
      <c r="B5" s="180" t="s">
        <v>522</v>
      </c>
      <c r="C5" s="180" t="s">
        <v>523</v>
      </c>
      <c r="D5" s="179">
        <v>2983576469</v>
      </c>
      <c r="E5" s="181">
        <v>1258.94</v>
      </c>
      <c r="F5" s="180" t="s">
        <v>564</v>
      </c>
      <c r="G5" s="180" t="s">
        <v>524</v>
      </c>
      <c r="H5" s="180" t="s">
        <v>525</v>
      </c>
      <c r="J5" s="50" t="s">
        <v>40</v>
      </c>
      <c r="K5" s="51" t="s">
        <v>41</v>
      </c>
      <c r="L5" s="58">
        <v>1258.94</v>
      </c>
      <c r="M5" s="175">
        <f t="shared" si="0"/>
        <v>0</v>
      </c>
    </row>
    <row r="6" spans="1:13" ht="19.5">
      <c r="A6" s="179">
        <v>16</v>
      </c>
      <c r="B6" s="180" t="s">
        <v>522</v>
      </c>
      <c r="C6" s="180" t="s">
        <v>523</v>
      </c>
      <c r="D6" s="179">
        <v>2648514356</v>
      </c>
      <c r="E6" s="181">
        <v>1862.22</v>
      </c>
      <c r="F6" s="180" t="s">
        <v>576</v>
      </c>
      <c r="G6" s="180" t="s">
        <v>524</v>
      </c>
      <c r="H6" s="180" t="s">
        <v>525</v>
      </c>
      <c r="J6" s="50" t="s">
        <v>42</v>
      </c>
      <c r="K6" s="51" t="s">
        <v>43</v>
      </c>
      <c r="L6" s="58">
        <v>1862.2199999999998</v>
      </c>
      <c r="M6" s="175">
        <f t="shared" si="0"/>
        <v>0</v>
      </c>
    </row>
    <row r="7" spans="1:13" ht="19.5">
      <c r="A7" s="176">
        <v>55</v>
      </c>
      <c r="B7" s="177" t="s">
        <v>522</v>
      </c>
      <c r="C7" s="177" t="s">
        <v>523</v>
      </c>
      <c r="D7" s="176">
        <v>2915275539</v>
      </c>
      <c r="E7" s="178">
        <v>4780.5600000000004</v>
      </c>
      <c r="F7" s="177" t="s">
        <v>550</v>
      </c>
      <c r="G7" s="177" t="s">
        <v>524</v>
      </c>
      <c r="H7" s="177" t="s">
        <v>525</v>
      </c>
      <c r="J7" s="50" t="s">
        <v>44</v>
      </c>
      <c r="K7" s="51" t="s">
        <v>45</v>
      </c>
      <c r="L7" s="58">
        <v>5496.3259999999991</v>
      </c>
      <c r="M7" s="175">
        <f t="shared" si="0"/>
        <v>715.76599999999871</v>
      </c>
    </row>
    <row r="8" spans="1:13" s="119" customFormat="1" ht="19.5">
      <c r="A8" s="183">
        <v>35</v>
      </c>
      <c r="B8" s="184" t="s">
        <v>522</v>
      </c>
      <c r="C8" s="184" t="s">
        <v>523</v>
      </c>
      <c r="D8" s="183">
        <v>2838464278</v>
      </c>
      <c r="E8" s="183">
        <v>805.92</v>
      </c>
      <c r="F8" s="184" t="s">
        <v>542</v>
      </c>
      <c r="G8" s="184" t="s">
        <v>524</v>
      </c>
      <c r="H8" s="184" t="s">
        <v>525</v>
      </c>
      <c r="J8" s="166" t="s">
        <v>290</v>
      </c>
      <c r="K8" s="167" t="s">
        <v>46</v>
      </c>
      <c r="L8" s="185">
        <v>805.92185999999992</v>
      </c>
      <c r="M8" s="175">
        <f t="shared" si="0"/>
        <v>1.8599999999651118E-3</v>
      </c>
    </row>
    <row r="9" spans="1:13" s="119" customFormat="1" ht="19.5">
      <c r="A9" s="183">
        <v>50</v>
      </c>
      <c r="B9" s="184" t="s">
        <v>522</v>
      </c>
      <c r="C9" s="184" t="s">
        <v>523</v>
      </c>
      <c r="D9" s="183">
        <v>2896455182</v>
      </c>
      <c r="E9" s="183">
        <v>905.93</v>
      </c>
      <c r="F9" s="184" t="s">
        <v>593</v>
      </c>
      <c r="G9" s="184" t="s">
        <v>524</v>
      </c>
      <c r="H9" s="184" t="s">
        <v>525</v>
      </c>
      <c r="J9" s="166" t="s">
        <v>48</v>
      </c>
      <c r="K9" s="167" t="s">
        <v>49</v>
      </c>
      <c r="L9" s="185">
        <v>905.93</v>
      </c>
      <c r="M9" s="175">
        <f t="shared" si="0"/>
        <v>0</v>
      </c>
    </row>
    <row r="10" spans="1:13" s="119" customFormat="1" ht="19.5">
      <c r="A10" s="183">
        <v>38</v>
      </c>
      <c r="B10" s="184" t="s">
        <v>522</v>
      </c>
      <c r="C10" s="184" t="s">
        <v>523</v>
      </c>
      <c r="D10" s="183">
        <v>2854221494</v>
      </c>
      <c r="E10" s="183">
        <v>594.48</v>
      </c>
      <c r="F10" s="184" t="s">
        <v>584</v>
      </c>
      <c r="G10" s="184" t="s">
        <v>524</v>
      </c>
      <c r="H10" s="184" t="s">
        <v>525</v>
      </c>
      <c r="J10" s="166" t="s">
        <v>50</v>
      </c>
      <c r="K10" s="167" t="s">
        <v>51</v>
      </c>
      <c r="L10" s="185">
        <v>594.48</v>
      </c>
      <c r="M10" s="175">
        <f t="shared" si="0"/>
        <v>0</v>
      </c>
    </row>
    <row r="11" spans="1:13" s="119" customFormat="1" ht="19.5">
      <c r="A11" s="183">
        <v>73</v>
      </c>
      <c r="B11" s="184" t="s">
        <v>522</v>
      </c>
      <c r="C11" s="184" t="s">
        <v>523</v>
      </c>
      <c r="D11" s="183">
        <v>2971587803</v>
      </c>
      <c r="E11" s="186">
        <v>1634.57</v>
      </c>
      <c r="F11" s="184" t="s">
        <v>601</v>
      </c>
      <c r="G11" s="184" t="s">
        <v>524</v>
      </c>
      <c r="H11" s="184" t="s">
        <v>525</v>
      </c>
      <c r="J11" s="166" t="s">
        <v>291</v>
      </c>
      <c r="K11" s="167" t="s">
        <v>52</v>
      </c>
      <c r="L11" s="185">
        <v>1634.5700000000002</v>
      </c>
      <c r="M11" s="175">
        <f t="shared" si="0"/>
        <v>0</v>
      </c>
    </row>
    <row r="12" spans="1:13" s="119" customFormat="1" ht="19.5">
      <c r="A12" s="183">
        <v>22</v>
      </c>
      <c r="B12" s="184" t="s">
        <v>522</v>
      </c>
      <c r="C12" s="184" t="s">
        <v>523</v>
      </c>
      <c r="D12" s="183">
        <v>2695890349</v>
      </c>
      <c r="E12" s="186">
        <v>1210.4000000000001</v>
      </c>
      <c r="F12" s="184" t="s">
        <v>579</v>
      </c>
      <c r="G12" s="184" t="s">
        <v>524</v>
      </c>
      <c r="H12" s="184" t="s">
        <v>525</v>
      </c>
      <c r="J12" s="166" t="s">
        <v>53</v>
      </c>
      <c r="K12" s="167" t="s">
        <v>54</v>
      </c>
      <c r="L12" s="185">
        <v>1210.39888</v>
      </c>
      <c r="M12" s="175">
        <f t="shared" si="0"/>
        <v>-1.1200000001281296E-3</v>
      </c>
    </row>
    <row r="13" spans="1:13" s="119" customFormat="1" ht="19.5">
      <c r="A13" s="183">
        <v>17</v>
      </c>
      <c r="B13" s="184" t="s">
        <v>522</v>
      </c>
      <c r="C13" s="184" t="s">
        <v>523</v>
      </c>
      <c r="D13" s="183">
        <v>2648514364</v>
      </c>
      <c r="E13" s="186">
        <v>4846.79</v>
      </c>
      <c r="F13" s="184" t="s">
        <v>530</v>
      </c>
      <c r="G13" s="184" t="s">
        <v>524</v>
      </c>
      <c r="H13" s="184" t="s">
        <v>525</v>
      </c>
      <c r="J13" s="166" t="s">
        <v>15</v>
      </c>
      <c r="K13" s="167" t="s">
        <v>55</v>
      </c>
      <c r="L13" s="185">
        <v>5638.0239999999994</v>
      </c>
      <c r="M13" s="175">
        <f t="shared" si="0"/>
        <v>791.23399999999947</v>
      </c>
    </row>
    <row r="14" spans="1:13" s="119" customFormat="1" ht="19.5">
      <c r="A14" s="183">
        <v>15</v>
      </c>
      <c r="B14" s="184" t="s">
        <v>522</v>
      </c>
      <c r="C14" s="184" t="s">
        <v>523</v>
      </c>
      <c r="D14" s="183">
        <v>2616790135</v>
      </c>
      <c r="E14" s="183">
        <v>522.6</v>
      </c>
      <c r="F14" s="184" t="s">
        <v>529</v>
      </c>
      <c r="G14" s="184" t="s">
        <v>524</v>
      </c>
      <c r="H14" s="184" t="s">
        <v>525</v>
      </c>
      <c r="J14" s="166" t="s">
        <v>56</v>
      </c>
      <c r="K14" s="167" t="s">
        <v>57</v>
      </c>
      <c r="L14" s="185">
        <v>522.6</v>
      </c>
      <c r="M14" s="175">
        <f t="shared" si="0"/>
        <v>0</v>
      </c>
    </row>
    <row r="15" spans="1:13" s="119" customFormat="1" ht="19.5">
      <c r="A15" s="183">
        <v>29</v>
      </c>
      <c r="B15" s="184" t="s">
        <v>522</v>
      </c>
      <c r="C15" s="184" t="s">
        <v>523</v>
      </c>
      <c r="D15" s="183">
        <v>2761258753</v>
      </c>
      <c r="E15" s="183">
        <v>548.20000000000005</v>
      </c>
      <c r="F15" s="184" t="s">
        <v>537</v>
      </c>
      <c r="G15" s="184" t="s">
        <v>524</v>
      </c>
      <c r="H15" s="184" t="s">
        <v>525</v>
      </c>
      <c r="J15" s="166" t="s">
        <v>58</v>
      </c>
      <c r="K15" s="167" t="s">
        <v>59</v>
      </c>
      <c r="L15" s="185">
        <v>548.19999999999993</v>
      </c>
      <c r="M15" s="175">
        <f t="shared" si="0"/>
        <v>0</v>
      </c>
    </row>
    <row r="16" spans="1:13" ht="19.5">
      <c r="A16" s="176">
        <v>61</v>
      </c>
      <c r="B16" s="177" t="s">
        <v>522</v>
      </c>
      <c r="C16" s="177" t="s">
        <v>523</v>
      </c>
      <c r="D16" s="176">
        <v>2935582334</v>
      </c>
      <c r="E16" s="176">
        <v>744.51</v>
      </c>
      <c r="F16" s="177" t="s">
        <v>597</v>
      </c>
      <c r="G16" s="177" t="s">
        <v>524</v>
      </c>
      <c r="H16" s="177" t="s">
        <v>525</v>
      </c>
      <c r="J16" s="50" t="s">
        <v>60</v>
      </c>
      <c r="K16" s="51" t="s">
        <v>61</v>
      </c>
      <c r="L16" s="58">
        <v>744.51</v>
      </c>
    </row>
    <row r="17" spans="1:12" ht="19.5">
      <c r="A17" s="176">
        <v>25</v>
      </c>
      <c r="B17" s="177" t="s">
        <v>522</v>
      </c>
      <c r="C17" s="177" t="s">
        <v>523</v>
      </c>
      <c r="D17" s="176">
        <v>2746799043</v>
      </c>
      <c r="E17" s="178">
        <v>3152.3</v>
      </c>
      <c r="F17" s="177" t="s">
        <v>534</v>
      </c>
      <c r="G17" s="177" t="s">
        <v>524</v>
      </c>
      <c r="H17" s="177" t="s">
        <v>525</v>
      </c>
      <c r="J17" s="50" t="s">
        <v>62</v>
      </c>
      <c r="K17" s="51" t="s">
        <v>63</v>
      </c>
      <c r="L17" s="58">
        <v>3152.3020000000001</v>
      </c>
    </row>
    <row r="18" spans="1:12" ht="19.5">
      <c r="A18" s="176">
        <v>53</v>
      </c>
      <c r="B18" s="177" t="s">
        <v>522</v>
      </c>
      <c r="C18" s="177" t="s">
        <v>523</v>
      </c>
      <c r="D18" s="176">
        <v>2904189264</v>
      </c>
      <c r="E18" s="176">
        <v>936.13</v>
      </c>
      <c r="F18" s="177" t="s">
        <v>548</v>
      </c>
      <c r="G18" s="177" t="s">
        <v>524</v>
      </c>
      <c r="H18" s="177" t="s">
        <v>525</v>
      </c>
      <c r="J18" s="50" t="s">
        <v>64</v>
      </c>
      <c r="K18" s="51" t="s">
        <v>65</v>
      </c>
      <c r="L18" s="58">
        <v>936.12999999999988</v>
      </c>
    </row>
    <row r="19" spans="1:12" ht="19.5">
      <c r="A19" s="176">
        <v>59</v>
      </c>
      <c r="B19" s="177" t="s">
        <v>522</v>
      </c>
      <c r="C19" s="177" t="s">
        <v>523</v>
      </c>
      <c r="D19" s="176">
        <v>2923627098</v>
      </c>
      <c r="E19" s="176">
        <v>522.79999999999995</v>
      </c>
      <c r="F19" s="177" t="s">
        <v>596</v>
      </c>
      <c r="G19" s="177" t="s">
        <v>524</v>
      </c>
      <c r="H19" s="177" t="s">
        <v>525</v>
      </c>
      <c r="J19" s="50" t="s">
        <v>66</v>
      </c>
      <c r="K19" s="51" t="s">
        <v>67</v>
      </c>
      <c r="L19" s="58">
        <v>522.79999999999995</v>
      </c>
    </row>
    <row r="20" spans="1:12" ht="19.5">
      <c r="A20" s="176">
        <v>49</v>
      </c>
      <c r="B20" s="177" t="s">
        <v>522</v>
      </c>
      <c r="C20" s="177" t="s">
        <v>523</v>
      </c>
      <c r="D20" s="176">
        <v>2895359627</v>
      </c>
      <c r="E20" s="176">
        <v>906.13</v>
      </c>
      <c r="F20" s="177" t="s">
        <v>546</v>
      </c>
      <c r="G20" s="177" t="s">
        <v>524</v>
      </c>
      <c r="H20" s="177" t="s">
        <v>525</v>
      </c>
      <c r="J20" s="50" t="s">
        <v>68</v>
      </c>
      <c r="K20" s="51" t="s">
        <v>69</v>
      </c>
      <c r="L20" s="58">
        <v>906.12999999999988</v>
      </c>
    </row>
    <row r="21" spans="1:12" ht="19.5">
      <c r="A21" s="176">
        <v>9</v>
      </c>
      <c r="B21" s="177" t="s">
        <v>522</v>
      </c>
      <c r="C21" s="177" t="s">
        <v>523</v>
      </c>
      <c r="D21" s="176">
        <v>1415043352</v>
      </c>
      <c r="E21" s="176">
        <v>739.21</v>
      </c>
      <c r="F21" s="177" t="s">
        <v>526</v>
      </c>
      <c r="G21" s="177" t="s">
        <v>524</v>
      </c>
      <c r="H21" s="177" t="s">
        <v>525</v>
      </c>
      <c r="J21" s="50" t="s">
        <v>70</v>
      </c>
      <c r="K21" s="51" t="s">
        <v>71</v>
      </c>
      <c r="L21" s="58">
        <v>739.21</v>
      </c>
    </row>
    <row r="22" spans="1:12" ht="19.5">
      <c r="A22" s="179">
        <v>28</v>
      </c>
      <c r="B22" s="180" t="s">
        <v>522</v>
      </c>
      <c r="C22" s="180" t="s">
        <v>523</v>
      </c>
      <c r="D22" s="179">
        <v>2759588027</v>
      </c>
      <c r="E22" s="181">
        <v>2949.19</v>
      </c>
      <c r="F22" s="180" t="s">
        <v>536</v>
      </c>
      <c r="G22" s="180" t="s">
        <v>524</v>
      </c>
      <c r="H22" s="180" t="s">
        <v>525</v>
      </c>
      <c r="J22" s="50" t="s">
        <v>72</v>
      </c>
      <c r="K22" s="51" t="s">
        <v>73</v>
      </c>
      <c r="L22" s="58">
        <v>3492.5939999999991</v>
      </c>
    </row>
    <row r="23" spans="1:12" ht="19.5">
      <c r="A23" s="179">
        <v>42</v>
      </c>
      <c r="B23" s="180" t="s">
        <v>522</v>
      </c>
      <c r="C23" s="180" t="s">
        <v>523</v>
      </c>
      <c r="D23" s="179">
        <v>2874790073</v>
      </c>
      <c r="E23" s="181">
        <v>6324.76</v>
      </c>
      <c r="F23" s="180" t="s">
        <v>545</v>
      </c>
      <c r="G23" s="180" t="s">
        <v>524</v>
      </c>
      <c r="H23" s="180" t="s">
        <v>525</v>
      </c>
      <c r="J23" s="50" t="s">
        <v>74</v>
      </c>
      <c r="K23" s="51" t="s">
        <v>75</v>
      </c>
      <c r="L23" s="58">
        <v>7253.8149999999978</v>
      </c>
    </row>
    <row r="24" spans="1:12" ht="19.5">
      <c r="A24" s="179">
        <v>24</v>
      </c>
      <c r="B24" s="180" t="s">
        <v>522</v>
      </c>
      <c r="C24" s="180" t="s">
        <v>523</v>
      </c>
      <c r="D24" s="179">
        <v>2717650620</v>
      </c>
      <c r="E24" s="181">
        <v>1533.97</v>
      </c>
      <c r="F24" s="180" t="s">
        <v>580</v>
      </c>
      <c r="G24" s="180" t="s">
        <v>524</v>
      </c>
      <c r="H24" s="180" t="s">
        <v>525</v>
      </c>
      <c r="J24" s="50" t="s">
        <v>76</v>
      </c>
      <c r="K24" s="51" t="s">
        <v>77</v>
      </c>
      <c r="L24" s="58">
        <v>1533.9696599999995</v>
      </c>
    </row>
    <row r="25" spans="1:12" ht="19.5">
      <c r="A25" s="179">
        <v>54</v>
      </c>
      <c r="B25" s="180" t="s">
        <v>522</v>
      </c>
      <c r="C25" s="180" t="s">
        <v>523</v>
      </c>
      <c r="D25" s="179">
        <v>2911705105</v>
      </c>
      <c r="E25" s="181">
        <v>2098.15</v>
      </c>
      <c r="F25" s="180" t="s">
        <v>549</v>
      </c>
      <c r="G25" s="180" t="s">
        <v>524</v>
      </c>
      <c r="H25" s="180" t="s">
        <v>525</v>
      </c>
      <c r="J25" s="50" t="s">
        <v>78</v>
      </c>
      <c r="K25" s="51" t="s">
        <v>79</v>
      </c>
      <c r="L25" s="58">
        <v>2098.15</v>
      </c>
    </row>
    <row r="26" spans="1:12" ht="19.5">
      <c r="A26" s="179">
        <v>2</v>
      </c>
      <c r="B26" s="180" t="s">
        <v>522</v>
      </c>
      <c r="C26" s="180" t="s">
        <v>523</v>
      </c>
      <c r="D26" s="179">
        <v>2861674129</v>
      </c>
      <c r="E26" s="179">
        <v>161.80000000000001</v>
      </c>
      <c r="F26" s="180" t="s">
        <v>566</v>
      </c>
      <c r="G26" s="180" t="s">
        <v>524</v>
      </c>
      <c r="H26" s="180" t="s">
        <v>525</v>
      </c>
      <c r="J26" s="36" t="s">
        <v>500</v>
      </c>
      <c r="K26" s="37" t="s">
        <v>501</v>
      </c>
      <c r="L26" s="58">
        <v>161.79714285714283</v>
      </c>
    </row>
    <row r="27" spans="1:12" ht="19.5">
      <c r="A27" s="176">
        <v>41</v>
      </c>
      <c r="B27" s="177" t="s">
        <v>522</v>
      </c>
      <c r="C27" s="177" t="s">
        <v>523</v>
      </c>
      <c r="D27" s="176">
        <v>2866078516</v>
      </c>
      <c r="E27" s="178">
        <v>6253.07</v>
      </c>
      <c r="F27" s="177" t="s">
        <v>586</v>
      </c>
      <c r="G27" s="177" t="s">
        <v>524</v>
      </c>
      <c r="H27" s="177" t="s">
        <v>525</v>
      </c>
      <c r="J27" s="50" t="s">
        <v>80</v>
      </c>
      <c r="K27" s="51" t="s">
        <v>81</v>
      </c>
      <c r="L27" s="58">
        <v>7150.5170000000007</v>
      </c>
    </row>
    <row r="28" spans="1:12" ht="19.5">
      <c r="A28" s="179">
        <v>12</v>
      </c>
      <c r="B28" s="180" t="s">
        <v>522</v>
      </c>
      <c r="C28" s="180" t="s">
        <v>523</v>
      </c>
      <c r="D28" s="179">
        <v>1457598270</v>
      </c>
      <c r="E28" s="181">
        <v>8810.43</v>
      </c>
      <c r="F28" s="180" t="s">
        <v>573</v>
      </c>
      <c r="G28" s="180" t="s">
        <v>524</v>
      </c>
      <c r="H28" s="180" t="s">
        <v>525</v>
      </c>
      <c r="J28" s="50" t="s">
        <v>82</v>
      </c>
      <c r="K28" s="51" t="s">
        <v>83</v>
      </c>
      <c r="L28" s="58">
        <v>9983.9110000000001</v>
      </c>
    </row>
    <row r="29" spans="1:12" ht="19.5">
      <c r="A29" s="176">
        <v>77</v>
      </c>
      <c r="B29" s="177" t="s">
        <v>522</v>
      </c>
      <c r="C29" s="177" t="s">
        <v>523</v>
      </c>
      <c r="D29" s="176">
        <v>2987413327</v>
      </c>
      <c r="E29" s="176">
        <v>588.86</v>
      </c>
      <c r="F29" s="177" t="s">
        <v>602</v>
      </c>
      <c r="G29" s="177" t="s">
        <v>524</v>
      </c>
      <c r="H29" s="177" t="s">
        <v>525</v>
      </c>
      <c r="J29" s="50" t="s">
        <v>197</v>
      </c>
      <c r="K29" s="51" t="s">
        <v>198</v>
      </c>
      <c r="L29" s="58">
        <v>588.86</v>
      </c>
    </row>
    <row r="30" spans="1:12" ht="19.5">
      <c r="A30" s="176">
        <v>65</v>
      </c>
      <c r="B30" s="177" t="s">
        <v>522</v>
      </c>
      <c r="C30" s="177" t="s">
        <v>523</v>
      </c>
      <c r="D30" s="176">
        <v>2947375638</v>
      </c>
      <c r="E30" s="178">
        <v>2257.4499999999998</v>
      </c>
      <c r="F30" s="177" t="s">
        <v>557</v>
      </c>
      <c r="G30" s="177" t="s">
        <v>524</v>
      </c>
      <c r="H30" s="177" t="s">
        <v>525</v>
      </c>
      <c r="J30" s="50" t="s">
        <v>84</v>
      </c>
      <c r="K30" s="51" t="s">
        <v>85</v>
      </c>
      <c r="L30" s="58">
        <v>4265.2209999999995</v>
      </c>
    </row>
    <row r="31" spans="1:12" ht="19.5">
      <c r="A31" s="179">
        <v>72</v>
      </c>
      <c r="B31" s="180" t="s">
        <v>522</v>
      </c>
      <c r="C31" s="180" t="s">
        <v>523</v>
      </c>
      <c r="D31" s="179">
        <v>2970888893</v>
      </c>
      <c r="E31" s="181">
        <v>4444.66</v>
      </c>
      <c r="F31" s="180" t="s">
        <v>600</v>
      </c>
      <c r="G31" s="180" t="s">
        <v>524</v>
      </c>
      <c r="H31" s="180" t="s">
        <v>525</v>
      </c>
      <c r="J31" s="50" t="s">
        <v>86</v>
      </c>
      <c r="K31" s="51" t="s">
        <v>87</v>
      </c>
      <c r="L31" s="58">
        <v>2257.4459999999999</v>
      </c>
    </row>
    <row r="32" spans="1:12" ht="19.5">
      <c r="A32" s="176">
        <v>47</v>
      </c>
      <c r="B32" s="177" t="s">
        <v>522</v>
      </c>
      <c r="C32" s="177" t="s">
        <v>523</v>
      </c>
      <c r="D32" s="176">
        <v>2893708187</v>
      </c>
      <c r="E32" s="176">
        <v>2.02</v>
      </c>
      <c r="F32" s="177" t="s">
        <v>591</v>
      </c>
      <c r="G32" s="177" t="s">
        <v>524</v>
      </c>
      <c r="H32" s="177" t="s">
        <v>525</v>
      </c>
      <c r="J32" s="50" t="s">
        <v>88</v>
      </c>
      <c r="K32" s="51" t="s">
        <v>89</v>
      </c>
      <c r="L32" s="58">
        <v>5072.4220000000005</v>
      </c>
    </row>
    <row r="33" spans="1:12" ht="19.5">
      <c r="A33" s="176">
        <v>23</v>
      </c>
      <c r="B33" s="177" t="s">
        <v>522</v>
      </c>
      <c r="C33" s="177" t="s">
        <v>523</v>
      </c>
      <c r="D33" s="176">
        <v>2714474562</v>
      </c>
      <c r="E33" s="178">
        <v>2435.9299999999998</v>
      </c>
      <c r="F33" s="177" t="s">
        <v>533</v>
      </c>
      <c r="G33" s="177" t="s">
        <v>524</v>
      </c>
      <c r="H33" s="177" t="s">
        <v>525</v>
      </c>
      <c r="J33" s="50" t="s">
        <v>90</v>
      </c>
      <c r="K33" s="51" t="s">
        <v>91</v>
      </c>
      <c r="L33" s="58">
        <v>2.0200000000000955</v>
      </c>
    </row>
    <row r="34" spans="1:12" ht="19.5">
      <c r="A34" s="179">
        <v>52</v>
      </c>
      <c r="B34" s="180" t="s">
        <v>522</v>
      </c>
      <c r="C34" s="180" t="s">
        <v>523</v>
      </c>
      <c r="D34" s="179">
        <v>2901661582</v>
      </c>
      <c r="E34" s="181">
        <v>1055.93</v>
      </c>
      <c r="F34" s="180" t="s">
        <v>547</v>
      </c>
      <c r="G34" s="180" t="s">
        <v>524</v>
      </c>
      <c r="H34" s="180" t="s">
        <v>525</v>
      </c>
      <c r="J34" s="36" t="s">
        <v>92</v>
      </c>
      <c r="K34" s="37" t="s">
        <v>93</v>
      </c>
      <c r="L34" s="58">
        <v>2435.9299999999998</v>
      </c>
    </row>
    <row r="35" spans="1:12" ht="19.5">
      <c r="A35" s="179">
        <v>64</v>
      </c>
      <c r="B35" s="180" t="s">
        <v>522</v>
      </c>
      <c r="C35" s="180" t="s">
        <v>523</v>
      </c>
      <c r="D35" s="179">
        <v>2946533183</v>
      </c>
      <c r="E35" s="179">
        <v>2</v>
      </c>
      <c r="F35" s="180" t="s">
        <v>556</v>
      </c>
      <c r="G35" s="180" t="s">
        <v>524</v>
      </c>
      <c r="H35" s="180" t="s">
        <v>525</v>
      </c>
      <c r="J35" s="50" t="s">
        <v>94</v>
      </c>
      <c r="K35" s="51" t="s">
        <v>95</v>
      </c>
      <c r="L35" s="58">
        <v>2.2000000000000455</v>
      </c>
    </row>
    <row r="36" spans="1:12" ht="19.5">
      <c r="A36" s="176">
        <v>43</v>
      </c>
      <c r="B36" s="177" t="s">
        <v>522</v>
      </c>
      <c r="C36" s="177" t="s">
        <v>523</v>
      </c>
      <c r="D36" s="176">
        <v>2878931011</v>
      </c>
      <c r="E36" s="176">
        <v>312.02</v>
      </c>
      <c r="F36" s="177" t="s">
        <v>587</v>
      </c>
      <c r="G36" s="177" t="s">
        <v>524</v>
      </c>
      <c r="H36" s="177" t="s">
        <v>525</v>
      </c>
      <c r="J36" s="50" t="s">
        <v>96</v>
      </c>
      <c r="K36" s="51" t="s">
        <v>97</v>
      </c>
      <c r="L36" s="58">
        <v>1055.9299999999998</v>
      </c>
    </row>
    <row r="37" spans="1:12" ht="19.5">
      <c r="A37" s="176">
        <v>19</v>
      </c>
      <c r="B37" s="177" t="s">
        <v>522</v>
      </c>
      <c r="C37" s="177" t="s">
        <v>523</v>
      </c>
      <c r="D37" s="176">
        <v>2695890233</v>
      </c>
      <c r="E37" s="178">
        <v>3413.05</v>
      </c>
      <c r="F37" s="177" t="s">
        <v>532</v>
      </c>
      <c r="G37" s="177" t="s">
        <v>524</v>
      </c>
      <c r="H37" s="177" t="s">
        <v>525</v>
      </c>
      <c r="J37" s="50" t="s">
        <v>99</v>
      </c>
      <c r="K37" s="51" t="s">
        <v>100</v>
      </c>
      <c r="L37" s="58">
        <v>2.0000000000001137</v>
      </c>
    </row>
    <row r="38" spans="1:12" ht="19.5">
      <c r="A38" s="179">
        <v>58</v>
      </c>
      <c r="B38" s="180" t="s">
        <v>522</v>
      </c>
      <c r="C38" s="180" t="s">
        <v>523</v>
      </c>
      <c r="D38" s="179">
        <v>2919443924</v>
      </c>
      <c r="E38" s="181">
        <v>3249.21</v>
      </c>
      <c r="F38" s="180" t="s">
        <v>552</v>
      </c>
      <c r="G38" s="180" t="s">
        <v>524</v>
      </c>
      <c r="H38" s="180" t="s">
        <v>525</v>
      </c>
      <c r="J38" s="50" t="s">
        <v>101</v>
      </c>
      <c r="K38" s="51" t="s">
        <v>102</v>
      </c>
      <c r="L38" s="58">
        <v>312.02386000000013</v>
      </c>
    </row>
    <row r="39" spans="1:12" ht="19.5">
      <c r="A39" s="179">
        <v>4</v>
      </c>
      <c r="B39" s="180" t="s">
        <v>522</v>
      </c>
      <c r="C39" s="180" t="s">
        <v>523</v>
      </c>
      <c r="D39" s="179">
        <v>2959119167</v>
      </c>
      <c r="E39" s="179">
        <v>261.8</v>
      </c>
      <c r="F39" s="180" t="s">
        <v>568</v>
      </c>
      <c r="G39" s="180" t="s">
        <v>524</v>
      </c>
      <c r="H39" s="180" t="s">
        <v>525</v>
      </c>
      <c r="J39" s="50" t="s">
        <v>103</v>
      </c>
      <c r="K39" s="51" t="s">
        <v>104</v>
      </c>
      <c r="L39" s="58">
        <v>3413.0525909999997</v>
      </c>
    </row>
    <row r="40" spans="1:12" ht="19.5">
      <c r="A40" s="176">
        <v>27</v>
      </c>
      <c r="B40" s="177" t="s">
        <v>522</v>
      </c>
      <c r="C40" s="177" t="s">
        <v>523</v>
      </c>
      <c r="D40" s="176">
        <v>2758594368</v>
      </c>
      <c r="E40" s="176">
        <v>2</v>
      </c>
      <c r="F40" s="177" t="s">
        <v>535</v>
      </c>
      <c r="G40" s="177" t="s">
        <v>524</v>
      </c>
      <c r="H40" s="177" t="s">
        <v>525</v>
      </c>
      <c r="J40" s="50" t="s">
        <v>105</v>
      </c>
      <c r="K40" s="51" t="s">
        <v>106</v>
      </c>
      <c r="L40" s="58">
        <v>3249.212</v>
      </c>
    </row>
    <row r="41" spans="1:12" ht="19.5">
      <c r="A41" s="179">
        <v>18</v>
      </c>
      <c r="B41" s="180" t="s">
        <v>522</v>
      </c>
      <c r="C41" s="180" t="s">
        <v>523</v>
      </c>
      <c r="D41" s="179">
        <v>2650346748</v>
      </c>
      <c r="E41" s="181">
        <v>4198.5</v>
      </c>
      <c r="F41" s="180" t="s">
        <v>531</v>
      </c>
      <c r="G41" s="180" t="s">
        <v>524</v>
      </c>
      <c r="H41" s="180" t="s">
        <v>525</v>
      </c>
      <c r="J41" s="36" t="s">
        <v>516</v>
      </c>
      <c r="K41" s="37" t="s">
        <v>515</v>
      </c>
      <c r="L41" s="58">
        <v>842.17250000000001</v>
      </c>
    </row>
    <row r="42" spans="1:12" ht="19.5">
      <c r="A42" s="179">
        <v>6</v>
      </c>
      <c r="B42" s="180" t="s">
        <v>522</v>
      </c>
      <c r="C42" s="180" t="s">
        <v>523</v>
      </c>
      <c r="D42" s="179">
        <v>2967093632</v>
      </c>
      <c r="E42" s="179">
        <v>984.89</v>
      </c>
      <c r="F42" s="180" t="s">
        <v>570</v>
      </c>
      <c r="G42" s="180" t="s">
        <v>524</v>
      </c>
      <c r="H42" s="180" t="s">
        <v>525</v>
      </c>
      <c r="J42" s="171" t="s">
        <v>504</v>
      </c>
      <c r="K42" s="170" t="s">
        <v>505</v>
      </c>
      <c r="L42" s="58">
        <v>261.79999999999995</v>
      </c>
    </row>
    <row r="43" spans="1:12" ht="19.5">
      <c r="A43" s="176">
        <v>57</v>
      </c>
      <c r="B43" s="177" t="s">
        <v>522</v>
      </c>
      <c r="C43" s="177" t="s">
        <v>523</v>
      </c>
      <c r="D43" s="176">
        <v>2918873607</v>
      </c>
      <c r="E43" s="178">
        <v>4078.59</v>
      </c>
      <c r="F43" s="177" t="s">
        <v>551</v>
      </c>
      <c r="G43" s="177" t="s">
        <v>524</v>
      </c>
      <c r="H43" s="177" t="s">
        <v>525</v>
      </c>
      <c r="J43" s="50" t="s">
        <v>107</v>
      </c>
      <c r="K43" s="51" t="s">
        <v>108</v>
      </c>
      <c r="L43" s="58">
        <v>2.0000000000001137</v>
      </c>
    </row>
    <row r="44" spans="1:12" ht="19.5">
      <c r="A44" s="179">
        <v>70</v>
      </c>
      <c r="B44" s="180" t="s">
        <v>522</v>
      </c>
      <c r="C44" s="180" t="s">
        <v>523</v>
      </c>
      <c r="D44" s="179">
        <v>2954874714</v>
      </c>
      <c r="E44" s="179">
        <v>1.94</v>
      </c>
      <c r="F44" s="180" t="s">
        <v>598</v>
      </c>
      <c r="G44" s="180" t="s">
        <v>524</v>
      </c>
      <c r="H44" s="180" t="s">
        <v>525</v>
      </c>
      <c r="J44" s="50" t="s">
        <v>109</v>
      </c>
      <c r="K44" s="51" t="s">
        <v>110</v>
      </c>
      <c r="L44" s="58">
        <v>4795.4830000000002</v>
      </c>
    </row>
    <row r="45" spans="1:12" ht="19.5">
      <c r="A45" s="179">
        <v>14</v>
      </c>
      <c r="B45" s="180" t="s">
        <v>522</v>
      </c>
      <c r="C45" s="180" t="s">
        <v>523</v>
      </c>
      <c r="D45" s="179">
        <v>2616789951</v>
      </c>
      <c r="E45" s="179">
        <v>522.6</v>
      </c>
      <c r="F45" s="180" t="s">
        <v>575</v>
      </c>
      <c r="G45" s="180" t="s">
        <v>524</v>
      </c>
      <c r="H45" s="180" t="s">
        <v>525</v>
      </c>
      <c r="J45" s="50" t="s">
        <v>196</v>
      </c>
      <c r="K45" s="51" t="s">
        <v>296</v>
      </c>
      <c r="L45" s="58">
        <v>984.8900000000001</v>
      </c>
    </row>
    <row r="46" spans="1:12" ht="19.5">
      <c r="A46" s="179">
        <v>10</v>
      </c>
      <c r="B46" s="180" t="s">
        <v>522</v>
      </c>
      <c r="C46" s="180" t="s">
        <v>523</v>
      </c>
      <c r="D46" s="179">
        <v>1438110301</v>
      </c>
      <c r="E46" s="181">
        <v>2380.94</v>
      </c>
      <c r="F46" s="180" t="s">
        <v>527</v>
      </c>
      <c r="G46" s="180" t="s">
        <v>524</v>
      </c>
      <c r="H46" s="180" t="s">
        <v>525</v>
      </c>
      <c r="J46" s="50" t="s">
        <v>111</v>
      </c>
      <c r="K46" s="51" t="s">
        <v>112</v>
      </c>
      <c r="L46" s="58">
        <v>4660.5910000000003</v>
      </c>
    </row>
    <row r="47" spans="1:12" ht="19.5">
      <c r="A47" s="179">
        <v>20</v>
      </c>
      <c r="B47" s="180" t="s">
        <v>522</v>
      </c>
      <c r="C47" s="180" t="s">
        <v>523</v>
      </c>
      <c r="D47" s="179">
        <v>2695890268</v>
      </c>
      <c r="E47" s="181">
        <v>2905.5</v>
      </c>
      <c r="F47" s="180" t="s">
        <v>577</v>
      </c>
      <c r="G47" s="180" t="s">
        <v>524</v>
      </c>
      <c r="H47" s="180" t="s">
        <v>525</v>
      </c>
      <c r="J47" s="50" t="s">
        <v>113</v>
      </c>
      <c r="K47" s="51" t="s">
        <v>114</v>
      </c>
      <c r="L47" s="58">
        <v>1.9400000000000546</v>
      </c>
    </row>
    <row r="48" spans="1:12" ht="19.5">
      <c r="A48" s="179">
        <v>44</v>
      </c>
      <c r="B48" s="180" t="s">
        <v>522</v>
      </c>
      <c r="C48" s="180" t="s">
        <v>523</v>
      </c>
      <c r="D48" s="179">
        <v>2880995371</v>
      </c>
      <c r="E48" s="181">
        <v>1637.82</v>
      </c>
      <c r="F48" s="180" t="s">
        <v>588</v>
      </c>
      <c r="G48" s="180" t="s">
        <v>524</v>
      </c>
      <c r="H48" s="180" t="s">
        <v>525</v>
      </c>
      <c r="J48" s="50" t="s">
        <v>115</v>
      </c>
      <c r="K48" s="51" t="s">
        <v>116</v>
      </c>
      <c r="L48" s="58">
        <v>522.6</v>
      </c>
    </row>
    <row r="49" spans="1:12" ht="19.5">
      <c r="A49" s="176">
        <v>39</v>
      </c>
      <c r="B49" s="177" t="s">
        <v>522</v>
      </c>
      <c r="C49" s="177" t="s">
        <v>523</v>
      </c>
      <c r="D49" s="176">
        <v>2859704213</v>
      </c>
      <c r="E49" s="176">
        <v>2</v>
      </c>
      <c r="F49" s="177" t="s">
        <v>544</v>
      </c>
      <c r="G49" s="177" t="s">
        <v>524</v>
      </c>
      <c r="H49" s="177" t="s">
        <v>525</v>
      </c>
      <c r="J49" s="50" t="s">
        <v>121</v>
      </c>
      <c r="K49" s="51" t="s">
        <v>122</v>
      </c>
      <c r="L49" s="58">
        <v>1637.8175800000004</v>
      </c>
    </row>
    <row r="50" spans="1:12" ht="19.5">
      <c r="A50" s="176">
        <v>51</v>
      </c>
      <c r="B50" s="177" t="s">
        <v>522</v>
      </c>
      <c r="C50" s="177" t="s">
        <v>523</v>
      </c>
      <c r="D50" s="176">
        <v>2898414041</v>
      </c>
      <c r="E50" s="178">
        <v>3208.03</v>
      </c>
      <c r="F50" s="177" t="s">
        <v>594</v>
      </c>
      <c r="G50" s="177" t="s">
        <v>524</v>
      </c>
      <c r="H50" s="177" t="s">
        <v>525</v>
      </c>
      <c r="J50" s="50" t="s">
        <v>117</v>
      </c>
      <c r="K50" s="51" t="s">
        <v>118</v>
      </c>
      <c r="L50" s="58">
        <v>2380.94</v>
      </c>
    </row>
    <row r="51" spans="1:12" ht="19.5">
      <c r="A51" s="179">
        <v>40</v>
      </c>
      <c r="B51" s="180" t="s">
        <v>522</v>
      </c>
      <c r="C51" s="180" t="s">
        <v>523</v>
      </c>
      <c r="D51" s="179">
        <v>2864307305</v>
      </c>
      <c r="E51" s="179">
        <v>776.87</v>
      </c>
      <c r="F51" s="180" t="s">
        <v>585</v>
      </c>
      <c r="G51" s="180" t="s">
        <v>524</v>
      </c>
      <c r="H51" s="180" t="s">
        <v>525</v>
      </c>
      <c r="J51" s="50" t="s">
        <v>119</v>
      </c>
      <c r="K51" s="51" t="s">
        <v>120</v>
      </c>
      <c r="L51" s="58">
        <v>3286.9399999999996</v>
      </c>
    </row>
    <row r="52" spans="1:12" ht="19.5">
      <c r="A52" s="176">
        <v>75</v>
      </c>
      <c r="B52" s="177" t="s">
        <v>522</v>
      </c>
      <c r="C52" s="177" t="s">
        <v>523</v>
      </c>
      <c r="D52" s="176">
        <v>2982289075</v>
      </c>
      <c r="E52" s="178">
        <v>2840.37</v>
      </c>
      <c r="F52" s="177" t="s">
        <v>563</v>
      </c>
      <c r="G52" s="177" t="s">
        <v>524</v>
      </c>
      <c r="H52" s="177" t="s">
        <v>525</v>
      </c>
      <c r="J52" s="50" t="s">
        <v>123</v>
      </c>
      <c r="K52" s="51" t="s">
        <v>124</v>
      </c>
      <c r="L52" s="58">
        <v>2.0000000000001137</v>
      </c>
    </row>
    <row r="53" spans="1:12" ht="19.5">
      <c r="A53" s="176">
        <v>67</v>
      </c>
      <c r="B53" s="177" t="s">
        <v>522</v>
      </c>
      <c r="C53" s="177" t="s">
        <v>523</v>
      </c>
      <c r="D53" s="176">
        <v>2949222294</v>
      </c>
      <c r="E53" s="178">
        <v>1363.44</v>
      </c>
      <c r="F53" s="177" t="s">
        <v>559</v>
      </c>
      <c r="G53" s="177" t="s">
        <v>524</v>
      </c>
      <c r="H53" s="177" t="s">
        <v>525</v>
      </c>
      <c r="J53" s="50" t="s">
        <v>125</v>
      </c>
      <c r="K53" s="51" t="s">
        <v>126</v>
      </c>
      <c r="L53" s="58">
        <v>3681.1860000000001</v>
      </c>
    </row>
    <row r="54" spans="1:12" ht="19.5">
      <c r="A54" s="179">
        <v>26</v>
      </c>
      <c r="B54" s="180" t="s">
        <v>522</v>
      </c>
      <c r="C54" s="180" t="s">
        <v>523</v>
      </c>
      <c r="D54" s="179">
        <v>2754185048</v>
      </c>
      <c r="E54" s="181">
        <v>2502.52</v>
      </c>
      <c r="F54" s="180" t="s">
        <v>581</v>
      </c>
      <c r="G54" s="180" t="s">
        <v>524</v>
      </c>
      <c r="H54" s="180" t="s">
        <v>525</v>
      </c>
      <c r="J54" s="50" t="s">
        <v>127</v>
      </c>
      <c r="K54" s="51" t="s">
        <v>128</v>
      </c>
      <c r="L54" s="58">
        <v>776.87000000000035</v>
      </c>
    </row>
    <row r="55" spans="1:12" ht="19.5">
      <c r="A55" s="179">
        <v>32</v>
      </c>
      <c r="B55" s="180" t="s">
        <v>522</v>
      </c>
      <c r="C55" s="180" t="s">
        <v>523</v>
      </c>
      <c r="D55" s="179">
        <v>2837284802</v>
      </c>
      <c r="E55" s="179">
        <v>822.8</v>
      </c>
      <c r="F55" s="180" t="s">
        <v>540</v>
      </c>
      <c r="G55" s="180" t="s">
        <v>524</v>
      </c>
      <c r="H55" s="180" t="s">
        <v>525</v>
      </c>
      <c r="J55" s="50" t="s">
        <v>129</v>
      </c>
      <c r="K55" s="51" t="s">
        <v>130</v>
      </c>
      <c r="L55" s="58">
        <v>2840.3739999999998</v>
      </c>
    </row>
    <row r="56" spans="1:12" ht="19.5">
      <c r="A56" s="179">
        <v>8</v>
      </c>
      <c r="B56" s="180" t="s">
        <v>522</v>
      </c>
      <c r="C56" s="180" t="s">
        <v>523</v>
      </c>
      <c r="D56" s="179">
        <v>2995318777</v>
      </c>
      <c r="E56" s="179">
        <v>297.95999999999998</v>
      </c>
      <c r="F56" s="180" t="s">
        <v>572</v>
      </c>
      <c r="G56" s="180" t="s">
        <v>524</v>
      </c>
      <c r="H56" s="180" t="s">
        <v>525</v>
      </c>
      <c r="J56" s="50" t="s">
        <v>131</v>
      </c>
      <c r="K56" s="51" t="s">
        <v>132</v>
      </c>
      <c r="L56" s="58">
        <v>1363.4407299999996</v>
      </c>
    </row>
    <row r="57" spans="1:12" ht="19.5">
      <c r="A57" s="179">
        <v>34</v>
      </c>
      <c r="B57" s="180" t="s">
        <v>522</v>
      </c>
      <c r="C57" s="180" t="s">
        <v>523</v>
      </c>
      <c r="D57" s="179">
        <v>2837656955</v>
      </c>
      <c r="E57" s="179">
        <v>377.68</v>
      </c>
      <c r="F57" s="180" t="s">
        <v>541</v>
      </c>
      <c r="G57" s="180" t="s">
        <v>524</v>
      </c>
      <c r="H57" s="180" t="s">
        <v>525</v>
      </c>
      <c r="J57" s="50" t="s">
        <v>133</v>
      </c>
      <c r="K57" s="51" t="s">
        <v>134</v>
      </c>
      <c r="L57" s="58">
        <v>2502.5177389999999</v>
      </c>
    </row>
    <row r="58" spans="1:12" ht="19.5">
      <c r="A58" s="179">
        <v>66</v>
      </c>
      <c r="B58" s="180" t="s">
        <v>522</v>
      </c>
      <c r="C58" s="180" t="s">
        <v>523</v>
      </c>
      <c r="D58" s="179">
        <v>2947520190</v>
      </c>
      <c r="E58" s="179">
        <v>822.6</v>
      </c>
      <c r="F58" s="180" t="s">
        <v>558</v>
      </c>
      <c r="G58" s="180" t="s">
        <v>524</v>
      </c>
      <c r="H58" s="180" t="s">
        <v>525</v>
      </c>
      <c r="J58" s="50" t="s">
        <v>135</v>
      </c>
      <c r="K58" s="51" t="s">
        <v>136</v>
      </c>
      <c r="L58" s="58">
        <v>822.8</v>
      </c>
    </row>
    <row r="59" spans="1:12" ht="19.5">
      <c r="A59" s="176">
        <v>3</v>
      </c>
      <c r="B59" s="177" t="s">
        <v>522</v>
      </c>
      <c r="C59" s="177" t="s">
        <v>523</v>
      </c>
      <c r="D59" s="176">
        <v>2958967016</v>
      </c>
      <c r="E59" s="176">
        <v>99.48</v>
      </c>
      <c r="F59" s="177" t="s">
        <v>567</v>
      </c>
      <c r="G59" s="177" t="s">
        <v>524</v>
      </c>
      <c r="H59" s="177" t="s">
        <v>525</v>
      </c>
      <c r="J59" s="21" t="s">
        <v>199</v>
      </c>
      <c r="K59" s="21" t="s">
        <v>309</v>
      </c>
      <c r="L59" s="58">
        <v>297.96000000000004</v>
      </c>
    </row>
    <row r="60" spans="1:12" ht="19.5">
      <c r="A60" s="176">
        <v>13</v>
      </c>
      <c r="B60" s="177" t="s">
        <v>522</v>
      </c>
      <c r="C60" s="177" t="s">
        <v>523</v>
      </c>
      <c r="D60" s="176">
        <v>1490675652</v>
      </c>
      <c r="E60" s="178">
        <v>1290.75</v>
      </c>
      <c r="F60" s="177" t="s">
        <v>574</v>
      </c>
      <c r="G60" s="177" t="s">
        <v>524</v>
      </c>
      <c r="H60" s="177" t="s">
        <v>525</v>
      </c>
      <c r="J60" s="50" t="s">
        <v>137</v>
      </c>
      <c r="K60" s="51" t="s">
        <v>138</v>
      </c>
      <c r="L60" s="58">
        <v>377.67736000000019</v>
      </c>
    </row>
    <row r="61" spans="1:12" ht="19.5">
      <c r="A61" s="176">
        <v>45</v>
      </c>
      <c r="B61" s="177" t="s">
        <v>522</v>
      </c>
      <c r="C61" s="177" t="s">
        <v>523</v>
      </c>
      <c r="D61" s="176">
        <v>2889511164</v>
      </c>
      <c r="E61" s="176">
        <v>588.86</v>
      </c>
      <c r="F61" s="177" t="s">
        <v>589</v>
      </c>
      <c r="G61" s="177" t="s">
        <v>524</v>
      </c>
      <c r="H61" s="177" t="s">
        <v>525</v>
      </c>
      <c r="J61" s="50" t="s">
        <v>139</v>
      </c>
      <c r="K61" s="51" t="s">
        <v>140</v>
      </c>
      <c r="L61" s="58">
        <v>822.6</v>
      </c>
    </row>
    <row r="62" spans="1:12" ht="19.5">
      <c r="A62" s="176">
        <v>7</v>
      </c>
      <c r="B62" s="177" t="s">
        <v>522</v>
      </c>
      <c r="C62" s="177" t="s">
        <v>523</v>
      </c>
      <c r="D62" s="176">
        <v>2969627642</v>
      </c>
      <c r="E62" s="176">
        <v>522.6</v>
      </c>
      <c r="F62" s="177" t="s">
        <v>571</v>
      </c>
      <c r="G62" s="177" t="s">
        <v>524</v>
      </c>
      <c r="H62" s="177" t="s">
        <v>525</v>
      </c>
      <c r="J62" s="171" t="s">
        <v>509</v>
      </c>
      <c r="K62" s="170" t="s">
        <v>510</v>
      </c>
      <c r="L62" s="58">
        <v>99.481999999999971</v>
      </c>
    </row>
    <row r="63" spans="1:12" ht="19.5">
      <c r="A63" s="176">
        <v>63</v>
      </c>
      <c r="B63" s="177" t="s">
        <v>522</v>
      </c>
      <c r="C63" s="177" t="s">
        <v>523</v>
      </c>
      <c r="D63" s="176">
        <v>2940159670</v>
      </c>
      <c r="E63" s="176">
        <v>718.3</v>
      </c>
      <c r="F63" s="177" t="s">
        <v>555</v>
      </c>
      <c r="G63" s="177" t="s">
        <v>524</v>
      </c>
      <c r="H63" s="177" t="s">
        <v>525</v>
      </c>
      <c r="J63" s="50" t="s">
        <v>141</v>
      </c>
      <c r="K63" s="51" t="s">
        <v>142</v>
      </c>
      <c r="L63" s="58">
        <v>1290.7500000000005</v>
      </c>
    </row>
    <row r="64" spans="1:12" ht="19.5">
      <c r="A64" s="176">
        <v>33</v>
      </c>
      <c r="B64" s="177" t="s">
        <v>522</v>
      </c>
      <c r="C64" s="177" t="s">
        <v>523</v>
      </c>
      <c r="D64" s="176">
        <v>2837433751</v>
      </c>
      <c r="E64" s="178">
        <v>1141.71</v>
      </c>
      <c r="F64" s="177" t="s">
        <v>582</v>
      </c>
      <c r="G64" s="177" t="s">
        <v>524</v>
      </c>
      <c r="H64" s="177" t="s">
        <v>525</v>
      </c>
      <c r="J64" s="50" t="s">
        <v>143</v>
      </c>
      <c r="K64" s="51" t="s">
        <v>144</v>
      </c>
      <c r="L64" s="58">
        <v>588.86</v>
      </c>
    </row>
    <row r="65" spans="1:12" ht="19.5">
      <c r="A65" s="179">
        <v>30</v>
      </c>
      <c r="B65" s="180" t="s">
        <v>522</v>
      </c>
      <c r="C65" s="180" t="s">
        <v>523</v>
      </c>
      <c r="D65" s="179">
        <v>2765753341</v>
      </c>
      <c r="E65" s="179">
        <v>934.25</v>
      </c>
      <c r="F65" s="180" t="s">
        <v>538</v>
      </c>
      <c r="G65" s="180" t="s">
        <v>524</v>
      </c>
      <c r="H65" s="180" t="s">
        <v>525</v>
      </c>
      <c r="J65" s="50" t="s">
        <v>188</v>
      </c>
      <c r="K65" s="51" t="s">
        <v>314</v>
      </c>
      <c r="L65" s="58">
        <v>522.6</v>
      </c>
    </row>
    <row r="66" spans="1:12" ht="19.5">
      <c r="A66" s="179">
        <v>78</v>
      </c>
      <c r="B66" s="180" t="s">
        <v>522</v>
      </c>
      <c r="C66" s="180" t="s">
        <v>523</v>
      </c>
      <c r="D66" s="179">
        <v>2996093906</v>
      </c>
      <c r="E66" s="181">
        <v>2407.5500000000002</v>
      </c>
      <c r="F66" s="180" t="s">
        <v>603</v>
      </c>
      <c r="G66" s="180" t="s">
        <v>524</v>
      </c>
      <c r="H66" s="180" t="s">
        <v>525</v>
      </c>
      <c r="J66" s="50" t="s">
        <v>146</v>
      </c>
      <c r="K66" s="51" t="s">
        <v>147</v>
      </c>
      <c r="L66" s="58">
        <v>3037.3100000000004</v>
      </c>
    </row>
    <row r="67" spans="1:12" ht="19.5">
      <c r="A67" s="179">
        <v>60</v>
      </c>
      <c r="B67" s="180" t="s">
        <v>522</v>
      </c>
      <c r="C67" s="180" t="s">
        <v>523</v>
      </c>
      <c r="D67" s="179">
        <v>2932879395</v>
      </c>
      <c r="E67" s="179">
        <v>467.15</v>
      </c>
      <c r="F67" s="180" t="s">
        <v>553</v>
      </c>
      <c r="G67" s="180" t="s">
        <v>524</v>
      </c>
      <c r="H67" s="180" t="s">
        <v>525</v>
      </c>
      <c r="J67" s="50" t="s">
        <v>148</v>
      </c>
      <c r="K67" s="51" t="s">
        <v>149</v>
      </c>
      <c r="L67" s="58">
        <v>718.30000000000007</v>
      </c>
    </row>
    <row r="68" spans="1:12" ht="19.5">
      <c r="A68" s="176">
        <v>5</v>
      </c>
      <c r="B68" s="177" t="s">
        <v>522</v>
      </c>
      <c r="C68" s="177" t="s">
        <v>523</v>
      </c>
      <c r="D68" s="176">
        <v>2959934200</v>
      </c>
      <c r="E68" s="176">
        <v>822.6</v>
      </c>
      <c r="F68" s="177" t="s">
        <v>569</v>
      </c>
      <c r="G68" s="177" t="s">
        <v>524</v>
      </c>
      <c r="H68" s="177" t="s">
        <v>525</v>
      </c>
      <c r="J68" s="50" t="s">
        <v>150</v>
      </c>
      <c r="K68" s="51" t="s">
        <v>151</v>
      </c>
      <c r="L68" s="58">
        <v>1141.7129</v>
      </c>
    </row>
    <row r="69" spans="1:12" ht="19.5">
      <c r="A69" s="179">
        <v>56</v>
      </c>
      <c r="B69" s="180" t="s">
        <v>522</v>
      </c>
      <c r="C69" s="180" t="s">
        <v>523</v>
      </c>
      <c r="D69" s="179">
        <v>2915613213</v>
      </c>
      <c r="E69" s="181">
        <v>1883.98</v>
      </c>
      <c r="F69" s="180" t="s">
        <v>595</v>
      </c>
      <c r="G69" s="180" t="s">
        <v>524</v>
      </c>
      <c r="H69" s="180" t="s">
        <v>525</v>
      </c>
      <c r="J69" s="50" t="s">
        <v>152</v>
      </c>
      <c r="K69" s="51" t="s">
        <v>153</v>
      </c>
      <c r="L69" s="58">
        <v>934.25036100000045</v>
      </c>
    </row>
    <row r="70" spans="1:12" ht="19.5">
      <c r="A70" s="179">
        <v>48</v>
      </c>
      <c r="B70" s="180" t="s">
        <v>522</v>
      </c>
      <c r="C70" s="180" t="s">
        <v>523</v>
      </c>
      <c r="D70" s="179">
        <v>2894220501</v>
      </c>
      <c r="E70" s="181">
        <v>2562.5300000000002</v>
      </c>
      <c r="F70" s="180" t="s">
        <v>592</v>
      </c>
      <c r="G70" s="180" t="s">
        <v>524</v>
      </c>
      <c r="H70" s="180" t="s">
        <v>525</v>
      </c>
      <c r="J70" s="50" t="s">
        <v>317</v>
      </c>
      <c r="K70" s="51" t="s">
        <v>154</v>
      </c>
      <c r="L70" s="58">
        <v>2407.5540000000001</v>
      </c>
    </row>
    <row r="71" spans="1:12" ht="19.5">
      <c r="A71" s="179">
        <v>62</v>
      </c>
      <c r="B71" s="180" t="s">
        <v>522</v>
      </c>
      <c r="C71" s="180" t="s">
        <v>523</v>
      </c>
      <c r="D71" s="179">
        <v>2939162100</v>
      </c>
      <c r="E71" s="181">
        <v>3121.22</v>
      </c>
      <c r="F71" s="180" t="s">
        <v>554</v>
      </c>
      <c r="G71" s="180" t="s">
        <v>524</v>
      </c>
      <c r="H71" s="180" t="s">
        <v>525</v>
      </c>
      <c r="J71" s="50" t="s">
        <v>155</v>
      </c>
      <c r="K71" s="51" t="s">
        <v>156</v>
      </c>
      <c r="L71" s="58">
        <v>467.14999999999986</v>
      </c>
    </row>
    <row r="72" spans="1:12" ht="19.5">
      <c r="A72" s="179">
        <v>68</v>
      </c>
      <c r="B72" s="180" t="s">
        <v>522</v>
      </c>
      <c r="C72" s="180" t="s">
        <v>523</v>
      </c>
      <c r="D72" s="179">
        <v>2950612421</v>
      </c>
      <c r="E72" s="181">
        <v>9870.43</v>
      </c>
      <c r="F72" s="180" t="s">
        <v>560</v>
      </c>
      <c r="G72" s="180" t="s">
        <v>524</v>
      </c>
      <c r="H72" s="180" t="s">
        <v>525</v>
      </c>
      <c r="J72" s="171" t="s">
        <v>511</v>
      </c>
      <c r="K72" s="170" t="s">
        <v>512</v>
      </c>
      <c r="L72" s="58">
        <v>822.6</v>
      </c>
    </row>
    <row r="73" spans="1:12" ht="19.5">
      <c r="A73" s="176">
        <v>11</v>
      </c>
      <c r="B73" s="177" t="s">
        <v>522</v>
      </c>
      <c r="C73" s="177" t="s">
        <v>523</v>
      </c>
      <c r="D73" s="176">
        <v>1444665376</v>
      </c>
      <c r="E73" s="178">
        <v>2089.27</v>
      </c>
      <c r="F73" s="177" t="s">
        <v>528</v>
      </c>
      <c r="G73" s="177" t="s">
        <v>524</v>
      </c>
      <c r="H73" s="177" t="s">
        <v>525</v>
      </c>
      <c r="J73" s="50" t="s">
        <v>157</v>
      </c>
      <c r="K73" s="51" t="s">
        <v>158</v>
      </c>
      <c r="L73" s="58">
        <v>1883.98</v>
      </c>
    </row>
    <row r="74" spans="1:12" ht="19.5">
      <c r="A74" s="176">
        <v>21</v>
      </c>
      <c r="B74" s="177" t="s">
        <v>522</v>
      </c>
      <c r="C74" s="177" t="s">
        <v>523</v>
      </c>
      <c r="D74" s="176">
        <v>2695890284</v>
      </c>
      <c r="E74" s="178">
        <v>2488.34</v>
      </c>
      <c r="F74" s="177" t="s">
        <v>578</v>
      </c>
      <c r="G74" s="177" t="s">
        <v>524</v>
      </c>
      <c r="H74" s="177" t="s">
        <v>525</v>
      </c>
      <c r="J74" s="50" t="s">
        <v>159</v>
      </c>
      <c r="K74" s="51" t="s">
        <v>160</v>
      </c>
      <c r="L74" s="58">
        <v>2562.527</v>
      </c>
    </row>
    <row r="75" spans="1:12" ht="19.5">
      <c r="A75" s="176">
        <v>31</v>
      </c>
      <c r="B75" s="177" t="s">
        <v>522</v>
      </c>
      <c r="C75" s="177" t="s">
        <v>523</v>
      </c>
      <c r="D75" s="176">
        <v>2836087213</v>
      </c>
      <c r="E75" s="176">
        <v>522.6</v>
      </c>
      <c r="F75" s="177" t="s">
        <v>539</v>
      </c>
      <c r="G75" s="177" t="s">
        <v>524</v>
      </c>
      <c r="H75" s="177" t="s">
        <v>525</v>
      </c>
      <c r="J75" s="50" t="s">
        <v>161</v>
      </c>
      <c r="K75" s="51" t="s">
        <v>162</v>
      </c>
      <c r="L75" s="58">
        <v>3121.22</v>
      </c>
    </row>
    <row r="76" spans="1:12" ht="19.5">
      <c r="A76" s="179">
        <v>74</v>
      </c>
      <c r="B76" s="180" t="s">
        <v>522</v>
      </c>
      <c r="C76" s="180" t="s">
        <v>523</v>
      </c>
      <c r="D76" s="179">
        <v>2981335863</v>
      </c>
      <c r="E76" s="179">
        <v>589.26</v>
      </c>
      <c r="F76" s="180" t="s">
        <v>562</v>
      </c>
      <c r="G76" s="180" t="s">
        <v>524</v>
      </c>
      <c r="H76" s="180" t="s">
        <v>525</v>
      </c>
      <c r="J76" s="50" t="s">
        <v>163</v>
      </c>
      <c r="K76" s="51" t="s">
        <v>164</v>
      </c>
      <c r="L76" s="58">
        <v>11237.508</v>
      </c>
    </row>
    <row r="77" spans="1:12" ht="19.5">
      <c r="A77" s="176">
        <v>69</v>
      </c>
      <c r="B77" s="177" t="s">
        <v>522</v>
      </c>
      <c r="C77" s="177" t="s">
        <v>523</v>
      </c>
      <c r="D77" s="176">
        <v>2951732641</v>
      </c>
      <c r="E77" s="178">
        <v>2901.13</v>
      </c>
      <c r="F77" s="177" t="s">
        <v>561</v>
      </c>
      <c r="G77" s="177" t="s">
        <v>524</v>
      </c>
      <c r="H77" s="177" t="s">
        <v>525</v>
      </c>
      <c r="J77" s="50" t="s">
        <v>165</v>
      </c>
      <c r="K77" s="51" t="s">
        <v>166</v>
      </c>
      <c r="L77" s="58">
        <v>2089.27</v>
      </c>
    </row>
    <row r="78" spans="1:12" ht="19.5">
      <c r="A78" s="176">
        <v>37</v>
      </c>
      <c r="B78" s="177" t="s">
        <v>522</v>
      </c>
      <c r="C78" s="177" t="s">
        <v>523</v>
      </c>
      <c r="D78" s="176">
        <v>2851650165</v>
      </c>
      <c r="E78" s="178">
        <v>3579.38</v>
      </c>
      <c r="F78" s="177" t="s">
        <v>543</v>
      </c>
      <c r="G78" s="177" t="s">
        <v>524</v>
      </c>
      <c r="H78" s="177" t="s">
        <v>525</v>
      </c>
      <c r="J78" s="50" t="s">
        <v>167</v>
      </c>
      <c r="K78" s="51" t="s">
        <v>168</v>
      </c>
      <c r="L78" s="58">
        <v>2488.3428899999999</v>
      </c>
    </row>
    <row r="79" spans="1:12" ht="15.75">
      <c r="A79" s="182"/>
      <c r="J79" s="50" t="s">
        <v>169</v>
      </c>
      <c r="K79" s="51" t="s">
        <v>170</v>
      </c>
      <c r="L79" s="58">
        <v>522.6</v>
      </c>
    </row>
    <row r="80" spans="1:12">
      <c r="A80" s="174"/>
      <c r="B80" s="174"/>
      <c r="J80" s="50" t="s">
        <v>171</v>
      </c>
      <c r="K80" s="51" t="s">
        <v>172</v>
      </c>
      <c r="L80" s="58">
        <v>589.2600000000001</v>
      </c>
    </row>
    <row r="81" spans="10:12">
      <c r="J81" s="50" t="s">
        <v>173</v>
      </c>
      <c r="K81" s="51" t="s">
        <v>174</v>
      </c>
      <c r="L81" s="58">
        <v>2901.1259999999997</v>
      </c>
    </row>
    <row r="82" spans="10:12">
      <c r="J82" s="50" t="s">
        <v>175</v>
      </c>
      <c r="K82" s="51" t="s">
        <v>176</v>
      </c>
      <c r="L82" s="58">
        <v>4161.482</v>
      </c>
    </row>
    <row r="87" spans="10:12">
      <c r="J87" s="64" t="s">
        <v>14</v>
      </c>
      <c r="K87" s="65" t="s">
        <v>47</v>
      </c>
      <c r="L87" s="58">
        <v>1575.93</v>
      </c>
    </row>
  </sheetData>
  <sortState ref="A1:H80">
    <sortCondition ref="F1:F8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H21" sqref="H21"/>
    </sheetView>
  </sheetViews>
  <sheetFormatPr baseColWidth="10" defaultRowHeight="15"/>
  <cols>
    <col min="4" max="4" width="9.5703125" bestFit="1" customWidth="1"/>
  </cols>
  <sheetData>
    <row r="1" spans="1:7">
      <c r="A1">
        <v>1</v>
      </c>
      <c r="B1">
        <v>992838464278</v>
      </c>
      <c r="C1">
        <v>0</v>
      </c>
      <c r="D1">
        <v>736.5</v>
      </c>
      <c r="E1" s="40" t="s">
        <v>46</v>
      </c>
      <c r="G1">
        <v>1001</v>
      </c>
    </row>
    <row r="2" spans="1:7">
      <c r="A2">
        <v>2</v>
      </c>
      <c r="B2">
        <v>992765753341</v>
      </c>
      <c r="C2">
        <v>0</v>
      </c>
      <c r="D2">
        <v>577.4</v>
      </c>
      <c r="E2" s="40" t="s">
        <v>153</v>
      </c>
      <c r="G2">
        <v>1001</v>
      </c>
    </row>
    <row r="3" spans="1:7">
      <c r="A3">
        <v>3</v>
      </c>
      <c r="B3">
        <v>992695890268</v>
      </c>
      <c r="C3">
        <v>0</v>
      </c>
      <c r="D3">
        <v>3821.15</v>
      </c>
      <c r="E3" s="40" t="s">
        <v>120</v>
      </c>
      <c r="G3">
        <v>1001</v>
      </c>
    </row>
    <row r="4" spans="1:7">
      <c r="A4">
        <v>4</v>
      </c>
      <c r="B4">
        <v>992971587803</v>
      </c>
      <c r="C4">
        <v>0</v>
      </c>
      <c r="D4">
        <v>2491.66</v>
      </c>
      <c r="E4" s="40" t="s">
        <v>52</v>
      </c>
      <c r="G4">
        <v>1001</v>
      </c>
    </row>
    <row r="5" spans="1:7">
      <c r="D5" s="224">
        <f>SUM(D1:D4)</f>
        <v>7626.71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96"/>
  <sheetViews>
    <sheetView topLeftCell="A61" workbookViewId="0">
      <selection activeCell="C73" sqref="C73"/>
    </sheetView>
  </sheetViews>
  <sheetFormatPr baseColWidth="10" defaultRowHeight="15"/>
  <cols>
    <col min="1" max="1" width="7.42578125" bestFit="1" customWidth="1"/>
    <col min="2" max="2" width="11" bestFit="1" customWidth="1"/>
    <col min="3" max="3" width="31.7109375" bestFit="1" customWidth="1"/>
  </cols>
  <sheetData>
    <row r="1" spans="1:12">
      <c r="A1" s="296" t="s">
        <v>738</v>
      </c>
      <c r="B1" s="295" t="s">
        <v>675</v>
      </c>
      <c r="C1" s="295" t="s">
        <v>35</v>
      </c>
      <c r="E1" s="297" t="str">
        <f>IF(C1=G1,"SI","NO")</f>
        <v>SI</v>
      </c>
      <c r="F1" s="20" t="s">
        <v>34</v>
      </c>
      <c r="G1" s="21" t="s">
        <v>35</v>
      </c>
    </row>
    <row r="2" spans="1:12">
      <c r="A2" s="296" t="s">
        <v>494</v>
      </c>
      <c r="B2" s="295" t="s">
        <v>668</v>
      </c>
      <c r="C2" s="295" t="s">
        <v>37</v>
      </c>
      <c r="E2" s="297" t="str">
        <f t="shared" ref="E2:E65" si="0">IF(C2=G2,"SI","NO")</f>
        <v>SI</v>
      </c>
      <c r="F2" s="20" t="s">
        <v>36</v>
      </c>
      <c r="G2" s="21" t="s">
        <v>37</v>
      </c>
    </row>
    <row r="3" spans="1:12">
      <c r="A3" s="296" t="s">
        <v>495</v>
      </c>
      <c r="B3" s="295" t="s">
        <v>700</v>
      </c>
      <c r="C3" s="295" t="s">
        <v>39</v>
      </c>
      <c r="E3" s="297" t="str">
        <f t="shared" si="0"/>
        <v>SI</v>
      </c>
      <c r="F3" s="20" t="s">
        <v>38</v>
      </c>
      <c r="G3" s="21" t="s">
        <v>39</v>
      </c>
    </row>
    <row r="4" spans="1:12" s="300" customFormat="1">
      <c r="A4" s="298" t="s">
        <v>739</v>
      </c>
      <c r="B4" s="299">
        <v>2706107109</v>
      </c>
      <c r="C4" s="299" t="s">
        <v>178</v>
      </c>
      <c r="E4" s="301" t="str">
        <f t="shared" si="0"/>
        <v>SI</v>
      </c>
      <c r="F4" s="36" t="s">
        <v>289</v>
      </c>
      <c r="G4" s="35" t="s">
        <v>178</v>
      </c>
      <c r="J4" s="298" t="s">
        <v>40</v>
      </c>
      <c r="K4" s="299" t="s">
        <v>705</v>
      </c>
      <c r="L4" s="299" t="s">
        <v>41</v>
      </c>
    </row>
    <row r="5" spans="1:12" s="300" customFormat="1">
      <c r="A5" s="298" t="s">
        <v>42</v>
      </c>
      <c r="B5" s="209" t="s">
        <v>648</v>
      </c>
      <c r="C5" s="299" t="s">
        <v>43</v>
      </c>
      <c r="E5" s="301" t="str">
        <f t="shared" si="0"/>
        <v>SI</v>
      </c>
      <c r="F5" s="267" t="s">
        <v>42</v>
      </c>
      <c r="G5" s="35" t="s">
        <v>43</v>
      </c>
      <c r="J5" s="298" t="s">
        <v>745</v>
      </c>
      <c r="K5" s="299" t="s">
        <v>661</v>
      </c>
      <c r="L5" s="299" t="s">
        <v>59</v>
      </c>
    </row>
    <row r="6" spans="1:12" s="300" customFormat="1">
      <c r="A6" s="298" t="s">
        <v>732</v>
      </c>
      <c r="B6" s="209">
        <v>1456104819</v>
      </c>
      <c r="C6" s="299" t="s">
        <v>740</v>
      </c>
      <c r="D6" s="103"/>
      <c r="E6" s="301" t="str">
        <f t="shared" si="0"/>
        <v>SI</v>
      </c>
      <c r="F6" s="267" t="s">
        <v>732</v>
      </c>
      <c r="G6" s="35" t="s">
        <v>609</v>
      </c>
    </row>
    <row r="7" spans="1:12">
      <c r="A7" s="296" t="s">
        <v>496</v>
      </c>
      <c r="B7" s="295" t="s">
        <v>684</v>
      </c>
      <c r="C7" s="295" t="s">
        <v>45</v>
      </c>
      <c r="E7" s="297" t="str">
        <f t="shared" si="0"/>
        <v>SI</v>
      </c>
      <c r="F7" s="20" t="s">
        <v>44</v>
      </c>
      <c r="G7" s="21" t="s">
        <v>45</v>
      </c>
    </row>
    <row r="8" spans="1:12" s="300" customFormat="1">
      <c r="A8" s="298" t="s">
        <v>518</v>
      </c>
      <c r="B8" s="205">
        <v>2959161945</v>
      </c>
      <c r="C8" s="299" t="s">
        <v>517</v>
      </c>
      <c r="E8" s="301" t="str">
        <f t="shared" si="0"/>
        <v>SI</v>
      </c>
      <c r="F8" s="36" t="s">
        <v>518</v>
      </c>
      <c r="G8" s="35" t="s">
        <v>517</v>
      </c>
    </row>
    <row r="9" spans="1:12">
      <c r="A9" s="296" t="s">
        <v>290</v>
      </c>
      <c r="B9" s="295" t="s">
        <v>667</v>
      </c>
      <c r="C9" s="295" t="s">
        <v>46</v>
      </c>
      <c r="E9" s="297" t="str">
        <f t="shared" si="0"/>
        <v>SI</v>
      </c>
      <c r="F9" s="20" t="s">
        <v>290</v>
      </c>
      <c r="G9" s="21" t="s">
        <v>46</v>
      </c>
    </row>
    <row r="10" spans="1:12" s="300" customFormat="1">
      <c r="A10" s="298" t="s">
        <v>741</v>
      </c>
      <c r="B10" s="205" t="s">
        <v>640</v>
      </c>
      <c r="C10" s="299" t="s">
        <v>47</v>
      </c>
      <c r="E10" s="301" t="str">
        <f t="shared" si="0"/>
        <v>SI</v>
      </c>
      <c r="F10" s="267" t="s">
        <v>14</v>
      </c>
      <c r="G10" s="35" t="s">
        <v>47</v>
      </c>
    </row>
    <row r="11" spans="1:12">
      <c r="A11" s="296" t="s">
        <v>742</v>
      </c>
      <c r="B11" s="295" t="s">
        <v>679</v>
      </c>
      <c r="C11" s="295" t="s">
        <v>49</v>
      </c>
      <c r="E11" s="297" t="str">
        <f t="shared" si="0"/>
        <v>SI</v>
      </c>
      <c r="F11" s="20" t="s">
        <v>48</v>
      </c>
      <c r="G11" s="21" t="s">
        <v>49</v>
      </c>
    </row>
    <row r="12" spans="1:12">
      <c r="A12" s="296" t="s">
        <v>50</v>
      </c>
      <c r="B12" s="295" t="s">
        <v>669</v>
      </c>
      <c r="C12" s="295" t="s">
        <v>51</v>
      </c>
      <c r="E12" s="297" t="str">
        <f t="shared" si="0"/>
        <v>SI</v>
      </c>
      <c r="F12" s="20" t="s">
        <v>50</v>
      </c>
      <c r="G12" s="21" t="s">
        <v>51</v>
      </c>
    </row>
    <row r="13" spans="1:12" s="300" customFormat="1">
      <c r="A13" s="298" t="s">
        <v>824</v>
      </c>
      <c r="B13" s="302">
        <v>1487589077</v>
      </c>
      <c r="C13" s="299" t="s">
        <v>825</v>
      </c>
      <c r="E13" s="301" t="str">
        <f t="shared" si="0"/>
        <v>SI</v>
      </c>
      <c r="F13" s="36" t="s">
        <v>824</v>
      </c>
      <c r="G13" s="37" t="s">
        <v>825</v>
      </c>
    </row>
    <row r="14" spans="1:12">
      <c r="A14" s="296" t="s">
        <v>291</v>
      </c>
      <c r="B14" s="295" t="s">
        <v>702</v>
      </c>
      <c r="C14" s="295" t="s">
        <v>52</v>
      </c>
      <c r="E14" s="297" t="str">
        <f t="shared" si="0"/>
        <v>SI</v>
      </c>
      <c r="F14" s="20" t="s">
        <v>291</v>
      </c>
      <c r="G14" s="21" t="s">
        <v>52</v>
      </c>
    </row>
    <row r="15" spans="1:12">
      <c r="A15" s="296" t="s">
        <v>743</v>
      </c>
      <c r="B15" s="295" t="s">
        <v>654</v>
      </c>
      <c r="C15" s="295" t="s">
        <v>54</v>
      </c>
      <c r="E15" s="297" t="str">
        <f t="shared" si="0"/>
        <v>SI</v>
      </c>
      <c r="F15" s="20" t="s">
        <v>53</v>
      </c>
      <c r="G15" s="21" t="s">
        <v>54</v>
      </c>
    </row>
    <row r="16" spans="1:12">
      <c r="A16" s="296" t="s">
        <v>497</v>
      </c>
      <c r="B16" s="295" t="s">
        <v>649</v>
      </c>
      <c r="C16" s="295" t="s">
        <v>55</v>
      </c>
      <c r="E16" s="297" t="str">
        <f t="shared" si="0"/>
        <v>SI</v>
      </c>
      <c r="F16" s="20" t="s">
        <v>15</v>
      </c>
      <c r="G16" s="21" t="s">
        <v>55</v>
      </c>
    </row>
    <row r="17" spans="1:12">
      <c r="A17" s="296" t="s">
        <v>744</v>
      </c>
      <c r="B17" s="295" t="s">
        <v>647</v>
      </c>
      <c r="C17" s="295" t="s">
        <v>57</v>
      </c>
      <c r="E17" s="297" t="str">
        <f t="shared" si="0"/>
        <v>SI</v>
      </c>
      <c r="F17" s="20" t="s">
        <v>56</v>
      </c>
      <c r="G17" s="21" t="s">
        <v>57</v>
      </c>
    </row>
    <row r="18" spans="1:12">
      <c r="A18" s="296" t="s">
        <v>746</v>
      </c>
      <c r="B18" s="295" t="s">
        <v>690</v>
      </c>
      <c r="C18" s="295" t="s">
        <v>61</v>
      </c>
      <c r="E18" s="297" t="str">
        <f t="shared" si="0"/>
        <v>SI</v>
      </c>
      <c r="F18" s="20" t="s">
        <v>60</v>
      </c>
      <c r="G18" s="21" t="s">
        <v>61</v>
      </c>
    </row>
    <row r="19" spans="1:12" s="300" customFormat="1">
      <c r="A19" s="298" t="s">
        <v>835</v>
      </c>
      <c r="B19" s="299" t="s">
        <v>838</v>
      </c>
      <c r="C19" s="299" t="s">
        <v>834</v>
      </c>
      <c r="E19" s="301" t="str">
        <f t="shared" si="0"/>
        <v>SI</v>
      </c>
      <c r="F19" s="36" t="s">
        <v>835</v>
      </c>
      <c r="G19" s="37" t="s">
        <v>834</v>
      </c>
    </row>
    <row r="20" spans="1:12">
      <c r="A20" s="296" t="s">
        <v>747</v>
      </c>
      <c r="B20" s="295" t="s">
        <v>657</v>
      </c>
      <c r="C20" s="295" t="s">
        <v>63</v>
      </c>
      <c r="E20" s="297" t="str">
        <f t="shared" si="0"/>
        <v>SI</v>
      </c>
      <c r="F20" s="20" t="s">
        <v>62</v>
      </c>
      <c r="G20" s="21" t="s">
        <v>63</v>
      </c>
    </row>
    <row r="21" spans="1:12">
      <c r="A21" s="296" t="s">
        <v>748</v>
      </c>
      <c r="B21" s="295" t="s">
        <v>682</v>
      </c>
      <c r="C21" s="295" t="s">
        <v>65</v>
      </c>
      <c r="E21" s="297" t="str">
        <f t="shared" si="0"/>
        <v>SI</v>
      </c>
      <c r="F21" s="20" t="s">
        <v>64</v>
      </c>
      <c r="G21" s="21" t="s">
        <v>65</v>
      </c>
    </row>
    <row r="22" spans="1:12">
      <c r="A22" s="296" t="s">
        <v>749</v>
      </c>
      <c r="B22" s="295" t="s">
        <v>688</v>
      </c>
      <c r="C22" s="295" t="s">
        <v>67</v>
      </c>
      <c r="E22" s="297" t="str">
        <f t="shared" si="0"/>
        <v>SI</v>
      </c>
      <c r="F22" s="20" t="s">
        <v>66</v>
      </c>
      <c r="G22" s="21" t="s">
        <v>67</v>
      </c>
    </row>
    <row r="23" spans="1:12">
      <c r="A23" s="296" t="s">
        <v>750</v>
      </c>
      <c r="B23" s="295" t="s">
        <v>678</v>
      </c>
      <c r="C23" s="295" t="s">
        <v>69</v>
      </c>
      <c r="E23" s="297" t="str">
        <f t="shared" si="0"/>
        <v>SI</v>
      </c>
      <c r="F23" s="20" t="s">
        <v>68</v>
      </c>
      <c r="G23" s="21" t="s">
        <v>69</v>
      </c>
    </row>
    <row r="24" spans="1:12">
      <c r="A24" s="296" t="s">
        <v>751</v>
      </c>
      <c r="B24" s="295" t="s">
        <v>641</v>
      </c>
      <c r="C24" s="295" t="s">
        <v>71</v>
      </c>
      <c r="E24" s="297" t="str">
        <f t="shared" si="0"/>
        <v>SI</v>
      </c>
      <c r="F24" s="20" t="s">
        <v>70</v>
      </c>
      <c r="G24" s="21" t="s">
        <v>71</v>
      </c>
    </row>
    <row r="25" spans="1:12">
      <c r="A25" s="296" t="s">
        <v>498</v>
      </c>
      <c r="B25" s="295" t="s">
        <v>660</v>
      </c>
      <c r="C25" s="295" t="s">
        <v>73</v>
      </c>
      <c r="E25" s="297" t="str">
        <f t="shared" si="0"/>
        <v>SI</v>
      </c>
      <c r="F25" s="20" t="s">
        <v>72</v>
      </c>
      <c r="G25" s="21" t="s">
        <v>73</v>
      </c>
    </row>
    <row r="26" spans="1:12">
      <c r="A26" s="296" t="s">
        <v>752</v>
      </c>
      <c r="B26" s="295" t="s">
        <v>656</v>
      </c>
      <c r="C26" s="295" t="s">
        <v>77</v>
      </c>
      <c r="E26" s="297" t="str">
        <f t="shared" si="0"/>
        <v>NO</v>
      </c>
      <c r="F26" s="20" t="s">
        <v>76</v>
      </c>
      <c r="G26" s="21" t="s">
        <v>724</v>
      </c>
      <c r="J26" s="296" t="s">
        <v>499</v>
      </c>
      <c r="K26" s="295" t="s">
        <v>839</v>
      </c>
      <c r="L26" s="295" t="s">
        <v>75</v>
      </c>
    </row>
    <row r="27" spans="1:12">
      <c r="A27" s="296" t="s">
        <v>753</v>
      </c>
      <c r="B27" s="295" t="s">
        <v>683</v>
      </c>
      <c r="C27" s="295" t="s">
        <v>79</v>
      </c>
      <c r="E27" s="297" t="str">
        <f t="shared" si="0"/>
        <v>SI</v>
      </c>
      <c r="F27" s="20" t="s">
        <v>78</v>
      </c>
      <c r="G27" s="21" t="s">
        <v>79</v>
      </c>
      <c r="J27" s="298" t="s">
        <v>800</v>
      </c>
      <c r="K27" s="299" t="s">
        <v>838</v>
      </c>
      <c r="L27" s="299" t="s">
        <v>801</v>
      </c>
    </row>
    <row r="28" spans="1:12" s="300" customFormat="1">
      <c r="A28" s="298" t="s">
        <v>826</v>
      </c>
      <c r="B28" s="302">
        <v>2986476066</v>
      </c>
      <c r="C28" s="299" t="s">
        <v>827</v>
      </c>
      <c r="E28" s="301" t="str">
        <f t="shared" si="0"/>
        <v>SI</v>
      </c>
      <c r="F28" s="36" t="s">
        <v>826</v>
      </c>
      <c r="G28" s="37" t="s">
        <v>827</v>
      </c>
      <c r="J28" s="296" t="s">
        <v>502</v>
      </c>
      <c r="K28" s="295" t="s">
        <v>838</v>
      </c>
      <c r="L28" s="295" t="s">
        <v>85</v>
      </c>
    </row>
    <row r="29" spans="1:12" s="300" customFormat="1">
      <c r="A29" s="298" t="s">
        <v>500</v>
      </c>
      <c r="B29" s="205">
        <v>2861674129</v>
      </c>
      <c r="C29" s="299" t="s">
        <v>501</v>
      </c>
      <c r="E29" s="301" t="str">
        <f t="shared" si="0"/>
        <v>SI</v>
      </c>
      <c r="F29" s="36" t="s">
        <v>500</v>
      </c>
      <c r="G29" s="35" t="s">
        <v>501</v>
      </c>
      <c r="J29" s="296" t="s">
        <v>804</v>
      </c>
      <c r="K29" s="295" t="s">
        <v>838</v>
      </c>
      <c r="L29" s="295" t="s">
        <v>805</v>
      </c>
    </row>
    <row r="30" spans="1:12">
      <c r="A30" s="296" t="s">
        <v>80</v>
      </c>
      <c r="B30" s="295" t="s">
        <v>671</v>
      </c>
      <c r="C30" s="295" t="s">
        <v>81</v>
      </c>
      <c r="E30" s="297" t="str">
        <f t="shared" si="0"/>
        <v>SI</v>
      </c>
      <c r="F30" s="20" t="s">
        <v>80</v>
      </c>
      <c r="G30" s="21" t="s">
        <v>81</v>
      </c>
    </row>
    <row r="31" spans="1:12" s="300" customFormat="1">
      <c r="A31" s="298" t="s">
        <v>828</v>
      </c>
      <c r="B31" s="302">
        <v>2962956136</v>
      </c>
      <c r="C31" s="299" t="s">
        <v>829</v>
      </c>
      <c r="E31" s="301" t="str">
        <f t="shared" si="0"/>
        <v>SI</v>
      </c>
      <c r="F31" s="36" t="s">
        <v>828</v>
      </c>
      <c r="G31" s="37" t="s">
        <v>829</v>
      </c>
    </row>
    <row r="32" spans="1:12">
      <c r="A32" s="296" t="s">
        <v>82</v>
      </c>
      <c r="B32" s="295" t="s">
        <v>644</v>
      </c>
      <c r="C32" s="295" t="s">
        <v>83</v>
      </c>
      <c r="E32" s="297" t="str">
        <f t="shared" si="0"/>
        <v>SI</v>
      </c>
      <c r="F32" s="20" t="s">
        <v>82</v>
      </c>
      <c r="G32" s="21" t="s">
        <v>83</v>
      </c>
    </row>
    <row r="33" spans="1:7">
      <c r="A33" s="296" t="s">
        <v>754</v>
      </c>
      <c r="B33" s="295" t="s">
        <v>706</v>
      </c>
      <c r="C33" s="295" t="s">
        <v>198</v>
      </c>
      <c r="E33" s="297" t="str">
        <f t="shared" si="0"/>
        <v>SI</v>
      </c>
      <c r="F33" s="20" t="s">
        <v>197</v>
      </c>
      <c r="G33" s="21" t="s">
        <v>198</v>
      </c>
    </row>
    <row r="34" spans="1:7">
      <c r="A34" s="296" t="s">
        <v>755</v>
      </c>
      <c r="B34" s="295" t="s">
        <v>694</v>
      </c>
      <c r="C34" s="295" t="s">
        <v>87</v>
      </c>
      <c r="E34" s="297" t="str">
        <f t="shared" si="0"/>
        <v>SI</v>
      </c>
      <c r="F34" s="20" t="s">
        <v>86</v>
      </c>
      <c r="G34" s="21" t="s">
        <v>87</v>
      </c>
    </row>
    <row r="35" spans="1:7">
      <c r="A35" s="296" t="s">
        <v>503</v>
      </c>
      <c r="B35" s="295" t="s">
        <v>701</v>
      </c>
      <c r="C35" s="295" t="s">
        <v>89</v>
      </c>
      <c r="E35" s="297" t="str">
        <f t="shared" si="0"/>
        <v>SI</v>
      </c>
      <c r="F35" s="20" t="s">
        <v>88</v>
      </c>
      <c r="G35" s="21" t="s">
        <v>89</v>
      </c>
    </row>
    <row r="36" spans="1:7">
      <c r="A36" s="296" t="s">
        <v>756</v>
      </c>
      <c r="B36" s="295" t="s">
        <v>676</v>
      </c>
      <c r="C36" s="295" t="s">
        <v>91</v>
      </c>
      <c r="E36" s="297" t="str">
        <f t="shared" si="0"/>
        <v>SI</v>
      </c>
      <c r="F36" s="20" t="s">
        <v>90</v>
      </c>
      <c r="G36" s="21" t="s">
        <v>91</v>
      </c>
    </row>
    <row r="37" spans="1:7">
      <c r="A37" s="296" t="s">
        <v>757</v>
      </c>
      <c r="B37" s="295" t="s">
        <v>655</v>
      </c>
      <c r="C37" s="295" t="s">
        <v>93</v>
      </c>
      <c r="E37" s="297" t="str">
        <f t="shared" si="0"/>
        <v>SI</v>
      </c>
      <c r="F37" s="20" t="s">
        <v>92</v>
      </c>
      <c r="G37" s="21" t="s">
        <v>93</v>
      </c>
    </row>
    <row r="38" spans="1:7" s="300" customFormat="1">
      <c r="A38" s="298" t="s">
        <v>758</v>
      </c>
      <c r="B38" s="205" t="s">
        <v>640</v>
      </c>
      <c r="C38" s="299" t="s">
        <v>95</v>
      </c>
      <c r="E38" s="301" t="str">
        <f t="shared" si="0"/>
        <v>SI</v>
      </c>
      <c r="F38" s="267" t="s">
        <v>94</v>
      </c>
      <c r="G38" s="35" t="s">
        <v>95</v>
      </c>
    </row>
    <row r="39" spans="1:7">
      <c r="A39" s="296" t="s">
        <v>759</v>
      </c>
      <c r="B39" s="295" t="s">
        <v>681</v>
      </c>
      <c r="C39" s="295" t="s">
        <v>97</v>
      </c>
      <c r="E39" s="297" t="str">
        <f t="shared" si="0"/>
        <v>SI</v>
      </c>
      <c r="F39" s="20" t="s">
        <v>96</v>
      </c>
      <c r="G39" s="21" t="s">
        <v>97</v>
      </c>
    </row>
    <row r="40" spans="1:7">
      <c r="A40" s="296" t="s">
        <v>760</v>
      </c>
      <c r="B40" s="295" t="s">
        <v>693</v>
      </c>
      <c r="C40" s="295" t="s">
        <v>100</v>
      </c>
      <c r="E40" s="297" t="str">
        <f t="shared" si="0"/>
        <v>SI</v>
      </c>
      <c r="F40" s="20" t="s">
        <v>99</v>
      </c>
      <c r="G40" s="21" t="s">
        <v>100</v>
      </c>
    </row>
    <row r="41" spans="1:7">
      <c r="A41" s="296" t="s">
        <v>761</v>
      </c>
      <c r="B41" s="295" t="s">
        <v>672</v>
      </c>
      <c r="C41" s="295" t="s">
        <v>102</v>
      </c>
      <c r="E41" s="297" t="str">
        <f t="shared" si="0"/>
        <v>SI</v>
      </c>
      <c r="F41" s="20" t="s">
        <v>101</v>
      </c>
      <c r="G41" s="21" t="s">
        <v>102</v>
      </c>
    </row>
    <row r="42" spans="1:7" s="300" customFormat="1">
      <c r="A42" s="298" t="s">
        <v>762</v>
      </c>
      <c r="B42" s="205">
        <v>2948910731</v>
      </c>
      <c r="C42" s="299" t="s">
        <v>763</v>
      </c>
      <c r="E42" s="301" t="str">
        <f t="shared" si="0"/>
        <v>SI</v>
      </c>
      <c r="F42" s="36" t="s">
        <v>762</v>
      </c>
      <c r="G42" s="37" t="s">
        <v>763</v>
      </c>
    </row>
    <row r="43" spans="1:7">
      <c r="A43" s="296" t="s">
        <v>764</v>
      </c>
      <c r="B43" s="295" t="s">
        <v>651</v>
      </c>
      <c r="C43" s="295" t="s">
        <v>104</v>
      </c>
      <c r="E43" s="297" t="str">
        <f t="shared" si="0"/>
        <v>SI</v>
      </c>
      <c r="F43" s="20" t="s">
        <v>103</v>
      </c>
      <c r="G43" s="21" t="s">
        <v>104</v>
      </c>
    </row>
    <row r="44" spans="1:7">
      <c r="A44" s="296" t="s">
        <v>765</v>
      </c>
      <c r="B44" s="295" t="s">
        <v>687</v>
      </c>
      <c r="C44" s="295" t="s">
        <v>106</v>
      </c>
      <c r="E44" s="297" t="str">
        <f t="shared" si="0"/>
        <v>SI</v>
      </c>
      <c r="F44" s="20" t="s">
        <v>105</v>
      </c>
      <c r="G44" s="21" t="s">
        <v>106</v>
      </c>
    </row>
    <row r="45" spans="1:7" s="300" customFormat="1">
      <c r="A45" s="298" t="s">
        <v>516</v>
      </c>
      <c r="B45" s="205">
        <v>1296641458</v>
      </c>
      <c r="C45" s="299" t="s">
        <v>515</v>
      </c>
      <c r="E45" s="301" t="str">
        <f t="shared" si="0"/>
        <v>SI</v>
      </c>
      <c r="F45" s="36" t="s">
        <v>516</v>
      </c>
      <c r="G45" s="35" t="s">
        <v>515</v>
      </c>
    </row>
    <row r="46" spans="1:7" s="300" customFormat="1">
      <c r="A46" s="298" t="s">
        <v>504</v>
      </c>
      <c r="B46" s="205">
        <v>2959119167</v>
      </c>
      <c r="C46" s="299" t="s">
        <v>505</v>
      </c>
      <c r="E46" s="301" t="str">
        <f t="shared" si="0"/>
        <v>SI</v>
      </c>
      <c r="F46" s="36" t="s">
        <v>504</v>
      </c>
      <c r="G46" s="35" t="s">
        <v>505</v>
      </c>
    </row>
    <row r="47" spans="1:7">
      <c r="A47" s="296" t="s">
        <v>766</v>
      </c>
      <c r="B47" s="295" t="s">
        <v>659</v>
      </c>
      <c r="C47" s="295" t="s">
        <v>108</v>
      </c>
      <c r="E47" s="297" t="str">
        <f t="shared" si="0"/>
        <v>SI</v>
      </c>
      <c r="F47" s="20" t="s">
        <v>107</v>
      </c>
      <c r="G47" s="21" t="s">
        <v>108</v>
      </c>
    </row>
    <row r="48" spans="1:7">
      <c r="A48" s="296" t="s">
        <v>506</v>
      </c>
      <c r="B48" s="295" t="s">
        <v>650</v>
      </c>
      <c r="C48" s="295" t="s">
        <v>110</v>
      </c>
      <c r="E48" s="297" t="str">
        <f t="shared" si="0"/>
        <v>SI</v>
      </c>
      <c r="F48" s="20" t="s">
        <v>109</v>
      </c>
      <c r="G48" s="21" t="s">
        <v>110</v>
      </c>
    </row>
    <row r="49" spans="1:12" s="300" customFormat="1">
      <c r="A49" s="298" t="s">
        <v>767</v>
      </c>
      <c r="B49" s="103">
        <v>2967093632</v>
      </c>
      <c r="C49" s="299" t="s">
        <v>296</v>
      </c>
      <c r="E49" s="301" t="str">
        <f t="shared" si="0"/>
        <v>SI</v>
      </c>
      <c r="F49" s="267" t="s">
        <v>196</v>
      </c>
      <c r="G49" s="35" t="s">
        <v>296</v>
      </c>
    </row>
    <row r="50" spans="1:12">
      <c r="A50" s="296" t="s">
        <v>111</v>
      </c>
      <c r="B50" s="295" t="s">
        <v>686</v>
      </c>
      <c r="C50" s="295" t="s">
        <v>112</v>
      </c>
      <c r="E50" s="297" t="str">
        <f t="shared" si="0"/>
        <v>SI</v>
      </c>
      <c r="F50" s="20" t="s">
        <v>111</v>
      </c>
      <c r="G50" s="21" t="s">
        <v>112</v>
      </c>
    </row>
    <row r="51" spans="1:12" s="300" customFormat="1">
      <c r="A51" s="298" t="s">
        <v>802</v>
      </c>
      <c r="B51" s="303">
        <v>1171363360</v>
      </c>
      <c r="C51" s="299" t="s">
        <v>803</v>
      </c>
      <c r="E51" s="301" t="str">
        <f t="shared" si="0"/>
        <v>SI</v>
      </c>
      <c r="F51" s="36" t="s">
        <v>802</v>
      </c>
      <c r="G51" s="37" t="s">
        <v>803</v>
      </c>
    </row>
    <row r="52" spans="1:12" s="300" customFormat="1">
      <c r="A52" s="298" t="s">
        <v>768</v>
      </c>
      <c r="B52" s="303">
        <v>1190530786</v>
      </c>
      <c r="C52" s="299" t="s">
        <v>769</v>
      </c>
      <c r="E52" s="301" t="str">
        <f t="shared" si="0"/>
        <v>SI</v>
      </c>
      <c r="F52" s="36" t="s">
        <v>768</v>
      </c>
      <c r="G52" s="37" t="s">
        <v>769</v>
      </c>
    </row>
    <row r="53" spans="1:12" s="300" customFormat="1">
      <c r="A53" s="298" t="s">
        <v>830</v>
      </c>
      <c r="B53" s="299" t="s">
        <v>838</v>
      </c>
      <c r="C53" s="299" t="s">
        <v>831</v>
      </c>
      <c r="E53" s="301" t="str">
        <f t="shared" si="0"/>
        <v>SI</v>
      </c>
      <c r="F53" s="36" t="s">
        <v>830</v>
      </c>
      <c r="G53" s="37" t="s">
        <v>831</v>
      </c>
    </row>
    <row r="54" spans="1:12" s="300" customFormat="1">
      <c r="A54" s="298" t="s">
        <v>796</v>
      </c>
      <c r="B54" s="299">
        <v>2948414130</v>
      </c>
      <c r="C54" s="299" t="s">
        <v>797</v>
      </c>
      <c r="E54" s="301" t="str">
        <f t="shared" si="0"/>
        <v>SI</v>
      </c>
      <c r="F54" s="36" t="s">
        <v>796</v>
      </c>
      <c r="G54" s="37" t="s">
        <v>797</v>
      </c>
    </row>
    <row r="55" spans="1:12">
      <c r="A55" s="296" t="s">
        <v>770</v>
      </c>
      <c r="B55" s="295" t="s">
        <v>699</v>
      </c>
      <c r="C55" s="295" t="s">
        <v>114</v>
      </c>
      <c r="E55" s="297" t="str">
        <f t="shared" si="0"/>
        <v>SI</v>
      </c>
      <c r="F55" s="20" t="s">
        <v>113</v>
      </c>
      <c r="G55" s="21" t="s">
        <v>114</v>
      </c>
    </row>
    <row r="56" spans="1:12">
      <c r="A56" s="296" t="s">
        <v>771</v>
      </c>
      <c r="B56" s="295" t="s">
        <v>646</v>
      </c>
      <c r="C56" s="295" t="s">
        <v>116</v>
      </c>
      <c r="E56" s="297" t="str">
        <f t="shared" si="0"/>
        <v>SI</v>
      </c>
      <c r="F56" s="20" t="s">
        <v>115</v>
      </c>
      <c r="G56" s="21" t="s">
        <v>116</v>
      </c>
    </row>
    <row r="57" spans="1:12">
      <c r="A57" s="296" t="s">
        <v>772</v>
      </c>
      <c r="B57" s="295" t="s">
        <v>673</v>
      </c>
      <c r="C57" s="295" t="s">
        <v>122</v>
      </c>
      <c r="E57" s="297" t="str">
        <f t="shared" si="0"/>
        <v>SI</v>
      </c>
      <c r="F57" s="20" t="s">
        <v>121</v>
      </c>
      <c r="G57" s="21" t="s">
        <v>122</v>
      </c>
    </row>
    <row r="58" spans="1:12">
      <c r="A58" s="296" t="s">
        <v>773</v>
      </c>
      <c r="B58" s="295" t="s">
        <v>642</v>
      </c>
      <c r="C58" s="295" t="s">
        <v>118</v>
      </c>
      <c r="E58" s="297" t="str">
        <f t="shared" si="0"/>
        <v>SI</v>
      </c>
      <c r="F58" s="20" t="s">
        <v>117</v>
      </c>
      <c r="G58" s="21" t="s">
        <v>118</v>
      </c>
    </row>
    <row r="59" spans="1:12">
      <c r="A59" s="296" t="s">
        <v>507</v>
      </c>
      <c r="B59" s="295" t="s">
        <v>652</v>
      </c>
      <c r="C59" s="295" t="s">
        <v>120</v>
      </c>
      <c r="E59" s="297" t="str">
        <f t="shared" si="0"/>
        <v>SI</v>
      </c>
      <c r="F59" s="20" t="s">
        <v>119</v>
      </c>
      <c r="G59" s="21" t="s">
        <v>120</v>
      </c>
    </row>
    <row r="60" spans="1:12">
      <c r="A60" s="296" t="s">
        <v>774</v>
      </c>
      <c r="B60" s="295" t="s">
        <v>670</v>
      </c>
      <c r="C60" s="295" t="s">
        <v>124</v>
      </c>
      <c r="E60" s="297" t="str">
        <f t="shared" si="0"/>
        <v>SI</v>
      </c>
      <c r="F60" s="20" t="s">
        <v>123</v>
      </c>
      <c r="G60" s="21" t="s">
        <v>124</v>
      </c>
    </row>
    <row r="61" spans="1:12">
      <c r="A61" s="296" t="s">
        <v>508</v>
      </c>
      <c r="B61" s="295" t="s">
        <v>680</v>
      </c>
      <c r="C61" s="295" t="s">
        <v>126</v>
      </c>
      <c r="E61" s="297" t="str">
        <f t="shared" si="0"/>
        <v>SI</v>
      </c>
      <c r="F61" s="20" t="s">
        <v>125</v>
      </c>
      <c r="G61" s="21" t="s">
        <v>126</v>
      </c>
    </row>
    <row r="62" spans="1:12" s="300" customFormat="1">
      <c r="A62" s="298" t="s">
        <v>832</v>
      </c>
      <c r="B62" s="302">
        <v>2913584305</v>
      </c>
      <c r="C62" s="299" t="s">
        <v>833</v>
      </c>
      <c r="E62" s="301" t="str">
        <f t="shared" si="0"/>
        <v>SI</v>
      </c>
      <c r="F62" s="36" t="s">
        <v>832</v>
      </c>
      <c r="G62" s="37" t="s">
        <v>833</v>
      </c>
      <c r="J62" s="298" t="s">
        <v>840</v>
      </c>
      <c r="K62" s="299" t="s">
        <v>841</v>
      </c>
      <c r="L62" s="299" t="s">
        <v>128</v>
      </c>
    </row>
    <row r="63" spans="1:12">
      <c r="A63" s="296" t="s">
        <v>775</v>
      </c>
      <c r="B63" s="295" t="s">
        <v>704</v>
      </c>
      <c r="C63" s="295" t="s">
        <v>130</v>
      </c>
      <c r="E63" s="297" t="str">
        <f t="shared" si="0"/>
        <v>SI</v>
      </c>
      <c r="F63" s="20" t="s">
        <v>129</v>
      </c>
      <c r="G63" s="21" t="s">
        <v>130</v>
      </c>
      <c r="J63" s="296" t="s">
        <v>776</v>
      </c>
      <c r="K63" s="295" t="s">
        <v>838</v>
      </c>
      <c r="L63" s="295" t="s">
        <v>777</v>
      </c>
    </row>
    <row r="64" spans="1:12" s="300" customFormat="1">
      <c r="A64" s="298" t="s">
        <v>798</v>
      </c>
      <c r="B64" s="303">
        <v>2857006349</v>
      </c>
      <c r="C64" s="299" t="s">
        <v>799</v>
      </c>
      <c r="E64" s="301" t="str">
        <f t="shared" si="0"/>
        <v>SI</v>
      </c>
      <c r="F64" s="36" t="s">
        <v>798</v>
      </c>
      <c r="G64" s="37" t="s">
        <v>799</v>
      </c>
      <c r="J64" s="298" t="s">
        <v>779</v>
      </c>
      <c r="K64" s="299" t="s">
        <v>664</v>
      </c>
      <c r="L64" s="299" t="s">
        <v>136</v>
      </c>
    </row>
    <row r="65" spans="1:12">
      <c r="A65" s="296" t="s">
        <v>131</v>
      </c>
      <c r="B65" s="295" t="s">
        <v>696</v>
      </c>
      <c r="C65" s="295" t="s">
        <v>132</v>
      </c>
      <c r="E65" s="297" t="str">
        <f t="shared" si="0"/>
        <v>SI</v>
      </c>
      <c r="F65" s="20" t="s">
        <v>131</v>
      </c>
      <c r="G65" s="21" t="s">
        <v>132</v>
      </c>
      <c r="J65" s="296" t="s">
        <v>784</v>
      </c>
      <c r="K65" s="295" t="s">
        <v>838</v>
      </c>
      <c r="L65" s="295" t="s">
        <v>314</v>
      </c>
    </row>
    <row r="66" spans="1:12">
      <c r="A66" s="296" t="s">
        <v>778</v>
      </c>
      <c r="B66" s="295" t="s">
        <v>658</v>
      </c>
      <c r="C66" s="295" t="s">
        <v>134</v>
      </c>
      <c r="E66" s="297" t="str">
        <f t="shared" ref="E66:E88" si="1">IF(C66=G66,"SI","NO")</f>
        <v>SI</v>
      </c>
      <c r="F66" s="20" t="s">
        <v>133</v>
      </c>
      <c r="G66" s="21" t="s">
        <v>134</v>
      </c>
      <c r="J66" s="296" t="s">
        <v>514</v>
      </c>
      <c r="K66" s="295" t="s">
        <v>842</v>
      </c>
      <c r="L66" s="295" t="s">
        <v>176</v>
      </c>
    </row>
    <row r="67" spans="1:12" s="300" customFormat="1">
      <c r="A67" s="298" t="s">
        <v>780</v>
      </c>
      <c r="B67" s="303">
        <v>2995318777</v>
      </c>
      <c r="C67" s="299" t="s">
        <v>309</v>
      </c>
      <c r="E67" s="301" t="str">
        <f t="shared" si="1"/>
        <v>SI</v>
      </c>
      <c r="F67" s="267" t="s">
        <v>199</v>
      </c>
      <c r="G67" s="35" t="s">
        <v>309</v>
      </c>
    </row>
    <row r="68" spans="1:12">
      <c r="A68" s="296" t="s">
        <v>137</v>
      </c>
      <c r="B68" s="295" t="s">
        <v>666</v>
      </c>
      <c r="C68" s="295" t="s">
        <v>138</v>
      </c>
      <c r="E68" s="297" t="str">
        <f t="shared" si="1"/>
        <v>SI</v>
      </c>
      <c r="F68" s="20" t="s">
        <v>137</v>
      </c>
      <c r="G68" s="21" t="s">
        <v>138</v>
      </c>
    </row>
    <row r="69" spans="1:12">
      <c r="A69" s="296" t="s">
        <v>781</v>
      </c>
      <c r="B69" s="295" t="s">
        <v>695</v>
      </c>
      <c r="C69" s="295" t="s">
        <v>140</v>
      </c>
      <c r="E69" s="297" t="str">
        <f t="shared" si="1"/>
        <v>SI</v>
      </c>
      <c r="F69" s="20" t="s">
        <v>139</v>
      </c>
      <c r="G69" s="21" t="s">
        <v>140</v>
      </c>
    </row>
    <row r="70" spans="1:12" s="300" customFormat="1">
      <c r="A70" s="298" t="s">
        <v>509</v>
      </c>
      <c r="B70" s="205">
        <v>9589670162</v>
      </c>
      <c r="C70" s="299" t="s">
        <v>510</v>
      </c>
      <c r="E70" s="301" t="str">
        <f t="shared" si="1"/>
        <v>SI</v>
      </c>
      <c r="F70" s="36" t="s">
        <v>509</v>
      </c>
      <c r="G70" s="35" t="s">
        <v>510</v>
      </c>
    </row>
    <row r="71" spans="1:12">
      <c r="A71" s="296" t="s">
        <v>782</v>
      </c>
      <c r="B71" s="295" t="s">
        <v>645</v>
      </c>
      <c r="C71" s="295" t="s">
        <v>142</v>
      </c>
      <c r="E71" s="297" t="str">
        <f t="shared" si="1"/>
        <v>SI</v>
      </c>
      <c r="F71" s="20" t="s">
        <v>141</v>
      </c>
      <c r="G71" s="21" t="s">
        <v>142</v>
      </c>
    </row>
    <row r="72" spans="1:12">
      <c r="A72" s="296" t="s">
        <v>783</v>
      </c>
      <c r="B72" s="295" t="s">
        <v>674</v>
      </c>
      <c r="C72" s="295" t="s">
        <v>144</v>
      </c>
      <c r="E72" s="297" t="str">
        <f t="shared" si="1"/>
        <v>SI</v>
      </c>
      <c r="F72" s="20" t="s">
        <v>143</v>
      </c>
      <c r="G72" s="21" t="s">
        <v>144</v>
      </c>
    </row>
    <row r="73" spans="1:12" s="300" customFormat="1">
      <c r="A73" s="267" t="s">
        <v>188</v>
      </c>
      <c r="B73" s="299"/>
      <c r="C73" s="35" t="s">
        <v>726</v>
      </c>
      <c r="E73" s="301" t="str">
        <f t="shared" si="1"/>
        <v>SI</v>
      </c>
      <c r="F73" s="267" t="s">
        <v>188</v>
      </c>
      <c r="G73" s="35" t="s">
        <v>726</v>
      </c>
    </row>
    <row r="74" spans="1:12">
      <c r="A74" s="296" t="s">
        <v>785</v>
      </c>
      <c r="B74" s="295" t="s">
        <v>692</v>
      </c>
      <c r="C74" s="295" t="s">
        <v>149</v>
      </c>
      <c r="E74" s="297" t="str">
        <f t="shared" si="1"/>
        <v>SI</v>
      </c>
      <c r="F74" s="20" t="s">
        <v>148</v>
      </c>
      <c r="G74" s="21" t="s">
        <v>149</v>
      </c>
    </row>
    <row r="75" spans="1:12">
      <c r="A75" s="296" t="s">
        <v>150</v>
      </c>
      <c r="B75" s="295" t="s">
        <v>665</v>
      </c>
      <c r="C75" s="295" t="s">
        <v>151</v>
      </c>
      <c r="E75" s="297" t="str">
        <f t="shared" si="1"/>
        <v>SI</v>
      </c>
      <c r="F75" s="20" t="s">
        <v>150</v>
      </c>
      <c r="G75" s="21" t="s">
        <v>151</v>
      </c>
    </row>
    <row r="76" spans="1:12">
      <c r="A76" s="296" t="s">
        <v>786</v>
      </c>
      <c r="B76" s="295" t="s">
        <v>662</v>
      </c>
      <c r="C76" s="295" t="s">
        <v>153</v>
      </c>
      <c r="E76" s="297" t="str">
        <f t="shared" si="1"/>
        <v>SI</v>
      </c>
      <c r="F76" s="20" t="s">
        <v>152</v>
      </c>
      <c r="G76" s="21" t="s">
        <v>153</v>
      </c>
    </row>
    <row r="77" spans="1:12">
      <c r="A77" s="296" t="s">
        <v>317</v>
      </c>
      <c r="B77" s="295" t="s">
        <v>707</v>
      </c>
      <c r="C77" s="295" t="s">
        <v>154</v>
      </c>
      <c r="E77" s="297" t="str">
        <f t="shared" si="1"/>
        <v>SI</v>
      </c>
      <c r="F77" s="20" t="s">
        <v>317</v>
      </c>
      <c r="G77" s="21" t="s">
        <v>154</v>
      </c>
    </row>
    <row r="78" spans="1:12">
      <c r="A78" s="296" t="s">
        <v>787</v>
      </c>
      <c r="B78" s="295" t="s">
        <v>689</v>
      </c>
      <c r="C78" s="295" t="s">
        <v>156</v>
      </c>
      <c r="E78" s="297" t="str">
        <f t="shared" si="1"/>
        <v>SI</v>
      </c>
      <c r="F78" s="20" t="s">
        <v>155</v>
      </c>
      <c r="G78" s="21" t="s">
        <v>156</v>
      </c>
    </row>
    <row r="79" spans="1:12" s="300" customFormat="1">
      <c r="A79" s="298" t="s">
        <v>511</v>
      </c>
      <c r="B79" s="303">
        <v>2959934200</v>
      </c>
      <c r="C79" s="299" t="s">
        <v>512</v>
      </c>
      <c r="E79" s="301" t="str">
        <f t="shared" si="1"/>
        <v>SI</v>
      </c>
      <c r="F79" s="36" t="s">
        <v>511</v>
      </c>
      <c r="G79" s="35" t="s">
        <v>512</v>
      </c>
    </row>
    <row r="80" spans="1:12">
      <c r="A80" s="296" t="s">
        <v>788</v>
      </c>
      <c r="B80" s="295" t="s">
        <v>685</v>
      </c>
      <c r="C80" s="295" t="s">
        <v>158</v>
      </c>
      <c r="E80" s="297" t="str">
        <f t="shared" si="1"/>
        <v>SI</v>
      </c>
      <c r="F80" s="20" t="s">
        <v>157</v>
      </c>
      <c r="G80" s="21" t="s">
        <v>158</v>
      </c>
    </row>
    <row r="81" spans="1:7">
      <c r="A81" s="296" t="s">
        <v>789</v>
      </c>
      <c r="B81" s="295" t="s">
        <v>677</v>
      </c>
      <c r="C81" s="295" t="s">
        <v>160</v>
      </c>
      <c r="E81" s="297" t="str">
        <f t="shared" si="1"/>
        <v>SI</v>
      </c>
      <c r="F81" s="20" t="s">
        <v>159</v>
      </c>
      <c r="G81" s="21" t="s">
        <v>160</v>
      </c>
    </row>
    <row r="82" spans="1:7">
      <c r="A82" s="296" t="s">
        <v>790</v>
      </c>
      <c r="B82" s="295" t="s">
        <v>691</v>
      </c>
      <c r="C82" s="295" t="s">
        <v>162</v>
      </c>
      <c r="E82" s="297" t="str">
        <f t="shared" si="1"/>
        <v>SI</v>
      </c>
      <c r="F82" s="20" t="s">
        <v>161</v>
      </c>
      <c r="G82" s="21" t="s">
        <v>162</v>
      </c>
    </row>
    <row r="83" spans="1:7">
      <c r="A83" s="296" t="s">
        <v>513</v>
      </c>
      <c r="B83" s="295" t="s">
        <v>697</v>
      </c>
      <c r="C83" s="295" t="s">
        <v>164</v>
      </c>
      <c r="E83" s="297" t="str">
        <f t="shared" si="1"/>
        <v>SI</v>
      </c>
      <c r="F83" s="20" t="s">
        <v>163</v>
      </c>
      <c r="G83" s="21" t="s">
        <v>164</v>
      </c>
    </row>
    <row r="84" spans="1:7">
      <c r="A84" s="296" t="s">
        <v>165</v>
      </c>
      <c r="B84" s="295" t="s">
        <v>643</v>
      </c>
      <c r="C84" s="295" t="s">
        <v>166</v>
      </c>
      <c r="E84" s="297" t="str">
        <f t="shared" si="1"/>
        <v>SI</v>
      </c>
      <c r="F84" s="20" t="s">
        <v>165</v>
      </c>
      <c r="G84" s="21" t="s">
        <v>166</v>
      </c>
    </row>
    <row r="85" spans="1:7">
      <c r="A85" s="296" t="s">
        <v>791</v>
      </c>
      <c r="B85" s="295" t="s">
        <v>653</v>
      </c>
      <c r="C85" s="295" t="s">
        <v>168</v>
      </c>
      <c r="E85" s="297" t="str">
        <f t="shared" si="1"/>
        <v>SI</v>
      </c>
      <c r="F85" s="20" t="s">
        <v>167</v>
      </c>
      <c r="G85" s="21" t="s">
        <v>168</v>
      </c>
    </row>
    <row r="86" spans="1:7">
      <c r="A86" s="296" t="s">
        <v>792</v>
      </c>
      <c r="B86" s="295" t="s">
        <v>663</v>
      </c>
      <c r="C86" s="295" t="s">
        <v>170</v>
      </c>
      <c r="E86" s="297" t="str">
        <f t="shared" si="1"/>
        <v>SI</v>
      </c>
      <c r="F86" s="20" t="s">
        <v>169</v>
      </c>
      <c r="G86" s="21" t="s">
        <v>170</v>
      </c>
    </row>
    <row r="87" spans="1:7">
      <c r="A87" s="296" t="s">
        <v>793</v>
      </c>
      <c r="B87" s="295" t="s">
        <v>703</v>
      </c>
      <c r="C87" s="295" t="s">
        <v>172</v>
      </c>
      <c r="E87" s="297" t="str">
        <f t="shared" si="1"/>
        <v>SI</v>
      </c>
      <c r="F87" s="20" t="s">
        <v>171</v>
      </c>
      <c r="G87" s="21" t="s">
        <v>172</v>
      </c>
    </row>
    <row r="88" spans="1:7">
      <c r="A88" s="296" t="s">
        <v>794</v>
      </c>
      <c r="B88" s="295" t="s">
        <v>698</v>
      </c>
      <c r="C88" s="295" t="s">
        <v>174</v>
      </c>
      <c r="E88" s="297" t="str">
        <f t="shared" si="1"/>
        <v>SI</v>
      </c>
      <c r="F88" s="20" t="s">
        <v>173</v>
      </c>
      <c r="G88" s="21" t="s">
        <v>174</v>
      </c>
    </row>
    <row r="95" spans="1:7">
      <c r="C95" s="299" t="s">
        <v>831</v>
      </c>
    </row>
    <row r="96" spans="1:7">
      <c r="C96" s="35" t="s">
        <v>726</v>
      </c>
    </row>
  </sheetData>
  <sortState ref="A1:C99">
    <sortCondition ref="C1:C99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01"/>
  <sheetViews>
    <sheetView workbookViewId="0">
      <selection activeCell="I7" sqref="I7"/>
    </sheetView>
  </sheetViews>
  <sheetFormatPr baseColWidth="10" defaultRowHeight="15"/>
  <cols>
    <col min="2" max="2" width="13.42578125" bestFit="1" customWidth="1"/>
    <col min="3" max="3" width="14.140625" style="224" bestFit="1" customWidth="1"/>
    <col min="4" max="4" width="34.140625" bestFit="1" customWidth="1"/>
    <col min="5" max="5" width="5.140625" customWidth="1"/>
    <col min="6" max="6" width="4" customWidth="1"/>
    <col min="8" max="8" width="14" customWidth="1"/>
    <col min="9" max="9" width="16.140625" bestFit="1" customWidth="1"/>
    <col min="10" max="10" width="34.140625" bestFit="1" customWidth="1"/>
    <col min="11" max="11" width="11.28515625" customWidth="1"/>
  </cols>
  <sheetData>
    <row r="1" spans="1:14" s="306" customFormat="1">
      <c r="B1" s="313" t="str">
        <f>+'C&amp;A'!B2:F2</f>
        <v>11 CONSULTORES &amp; ASESORES INTEGRALES SC</v>
      </c>
      <c r="C1" s="224"/>
      <c r="G1" s="306" t="str">
        <f>+SINDICATO!B2</f>
        <v>11 SINDICATO ASOCIACION QRO MOTORS</v>
      </c>
    </row>
    <row r="2" spans="1:14" s="306" customFormat="1">
      <c r="B2" s="313" t="str">
        <f>+'C&amp;A'!B3:F3</f>
        <v>Lista de Raya (forma tabular)</v>
      </c>
      <c r="C2" s="224"/>
      <c r="G2" s="306" t="str">
        <f>+SINDICATO!B3</f>
        <v>Lista de Raya (forma tabular)</v>
      </c>
    </row>
    <row r="3" spans="1:14" s="306" customFormat="1">
      <c r="B3" s="313" t="str">
        <f>+'C&amp;A'!B4:F4</f>
        <v>Periodo 10 al 10 Semanal del 02/03/2016 al 08/03/2016</v>
      </c>
      <c r="C3" s="224"/>
      <c r="G3" s="306" t="str">
        <f>+SINDICATO!B4</f>
        <v>Periodo 10 al 10 Semanal del 02/03/2016 al 08/03/2016</v>
      </c>
    </row>
    <row r="4" spans="1:14" s="306" customFormat="1">
      <c r="C4" s="224"/>
    </row>
    <row r="5" spans="1:14" s="306" customFormat="1" ht="15.75" thickBot="1">
      <c r="C5" s="224"/>
    </row>
    <row r="6" spans="1:14">
      <c r="A6" s="307"/>
      <c r="B6" s="308" t="s">
        <v>843</v>
      </c>
      <c r="C6" s="310" t="s">
        <v>844</v>
      </c>
      <c r="D6" s="308" t="s">
        <v>845</v>
      </c>
      <c r="H6" s="308" t="s">
        <v>843</v>
      </c>
      <c r="I6" s="310" t="s">
        <v>844</v>
      </c>
      <c r="J6" s="308" t="s">
        <v>845</v>
      </c>
    </row>
    <row r="7" spans="1:14">
      <c r="A7" s="347" t="s">
        <v>738</v>
      </c>
      <c r="B7" s="316" t="s">
        <v>675</v>
      </c>
      <c r="C7" s="53">
        <v>577.4</v>
      </c>
      <c r="D7" s="307" t="s">
        <v>35</v>
      </c>
      <c r="E7" s="224"/>
      <c r="F7" s="348"/>
      <c r="G7" s="361" t="s">
        <v>738</v>
      </c>
      <c r="H7" s="316" t="s">
        <v>675</v>
      </c>
      <c r="I7" s="352">
        <v>2853.8</v>
      </c>
      <c r="J7" s="307" t="s">
        <v>35</v>
      </c>
      <c r="K7" t="str">
        <f>IF(J7=M7,"si","no")</f>
        <v>si</v>
      </c>
      <c r="L7" s="329" t="s">
        <v>738</v>
      </c>
      <c r="M7" s="351" t="s">
        <v>35</v>
      </c>
      <c r="N7" s="352">
        <v>2853.8</v>
      </c>
    </row>
    <row r="8" spans="1:14" s="306" customFormat="1">
      <c r="A8" s="347" t="s">
        <v>494</v>
      </c>
      <c r="B8" s="316" t="s">
        <v>668</v>
      </c>
      <c r="C8" s="53">
        <v>577.4</v>
      </c>
      <c r="D8" s="307" t="s">
        <v>37</v>
      </c>
      <c r="E8" s="224"/>
      <c r="F8" s="348"/>
      <c r="G8" s="361" t="s">
        <v>494</v>
      </c>
      <c r="H8" s="316" t="s">
        <v>668</v>
      </c>
      <c r="I8" s="352">
        <v>2586.1999999999998</v>
      </c>
      <c r="J8" s="307" t="s">
        <v>37</v>
      </c>
      <c r="K8" s="321" t="str">
        <f t="shared" ref="K8:K69" si="0">IF(J8=M8,"si","no")</f>
        <v>si</v>
      </c>
      <c r="L8" s="329" t="s">
        <v>494</v>
      </c>
      <c r="M8" s="351" t="s">
        <v>37</v>
      </c>
      <c r="N8" s="352">
        <v>2586.1999999999998</v>
      </c>
    </row>
    <row r="9" spans="1:14" s="306" customFormat="1">
      <c r="A9" s="347" t="s">
        <v>495</v>
      </c>
      <c r="B9" s="316" t="s">
        <v>700</v>
      </c>
      <c r="C9" s="53">
        <v>577.4</v>
      </c>
      <c r="D9" s="307" t="s">
        <v>39</v>
      </c>
      <c r="E9" s="224"/>
      <c r="F9" s="348"/>
      <c r="G9" s="361" t="s">
        <v>495</v>
      </c>
      <c r="H9" s="316" t="s">
        <v>700</v>
      </c>
      <c r="I9" s="352">
        <v>3976.6</v>
      </c>
      <c r="J9" s="307" t="s">
        <v>39</v>
      </c>
      <c r="K9" s="321" t="str">
        <f t="shared" si="0"/>
        <v>si</v>
      </c>
      <c r="L9" s="329" t="s">
        <v>495</v>
      </c>
      <c r="M9" s="351" t="s">
        <v>39</v>
      </c>
      <c r="N9" s="352">
        <v>3976.6</v>
      </c>
    </row>
    <row r="10" spans="1:14" s="306" customFormat="1">
      <c r="A10" s="347" t="s">
        <v>739</v>
      </c>
      <c r="B10" s="316">
        <v>2706107109</v>
      </c>
      <c r="C10" s="53">
        <v>577.20000000000005</v>
      </c>
      <c r="D10" s="307" t="s">
        <v>178</v>
      </c>
      <c r="E10" s="224"/>
      <c r="F10" s="348"/>
      <c r="G10" s="361" t="s">
        <v>739</v>
      </c>
      <c r="H10" s="316">
        <v>2706107109</v>
      </c>
      <c r="I10" s="352">
        <v>2790.4</v>
      </c>
      <c r="J10" s="307" t="s">
        <v>178</v>
      </c>
      <c r="K10" s="321" t="str">
        <f t="shared" si="0"/>
        <v>si</v>
      </c>
      <c r="L10" s="329" t="s">
        <v>739</v>
      </c>
      <c r="M10" s="351" t="s">
        <v>178</v>
      </c>
      <c r="N10" s="352">
        <v>2790.4</v>
      </c>
    </row>
    <row r="11" spans="1:14" s="306" customFormat="1">
      <c r="A11" s="347" t="s">
        <v>42</v>
      </c>
      <c r="B11" s="316">
        <v>2648514356</v>
      </c>
      <c r="C11" s="53">
        <v>577.4</v>
      </c>
      <c r="D11" s="307" t="s">
        <v>43</v>
      </c>
      <c r="E11" s="224"/>
      <c r="F11" s="348"/>
      <c r="G11" s="361" t="s">
        <v>42</v>
      </c>
      <c r="H11" s="316">
        <v>2648514356</v>
      </c>
      <c r="I11" s="352">
        <v>2813.6</v>
      </c>
      <c r="J11" s="307" t="s">
        <v>43</v>
      </c>
      <c r="K11" s="321" t="str">
        <f t="shared" si="0"/>
        <v>si</v>
      </c>
      <c r="L11" s="329" t="s">
        <v>42</v>
      </c>
      <c r="M11" s="351" t="s">
        <v>43</v>
      </c>
      <c r="N11" s="352">
        <v>2813.6</v>
      </c>
    </row>
    <row r="12" spans="1:14" s="306" customFormat="1">
      <c r="A12" s="347" t="s">
        <v>732</v>
      </c>
      <c r="B12" s="316">
        <v>1456104819</v>
      </c>
      <c r="C12" s="53">
        <v>577.20000000000005</v>
      </c>
      <c r="D12" s="307" t="s">
        <v>740</v>
      </c>
      <c r="E12" s="224"/>
      <c r="F12" s="348"/>
      <c r="G12" s="361" t="s">
        <v>732</v>
      </c>
      <c r="H12" s="316">
        <v>1456104819</v>
      </c>
      <c r="I12" s="352">
        <v>1437.2</v>
      </c>
      <c r="J12" s="307" t="s">
        <v>740</v>
      </c>
      <c r="K12" s="321" t="str">
        <f t="shared" si="0"/>
        <v>si</v>
      </c>
      <c r="L12" s="329" t="s">
        <v>732</v>
      </c>
      <c r="M12" s="351" t="s">
        <v>740</v>
      </c>
      <c r="N12" s="352">
        <v>1437.2</v>
      </c>
    </row>
    <row r="13" spans="1:14" s="306" customFormat="1">
      <c r="A13" s="347" t="s">
        <v>496</v>
      </c>
      <c r="B13" s="316" t="s">
        <v>684</v>
      </c>
      <c r="C13" s="53">
        <v>577.4</v>
      </c>
      <c r="D13" s="307" t="s">
        <v>45</v>
      </c>
      <c r="E13" s="224"/>
      <c r="F13" s="348"/>
      <c r="G13" s="361" t="s">
        <v>496</v>
      </c>
      <c r="H13" s="316" t="s">
        <v>684</v>
      </c>
      <c r="I13" s="352">
        <v>4990.3999999999996</v>
      </c>
      <c r="J13" s="307" t="s">
        <v>45</v>
      </c>
      <c r="K13" s="321" t="str">
        <f t="shared" si="0"/>
        <v>si</v>
      </c>
      <c r="L13" s="329" t="s">
        <v>496</v>
      </c>
      <c r="M13" s="351" t="s">
        <v>45</v>
      </c>
      <c r="N13" s="352">
        <v>4990.3999999999996</v>
      </c>
    </row>
    <row r="14" spans="1:14" s="306" customFormat="1">
      <c r="A14" s="347" t="s">
        <v>518</v>
      </c>
      <c r="B14" s="316">
        <v>2959161945</v>
      </c>
      <c r="C14" s="53">
        <v>577.20000000000005</v>
      </c>
      <c r="D14" s="307" t="s">
        <v>517</v>
      </c>
      <c r="E14" s="224"/>
      <c r="F14" s="348"/>
      <c r="G14" s="361" t="s">
        <v>518</v>
      </c>
      <c r="H14" s="316">
        <v>2959161945</v>
      </c>
      <c r="I14" s="352">
        <v>589.6</v>
      </c>
      <c r="J14" s="307" t="s">
        <v>517</v>
      </c>
      <c r="K14" s="321" t="str">
        <f t="shared" si="0"/>
        <v>si</v>
      </c>
      <c r="L14" s="329" t="s">
        <v>518</v>
      </c>
      <c r="M14" s="351" t="s">
        <v>517</v>
      </c>
      <c r="N14" s="352">
        <v>589.6</v>
      </c>
    </row>
    <row r="15" spans="1:14" s="306" customFormat="1">
      <c r="A15" s="347" t="s">
        <v>290</v>
      </c>
      <c r="B15" s="316" t="s">
        <v>667</v>
      </c>
      <c r="C15" s="53">
        <v>577.4</v>
      </c>
      <c r="D15" s="307" t="s">
        <v>46</v>
      </c>
      <c r="E15" s="224"/>
      <c r="F15" s="348"/>
      <c r="G15" s="361" t="s">
        <v>290</v>
      </c>
      <c r="H15" s="316" t="s">
        <v>667</v>
      </c>
      <c r="I15" s="352">
        <v>730.6</v>
      </c>
      <c r="J15" s="307" t="s">
        <v>46</v>
      </c>
      <c r="K15" s="321" t="str">
        <f t="shared" si="0"/>
        <v>si</v>
      </c>
      <c r="L15" s="329" t="s">
        <v>290</v>
      </c>
      <c r="M15" s="351" t="s">
        <v>46</v>
      </c>
      <c r="N15" s="352">
        <v>730.6</v>
      </c>
    </row>
    <row r="16" spans="1:14" s="306" customFormat="1">
      <c r="A16" s="347" t="s">
        <v>742</v>
      </c>
      <c r="B16" s="316" t="s">
        <v>679</v>
      </c>
      <c r="C16" s="53">
        <v>577.4</v>
      </c>
      <c r="D16" s="307" t="s">
        <v>49</v>
      </c>
      <c r="E16" s="224"/>
      <c r="F16" s="348"/>
      <c r="G16" s="361" t="s">
        <v>742</v>
      </c>
      <c r="H16" s="316" t="s">
        <v>679</v>
      </c>
      <c r="I16" s="352">
        <v>847</v>
      </c>
      <c r="J16" s="307" t="s">
        <v>49</v>
      </c>
      <c r="K16" s="321" t="str">
        <f t="shared" si="0"/>
        <v>si</v>
      </c>
      <c r="L16" s="329" t="s">
        <v>742</v>
      </c>
      <c r="M16" s="351" t="s">
        <v>49</v>
      </c>
      <c r="N16" s="352">
        <v>847</v>
      </c>
    </row>
    <row r="17" spans="1:14" s="306" customFormat="1">
      <c r="A17" s="347" t="s">
        <v>50</v>
      </c>
      <c r="B17" s="316" t="s">
        <v>669</v>
      </c>
      <c r="C17" s="345">
        <v>125.84428571428572</v>
      </c>
      <c r="D17" s="307" t="s">
        <v>51</v>
      </c>
      <c r="E17" s="224"/>
      <c r="F17" s="348"/>
      <c r="G17" s="361" t="s">
        <v>50</v>
      </c>
      <c r="H17" s="316" t="s">
        <v>669</v>
      </c>
      <c r="I17" s="352">
        <v>126.4</v>
      </c>
      <c r="J17" s="307" t="s">
        <v>51</v>
      </c>
      <c r="K17" s="321" t="str">
        <f t="shared" si="0"/>
        <v>si</v>
      </c>
      <c r="L17" s="329" t="s">
        <v>50</v>
      </c>
      <c r="M17" s="351" t="s">
        <v>51</v>
      </c>
      <c r="N17" s="352">
        <v>126.4</v>
      </c>
    </row>
    <row r="18" spans="1:14" s="306" customFormat="1">
      <c r="A18" s="347" t="s">
        <v>824</v>
      </c>
      <c r="B18" s="316">
        <v>1487589077</v>
      </c>
      <c r="C18" s="53">
        <v>103.99714285714286</v>
      </c>
      <c r="D18" s="307" t="s">
        <v>825</v>
      </c>
      <c r="E18" s="224"/>
      <c r="F18" s="348"/>
      <c r="G18" s="361" t="s">
        <v>824</v>
      </c>
      <c r="H18" s="316">
        <v>1487589077</v>
      </c>
      <c r="I18" s="352">
        <v>323</v>
      </c>
      <c r="J18" s="307" t="s">
        <v>825</v>
      </c>
      <c r="K18" s="321" t="str">
        <f t="shared" si="0"/>
        <v>si</v>
      </c>
      <c r="L18" s="329" t="s">
        <v>824</v>
      </c>
      <c r="M18" s="351" t="s">
        <v>825</v>
      </c>
      <c r="N18" s="352">
        <v>323</v>
      </c>
    </row>
    <row r="19" spans="1:14" s="306" customFormat="1">
      <c r="A19" s="347" t="s">
        <v>291</v>
      </c>
      <c r="B19" s="316" t="s">
        <v>702</v>
      </c>
      <c r="C19" s="53">
        <v>577.4</v>
      </c>
      <c r="D19" s="307" t="s">
        <v>52</v>
      </c>
      <c r="E19" s="224"/>
      <c r="F19" s="348"/>
      <c r="G19" s="361" t="s">
        <v>291</v>
      </c>
      <c r="H19" s="316" t="s">
        <v>702</v>
      </c>
      <c r="I19" s="352">
        <v>1522.2</v>
      </c>
      <c r="J19" s="307" t="s">
        <v>52</v>
      </c>
      <c r="K19" s="321" t="str">
        <f t="shared" si="0"/>
        <v>si</v>
      </c>
      <c r="L19" s="329" t="s">
        <v>291</v>
      </c>
      <c r="M19" s="351" t="s">
        <v>52</v>
      </c>
      <c r="N19" s="352">
        <v>1522.2</v>
      </c>
    </row>
    <row r="20" spans="1:14" s="306" customFormat="1">
      <c r="A20" s="347" t="s">
        <v>743</v>
      </c>
      <c r="B20" s="316" t="s">
        <v>654</v>
      </c>
      <c r="C20" s="53">
        <v>577.4</v>
      </c>
      <c r="D20" s="307" t="s">
        <v>54</v>
      </c>
      <c r="E20" s="224"/>
      <c r="F20" s="348"/>
      <c r="G20" s="361" t="s">
        <v>743</v>
      </c>
      <c r="H20" s="316" t="s">
        <v>654</v>
      </c>
      <c r="I20" s="352">
        <v>2778</v>
      </c>
      <c r="J20" s="307" t="s">
        <v>54</v>
      </c>
      <c r="K20" s="321" t="str">
        <f t="shared" si="0"/>
        <v>si</v>
      </c>
      <c r="L20" s="329" t="s">
        <v>743</v>
      </c>
      <c r="M20" s="351" t="s">
        <v>54</v>
      </c>
      <c r="N20" s="352">
        <v>2778</v>
      </c>
    </row>
    <row r="21" spans="1:14" s="306" customFormat="1">
      <c r="A21" s="347" t="s">
        <v>497</v>
      </c>
      <c r="B21" s="316" t="s">
        <v>649</v>
      </c>
      <c r="C21" s="53">
        <v>577.4</v>
      </c>
      <c r="D21" s="307" t="s">
        <v>55</v>
      </c>
      <c r="E21" s="224"/>
      <c r="F21" s="348"/>
      <c r="G21" s="361" t="s">
        <v>497</v>
      </c>
      <c r="H21" s="316" t="s">
        <v>649</v>
      </c>
      <c r="I21" s="352">
        <v>6246</v>
      </c>
      <c r="J21" s="307" t="s">
        <v>55</v>
      </c>
      <c r="K21" s="321" t="str">
        <f t="shared" si="0"/>
        <v>si</v>
      </c>
      <c r="L21" s="329" t="s">
        <v>497</v>
      </c>
      <c r="M21" s="351" t="s">
        <v>55</v>
      </c>
      <c r="N21" s="352">
        <v>6246</v>
      </c>
    </row>
    <row r="22" spans="1:14" s="306" customFormat="1">
      <c r="A22" s="347" t="s">
        <v>744</v>
      </c>
      <c r="B22" s="316" t="s">
        <v>647</v>
      </c>
      <c r="C22" s="53">
        <v>577.4</v>
      </c>
      <c r="D22" s="307" t="s">
        <v>57</v>
      </c>
      <c r="E22" s="224"/>
      <c r="F22" s="348"/>
      <c r="G22" s="361" t="s">
        <v>744</v>
      </c>
      <c r="H22" s="316" t="s">
        <v>647</v>
      </c>
      <c r="I22" s="352">
        <v>1067.4000000000001</v>
      </c>
      <c r="J22" s="307" t="s">
        <v>57</v>
      </c>
      <c r="K22" s="321" t="str">
        <f t="shared" si="0"/>
        <v>si</v>
      </c>
      <c r="L22" s="329" t="s">
        <v>744</v>
      </c>
      <c r="M22" s="351" t="s">
        <v>57</v>
      </c>
      <c r="N22" s="352">
        <v>1067.4000000000001</v>
      </c>
    </row>
    <row r="23" spans="1:14" s="306" customFormat="1">
      <c r="A23" s="347" t="s">
        <v>746</v>
      </c>
      <c r="B23" s="316" t="s">
        <v>690</v>
      </c>
      <c r="C23" s="53">
        <v>577.4</v>
      </c>
      <c r="D23" s="307" t="s">
        <v>61</v>
      </c>
      <c r="E23" s="224"/>
      <c r="F23" s="348"/>
      <c r="G23" s="361" t="s">
        <v>746</v>
      </c>
      <c r="H23" s="316" t="s">
        <v>690</v>
      </c>
      <c r="I23" s="352">
        <v>2687</v>
      </c>
      <c r="J23" s="307" t="s">
        <v>61</v>
      </c>
      <c r="K23" s="321" t="str">
        <f t="shared" si="0"/>
        <v>si</v>
      </c>
      <c r="L23" s="329" t="s">
        <v>746</v>
      </c>
      <c r="M23" s="351" t="s">
        <v>61</v>
      </c>
      <c r="N23" s="352">
        <v>2687</v>
      </c>
    </row>
    <row r="24" spans="1:14" s="306" customFormat="1">
      <c r="A24" s="347" t="s">
        <v>835</v>
      </c>
      <c r="B24" s="356">
        <v>1166421253</v>
      </c>
      <c r="C24" s="53">
        <v>104</v>
      </c>
      <c r="D24" s="307" t="s">
        <v>834</v>
      </c>
      <c r="E24" s="224"/>
      <c r="F24" s="348"/>
      <c r="G24" s="361" t="s">
        <v>835</v>
      </c>
      <c r="H24" s="356">
        <v>1166421253</v>
      </c>
      <c r="I24" s="352">
        <v>323</v>
      </c>
      <c r="J24" s="307" t="s">
        <v>834</v>
      </c>
      <c r="K24" s="321" t="str">
        <f t="shared" si="0"/>
        <v>si</v>
      </c>
      <c r="L24" s="329" t="s">
        <v>835</v>
      </c>
      <c r="M24" s="351" t="s">
        <v>834</v>
      </c>
      <c r="N24" s="352">
        <v>323</v>
      </c>
    </row>
    <row r="25" spans="1:14" s="306" customFormat="1">
      <c r="A25" s="347" t="s">
        <v>747</v>
      </c>
      <c r="B25" s="316" t="s">
        <v>657</v>
      </c>
      <c r="C25" s="53">
        <v>577.20000000000005</v>
      </c>
      <c r="D25" s="307" t="s">
        <v>63</v>
      </c>
      <c r="E25" s="224"/>
      <c r="F25" s="348"/>
      <c r="G25" s="361" t="s">
        <v>747</v>
      </c>
      <c r="H25" s="316" t="s">
        <v>657</v>
      </c>
      <c r="I25" s="352">
        <v>2910.8</v>
      </c>
      <c r="J25" s="307" t="s">
        <v>63</v>
      </c>
      <c r="K25" s="321" t="str">
        <f t="shared" si="0"/>
        <v>si</v>
      </c>
      <c r="L25" s="329" t="s">
        <v>747</v>
      </c>
      <c r="M25" s="351" t="s">
        <v>63</v>
      </c>
      <c r="N25" s="352">
        <v>2910.8</v>
      </c>
    </row>
    <row r="26" spans="1:14" s="306" customFormat="1">
      <c r="A26" s="347" t="s">
        <v>748</v>
      </c>
      <c r="B26" s="316" t="s">
        <v>682</v>
      </c>
      <c r="C26" s="53">
        <v>577.20000000000005</v>
      </c>
      <c r="D26" s="307" t="s">
        <v>65</v>
      </c>
      <c r="E26" s="224"/>
      <c r="F26" s="348"/>
      <c r="G26" s="361" t="s">
        <v>748</v>
      </c>
      <c r="H26" s="316" t="s">
        <v>682</v>
      </c>
      <c r="I26" s="352">
        <v>1811.2</v>
      </c>
      <c r="J26" s="307" t="s">
        <v>65</v>
      </c>
      <c r="K26" s="321" t="str">
        <f t="shared" si="0"/>
        <v>si</v>
      </c>
      <c r="L26" s="329" t="s">
        <v>748</v>
      </c>
      <c r="M26" s="351" t="s">
        <v>65</v>
      </c>
      <c r="N26" s="352">
        <v>1811.2</v>
      </c>
    </row>
    <row r="27" spans="1:14" s="306" customFormat="1">
      <c r="A27" s="347" t="s">
        <v>749</v>
      </c>
      <c r="B27" s="316" t="s">
        <v>688</v>
      </c>
      <c r="C27" s="53">
        <v>577.4</v>
      </c>
      <c r="D27" s="307" t="s">
        <v>67</v>
      </c>
      <c r="E27" s="224"/>
      <c r="F27" s="348"/>
      <c r="G27" s="361" t="s">
        <v>749</v>
      </c>
      <c r="H27" s="316" t="s">
        <v>688</v>
      </c>
      <c r="I27" s="352">
        <v>1923.4</v>
      </c>
      <c r="J27" s="307" t="s">
        <v>67</v>
      </c>
      <c r="K27" s="321" t="str">
        <f t="shared" si="0"/>
        <v>si</v>
      </c>
      <c r="L27" s="329" t="s">
        <v>749</v>
      </c>
      <c r="M27" s="351" t="s">
        <v>67</v>
      </c>
      <c r="N27" s="352">
        <v>1923.4</v>
      </c>
    </row>
    <row r="28" spans="1:14" s="306" customFormat="1">
      <c r="A28" s="347" t="s">
        <v>750</v>
      </c>
      <c r="B28" s="316" t="s">
        <v>678</v>
      </c>
      <c r="C28" s="53">
        <v>577.4</v>
      </c>
      <c r="D28" s="307" t="s">
        <v>69</v>
      </c>
      <c r="E28" s="224"/>
      <c r="F28" s="348"/>
      <c r="G28" s="361" t="s">
        <v>750</v>
      </c>
      <c r="H28" s="316" t="s">
        <v>678</v>
      </c>
      <c r="I28" s="352">
        <v>847</v>
      </c>
      <c r="J28" s="307" t="s">
        <v>69</v>
      </c>
      <c r="K28" s="321" t="str">
        <f t="shared" si="0"/>
        <v>si</v>
      </c>
      <c r="L28" s="329" t="s">
        <v>750</v>
      </c>
      <c r="M28" s="351" t="s">
        <v>69</v>
      </c>
      <c r="N28" s="352">
        <v>847</v>
      </c>
    </row>
    <row r="29" spans="1:14" s="306" customFormat="1">
      <c r="A29" s="347" t="s">
        <v>751</v>
      </c>
      <c r="B29" s="316" t="s">
        <v>641</v>
      </c>
      <c r="C29" s="53">
        <v>409.20000000000005</v>
      </c>
      <c r="D29" s="307" t="s">
        <v>71</v>
      </c>
      <c r="E29" s="224"/>
      <c r="F29" s="348"/>
      <c r="G29" s="361" t="s">
        <v>751</v>
      </c>
      <c r="H29" s="316" t="s">
        <v>641</v>
      </c>
      <c r="I29" s="352">
        <v>739.4</v>
      </c>
      <c r="J29" s="307" t="s">
        <v>71</v>
      </c>
      <c r="K29" s="321" t="str">
        <f t="shared" si="0"/>
        <v>si</v>
      </c>
      <c r="L29" s="329" t="s">
        <v>751</v>
      </c>
      <c r="M29" s="351" t="s">
        <v>71</v>
      </c>
      <c r="N29" s="352">
        <v>739.4</v>
      </c>
    </row>
    <row r="30" spans="1:14" s="306" customFormat="1">
      <c r="A30" s="347" t="s">
        <v>498</v>
      </c>
      <c r="B30" s="316" t="s">
        <v>660</v>
      </c>
      <c r="C30" s="53">
        <v>577.4</v>
      </c>
      <c r="D30" s="307" t="s">
        <v>73</v>
      </c>
      <c r="E30" s="224"/>
      <c r="F30" s="348"/>
      <c r="G30" s="361" t="s">
        <v>498</v>
      </c>
      <c r="H30" s="316" t="s">
        <v>660</v>
      </c>
      <c r="I30" s="352">
        <v>1872.8</v>
      </c>
      <c r="J30" s="307" t="s">
        <v>73</v>
      </c>
      <c r="K30" s="321" t="str">
        <f t="shared" si="0"/>
        <v>si</v>
      </c>
      <c r="L30" s="329" t="s">
        <v>498</v>
      </c>
      <c r="M30" s="351" t="s">
        <v>73</v>
      </c>
      <c r="N30" s="352">
        <v>1872.8</v>
      </c>
    </row>
    <row r="31" spans="1:14" s="306" customFormat="1">
      <c r="A31" s="347" t="s">
        <v>752</v>
      </c>
      <c r="B31" s="316" t="s">
        <v>656</v>
      </c>
      <c r="C31" s="53">
        <v>577.4</v>
      </c>
      <c r="D31" s="307" t="s">
        <v>77</v>
      </c>
      <c r="E31" s="224"/>
      <c r="F31" s="348"/>
      <c r="G31" s="361" t="s">
        <v>752</v>
      </c>
      <c r="H31" s="316" t="s">
        <v>656</v>
      </c>
      <c r="I31" s="352">
        <v>2802.2</v>
      </c>
      <c r="J31" s="307" t="s">
        <v>77</v>
      </c>
      <c r="K31" s="321" t="str">
        <f t="shared" si="0"/>
        <v>si</v>
      </c>
      <c r="L31" s="329" t="s">
        <v>752</v>
      </c>
      <c r="M31" s="351" t="s">
        <v>77</v>
      </c>
      <c r="N31" s="352">
        <v>2802.2</v>
      </c>
    </row>
    <row r="32" spans="1:14" s="306" customFormat="1">
      <c r="A32" s="347" t="s">
        <v>753</v>
      </c>
      <c r="B32" s="316" t="s">
        <v>683</v>
      </c>
      <c r="C32" s="53">
        <v>577.20000000000005</v>
      </c>
      <c r="D32" s="307" t="s">
        <v>79</v>
      </c>
      <c r="E32" s="224"/>
      <c r="F32" s="348"/>
      <c r="G32" s="361" t="s">
        <v>753</v>
      </c>
      <c r="H32" s="316" t="s">
        <v>683</v>
      </c>
      <c r="I32" s="352">
        <v>1315</v>
      </c>
      <c r="J32" s="307" t="s">
        <v>79</v>
      </c>
      <c r="K32" s="321" t="str">
        <f t="shared" si="0"/>
        <v>si</v>
      </c>
      <c r="L32" s="329" t="s">
        <v>753</v>
      </c>
      <c r="M32" s="351" t="s">
        <v>79</v>
      </c>
      <c r="N32" s="352">
        <v>1315</v>
      </c>
    </row>
    <row r="33" spans="1:14" s="306" customFormat="1">
      <c r="A33" s="347" t="s">
        <v>826</v>
      </c>
      <c r="B33" s="316">
        <v>2986476066</v>
      </c>
      <c r="C33" s="53">
        <v>482.60142857142853</v>
      </c>
      <c r="D33" s="307" t="s">
        <v>827</v>
      </c>
      <c r="E33" s="224"/>
      <c r="F33" s="348"/>
      <c r="G33" s="361" t="s">
        <v>826</v>
      </c>
      <c r="H33" s="316">
        <v>2986476066</v>
      </c>
      <c r="I33" s="352">
        <v>517.20000000000005</v>
      </c>
      <c r="J33" s="307" t="s">
        <v>827</v>
      </c>
      <c r="K33" s="321" t="str">
        <f t="shared" si="0"/>
        <v>si</v>
      </c>
      <c r="L33" s="329" t="s">
        <v>826</v>
      </c>
      <c r="M33" s="351" t="s">
        <v>827</v>
      </c>
      <c r="N33" s="352">
        <v>517.20000000000005</v>
      </c>
    </row>
    <row r="34" spans="1:14" s="306" customFormat="1">
      <c r="A34" s="347" t="s">
        <v>500</v>
      </c>
      <c r="B34" s="316">
        <v>2861674129</v>
      </c>
      <c r="C34" s="53">
        <v>577.20000000000005</v>
      </c>
      <c r="D34" s="307" t="s">
        <v>501</v>
      </c>
      <c r="E34" s="224"/>
      <c r="F34" s="348"/>
      <c r="G34" s="361" t="s">
        <v>500</v>
      </c>
      <c r="H34" s="316">
        <v>2861674129</v>
      </c>
      <c r="I34" s="352">
        <v>6520</v>
      </c>
      <c r="J34" s="307" t="s">
        <v>501</v>
      </c>
      <c r="K34" s="321" t="str">
        <f t="shared" si="0"/>
        <v>si</v>
      </c>
      <c r="L34" s="329" t="s">
        <v>500</v>
      </c>
      <c r="M34" s="351" t="s">
        <v>501</v>
      </c>
      <c r="N34" s="352">
        <v>6520</v>
      </c>
    </row>
    <row r="35" spans="1:14" s="306" customFormat="1">
      <c r="A35" s="347" t="s">
        <v>80</v>
      </c>
      <c r="B35" s="316" t="s">
        <v>671</v>
      </c>
      <c r="C35" s="53">
        <v>577.4</v>
      </c>
      <c r="D35" s="307" t="s">
        <v>81</v>
      </c>
      <c r="E35" s="224"/>
      <c r="F35" s="348"/>
      <c r="G35" s="361" t="s">
        <v>80</v>
      </c>
      <c r="H35" s="316" t="s">
        <v>671</v>
      </c>
      <c r="I35" s="352">
        <v>1578</v>
      </c>
      <c r="J35" s="307" t="s">
        <v>81</v>
      </c>
      <c r="K35" s="321" t="str">
        <f t="shared" si="0"/>
        <v>si</v>
      </c>
      <c r="L35" s="329" t="s">
        <v>80</v>
      </c>
      <c r="M35" s="351" t="s">
        <v>81</v>
      </c>
      <c r="N35" s="352">
        <v>1578</v>
      </c>
    </row>
    <row r="36" spans="1:14" s="306" customFormat="1">
      <c r="A36" s="347" t="s">
        <v>828</v>
      </c>
      <c r="B36" s="316">
        <v>2962956136</v>
      </c>
      <c r="C36" s="345">
        <v>547.40000000000009</v>
      </c>
      <c r="D36" s="307" t="s">
        <v>829</v>
      </c>
      <c r="E36" s="224"/>
      <c r="F36" s="348"/>
      <c r="G36" s="361" t="s">
        <v>828</v>
      </c>
      <c r="H36" s="316">
        <v>2962956136</v>
      </c>
      <c r="I36" s="352">
        <v>24.8</v>
      </c>
      <c r="J36" s="307" t="s">
        <v>829</v>
      </c>
      <c r="K36" s="321" t="str">
        <f t="shared" si="0"/>
        <v>si</v>
      </c>
      <c r="L36" s="329" t="s">
        <v>828</v>
      </c>
      <c r="M36" s="351" t="s">
        <v>829</v>
      </c>
      <c r="N36" s="352">
        <v>24.8</v>
      </c>
    </row>
    <row r="37" spans="1:14" s="306" customFormat="1">
      <c r="A37" s="347" t="s">
        <v>82</v>
      </c>
      <c r="B37" s="316" t="s">
        <v>644</v>
      </c>
      <c r="C37" s="53">
        <v>577.4</v>
      </c>
      <c r="D37" s="307" t="s">
        <v>83</v>
      </c>
      <c r="E37" s="224"/>
      <c r="F37" s="348"/>
      <c r="G37" s="361" t="s">
        <v>82</v>
      </c>
      <c r="H37" s="316" t="s">
        <v>644</v>
      </c>
      <c r="I37" s="352">
        <v>480.4</v>
      </c>
      <c r="J37" s="307" t="s">
        <v>83</v>
      </c>
      <c r="K37" s="321" t="str">
        <f t="shared" si="0"/>
        <v>si</v>
      </c>
      <c r="L37" s="329" t="s">
        <v>82</v>
      </c>
      <c r="M37" s="351" t="s">
        <v>83</v>
      </c>
      <c r="N37" s="352">
        <v>480.4</v>
      </c>
    </row>
    <row r="38" spans="1:14" s="306" customFormat="1">
      <c r="A38" s="347" t="s">
        <v>754</v>
      </c>
      <c r="B38" s="316" t="s">
        <v>706</v>
      </c>
      <c r="C38" s="345">
        <v>547.40000000000009</v>
      </c>
      <c r="D38" s="307" t="s">
        <v>198</v>
      </c>
      <c r="E38" s="224"/>
      <c r="F38" s="348"/>
      <c r="G38" s="361" t="s">
        <v>754</v>
      </c>
      <c r="H38" s="316" t="s">
        <v>706</v>
      </c>
      <c r="I38" s="352">
        <v>0.8</v>
      </c>
      <c r="J38" s="307" t="s">
        <v>198</v>
      </c>
      <c r="K38" s="321" t="str">
        <f t="shared" si="0"/>
        <v>si</v>
      </c>
      <c r="L38" s="329" t="s">
        <v>754</v>
      </c>
      <c r="M38" s="351" t="s">
        <v>198</v>
      </c>
      <c r="N38" s="352">
        <v>0.8</v>
      </c>
    </row>
    <row r="39" spans="1:14" s="306" customFormat="1">
      <c r="A39" s="347" t="s">
        <v>755</v>
      </c>
      <c r="B39" s="316" t="s">
        <v>694</v>
      </c>
      <c r="C39" s="53">
        <v>577.4</v>
      </c>
      <c r="D39" s="307" t="s">
        <v>87</v>
      </c>
      <c r="E39" s="224"/>
      <c r="F39" s="348"/>
      <c r="G39" s="361" t="s">
        <v>755</v>
      </c>
      <c r="H39" s="316" t="s">
        <v>694</v>
      </c>
      <c r="I39" s="352">
        <v>1955.6</v>
      </c>
      <c r="J39" s="307" t="s">
        <v>87</v>
      </c>
      <c r="K39" s="321" t="str">
        <f t="shared" si="0"/>
        <v>si</v>
      </c>
      <c r="L39" s="329" t="s">
        <v>755</v>
      </c>
      <c r="M39" s="351" t="s">
        <v>87</v>
      </c>
      <c r="N39" s="352">
        <v>1955.6</v>
      </c>
    </row>
    <row r="40" spans="1:14" s="306" customFormat="1">
      <c r="A40" s="347" t="s">
        <v>503</v>
      </c>
      <c r="B40" s="316" t="s">
        <v>701</v>
      </c>
      <c r="C40" s="53">
        <v>577.4</v>
      </c>
      <c r="D40" s="307" t="s">
        <v>89</v>
      </c>
      <c r="E40" s="224"/>
      <c r="F40" s="348"/>
      <c r="G40" s="361" t="s">
        <v>503</v>
      </c>
      <c r="H40" s="316" t="s">
        <v>701</v>
      </c>
      <c r="I40" s="352">
        <v>699.2</v>
      </c>
      <c r="J40" s="307" t="s">
        <v>89</v>
      </c>
      <c r="K40" s="321" t="str">
        <f t="shared" si="0"/>
        <v>si</v>
      </c>
      <c r="L40" s="329" t="s">
        <v>503</v>
      </c>
      <c r="M40" s="351" t="s">
        <v>89</v>
      </c>
      <c r="N40" s="352">
        <v>699.2</v>
      </c>
    </row>
    <row r="41" spans="1:14" s="306" customFormat="1">
      <c r="A41" s="347" t="s">
        <v>756</v>
      </c>
      <c r="B41" s="316" t="s">
        <v>676</v>
      </c>
      <c r="C41" s="53">
        <v>577.4</v>
      </c>
      <c r="D41" s="307" t="s">
        <v>91</v>
      </c>
      <c r="E41" s="224"/>
      <c r="F41" s="348"/>
      <c r="G41" s="361" t="s">
        <v>756</v>
      </c>
      <c r="H41" s="316" t="s">
        <v>676</v>
      </c>
      <c r="I41" s="352">
        <v>6790.6</v>
      </c>
      <c r="J41" s="307" t="s">
        <v>91</v>
      </c>
      <c r="K41" s="321" t="str">
        <f t="shared" si="0"/>
        <v>si</v>
      </c>
      <c r="L41" s="329" t="s">
        <v>756</v>
      </c>
      <c r="M41" s="351" t="s">
        <v>91</v>
      </c>
      <c r="N41" s="352">
        <v>6790.6</v>
      </c>
    </row>
    <row r="42" spans="1:14" s="306" customFormat="1">
      <c r="A42" s="347" t="s">
        <v>757</v>
      </c>
      <c r="B42" s="316" t="s">
        <v>655</v>
      </c>
      <c r="C42" s="53">
        <v>577.4</v>
      </c>
      <c r="D42" s="307" t="s">
        <v>93</v>
      </c>
      <c r="E42" s="224"/>
      <c r="F42" s="348"/>
      <c r="G42" s="361" t="s">
        <v>757</v>
      </c>
      <c r="H42" s="316" t="s">
        <v>655</v>
      </c>
      <c r="I42" s="352">
        <v>2544.4</v>
      </c>
      <c r="J42" s="307" t="s">
        <v>93</v>
      </c>
      <c r="K42" s="321" t="str">
        <f t="shared" si="0"/>
        <v>si</v>
      </c>
      <c r="L42" s="329" t="s">
        <v>757</v>
      </c>
      <c r="M42" s="351" t="s">
        <v>93</v>
      </c>
      <c r="N42" s="352">
        <v>2544.4</v>
      </c>
    </row>
    <row r="43" spans="1:14" s="306" customFormat="1">
      <c r="A43" s="347" t="s">
        <v>759</v>
      </c>
      <c r="B43" s="316" t="s">
        <v>681</v>
      </c>
      <c r="C43" s="53">
        <v>577.20000000000005</v>
      </c>
      <c r="D43" s="307" t="s">
        <v>97</v>
      </c>
      <c r="E43" s="224"/>
      <c r="F43" s="348"/>
      <c r="G43" s="361" t="s">
        <v>759</v>
      </c>
      <c r="H43" s="316" t="s">
        <v>681</v>
      </c>
      <c r="I43" s="352">
        <v>1056.2</v>
      </c>
      <c r="J43" s="307" t="s">
        <v>97</v>
      </c>
      <c r="K43" s="321" t="str">
        <f t="shared" si="0"/>
        <v>si</v>
      </c>
      <c r="L43" s="329" t="s">
        <v>759</v>
      </c>
      <c r="M43" s="351" t="s">
        <v>97</v>
      </c>
      <c r="N43" s="352">
        <v>1056.2</v>
      </c>
    </row>
    <row r="44" spans="1:14" s="306" customFormat="1">
      <c r="A44" s="347" t="s">
        <v>760</v>
      </c>
      <c r="B44" s="316" t="s">
        <v>693</v>
      </c>
      <c r="C44" s="53">
        <v>577.20000000000005</v>
      </c>
      <c r="D44" s="307" t="s">
        <v>100</v>
      </c>
      <c r="E44" s="224"/>
      <c r="F44" s="348"/>
      <c r="G44" s="361" t="s">
        <v>760</v>
      </c>
      <c r="H44" s="316" t="s">
        <v>693</v>
      </c>
      <c r="I44" s="352">
        <v>29.8</v>
      </c>
      <c r="J44" s="307" t="s">
        <v>100</v>
      </c>
      <c r="K44" s="321" t="str">
        <f t="shared" si="0"/>
        <v>si</v>
      </c>
      <c r="L44" s="329" t="s">
        <v>760</v>
      </c>
      <c r="M44" s="351" t="s">
        <v>100</v>
      </c>
      <c r="N44" s="352">
        <v>29.8</v>
      </c>
    </row>
    <row r="45" spans="1:14" s="306" customFormat="1">
      <c r="A45" s="347" t="s">
        <v>761</v>
      </c>
      <c r="B45" s="316" t="s">
        <v>672</v>
      </c>
      <c r="C45" s="53">
        <v>577.20000000000005</v>
      </c>
      <c r="D45" s="307" t="s">
        <v>102</v>
      </c>
      <c r="E45" s="224"/>
      <c r="F45" s="348"/>
      <c r="G45" s="361" t="s">
        <v>761</v>
      </c>
      <c r="H45" s="316" t="s">
        <v>672</v>
      </c>
      <c r="I45" s="352">
        <v>81.599999999999994</v>
      </c>
      <c r="J45" s="307" t="s">
        <v>102</v>
      </c>
      <c r="K45" s="321" t="str">
        <f t="shared" si="0"/>
        <v>si</v>
      </c>
      <c r="L45" s="329" t="s">
        <v>761</v>
      </c>
      <c r="M45" s="351" t="s">
        <v>102</v>
      </c>
      <c r="N45" s="352">
        <v>81.599999999999994</v>
      </c>
    </row>
    <row r="46" spans="1:14" s="306" customFormat="1">
      <c r="A46" s="347" t="s">
        <v>762</v>
      </c>
      <c r="B46" s="316">
        <v>2948910731</v>
      </c>
      <c r="C46" s="53">
        <v>577.4</v>
      </c>
      <c r="D46" s="307" t="s">
        <v>763</v>
      </c>
      <c r="E46" s="224"/>
      <c r="F46" s="348"/>
      <c r="G46" s="361" t="s">
        <v>762</v>
      </c>
      <c r="H46" s="316">
        <v>2948910731</v>
      </c>
      <c r="I46" s="352">
        <v>2798.2</v>
      </c>
      <c r="J46" s="307" t="s">
        <v>763</v>
      </c>
      <c r="K46" s="321" t="str">
        <f t="shared" si="0"/>
        <v>si</v>
      </c>
      <c r="L46" s="329" t="s">
        <v>762</v>
      </c>
      <c r="M46" s="351" t="s">
        <v>763</v>
      </c>
      <c r="N46" s="352">
        <v>2798.2</v>
      </c>
    </row>
    <row r="47" spans="1:14" s="306" customFormat="1">
      <c r="A47" s="347" t="s">
        <v>764</v>
      </c>
      <c r="B47" s="316" t="s">
        <v>651</v>
      </c>
      <c r="C47" s="53">
        <v>577.20000000000005</v>
      </c>
      <c r="D47" s="307" t="s">
        <v>104</v>
      </c>
      <c r="E47" s="224"/>
      <c r="F47" s="348"/>
      <c r="G47" s="361" t="s">
        <v>764</v>
      </c>
      <c r="H47" s="316" t="s">
        <v>651</v>
      </c>
      <c r="I47" s="352">
        <v>1717.8</v>
      </c>
      <c r="J47" s="307" t="s">
        <v>104</v>
      </c>
      <c r="K47" s="321" t="str">
        <f t="shared" si="0"/>
        <v>si</v>
      </c>
      <c r="L47" s="329" t="s">
        <v>764</v>
      </c>
      <c r="M47" s="351" t="s">
        <v>104</v>
      </c>
      <c r="N47" s="352">
        <v>1717.8</v>
      </c>
    </row>
    <row r="48" spans="1:14" s="306" customFormat="1">
      <c r="A48" s="347" t="s">
        <v>765</v>
      </c>
      <c r="B48" s="316" t="s">
        <v>687</v>
      </c>
      <c r="C48" s="53">
        <v>577.4</v>
      </c>
      <c r="D48" s="307" t="s">
        <v>106</v>
      </c>
      <c r="E48" s="224"/>
      <c r="F48" s="348"/>
      <c r="G48" s="361" t="s">
        <v>765</v>
      </c>
      <c r="H48" s="316" t="s">
        <v>687</v>
      </c>
      <c r="I48" s="352">
        <v>2601.6</v>
      </c>
      <c r="J48" s="307" t="s">
        <v>106</v>
      </c>
      <c r="K48" s="321" t="str">
        <f t="shared" si="0"/>
        <v>si</v>
      </c>
      <c r="L48" s="329" t="s">
        <v>765</v>
      </c>
      <c r="M48" s="351" t="s">
        <v>106</v>
      </c>
      <c r="N48" s="352">
        <v>2601.6</v>
      </c>
    </row>
    <row r="49" spans="1:14" s="306" customFormat="1">
      <c r="A49" s="347" t="s">
        <v>516</v>
      </c>
      <c r="B49" s="316">
        <v>1296641458</v>
      </c>
      <c r="C49" s="53">
        <v>577.20000000000005</v>
      </c>
      <c r="D49" s="307" t="s">
        <v>515</v>
      </c>
      <c r="E49" s="224"/>
      <c r="F49" s="348"/>
      <c r="G49" s="361" t="s">
        <v>516</v>
      </c>
      <c r="H49" s="316">
        <v>1296641458</v>
      </c>
      <c r="I49" s="352">
        <v>2697.8</v>
      </c>
      <c r="J49" s="307" t="s">
        <v>515</v>
      </c>
      <c r="K49" s="321" t="str">
        <f t="shared" si="0"/>
        <v>si</v>
      </c>
      <c r="L49" s="329" t="s">
        <v>516</v>
      </c>
      <c r="M49" s="351" t="s">
        <v>515</v>
      </c>
      <c r="N49" s="352">
        <v>2697.8</v>
      </c>
    </row>
    <row r="50" spans="1:14" s="306" customFormat="1">
      <c r="A50" s="347" t="s">
        <v>504</v>
      </c>
      <c r="B50" s="316">
        <v>2959119167</v>
      </c>
      <c r="C50" s="53">
        <v>577.4</v>
      </c>
      <c r="D50" s="307" t="s">
        <v>505</v>
      </c>
      <c r="E50" s="224"/>
      <c r="F50" s="348"/>
      <c r="G50" s="361" t="s">
        <v>504</v>
      </c>
      <c r="H50" s="316">
        <v>2959119167</v>
      </c>
      <c r="I50" s="352">
        <v>939.4</v>
      </c>
      <c r="J50" s="307" t="s">
        <v>505</v>
      </c>
      <c r="K50" s="321" t="str">
        <f t="shared" si="0"/>
        <v>si</v>
      </c>
      <c r="L50" s="329" t="s">
        <v>504</v>
      </c>
      <c r="M50" s="351" t="s">
        <v>505</v>
      </c>
      <c r="N50" s="352">
        <v>939.4</v>
      </c>
    </row>
    <row r="51" spans="1:14" s="306" customFormat="1">
      <c r="A51" s="347" t="s">
        <v>766</v>
      </c>
      <c r="B51" s="316" t="s">
        <v>659</v>
      </c>
      <c r="C51" s="53">
        <v>577.4</v>
      </c>
      <c r="D51" s="307" t="s">
        <v>108</v>
      </c>
      <c r="E51" s="224"/>
      <c r="F51" s="348"/>
      <c r="G51" s="361" t="s">
        <v>766</v>
      </c>
      <c r="H51" s="316" t="s">
        <v>659</v>
      </c>
      <c r="I51" s="352">
        <v>3618</v>
      </c>
      <c r="J51" s="307" t="s">
        <v>108</v>
      </c>
      <c r="K51" s="321" t="str">
        <f t="shared" si="0"/>
        <v>si</v>
      </c>
      <c r="L51" s="329" t="s">
        <v>766</v>
      </c>
      <c r="M51" s="351" t="s">
        <v>108</v>
      </c>
      <c r="N51" s="352">
        <v>3618</v>
      </c>
    </row>
    <row r="52" spans="1:14" s="306" customFormat="1">
      <c r="A52" s="347" t="s">
        <v>506</v>
      </c>
      <c r="B52" s="316" t="s">
        <v>650</v>
      </c>
      <c r="C52" s="53">
        <v>577.20000000000005</v>
      </c>
      <c r="D52" s="307" t="s">
        <v>110</v>
      </c>
      <c r="E52" s="224"/>
      <c r="F52" s="348"/>
      <c r="G52" s="361" t="s">
        <v>506</v>
      </c>
      <c r="H52" s="316" t="s">
        <v>650</v>
      </c>
      <c r="I52" s="352">
        <v>18958.599999999999</v>
      </c>
      <c r="J52" s="307" t="s">
        <v>110</v>
      </c>
      <c r="K52" s="321" t="str">
        <f t="shared" si="0"/>
        <v>si</v>
      </c>
      <c r="L52" s="329" t="s">
        <v>506</v>
      </c>
      <c r="M52" s="351" t="s">
        <v>110</v>
      </c>
      <c r="N52" s="352">
        <v>18958.599999999999</v>
      </c>
    </row>
    <row r="53" spans="1:14" s="306" customFormat="1">
      <c r="A53" s="347" t="s">
        <v>767</v>
      </c>
      <c r="B53" s="316">
        <v>2967093632</v>
      </c>
      <c r="C53" s="53">
        <v>577.20000000000005</v>
      </c>
      <c r="D53" s="307" t="s">
        <v>296</v>
      </c>
      <c r="E53" s="224"/>
      <c r="F53" s="348"/>
      <c r="G53" s="361" t="s">
        <v>767</v>
      </c>
      <c r="H53" s="316">
        <v>2967093632</v>
      </c>
      <c r="I53" s="352">
        <v>2805.2</v>
      </c>
      <c r="J53" s="307" t="s">
        <v>296</v>
      </c>
      <c r="K53" s="321" t="str">
        <f t="shared" si="0"/>
        <v>si</v>
      </c>
      <c r="L53" s="329" t="s">
        <v>767</v>
      </c>
      <c r="M53" s="351" t="s">
        <v>296</v>
      </c>
      <c r="N53" s="352">
        <v>2805.2</v>
      </c>
    </row>
    <row r="54" spans="1:14" s="306" customFormat="1">
      <c r="A54" s="347" t="s">
        <v>111</v>
      </c>
      <c r="B54" s="316" t="s">
        <v>686</v>
      </c>
      <c r="C54" s="53">
        <v>45.000000000000057</v>
      </c>
      <c r="D54" s="307" t="s">
        <v>112</v>
      </c>
      <c r="E54" s="224"/>
      <c r="F54" s="348"/>
      <c r="G54" s="361" t="s">
        <v>111</v>
      </c>
      <c r="H54" s="316" t="s">
        <v>686</v>
      </c>
      <c r="I54" s="352">
        <v>5302.6</v>
      </c>
      <c r="J54" s="307" t="s">
        <v>112</v>
      </c>
      <c r="K54" s="321" t="str">
        <f t="shared" si="0"/>
        <v>si</v>
      </c>
      <c r="L54" s="329" t="s">
        <v>111</v>
      </c>
      <c r="M54" s="351" t="s">
        <v>112</v>
      </c>
      <c r="N54" s="352">
        <v>5302.6</v>
      </c>
    </row>
    <row r="55" spans="1:14" s="306" customFormat="1">
      <c r="A55" s="347" t="s">
        <v>802</v>
      </c>
      <c r="B55" s="316">
        <v>1171363360</v>
      </c>
      <c r="C55" s="53">
        <v>577.20000000000005</v>
      </c>
      <c r="D55" s="307" t="s">
        <v>803</v>
      </c>
      <c r="E55" s="224"/>
      <c r="F55" s="348"/>
      <c r="G55" s="361" t="s">
        <v>802</v>
      </c>
      <c r="H55" s="316">
        <v>1171363360</v>
      </c>
      <c r="I55" s="352">
        <v>589.4</v>
      </c>
      <c r="J55" s="307" t="s">
        <v>803</v>
      </c>
      <c r="K55" s="321" t="str">
        <f t="shared" si="0"/>
        <v>si</v>
      </c>
      <c r="L55" s="329" t="s">
        <v>802</v>
      </c>
      <c r="M55" s="351" t="s">
        <v>803</v>
      </c>
      <c r="N55" s="352">
        <v>589.4</v>
      </c>
    </row>
    <row r="56" spans="1:14" s="366" customFormat="1">
      <c r="A56" s="375" t="s">
        <v>768</v>
      </c>
      <c r="B56" s="376">
        <v>1190530786</v>
      </c>
      <c r="C56" s="377">
        <v>577.4</v>
      </c>
      <c r="D56" s="378" t="s">
        <v>769</v>
      </c>
      <c r="E56" s="364"/>
      <c r="F56" s="365"/>
      <c r="G56" s="375" t="s">
        <v>768</v>
      </c>
      <c r="H56" s="376">
        <v>1190530786</v>
      </c>
      <c r="I56" s="379">
        <v>505.2</v>
      </c>
      <c r="J56" s="378" t="s">
        <v>769</v>
      </c>
      <c r="K56" s="366" t="str">
        <f t="shared" si="0"/>
        <v>si</v>
      </c>
      <c r="L56" s="380" t="s">
        <v>847</v>
      </c>
      <c r="M56" s="381" t="s">
        <v>769</v>
      </c>
      <c r="N56" s="379">
        <v>505.2</v>
      </c>
    </row>
    <row r="57" spans="1:14" s="306" customFormat="1">
      <c r="A57" s="347" t="s">
        <v>830</v>
      </c>
      <c r="B57" s="316">
        <v>2631133012</v>
      </c>
      <c r="C57" s="53">
        <v>577.4</v>
      </c>
      <c r="D57" s="307" t="s">
        <v>831</v>
      </c>
      <c r="E57" s="224"/>
      <c r="F57" s="348"/>
      <c r="G57" s="361" t="s">
        <v>830</v>
      </c>
      <c r="H57" s="316">
        <v>2631133012</v>
      </c>
      <c r="I57" s="352">
        <v>1141.4000000000001</v>
      </c>
      <c r="J57" s="307" t="s">
        <v>831</v>
      </c>
      <c r="K57" s="321" t="str">
        <f t="shared" si="0"/>
        <v>si</v>
      </c>
      <c r="L57" s="329" t="s">
        <v>830</v>
      </c>
      <c r="M57" s="351" t="s">
        <v>831</v>
      </c>
      <c r="N57" s="352">
        <v>1141.4000000000001</v>
      </c>
    </row>
    <row r="58" spans="1:14" s="306" customFormat="1">
      <c r="A58" s="347" t="s">
        <v>796</v>
      </c>
      <c r="B58" s="316">
        <v>2948414130</v>
      </c>
      <c r="C58" s="53">
        <v>577.20000000000005</v>
      </c>
      <c r="D58" s="307" t="s">
        <v>797</v>
      </c>
      <c r="E58" s="224"/>
      <c r="F58" s="348"/>
      <c r="G58" s="361" t="s">
        <v>796</v>
      </c>
      <c r="H58" s="316">
        <v>2948414130</v>
      </c>
      <c r="I58" s="352">
        <v>1672.8</v>
      </c>
      <c r="J58" s="307" t="s">
        <v>797</v>
      </c>
      <c r="K58" s="321" t="str">
        <f t="shared" si="0"/>
        <v>si</v>
      </c>
      <c r="L58" s="329" t="s">
        <v>796</v>
      </c>
      <c r="M58" s="351" t="s">
        <v>797</v>
      </c>
      <c r="N58" s="352">
        <v>1672.8</v>
      </c>
    </row>
    <row r="59" spans="1:14" s="306" customFormat="1">
      <c r="A59" s="347" t="s">
        <v>770</v>
      </c>
      <c r="B59" s="316" t="s">
        <v>699</v>
      </c>
      <c r="C59" s="345">
        <v>30.240000000000009</v>
      </c>
      <c r="D59" s="307" t="s">
        <v>114</v>
      </c>
      <c r="E59" s="224"/>
      <c r="F59" s="348"/>
      <c r="G59" s="361" t="s">
        <v>770</v>
      </c>
      <c r="H59" s="316" t="s">
        <v>699</v>
      </c>
      <c r="I59" s="352">
        <v>29.6</v>
      </c>
      <c r="J59" s="307" t="s">
        <v>114</v>
      </c>
      <c r="K59" s="321" t="str">
        <f t="shared" si="0"/>
        <v>si</v>
      </c>
      <c r="L59" s="329" t="s">
        <v>770</v>
      </c>
      <c r="M59" s="351" t="s">
        <v>114</v>
      </c>
      <c r="N59" s="352">
        <v>29.6</v>
      </c>
    </row>
    <row r="60" spans="1:14" s="306" customFormat="1">
      <c r="A60" s="347" t="s">
        <v>771</v>
      </c>
      <c r="B60" s="316" t="s">
        <v>646</v>
      </c>
      <c r="C60" s="53">
        <v>577.4</v>
      </c>
      <c r="D60" s="307" t="s">
        <v>116</v>
      </c>
      <c r="E60" s="224"/>
      <c r="F60" s="348"/>
      <c r="G60" s="361" t="s">
        <v>771</v>
      </c>
      <c r="H60" s="316" t="s">
        <v>646</v>
      </c>
      <c r="I60" s="352">
        <v>825.8</v>
      </c>
      <c r="J60" s="307" t="s">
        <v>116</v>
      </c>
      <c r="K60" s="321" t="str">
        <f t="shared" si="0"/>
        <v>si</v>
      </c>
      <c r="L60" s="329" t="s">
        <v>771</v>
      </c>
      <c r="M60" s="351" t="s">
        <v>116</v>
      </c>
      <c r="N60" s="352">
        <v>825.8</v>
      </c>
    </row>
    <row r="61" spans="1:14" s="306" customFormat="1">
      <c r="A61" s="347" t="s">
        <v>772</v>
      </c>
      <c r="B61" s="316" t="s">
        <v>673</v>
      </c>
      <c r="C61" s="53">
        <v>577.4</v>
      </c>
      <c r="D61" s="307" t="s">
        <v>122</v>
      </c>
      <c r="E61" s="224"/>
      <c r="F61" s="348"/>
      <c r="G61" s="361" t="s">
        <v>772</v>
      </c>
      <c r="H61" s="316" t="s">
        <v>673</v>
      </c>
      <c r="I61" s="352">
        <v>1996.6</v>
      </c>
      <c r="J61" s="307" t="s">
        <v>122</v>
      </c>
      <c r="K61" s="321" t="str">
        <f t="shared" si="0"/>
        <v>si</v>
      </c>
      <c r="L61" s="329" t="s">
        <v>772</v>
      </c>
      <c r="M61" s="351" t="s">
        <v>122</v>
      </c>
      <c r="N61" s="352">
        <v>1996.6</v>
      </c>
    </row>
    <row r="62" spans="1:14" s="306" customFormat="1">
      <c r="A62" s="347" t="s">
        <v>773</v>
      </c>
      <c r="B62" s="316" t="s">
        <v>642</v>
      </c>
      <c r="C62" s="53">
        <v>577.4</v>
      </c>
      <c r="D62" s="307" t="s">
        <v>118</v>
      </c>
      <c r="E62" s="224"/>
      <c r="F62" s="348"/>
      <c r="G62" s="361" t="s">
        <v>773</v>
      </c>
      <c r="H62" s="316" t="s">
        <v>642</v>
      </c>
      <c r="I62" s="352">
        <v>1945</v>
      </c>
      <c r="J62" s="307" t="s">
        <v>118</v>
      </c>
      <c r="K62" s="321" t="str">
        <f t="shared" si="0"/>
        <v>si</v>
      </c>
      <c r="L62" s="329" t="s">
        <v>773</v>
      </c>
      <c r="M62" s="351" t="s">
        <v>118</v>
      </c>
      <c r="N62" s="352">
        <v>1945</v>
      </c>
    </row>
    <row r="63" spans="1:14" s="306" customFormat="1">
      <c r="A63" s="347" t="s">
        <v>507</v>
      </c>
      <c r="B63" s="316" t="s">
        <v>652</v>
      </c>
      <c r="C63" s="53">
        <v>577.4</v>
      </c>
      <c r="D63" s="307" t="s">
        <v>120</v>
      </c>
      <c r="E63" s="224"/>
      <c r="F63" s="348"/>
      <c r="G63" s="361" t="s">
        <v>507</v>
      </c>
      <c r="H63" s="316" t="s">
        <v>652</v>
      </c>
      <c r="I63" s="352">
        <v>4078.2</v>
      </c>
      <c r="J63" s="307" t="s">
        <v>120</v>
      </c>
      <c r="K63" s="321" t="str">
        <f t="shared" si="0"/>
        <v>si</v>
      </c>
      <c r="L63" s="329" t="s">
        <v>507</v>
      </c>
      <c r="M63" s="351" t="s">
        <v>120</v>
      </c>
      <c r="N63" s="352">
        <v>4078.2</v>
      </c>
    </row>
    <row r="64" spans="1:14" s="306" customFormat="1">
      <c r="A64" s="347" t="s">
        <v>774</v>
      </c>
      <c r="B64" s="316" t="s">
        <v>670</v>
      </c>
      <c r="C64" s="53">
        <v>577.4</v>
      </c>
      <c r="D64" s="307" t="s">
        <v>124</v>
      </c>
      <c r="E64" s="224"/>
      <c r="F64" s="348"/>
      <c r="G64" s="361" t="s">
        <v>774</v>
      </c>
      <c r="H64" s="316" t="s">
        <v>670</v>
      </c>
      <c r="I64" s="352">
        <v>942.4</v>
      </c>
      <c r="J64" s="307" t="s">
        <v>124</v>
      </c>
      <c r="K64" s="321" t="str">
        <f t="shared" si="0"/>
        <v>si</v>
      </c>
      <c r="L64" s="329" t="s">
        <v>774</v>
      </c>
      <c r="M64" s="351" t="s">
        <v>124</v>
      </c>
      <c r="N64" s="352">
        <v>942.4</v>
      </c>
    </row>
    <row r="65" spans="1:14" s="306" customFormat="1">
      <c r="A65" s="347" t="s">
        <v>508</v>
      </c>
      <c r="B65" s="316" t="s">
        <v>680</v>
      </c>
      <c r="C65" s="53">
        <v>577.4</v>
      </c>
      <c r="D65" s="307" t="s">
        <v>126</v>
      </c>
      <c r="E65" s="224"/>
      <c r="F65" s="348"/>
      <c r="G65" s="361" t="s">
        <v>508</v>
      </c>
      <c r="H65" s="316" t="s">
        <v>680</v>
      </c>
      <c r="I65" s="352">
        <v>4679.8</v>
      </c>
      <c r="J65" s="307" t="s">
        <v>126</v>
      </c>
      <c r="K65" s="321" t="str">
        <f t="shared" si="0"/>
        <v>si</v>
      </c>
      <c r="L65" s="329" t="s">
        <v>508</v>
      </c>
      <c r="M65" s="351" t="s">
        <v>126</v>
      </c>
      <c r="N65" s="352">
        <v>4679.8</v>
      </c>
    </row>
    <row r="66" spans="1:14" s="306" customFormat="1">
      <c r="A66" s="347" t="s">
        <v>832</v>
      </c>
      <c r="B66" s="316">
        <v>2913584305</v>
      </c>
      <c r="C66" s="53">
        <v>577.4</v>
      </c>
      <c r="D66" s="307" t="s">
        <v>833</v>
      </c>
      <c r="E66" s="224"/>
      <c r="F66" s="348"/>
      <c r="G66" s="361" t="s">
        <v>832</v>
      </c>
      <c r="H66" s="316">
        <v>2913584305</v>
      </c>
      <c r="I66" s="352">
        <v>589.20000000000005</v>
      </c>
      <c r="J66" s="307" t="s">
        <v>833</v>
      </c>
      <c r="K66" s="321" t="str">
        <f t="shared" si="0"/>
        <v>si</v>
      </c>
      <c r="L66" s="329" t="s">
        <v>832</v>
      </c>
      <c r="M66" s="351" t="s">
        <v>833</v>
      </c>
      <c r="N66" s="352">
        <v>589.20000000000005</v>
      </c>
    </row>
    <row r="67" spans="1:14" s="306" customFormat="1">
      <c r="A67" s="347" t="s">
        <v>775</v>
      </c>
      <c r="B67" s="316" t="s">
        <v>704</v>
      </c>
      <c r="C67" s="53">
        <v>577.20000000000005</v>
      </c>
      <c r="D67" s="307" t="s">
        <v>130</v>
      </c>
      <c r="E67" s="224"/>
      <c r="F67" s="348"/>
      <c r="G67" s="361" t="s">
        <v>775</v>
      </c>
      <c r="H67" s="316" t="s">
        <v>704</v>
      </c>
      <c r="I67" s="352">
        <v>2708.4</v>
      </c>
      <c r="J67" s="307" t="s">
        <v>130</v>
      </c>
      <c r="K67" s="321" t="str">
        <f t="shared" si="0"/>
        <v>si</v>
      </c>
      <c r="L67" s="329" t="s">
        <v>775</v>
      </c>
      <c r="M67" s="351" t="s">
        <v>130</v>
      </c>
      <c r="N67" s="352">
        <v>2708.4</v>
      </c>
    </row>
    <row r="68" spans="1:14" s="306" customFormat="1">
      <c r="A68" s="347" t="s">
        <v>798</v>
      </c>
      <c r="B68" s="316">
        <v>2857006349</v>
      </c>
      <c r="C68" s="53">
        <v>577.20000000000005</v>
      </c>
      <c r="D68" s="307" t="s">
        <v>799</v>
      </c>
      <c r="E68" s="224"/>
      <c r="F68" s="348"/>
      <c r="G68" s="361" t="s">
        <v>798</v>
      </c>
      <c r="H68" s="316">
        <v>2857006349</v>
      </c>
      <c r="I68" s="352">
        <v>2750</v>
      </c>
      <c r="J68" s="307" t="s">
        <v>799</v>
      </c>
      <c r="K68" s="321" t="str">
        <f t="shared" si="0"/>
        <v>si</v>
      </c>
      <c r="L68" s="329" t="s">
        <v>798</v>
      </c>
      <c r="M68" s="351" t="s">
        <v>799</v>
      </c>
      <c r="N68" s="352">
        <v>2750</v>
      </c>
    </row>
    <row r="69" spans="1:14" s="306" customFormat="1">
      <c r="A69" s="347" t="s">
        <v>131</v>
      </c>
      <c r="B69" s="316" t="s">
        <v>696</v>
      </c>
      <c r="C69" s="53">
        <v>577.20000000000005</v>
      </c>
      <c r="D69" s="307" t="s">
        <v>132</v>
      </c>
      <c r="E69" s="224"/>
      <c r="F69" s="348"/>
      <c r="G69" s="361" t="s">
        <v>131</v>
      </c>
      <c r="H69" s="316" t="s">
        <v>696</v>
      </c>
      <c r="I69" s="352">
        <v>932.2</v>
      </c>
      <c r="J69" s="307" t="s">
        <v>132</v>
      </c>
      <c r="K69" s="321" t="str">
        <f t="shared" si="0"/>
        <v>si</v>
      </c>
      <c r="L69" s="329" t="s">
        <v>131</v>
      </c>
      <c r="M69" s="351" t="s">
        <v>132</v>
      </c>
      <c r="N69" s="352">
        <v>932.2</v>
      </c>
    </row>
    <row r="70" spans="1:14" s="306" customFormat="1">
      <c r="A70" s="347" t="s">
        <v>778</v>
      </c>
      <c r="B70" s="316" t="s">
        <v>658</v>
      </c>
      <c r="C70" s="53">
        <v>577.20000000000005</v>
      </c>
      <c r="D70" s="307" t="s">
        <v>134</v>
      </c>
      <c r="E70" s="224"/>
      <c r="F70" s="348"/>
      <c r="G70" s="361" t="s">
        <v>778</v>
      </c>
      <c r="H70" s="316" t="s">
        <v>658</v>
      </c>
      <c r="I70" s="352">
        <v>3419.2</v>
      </c>
      <c r="J70" s="307" t="s">
        <v>134</v>
      </c>
      <c r="K70" s="321" t="str">
        <f t="shared" ref="K70:K92" si="1">IF(J70=M70,"si","no")</f>
        <v>si</v>
      </c>
      <c r="L70" s="329" t="s">
        <v>778</v>
      </c>
      <c r="M70" s="351" t="s">
        <v>134</v>
      </c>
      <c r="N70" s="352">
        <v>3419.2</v>
      </c>
    </row>
    <row r="71" spans="1:14" s="306" customFormat="1">
      <c r="A71" s="347" t="s">
        <v>780</v>
      </c>
      <c r="B71" s="316">
        <v>2995318777</v>
      </c>
      <c r="C71" s="53">
        <v>577.20000000000005</v>
      </c>
      <c r="D71" s="307" t="s">
        <v>309</v>
      </c>
      <c r="E71" s="224"/>
      <c r="F71" s="348"/>
      <c r="G71" s="361" t="s">
        <v>780</v>
      </c>
      <c r="H71" s="316">
        <v>2995318777</v>
      </c>
      <c r="I71" s="352">
        <v>3582.6</v>
      </c>
      <c r="J71" s="307" t="s">
        <v>309</v>
      </c>
      <c r="K71" s="321" t="str">
        <f t="shared" si="1"/>
        <v>si</v>
      </c>
      <c r="L71" s="329" t="s">
        <v>780</v>
      </c>
      <c r="M71" s="351" t="s">
        <v>309</v>
      </c>
      <c r="N71" s="352">
        <v>3582.6</v>
      </c>
    </row>
    <row r="72" spans="1:14" s="306" customFormat="1">
      <c r="A72" s="347" t="s">
        <v>137</v>
      </c>
      <c r="B72" s="316" t="s">
        <v>666</v>
      </c>
      <c r="C72" s="53">
        <v>577.4</v>
      </c>
      <c r="D72" s="307" t="s">
        <v>138</v>
      </c>
      <c r="E72" s="224"/>
      <c r="F72" s="348"/>
      <c r="G72" s="361" t="s">
        <v>137</v>
      </c>
      <c r="H72" s="316" t="s">
        <v>666</v>
      </c>
      <c r="I72" s="352">
        <v>186.2</v>
      </c>
      <c r="J72" s="307" t="s">
        <v>138</v>
      </c>
      <c r="K72" s="321" t="str">
        <f t="shared" si="1"/>
        <v>si</v>
      </c>
      <c r="L72" s="329" t="s">
        <v>137</v>
      </c>
      <c r="M72" s="351" t="s">
        <v>138</v>
      </c>
      <c r="N72" s="352">
        <v>186.2</v>
      </c>
    </row>
    <row r="73" spans="1:14" s="306" customFormat="1">
      <c r="A73" s="347" t="s">
        <v>781</v>
      </c>
      <c r="B73" s="316" t="s">
        <v>695</v>
      </c>
      <c r="C73" s="53">
        <v>577.20000000000005</v>
      </c>
      <c r="D73" s="307" t="s">
        <v>140</v>
      </c>
      <c r="E73" s="224"/>
      <c r="F73" s="348"/>
      <c r="G73" s="361" t="s">
        <v>781</v>
      </c>
      <c r="H73" s="316" t="s">
        <v>695</v>
      </c>
      <c r="I73" s="352">
        <v>939.4</v>
      </c>
      <c r="J73" s="307" t="s">
        <v>140</v>
      </c>
      <c r="K73" s="321" t="str">
        <f t="shared" si="1"/>
        <v>si</v>
      </c>
      <c r="L73" s="329" t="s">
        <v>781</v>
      </c>
      <c r="M73" s="351" t="s">
        <v>140</v>
      </c>
      <c r="N73" s="352">
        <v>939.4</v>
      </c>
    </row>
    <row r="74" spans="1:14" s="372" customFormat="1" ht="12.75">
      <c r="A74" s="367" t="s">
        <v>509</v>
      </c>
      <c r="B74" s="362">
        <v>2958967016</v>
      </c>
      <c r="C74" s="368">
        <v>577.4</v>
      </c>
      <c r="D74" s="363" t="s">
        <v>510</v>
      </c>
      <c r="E74" s="369"/>
      <c r="F74" s="370"/>
      <c r="G74" s="367" t="s">
        <v>509</v>
      </c>
      <c r="H74" s="362">
        <v>2958967016</v>
      </c>
      <c r="I74" s="371">
        <v>2092.8000000000002</v>
      </c>
      <c r="J74" s="363" t="s">
        <v>510</v>
      </c>
      <c r="K74" s="372" t="str">
        <f t="shared" si="1"/>
        <v>si</v>
      </c>
      <c r="L74" s="373" t="s">
        <v>509</v>
      </c>
      <c r="M74" s="374" t="s">
        <v>510</v>
      </c>
      <c r="N74" s="371">
        <v>2092.8000000000002</v>
      </c>
    </row>
    <row r="75" spans="1:14" s="306" customFormat="1">
      <c r="A75" s="347" t="s">
        <v>782</v>
      </c>
      <c r="B75" s="316" t="s">
        <v>645</v>
      </c>
      <c r="C75" s="53">
        <v>577.4</v>
      </c>
      <c r="D75" s="307" t="s">
        <v>142</v>
      </c>
      <c r="E75" s="224"/>
      <c r="F75" s="348"/>
      <c r="G75" s="361" t="s">
        <v>782</v>
      </c>
      <c r="H75" s="316" t="s">
        <v>645</v>
      </c>
      <c r="I75" s="352">
        <v>1396.8</v>
      </c>
      <c r="J75" s="307" t="s">
        <v>142</v>
      </c>
      <c r="K75" s="321" t="str">
        <f t="shared" si="1"/>
        <v>si</v>
      </c>
      <c r="L75" s="329" t="s">
        <v>782</v>
      </c>
      <c r="M75" s="351" t="s">
        <v>142</v>
      </c>
      <c r="N75" s="352">
        <v>1396.8</v>
      </c>
    </row>
    <row r="76" spans="1:14" s="306" customFormat="1">
      <c r="A76" s="347" t="s">
        <v>783</v>
      </c>
      <c r="B76" s="316" t="s">
        <v>674</v>
      </c>
      <c r="C76" s="53">
        <v>577.4</v>
      </c>
      <c r="D76" s="307" t="s">
        <v>144</v>
      </c>
      <c r="E76" s="224"/>
      <c r="F76" s="348"/>
      <c r="G76" s="361" t="s">
        <v>783</v>
      </c>
      <c r="H76" s="316" t="s">
        <v>674</v>
      </c>
      <c r="I76" s="352">
        <v>3068.8</v>
      </c>
      <c r="J76" s="307" t="s">
        <v>144</v>
      </c>
      <c r="K76" s="321" t="str">
        <f t="shared" si="1"/>
        <v>si</v>
      </c>
      <c r="L76" s="329" t="s">
        <v>783</v>
      </c>
      <c r="M76" s="351" t="s">
        <v>144</v>
      </c>
      <c r="N76" s="352">
        <v>3068.8</v>
      </c>
    </row>
    <row r="77" spans="1:14" s="306" customFormat="1">
      <c r="A77" s="347" t="s">
        <v>784</v>
      </c>
      <c r="B77" s="316">
        <v>2969627642</v>
      </c>
      <c r="C77" s="53">
        <v>577.20000000000005</v>
      </c>
      <c r="D77" s="307" t="s">
        <v>314</v>
      </c>
      <c r="E77" s="224"/>
      <c r="F77" s="348"/>
      <c r="G77" s="361" t="s">
        <v>784</v>
      </c>
      <c r="H77" s="316">
        <v>2969627642</v>
      </c>
      <c r="I77" s="352">
        <v>522.79999999999995</v>
      </c>
      <c r="J77" s="307" t="s">
        <v>314</v>
      </c>
      <c r="K77" s="321" t="str">
        <f t="shared" si="1"/>
        <v>si</v>
      </c>
      <c r="L77" s="329" t="s">
        <v>784</v>
      </c>
      <c r="M77" s="351" t="s">
        <v>314</v>
      </c>
      <c r="N77" s="352">
        <v>522.79999999999995</v>
      </c>
    </row>
    <row r="78" spans="1:14" s="306" customFormat="1">
      <c r="A78" s="347" t="s">
        <v>785</v>
      </c>
      <c r="B78" s="316" t="s">
        <v>692</v>
      </c>
      <c r="C78" s="53">
        <v>577.20000000000005</v>
      </c>
      <c r="D78" s="307" t="s">
        <v>149</v>
      </c>
      <c r="E78" s="224"/>
      <c r="F78" s="348"/>
      <c r="G78" s="361" t="s">
        <v>785</v>
      </c>
      <c r="H78" s="316" t="s">
        <v>692</v>
      </c>
      <c r="I78" s="352">
        <v>2567.1999999999998</v>
      </c>
      <c r="J78" s="307" t="s">
        <v>149</v>
      </c>
      <c r="K78" s="321" t="str">
        <f t="shared" si="1"/>
        <v>si</v>
      </c>
      <c r="L78" s="329" t="s">
        <v>785</v>
      </c>
      <c r="M78" s="351" t="s">
        <v>149</v>
      </c>
      <c r="N78" s="352">
        <v>2567.1999999999998</v>
      </c>
    </row>
    <row r="79" spans="1:14" s="306" customFormat="1">
      <c r="A79" s="347" t="s">
        <v>150</v>
      </c>
      <c r="B79" s="316" t="s">
        <v>665</v>
      </c>
      <c r="C79" s="53">
        <v>577.20000000000005</v>
      </c>
      <c r="D79" s="307" t="s">
        <v>151</v>
      </c>
      <c r="E79" s="224"/>
      <c r="F79" s="348"/>
      <c r="G79" s="361" t="s">
        <v>150</v>
      </c>
      <c r="H79" s="316" t="s">
        <v>665</v>
      </c>
      <c r="I79" s="352">
        <v>904.8</v>
      </c>
      <c r="J79" s="307" t="s">
        <v>151</v>
      </c>
      <c r="K79" s="321" t="str">
        <f t="shared" si="1"/>
        <v>si</v>
      </c>
      <c r="L79" s="329" t="s">
        <v>150</v>
      </c>
      <c r="M79" s="351" t="s">
        <v>151</v>
      </c>
      <c r="N79" s="352">
        <v>904.8</v>
      </c>
    </row>
    <row r="80" spans="1:14" s="306" customFormat="1">
      <c r="A80" s="347" t="s">
        <v>786</v>
      </c>
      <c r="B80" s="316" t="s">
        <v>662</v>
      </c>
      <c r="C80" s="53">
        <v>577.4</v>
      </c>
      <c r="D80" s="307" t="s">
        <v>153</v>
      </c>
      <c r="E80" s="224"/>
      <c r="F80" s="348"/>
      <c r="G80" s="361" t="s">
        <v>786</v>
      </c>
      <c r="H80" s="316" t="s">
        <v>662</v>
      </c>
      <c r="I80" s="352">
        <v>1551.2</v>
      </c>
      <c r="J80" s="307" t="s">
        <v>153</v>
      </c>
      <c r="K80" s="321" t="str">
        <f t="shared" si="1"/>
        <v>si</v>
      </c>
      <c r="L80" s="329" t="s">
        <v>786</v>
      </c>
      <c r="M80" s="351" t="s">
        <v>153</v>
      </c>
      <c r="N80" s="352">
        <v>1551.2</v>
      </c>
    </row>
    <row r="81" spans="1:14" s="306" customFormat="1">
      <c r="A81" s="347" t="s">
        <v>317</v>
      </c>
      <c r="B81" s="316" t="s">
        <v>707</v>
      </c>
      <c r="C81" s="53">
        <v>577.4</v>
      </c>
      <c r="D81" s="307" t="s">
        <v>154</v>
      </c>
      <c r="E81" s="224"/>
      <c r="F81" s="348"/>
      <c r="G81" s="361" t="s">
        <v>317</v>
      </c>
      <c r="H81" s="316" t="s">
        <v>707</v>
      </c>
      <c r="I81" s="352">
        <v>2592</v>
      </c>
      <c r="J81" s="307" t="s">
        <v>154</v>
      </c>
      <c r="K81" s="321" t="str">
        <f t="shared" si="1"/>
        <v>si</v>
      </c>
      <c r="L81" s="329" t="s">
        <v>317</v>
      </c>
      <c r="M81" s="351" t="s">
        <v>154</v>
      </c>
      <c r="N81" s="352">
        <v>2592</v>
      </c>
    </row>
    <row r="82" spans="1:14" s="306" customFormat="1">
      <c r="A82" s="347" t="s">
        <v>787</v>
      </c>
      <c r="B82" s="316" t="s">
        <v>689</v>
      </c>
      <c r="C82" s="53">
        <v>577.4</v>
      </c>
      <c r="D82" s="307" t="s">
        <v>156</v>
      </c>
      <c r="E82" s="224"/>
      <c r="F82" s="348"/>
      <c r="G82" s="361" t="s">
        <v>787</v>
      </c>
      <c r="H82" s="316" t="s">
        <v>689</v>
      </c>
      <c r="I82" s="352">
        <v>583.6</v>
      </c>
      <c r="J82" s="307" t="s">
        <v>156</v>
      </c>
      <c r="K82" s="321" t="str">
        <f t="shared" si="1"/>
        <v>si</v>
      </c>
      <c r="L82" s="329" t="s">
        <v>787</v>
      </c>
      <c r="M82" s="351" t="s">
        <v>156</v>
      </c>
      <c r="N82" s="352">
        <v>583.6</v>
      </c>
    </row>
    <row r="83" spans="1:14" s="306" customFormat="1">
      <c r="A83" s="347" t="s">
        <v>511</v>
      </c>
      <c r="B83" s="316">
        <v>2959934200</v>
      </c>
      <c r="C83" s="53">
        <v>577.4</v>
      </c>
      <c r="D83" s="307" t="s">
        <v>512</v>
      </c>
      <c r="E83" s="224"/>
      <c r="F83" s="348"/>
      <c r="G83" s="361" t="s">
        <v>511</v>
      </c>
      <c r="H83" s="316">
        <v>2959934200</v>
      </c>
      <c r="I83" s="352">
        <v>939.4</v>
      </c>
      <c r="J83" s="307" t="s">
        <v>512</v>
      </c>
      <c r="K83" s="321" t="str">
        <f t="shared" si="1"/>
        <v>si</v>
      </c>
      <c r="L83" s="329" t="s">
        <v>511</v>
      </c>
      <c r="M83" s="351" t="s">
        <v>512</v>
      </c>
      <c r="N83" s="352">
        <v>939.4</v>
      </c>
    </row>
    <row r="84" spans="1:14" s="306" customFormat="1">
      <c r="A84" s="347" t="s">
        <v>788</v>
      </c>
      <c r="B84" s="316" t="s">
        <v>685</v>
      </c>
      <c r="C84" s="53">
        <v>577.20000000000005</v>
      </c>
      <c r="D84" s="307" t="s">
        <v>158</v>
      </c>
      <c r="E84" s="224"/>
      <c r="F84" s="348"/>
      <c r="G84" s="361" t="s">
        <v>788</v>
      </c>
      <c r="H84" s="316" t="s">
        <v>685</v>
      </c>
      <c r="I84" s="352">
        <v>1670</v>
      </c>
      <c r="J84" s="307" t="s">
        <v>158</v>
      </c>
      <c r="K84" s="321" t="str">
        <f t="shared" si="1"/>
        <v>si</v>
      </c>
      <c r="L84" s="329" t="s">
        <v>788</v>
      </c>
      <c r="M84" s="351" t="s">
        <v>158</v>
      </c>
      <c r="N84" s="352">
        <v>1670</v>
      </c>
    </row>
    <row r="85" spans="1:14" s="306" customFormat="1">
      <c r="A85" s="347" t="s">
        <v>789</v>
      </c>
      <c r="B85" s="316" t="s">
        <v>677</v>
      </c>
      <c r="C85" s="53">
        <v>577.4</v>
      </c>
      <c r="D85" s="307" t="s">
        <v>160</v>
      </c>
      <c r="E85" s="224"/>
      <c r="F85" s="348"/>
      <c r="G85" s="361" t="s">
        <v>789</v>
      </c>
      <c r="H85" s="316" t="s">
        <v>677</v>
      </c>
      <c r="I85" s="352">
        <v>2629.2</v>
      </c>
      <c r="J85" s="307" t="s">
        <v>160</v>
      </c>
      <c r="K85" s="321" t="str">
        <f t="shared" si="1"/>
        <v>si</v>
      </c>
      <c r="L85" s="329" t="s">
        <v>789</v>
      </c>
      <c r="M85" s="351" t="s">
        <v>160</v>
      </c>
      <c r="N85" s="352">
        <v>2629.2</v>
      </c>
    </row>
    <row r="86" spans="1:14" s="306" customFormat="1">
      <c r="A86" s="347" t="s">
        <v>790</v>
      </c>
      <c r="B86" s="316" t="s">
        <v>691</v>
      </c>
      <c r="C86" s="53">
        <v>577.20000000000005</v>
      </c>
      <c r="D86" s="307" t="s">
        <v>162</v>
      </c>
      <c r="E86" s="224"/>
      <c r="F86" s="348"/>
      <c r="G86" s="361" t="s">
        <v>790</v>
      </c>
      <c r="H86" s="316" t="s">
        <v>691</v>
      </c>
      <c r="I86" s="352">
        <v>2369</v>
      </c>
      <c r="J86" s="307" t="s">
        <v>162</v>
      </c>
      <c r="K86" s="321" t="str">
        <f t="shared" si="1"/>
        <v>si</v>
      </c>
      <c r="L86" s="329" t="s">
        <v>790</v>
      </c>
      <c r="M86" s="351" t="s">
        <v>162</v>
      </c>
      <c r="N86" s="352">
        <v>2369</v>
      </c>
    </row>
    <row r="87" spans="1:14" s="306" customFormat="1">
      <c r="A87" s="347" t="s">
        <v>513</v>
      </c>
      <c r="B87" s="316" t="s">
        <v>697</v>
      </c>
      <c r="C87" s="53">
        <v>39.600000000000023</v>
      </c>
      <c r="D87" s="307" t="s">
        <v>164</v>
      </c>
      <c r="E87" s="224"/>
      <c r="F87" s="348"/>
      <c r="G87" s="361" t="s">
        <v>513</v>
      </c>
      <c r="H87" s="316" t="s">
        <v>697</v>
      </c>
      <c r="I87" s="352">
        <v>2271.6</v>
      </c>
      <c r="J87" s="307" t="s">
        <v>164</v>
      </c>
      <c r="K87" s="321" t="str">
        <f t="shared" si="1"/>
        <v>si</v>
      </c>
      <c r="L87" s="329" t="s">
        <v>513</v>
      </c>
      <c r="M87" s="351" t="s">
        <v>164</v>
      </c>
      <c r="N87" s="352">
        <v>2271.6</v>
      </c>
    </row>
    <row r="88" spans="1:14" s="306" customFormat="1">
      <c r="A88" s="347" t="s">
        <v>165</v>
      </c>
      <c r="B88" s="316" t="s">
        <v>643</v>
      </c>
      <c r="C88" s="53">
        <v>577.20000000000005</v>
      </c>
      <c r="D88" s="307" t="s">
        <v>166</v>
      </c>
      <c r="E88" s="224"/>
      <c r="F88" s="348"/>
      <c r="G88" s="361" t="s">
        <v>165</v>
      </c>
      <c r="H88" s="316" t="s">
        <v>643</v>
      </c>
      <c r="I88" s="352">
        <v>2928.4</v>
      </c>
      <c r="J88" s="307" t="s">
        <v>166</v>
      </c>
      <c r="K88" s="321" t="str">
        <f t="shared" si="1"/>
        <v>si</v>
      </c>
      <c r="L88" s="329" t="s">
        <v>165</v>
      </c>
      <c r="M88" s="351" t="s">
        <v>166</v>
      </c>
      <c r="N88" s="352">
        <v>2928.4</v>
      </c>
    </row>
    <row r="89" spans="1:14" s="306" customFormat="1">
      <c r="A89" s="347" t="s">
        <v>791</v>
      </c>
      <c r="B89" s="316" t="s">
        <v>653</v>
      </c>
      <c r="C89" s="53">
        <v>577.4</v>
      </c>
      <c r="D89" s="307" t="s">
        <v>168</v>
      </c>
      <c r="E89" s="224"/>
      <c r="F89" s="348"/>
      <c r="G89" s="361" t="s">
        <v>791</v>
      </c>
      <c r="H89" s="316" t="s">
        <v>653</v>
      </c>
      <c r="I89" s="352">
        <v>1433.8</v>
      </c>
      <c r="J89" s="307" t="s">
        <v>168</v>
      </c>
      <c r="K89" s="321" t="str">
        <f t="shared" si="1"/>
        <v>si</v>
      </c>
      <c r="L89" s="329" t="s">
        <v>791</v>
      </c>
      <c r="M89" s="351" t="s">
        <v>168</v>
      </c>
      <c r="N89" s="352">
        <v>1433.8</v>
      </c>
    </row>
    <row r="90" spans="1:14" s="306" customFormat="1">
      <c r="A90" s="347" t="s">
        <v>792</v>
      </c>
      <c r="B90" s="316" t="s">
        <v>663</v>
      </c>
      <c r="C90" s="53">
        <v>577.4</v>
      </c>
      <c r="D90" s="307" t="s">
        <v>170</v>
      </c>
      <c r="E90" s="224"/>
      <c r="F90" s="348"/>
      <c r="G90" s="361" t="s">
        <v>792</v>
      </c>
      <c r="H90" s="316" t="s">
        <v>663</v>
      </c>
      <c r="I90" s="352">
        <v>522.6</v>
      </c>
      <c r="J90" s="307" t="s">
        <v>170</v>
      </c>
      <c r="K90" s="321" t="str">
        <f t="shared" si="1"/>
        <v>si</v>
      </c>
      <c r="L90" s="329" t="s">
        <v>792</v>
      </c>
      <c r="M90" s="351" t="s">
        <v>170</v>
      </c>
      <c r="N90" s="352">
        <v>522.6</v>
      </c>
    </row>
    <row r="91" spans="1:14" s="306" customFormat="1">
      <c r="A91" s="347" t="s">
        <v>793</v>
      </c>
      <c r="B91" s="316" t="s">
        <v>703</v>
      </c>
      <c r="C91" s="53">
        <v>577.4</v>
      </c>
      <c r="D91" s="307" t="s">
        <v>172</v>
      </c>
      <c r="E91" s="224"/>
      <c r="F91" s="348"/>
      <c r="G91" s="361" t="s">
        <v>793</v>
      </c>
      <c r="H91" s="316" t="s">
        <v>703</v>
      </c>
      <c r="I91" s="352">
        <v>29.6</v>
      </c>
      <c r="J91" s="307" t="s">
        <v>172</v>
      </c>
      <c r="K91" s="321" t="str">
        <f t="shared" si="1"/>
        <v>si</v>
      </c>
      <c r="L91" s="329" t="s">
        <v>793</v>
      </c>
      <c r="M91" s="351" t="s">
        <v>172</v>
      </c>
      <c r="N91" s="352">
        <v>29.6</v>
      </c>
    </row>
    <row r="92" spans="1:14" s="306" customFormat="1">
      <c r="A92" s="347" t="s">
        <v>794</v>
      </c>
      <c r="B92" s="316" t="s">
        <v>698</v>
      </c>
      <c r="C92" s="53">
        <v>577.20000000000005</v>
      </c>
      <c r="D92" s="307" t="s">
        <v>174</v>
      </c>
      <c r="E92" s="224"/>
      <c r="F92" s="348"/>
      <c r="G92" s="361" t="s">
        <v>794</v>
      </c>
      <c r="H92" s="316" t="s">
        <v>698</v>
      </c>
      <c r="I92" s="352">
        <v>2150.8000000000002</v>
      </c>
      <c r="J92" s="307" t="s">
        <v>174</v>
      </c>
      <c r="K92" s="321" t="str">
        <f t="shared" si="1"/>
        <v>si</v>
      </c>
      <c r="L92" s="329" t="s">
        <v>794</v>
      </c>
      <c r="M92" s="351" t="s">
        <v>174</v>
      </c>
      <c r="N92" s="352">
        <v>2150.8000000000002</v>
      </c>
    </row>
    <row r="93" spans="1:14" s="306" customFormat="1" ht="15.75" thickBot="1">
      <c r="A93" s="347"/>
      <c r="B93" s="307"/>
      <c r="C93" s="355">
        <f>SUM(C7:C92)</f>
        <v>46311.882857142875</v>
      </c>
      <c r="D93" s="307"/>
      <c r="I93" s="332">
        <f>SUM(I7:I92)</f>
        <v>182365.80000000002</v>
      </c>
    </row>
    <row r="94" spans="1:14" ht="15.75" thickTop="1"/>
    <row r="95" spans="1:14" s="306" customFormat="1">
      <c r="A95" s="347" t="s">
        <v>741</v>
      </c>
      <c r="B95" s="316" t="s">
        <v>640</v>
      </c>
      <c r="C95" s="53">
        <v>577.20000000000005</v>
      </c>
      <c r="D95" s="307" t="s">
        <v>47</v>
      </c>
      <c r="E95" s="224"/>
      <c r="F95" s="348"/>
      <c r="G95" s="361" t="s">
        <v>741</v>
      </c>
      <c r="H95" s="316" t="s">
        <v>640</v>
      </c>
      <c r="I95" s="352">
        <v>1467.2</v>
      </c>
      <c r="J95" s="307" t="s">
        <v>47</v>
      </c>
      <c r="K95" s="321" t="str">
        <f>IF(J95=M95,"si","no")</f>
        <v>si</v>
      </c>
      <c r="L95" s="329" t="s">
        <v>741</v>
      </c>
      <c r="M95" s="351" t="s">
        <v>47</v>
      </c>
      <c r="N95" s="352">
        <v>1467.2</v>
      </c>
    </row>
    <row r="96" spans="1:14" s="306" customFormat="1">
      <c r="A96" s="347" t="s">
        <v>758</v>
      </c>
      <c r="B96" s="316" t="s">
        <v>640</v>
      </c>
      <c r="C96" s="53">
        <v>577.4</v>
      </c>
      <c r="D96" s="307" t="s">
        <v>95</v>
      </c>
      <c r="E96" s="224"/>
      <c r="F96" s="348"/>
      <c r="G96" s="361" t="s">
        <v>758</v>
      </c>
      <c r="H96" s="316" t="s">
        <v>640</v>
      </c>
      <c r="I96" s="352">
        <v>584.4</v>
      </c>
      <c r="J96" s="307" t="s">
        <v>95</v>
      </c>
      <c r="K96" s="321" t="str">
        <f>IF(J96=M96,"si","no")</f>
        <v>si</v>
      </c>
      <c r="L96" s="329" t="s">
        <v>758</v>
      </c>
      <c r="M96" s="351" t="s">
        <v>95</v>
      </c>
      <c r="N96" s="352">
        <v>584.4</v>
      </c>
    </row>
    <row r="97" spans="2:9" ht="15.75" thickBot="1">
      <c r="C97" s="355">
        <f>SUM(C95:C96)</f>
        <v>1154.5999999999999</v>
      </c>
      <c r="I97" s="355">
        <f>SUM(I95:I96)</f>
        <v>2051.6</v>
      </c>
    </row>
    <row r="98" spans="2:9" ht="15.75" thickTop="1"/>
    <row r="99" spans="2:9">
      <c r="B99" s="321" t="s">
        <v>709</v>
      </c>
      <c r="C99" s="312">
        <f>+C93</f>
        <v>46311.882857142875</v>
      </c>
      <c r="H99" s="321" t="s">
        <v>709</v>
      </c>
      <c r="I99" s="312">
        <f>+I93</f>
        <v>182365.80000000002</v>
      </c>
    </row>
    <row r="100" spans="2:9">
      <c r="B100" s="321" t="s">
        <v>710</v>
      </c>
      <c r="C100" s="312">
        <f>+C97</f>
        <v>1154.5999999999999</v>
      </c>
      <c r="H100" s="321" t="s">
        <v>710</v>
      </c>
      <c r="I100" s="312">
        <f>+I97</f>
        <v>2051.6</v>
      </c>
    </row>
    <row r="101" spans="2:9">
      <c r="B101" s="321" t="s">
        <v>19</v>
      </c>
      <c r="C101" s="312">
        <f>+C99+C100</f>
        <v>47466.482857142873</v>
      </c>
      <c r="H101" s="321" t="s">
        <v>19</v>
      </c>
      <c r="I101" s="312">
        <f>+I99+I100</f>
        <v>184417.40000000002</v>
      </c>
    </row>
  </sheetData>
  <pageMargins left="0.70866141732283472" right="0.70866141732283472" top="0.26" bottom="0.32" header="0.2" footer="0.2"/>
  <pageSetup scale="50" orientation="portrait" verticalDpi="0" r:id="rId1"/>
  <colBreaks count="1" manualBreakCount="1">
    <brk id="5" max="10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O97"/>
  <sheetViews>
    <sheetView topLeftCell="A40" workbookViewId="0">
      <selection activeCell="I62" sqref="I62"/>
    </sheetView>
  </sheetViews>
  <sheetFormatPr baseColWidth="10" defaultRowHeight="15"/>
  <cols>
    <col min="2" max="2" width="34.7109375" bestFit="1" customWidth="1"/>
    <col min="9" max="9" width="31.7109375" bestFit="1" customWidth="1"/>
  </cols>
  <sheetData>
    <row r="1" spans="1:15">
      <c r="A1" s="50" t="s">
        <v>34</v>
      </c>
      <c r="B1" s="51" t="s">
        <v>35</v>
      </c>
      <c r="C1" s="53">
        <v>577.4</v>
      </c>
      <c r="D1" s="209" t="s">
        <v>675</v>
      </c>
      <c r="E1" t="str">
        <f>IF(B1=I1,"si","no")</f>
        <v>si</v>
      </c>
      <c r="F1" s="309" t="s">
        <v>738</v>
      </c>
      <c r="G1" s="307" t="s">
        <v>675</v>
      </c>
      <c r="H1" s="53">
        <v>577.4</v>
      </c>
      <c r="I1" s="307" t="s">
        <v>35</v>
      </c>
      <c r="J1">
        <f>+D1-G1</f>
        <v>0</v>
      </c>
      <c r="L1" s="347" t="s">
        <v>738</v>
      </c>
      <c r="M1" s="346" t="s">
        <v>675</v>
      </c>
      <c r="N1" s="346">
        <v>577.4</v>
      </c>
      <c r="O1" s="346" t="s">
        <v>35</v>
      </c>
    </row>
    <row r="2" spans="1:15">
      <c r="A2" s="50" t="s">
        <v>36</v>
      </c>
      <c r="B2" s="51" t="s">
        <v>37</v>
      </c>
      <c r="C2" s="53">
        <v>577.4</v>
      </c>
      <c r="D2" s="209" t="s">
        <v>668</v>
      </c>
      <c r="E2" s="306" t="str">
        <f t="shared" ref="E2:E63" si="0">IF(B2=I2,"si","no")</f>
        <v>si</v>
      </c>
      <c r="F2" s="309" t="s">
        <v>494</v>
      </c>
      <c r="G2" s="307" t="s">
        <v>668</v>
      </c>
      <c r="H2" s="53">
        <v>577.4</v>
      </c>
      <c r="I2" s="307" t="s">
        <v>37</v>
      </c>
      <c r="J2" s="306">
        <f t="shared" ref="J2:J65" si="1">+D2-G2</f>
        <v>0</v>
      </c>
      <c r="L2" s="347" t="s">
        <v>494</v>
      </c>
      <c r="M2" s="346" t="s">
        <v>668</v>
      </c>
      <c r="N2" s="346">
        <v>577.4</v>
      </c>
      <c r="O2" s="346" t="s">
        <v>37</v>
      </c>
    </row>
    <row r="3" spans="1:15">
      <c r="A3" s="50" t="s">
        <v>38</v>
      </c>
      <c r="B3" s="51" t="s">
        <v>39</v>
      </c>
      <c r="C3" s="53">
        <v>577.4</v>
      </c>
      <c r="D3" s="209" t="s">
        <v>700</v>
      </c>
      <c r="E3" s="306" t="str">
        <f t="shared" si="0"/>
        <v>si</v>
      </c>
      <c r="F3" s="309" t="s">
        <v>495</v>
      </c>
      <c r="G3" s="307" t="s">
        <v>700</v>
      </c>
      <c r="H3" s="53">
        <v>577.4</v>
      </c>
      <c r="I3" s="307" t="s">
        <v>39</v>
      </c>
      <c r="J3" s="306">
        <f t="shared" si="1"/>
        <v>0</v>
      </c>
      <c r="L3" s="347" t="s">
        <v>495</v>
      </c>
      <c r="M3" s="346" t="s">
        <v>700</v>
      </c>
      <c r="N3" s="346">
        <v>577.4</v>
      </c>
      <c r="O3" s="346" t="s">
        <v>39</v>
      </c>
    </row>
    <row r="4" spans="1:15" s="335" customFormat="1">
      <c r="A4" s="64" t="s">
        <v>289</v>
      </c>
      <c r="B4" s="65" t="s">
        <v>178</v>
      </c>
      <c r="C4" s="345">
        <v>577.4</v>
      </c>
      <c r="D4" s="341" t="s">
        <v>708</v>
      </c>
      <c r="E4" s="335" t="str">
        <f t="shared" si="0"/>
        <v>si</v>
      </c>
      <c r="F4" s="331" t="s">
        <v>739</v>
      </c>
      <c r="G4" s="317">
        <v>2706107109</v>
      </c>
      <c r="H4" s="345">
        <v>577.20000000000005</v>
      </c>
      <c r="I4" s="317" t="s">
        <v>178</v>
      </c>
      <c r="J4" s="306" t="e">
        <f t="shared" si="1"/>
        <v>#VALUE!</v>
      </c>
      <c r="L4" s="331" t="s">
        <v>739</v>
      </c>
      <c r="M4" s="340" t="s">
        <v>838</v>
      </c>
      <c r="N4" s="340">
        <v>577.20000000000005</v>
      </c>
      <c r="O4" s="340" t="s">
        <v>178</v>
      </c>
    </row>
    <row r="5" spans="1:15" s="335" customFormat="1">
      <c r="A5" s="64" t="s">
        <v>42</v>
      </c>
      <c r="B5" s="65" t="s">
        <v>43</v>
      </c>
      <c r="C5" s="345">
        <v>577.4</v>
      </c>
      <c r="D5" s="341" t="s">
        <v>648</v>
      </c>
      <c r="E5" s="335" t="str">
        <f t="shared" si="0"/>
        <v>si</v>
      </c>
      <c r="F5" s="331" t="s">
        <v>42</v>
      </c>
      <c r="G5" s="317">
        <v>2648514356</v>
      </c>
      <c r="H5" s="345">
        <v>577.4</v>
      </c>
      <c r="I5" s="317" t="s">
        <v>43</v>
      </c>
      <c r="J5" s="306">
        <f t="shared" si="1"/>
        <v>0</v>
      </c>
      <c r="L5" s="331" t="s">
        <v>42</v>
      </c>
      <c r="M5" s="340" t="s">
        <v>838</v>
      </c>
      <c r="N5" s="340">
        <v>0</v>
      </c>
      <c r="O5" s="340" t="s">
        <v>43</v>
      </c>
    </row>
    <row r="6" spans="1:15" s="335" customFormat="1">
      <c r="A6" s="64"/>
      <c r="B6" s="108" t="s">
        <v>609</v>
      </c>
      <c r="C6" s="345">
        <v>0</v>
      </c>
      <c r="D6" s="341">
        <v>1456104819</v>
      </c>
      <c r="E6" s="335" t="str">
        <f t="shared" si="0"/>
        <v>si</v>
      </c>
      <c r="F6" s="331" t="s">
        <v>732</v>
      </c>
      <c r="G6" s="317">
        <v>1456104819</v>
      </c>
      <c r="H6" s="345">
        <v>577.20000000000005</v>
      </c>
      <c r="I6" s="317" t="s">
        <v>740</v>
      </c>
      <c r="J6" s="306">
        <f t="shared" si="1"/>
        <v>0</v>
      </c>
      <c r="L6" s="331" t="s">
        <v>732</v>
      </c>
      <c r="M6" s="340" t="s">
        <v>838</v>
      </c>
      <c r="N6" s="340">
        <v>577.20000000000005</v>
      </c>
      <c r="O6" s="340" t="s">
        <v>740</v>
      </c>
    </row>
    <row r="7" spans="1:15">
      <c r="A7" s="50" t="s">
        <v>44</v>
      </c>
      <c r="B7" s="51" t="s">
        <v>45</v>
      </c>
      <c r="C7" s="53">
        <v>577.20000000000005</v>
      </c>
      <c r="D7" s="209" t="s">
        <v>684</v>
      </c>
      <c r="E7" s="306" t="str">
        <f t="shared" si="0"/>
        <v>si</v>
      </c>
      <c r="F7" s="309" t="s">
        <v>496</v>
      </c>
      <c r="G7" s="307" t="s">
        <v>684</v>
      </c>
      <c r="H7" s="53">
        <v>577.4</v>
      </c>
      <c r="I7" s="307" t="s">
        <v>45</v>
      </c>
      <c r="J7" s="306">
        <f t="shared" si="1"/>
        <v>0</v>
      </c>
      <c r="L7" s="347" t="s">
        <v>496</v>
      </c>
      <c r="M7" s="346" t="s">
        <v>684</v>
      </c>
      <c r="N7" s="346">
        <v>577.4</v>
      </c>
      <c r="O7" s="346" t="s">
        <v>45</v>
      </c>
    </row>
    <row r="8" spans="1:15" s="335" customFormat="1">
      <c r="A8" s="64" t="s">
        <v>518</v>
      </c>
      <c r="B8" s="65" t="s">
        <v>517</v>
      </c>
      <c r="C8" s="345">
        <v>82.600000000000009</v>
      </c>
      <c r="D8" s="341">
        <v>2959161945</v>
      </c>
      <c r="E8" s="335" t="str">
        <f t="shared" si="0"/>
        <v>si</v>
      </c>
      <c r="F8" s="331" t="s">
        <v>518</v>
      </c>
      <c r="G8" s="317">
        <v>2959161945</v>
      </c>
      <c r="H8" s="345">
        <v>577.20000000000005</v>
      </c>
      <c r="I8" s="317" t="s">
        <v>517</v>
      </c>
      <c r="J8" s="306">
        <f t="shared" si="1"/>
        <v>0</v>
      </c>
      <c r="L8" s="331" t="s">
        <v>518</v>
      </c>
      <c r="M8" s="340" t="s">
        <v>838</v>
      </c>
      <c r="N8" s="340">
        <v>577.20000000000005</v>
      </c>
      <c r="O8" s="340" t="s">
        <v>517</v>
      </c>
    </row>
    <row r="9" spans="1:15">
      <c r="A9" s="50" t="s">
        <v>290</v>
      </c>
      <c r="B9" s="51" t="s">
        <v>46</v>
      </c>
      <c r="C9" s="53">
        <v>388.00285714285718</v>
      </c>
      <c r="D9" s="209" t="s">
        <v>667</v>
      </c>
      <c r="E9" s="306" t="str">
        <f t="shared" si="0"/>
        <v>si</v>
      </c>
      <c r="F9" s="309" t="s">
        <v>290</v>
      </c>
      <c r="G9" s="307" t="s">
        <v>667</v>
      </c>
      <c r="H9" s="53">
        <v>577.4</v>
      </c>
      <c r="I9" s="307" t="s">
        <v>46</v>
      </c>
      <c r="J9" s="306">
        <f t="shared" si="1"/>
        <v>0</v>
      </c>
      <c r="L9" s="347" t="s">
        <v>290</v>
      </c>
      <c r="M9" s="346" t="s">
        <v>667</v>
      </c>
      <c r="N9" s="346">
        <v>577.4</v>
      </c>
      <c r="O9" s="346" t="s">
        <v>46</v>
      </c>
    </row>
    <row r="10" spans="1:15" s="335" customFormat="1">
      <c r="A10" s="64" t="s">
        <v>14</v>
      </c>
      <c r="B10" s="65" t="s">
        <v>47</v>
      </c>
      <c r="C10" s="345">
        <v>577.4</v>
      </c>
      <c r="D10" s="341" t="s">
        <v>640</v>
      </c>
      <c r="E10" s="335" t="str">
        <f t="shared" si="0"/>
        <v>si</v>
      </c>
      <c r="F10" s="331" t="s">
        <v>741</v>
      </c>
      <c r="G10" s="342" t="s">
        <v>640</v>
      </c>
      <c r="H10" s="345">
        <v>577.20000000000005</v>
      </c>
      <c r="I10" s="317" t="s">
        <v>47</v>
      </c>
      <c r="J10" s="306" t="e">
        <f t="shared" si="1"/>
        <v>#VALUE!</v>
      </c>
      <c r="L10" s="331" t="s">
        <v>741</v>
      </c>
      <c r="M10" s="340" t="s">
        <v>838</v>
      </c>
      <c r="N10" s="340">
        <v>577.20000000000005</v>
      </c>
      <c r="O10" s="340" t="s">
        <v>47</v>
      </c>
    </row>
    <row r="11" spans="1:15">
      <c r="A11" s="50" t="s">
        <v>48</v>
      </c>
      <c r="B11" s="51" t="s">
        <v>49</v>
      </c>
      <c r="C11" s="53">
        <v>577.4</v>
      </c>
      <c r="D11" s="209" t="s">
        <v>679</v>
      </c>
      <c r="E11" s="306" t="str">
        <f t="shared" si="0"/>
        <v>si</v>
      </c>
      <c r="F11" s="309" t="s">
        <v>742</v>
      </c>
      <c r="G11" s="307" t="s">
        <v>679</v>
      </c>
      <c r="H11" s="53">
        <v>577.4</v>
      </c>
      <c r="I11" s="307" t="s">
        <v>49</v>
      </c>
      <c r="J11" s="306">
        <f t="shared" si="1"/>
        <v>0</v>
      </c>
      <c r="L11" s="347" t="s">
        <v>742</v>
      </c>
      <c r="M11" s="346" t="s">
        <v>679</v>
      </c>
      <c r="N11" s="346">
        <v>577.4</v>
      </c>
      <c r="O11" s="346" t="s">
        <v>49</v>
      </c>
    </row>
    <row r="12" spans="1:15">
      <c r="A12" s="50" t="s">
        <v>50</v>
      </c>
      <c r="B12" s="51" t="s">
        <v>51</v>
      </c>
      <c r="C12" s="53">
        <v>410</v>
      </c>
      <c r="D12" s="209" t="s">
        <v>669</v>
      </c>
      <c r="E12" s="306" t="str">
        <f t="shared" si="0"/>
        <v>si</v>
      </c>
      <c r="F12" s="309" t="s">
        <v>50</v>
      </c>
      <c r="G12" s="307" t="s">
        <v>669</v>
      </c>
      <c r="H12" s="53">
        <v>409.8</v>
      </c>
      <c r="I12" s="307" t="s">
        <v>51</v>
      </c>
      <c r="J12" s="306">
        <f t="shared" si="1"/>
        <v>0</v>
      </c>
      <c r="L12" s="347" t="s">
        <v>50</v>
      </c>
      <c r="M12" s="346" t="s">
        <v>669</v>
      </c>
      <c r="N12" s="346">
        <v>409.8</v>
      </c>
      <c r="O12" s="346" t="s">
        <v>51</v>
      </c>
    </row>
    <row r="13" spans="1:15" s="335" customFormat="1">
      <c r="A13" s="64"/>
      <c r="B13" s="65"/>
      <c r="C13" s="345"/>
      <c r="D13" s="341"/>
      <c r="E13" s="335" t="str">
        <f t="shared" si="0"/>
        <v>no</v>
      </c>
      <c r="F13" s="331" t="s">
        <v>824</v>
      </c>
      <c r="G13" s="330">
        <v>1487589077</v>
      </c>
      <c r="H13" s="345">
        <v>103.99714285714286</v>
      </c>
      <c r="I13" s="317" t="s">
        <v>825</v>
      </c>
      <c r="J13" s="306">
        <f t="shared" si="1"/>
        <v>-1487589077</v>
      </c>
      <c r="L13" s="331" t="s">
        <v>824</v>
      </c>
      <c r="M13" s="340" t="s">
        <v>838</v>
      </c>
      <c r="N13" s="340">
        <v>104</v>
      </c>
      <c r="O13" s="340" t="s">
        <v>825</v>
      </c>
    </row>
    <row r="14" spans="1:15">
      <c r="A14" s="50" t="s">
        <v>291</v>
      </c>
      <c r="B14" s="51" t="s">
        <v>52</v>
      </c>
      <c r="C14" s="53">
        <v>577.4</v>
      </c>
      <c r="D14" s="209" t="s">
        <v>702</v>
      </c>
      <c r="E14" s="306" t="str">
        <f t="shared" si="0"/>
        <v>si</v>
      </c>
      <c r="F14" s="309" t="s">
        <v>291</v>
      </c>
      <c r="G14" s="307" t="s">
        <v>702</v>
      </c>
      <c r="H14" s="53">
        <v>577.4</v>
      </c>
      <c r="I14" s="307" t="s">
        <v>52</v>
      </c>
      <c r="J14" s="306">
        <f t="shared" si="1"/>
        <v>0</v>
      </c>
      <c r="L14" s="347" t="s">
        <v>291</v>
      </c>
      <c r="M14" s="346" t="s">
        <v>702</v>
      </c>
      <c r="N14" s="346">
        <v>577.4</v>
      </c>
      <c r="O14" s="346" t="s">
        <v>52</v>
      </c>
    </row>
    <row r="15" spans="1:15">
      <c r="A15" s="50" t="s">
        <v>53</v>
      </c>
      <c r="B15" s="51" t="s">
        <v>54</v>
      </c>
      <c r="C15" s="53">
        <v>577.20000000000005</v>
      </c>
      <c r="D15" s="209" t="s">
        <v>654</v>
      </c>
      <c r="E15" s="306" t="str">
        <f t="shared" si="0"/>
        <v>si</v>
      </c>
      <c r="F15" s="309" t="s">
        <v>743</v>
      </c>
      <c r="G15" s="307" t="s">
        <v>654</v>
      </c>
      <c r="H15" s="53">
        <v>577.4</v>
      </c>
      <c r="I15" s="307" t="s">
        <v>54</v>
      </c>
      <c r="J15" s="306">
        <f t="shared" si="1"/>
        <v>0</v>
      </c>
      <c r="L15" s="347" t="s">
        <v>743</v>
      </c>
      <c r="M15" s="346" t="s">
        <v>654</v>
      </c>
      <c r="N15" s="346">
        <v>577.4</v>
      </c>
      <c r="O15" s="346" t="s">
        <v>54</v>
      </c>
    </row>
    <row r="16" spans="1:15">
      <c r="A16" s="50" t="s">
        <v>15</v>
      </c>
      <c r="B16" s="51" t="s">
        <v>55</v>
      </c>
      <c r="C16" s="53">
        <v>577.4</v>
      </c>
      <c r="D16" s="209" t="s">
        <v>649</v>
      </c>
      <c r="E16" s="306" t="str">
        <f t="shared" si="0"/>
        <v>si</v>
      </c>
      <c r="F16" s="309" t="s">
        <v>497</v>
      </c>
      <c r="G16" s="307" t="s">
        <v>649</v>
      </c>
      <c r="H16" s="53">
        <v>577.4</v>
      </c>
      <c r="I16" s="307" t="s">
        <v>55</v>
      </c>
      <c r="J16" s="306">
        <f t="shared" si="1"/>
        <v>0</v>
      </c>
      <c r="L16" s="347" t="s">
        <v>497</v>
      </c>
      <c r="M16" s="346" t="s">
        <v>649</v>
      </c>
      <c r="N16" s="346">
        <v>577.4</v>
      </c>
      <c r="O16" s="346" t="s">
        <v>55</v>
      </c>
    </row>
    <row r="17" spans="1:15">
      <c r="A17" s="50" t="s">
        <v>56</v>
      </c>
      <c r="B17" s="51" t="s">
        <v>57</v>
      </c>
      <c r="C17" s="53">
        <v>577.4</v>
      </c>
      <c r="D17" s="209" t="s">
        <v>647</v>
      </c>
      <c r="E17" s="306" t="str">
        <f t="shared" si="0"/>
        <v>si</v>
      </c>
      <c r="F17" s="309" t="s">
        <v>744</v>
      </c>
      <c r="G17" s="307" t="s">
        <v>647</v>
      </c>
      <c r="H17" s="53">
        <v>577.4</v>
      </c>
      <c r="I17" s="307" t="s">
        <v>57</v>
      </c>
      <c r="J17" s="306">
        <f t="shared" si="1"/>
        <v>0</v>
      </c>
      <c r="L17" s="347" t="s">
        <v>744</v>
      </c>
      <c r="M17" s="346" t="s">
        <v>647</v>
      </c>
      <c r="N17" s="346">
        <v>577.4</v>
      </c>
      <c r="O17" s="346" t="s">
        <v>57</v>
      </c>
    </row>
    <row r="18" spans="1:15">
      <c r="A18" s="50" t="s">
        <v>60</v>
      </c>
      <c r="B18" s="51" t="s">
        <v>61</v>
      </c>
      <c r="C18" s="53">
        <v>577.4</v>
      </c>
      <c r="D18" s="209" t="s">
        <v>690</v>
      </c>
      <c r="E18" s="306" t="str">
        <f t="shared" si="0"/>
        <v>si</v>
      </c>
      <c r="F18" s="309" t="s">
        <v>746</v>
      </c>
      <c r="G18" s="307" t="s">
        <v>690</v>
      </c>
      <c r="H18" s="53">
        <v>577.4</v>
      </c>
      <c r="I18" s="307" t="s">
        <v>61</v>
      </c>
      <c r="J18" s="306">
        <f t="shared" si="1"/>
        <v>0</v>
      </c>
      <c r="L18" s="347" t="s">
        <v>746</v>
      </c>
      <c r="M18" s="346" t="s">
        <v>690</v>
      </c>
      <c r="N18" s="346">
        <v>577.4</v>
      </c>
      <c r="O18" s="346" t="s">
        <v>61</v>
      </c>
    </row>
    <row r="19" spans="1:15" s="335" customFormat="1">
      <c r="A19" s="64"/>
      <c r="B19" s="65"/>
      <c r="C19" s="345"/>
      <c r="D19" s="341"/>
      <c r="E19" s="335" t="str">
        <f t="shared" si="0"/>
        <v>no</v>
      </c>
      <c r="F19" s="331" t="s">
        <v>835</v>
      </c>
      <c r="G19" s="317" t="s">
        <v>838</v>
      </c>
      <c r="H19" s="345">
        <v>104</v>
      </c>
      <c r="I19" s="317" t="s">
        <v>834</v>
      </c>
      <c r="J19" s="306" t="e">
        <f t="shared" si="1"/>
        <v>#VALUE!</v>
      </c>
      <c r="L19" s="331" t="s">
        <v>835</v>
      </c>
      <c r="M19" s="340" t="s">
        <v>838</v>
      </c>
      <c r="N19" s="340">
        <v>104</v>
      </c>
      <c r="O19" s="340" t="s">
        <v>834</v>
      </c>
    </row>
    <row r="20" spans="1:15">
      <c r="A20" s="50" t="s">
        <v>62</v>
      </c>
      <c r="B20" s="51" t="s">
        <v>63</v>
      </c>
      <c r="C20" s="53">
        <v>577.4</v>
      </c>
      <c r="D20" s="209" t="s">
        <v>657</v>
      </c>
      <c r="E20" s="306" t="str">
        <f t="shared" si="0"/>
        <v>si</v>
      </c>
      <c r="F20" s="309" t="s">
        <v>747</v>
      </c>
      <c r="G20" s="307" t="s">
        <v>657</v>
      </c>
      <c r="H20" s="53">
        <v>577.20000000000005</v>
      </c>
      <c r="I20" s="307" t="s">
        <v>63</v>
      </c>
      <c r="J20" s="306">
        <f t="shared" si="1"/>
        <v>0</v>
      </c>
      <c r="L20" s="347" t="s">
        <v>747</v>
      </c>
      <c r="M20" s="346" t="s">
        <v>657</v>
      </c>
      <c r="N20" s="346">
        <v>577.20000000000005</v>
      </c>
      <c r="O20" s="346" t="s">
        <v>63</v>
      </c>
    </row>
    <row r="21" spans="1:15">
      <c r="A21" s="50" t="s">
        <v>64</v>
      </c>
      <c r="B21" s="51" t="s">
        <v>65</v>
      </c>
      <c r="C21" s="53">
        <v>577.20000000000005</v>
      </c>
      <c r="D21" s="209" t="s">
        <v>682</v>
      </c>
      <c r="E21" s="306" t="str">
        <f t="shared" si="0"/>
        <v>si</v>
      </c>
      <c r="F21" s="309" t="s">
        <v>748</v>
      </c>
      <c r="G21" s="307" t="s">
        <v>682</v>
      </c>
      <c r="H21" s="53">
        <v>577.20000000000005</v>
      </c>
      <c r="I21" s="307" t="s">
        <v>65</v>
      </c>
      <c r="J21" s="306">
        <f t="shared" si="1"/>
        <v>0</v>
      </c>
      <c r="L21" s="347" t="s">
        <v>748</v>
      </c>
      <c r="M21" s="346" t="s">
        <v>682</v>
      </c>
      <c r="N21" s="346">
        <v>577.20000000000005</v>
      </c>
      <c r="O21" s="346" t="s">
        <v>65</v>
      </c>
    </row>
    <row r="22" spans="1:15">
      <c r="A22" s="50" t="s">
        <v>66</v>
      </c>
      <c r="B22" s="51" t="s">
        <v>67</v>
      </c>
      <c r="C22" s="53">
        <v>577.20000000000005</v>
      </c>
      <c r="D22" s="209" t="s">
        <v>688</v>
      </c>
      <c r="E22" s="306" t="str">
        <f t="shared" si="0"/>
        <v>si</v>
      </c>
      <c r="F22" s="309" t="s">
        <v>749</v>
      </c>
      <c r="G22" s="307" t="s">
        <v>688</v>
      </c>
      <c r="H22" s="53">
        <v>577.4</v>
      </c>
      <c r="I22" s="307" t="s">
        <v>67</v>
      </c>
      <c r="J22" s="306">
        <f t="shared" si="1"/>
        <v>0</v>
      </c>
      <c r="L22" s="347" t="s">
        <v>749</v>
      </c>
      <c r="M22" s="346" t="s">
        <v>688</v>
      </c>
      <c r="N22" s="346">
        <v>577.4</v>
      </c>
      <c r="O22" s="346" t="s">
        <v>67</v>
      </c>
    </row>
    <row r="23" spans="1:15">
      <c r="A23" s="50" t="s">
        <v>68</v>
      </c>
      <c r="B23" s="51" t="s">
        <v>69</v>
      </c>
      <c r="C23" s="53">
        <v>577.20000000000005</v>
      </c>
      <c r="D23" s="209" t="s">
        <v>678</v>
      </c>
      <c r="E23" s="306" t="str">
        <f t="shared" si="0"/>
        <v>si</v>
      </c>
      <c r="F23" s="309" t="s">
        <v>750</v>
      </c>
      <c r="G23" s="307" t="s">
        <v>678</v>
      </c>
      <c r="H23" s="53">
        <v>577.4</v>
      </c>
      <c r="I23" s="307" t="s">
        <v>69</v>
      </c>
      <c r="J23" s="306">
        <f t="shared" si="1"/>
        <v>0</v>
      </c>
      <c r="L23" s="347" t="s">
        <v>750</v>
      </c>
      <c r="M23" s="346" t="s">
        <v>678</v>
      </c>
      <c r="N23" s="346">
        <v>577.4</v>
      </c>
      <c r="O23" s="346" t="s">
        <v>69</v>
      </c>
    </row>
    <row r="24" spans="1:15">
      <c r="A24" s="50" t="s">
        <v>70</v>
      </c>
      <c r="B24" s="51" t="s">
        <v>71</v>
      </c>
      <c r="C24" s="53">
        <v>409.40000000000003</v>
      </c>
      <c r="D24" s="209" t="s">
        <v>641</v>
      </c>
      <c r="E24" s="306" t="str">
        <f t="shared" si="0"/>
        <v>si</v>
      </c>
      <c r="F24" s="309" t="s">
        <v>751</v>
      </c>
      <c r="G24" s="307" t="s">
        <v>641</v>
      </c>
      <c r="H24" s="53">
        <v>409.20000000000005</v>
      </c>
      <c r="I24" s="307" t="s">
        <v>71</v>
      </c>
      <c r="J24" s="306">
        <f t="shared" si="1"/>
        <v>0</v>
      </c>
      <c r="L24" s="347" t="s">
        <v>751</v>
      </c>
      <c r="M24" s="346" t="s">
        <v>641</v>
      </c>
      <c r="N24" s="346">
        <v>409.2</v>
      </c>
      <c r="O24" s="346" t="s">
        <v>71</v>
      </c>
    </row>
    <row r="25" spans="1:15">
      <c r="A25" s="50" t="s">
        <v>72</v>
      </c>
      <c r="B25" s="51" t="s">
        <v>73</v>
      </c>
      <c r="C25" s="53">
        <v>577.4</v>
      </c>
      <c r="D25" s="209" t="s">
        <v>660</v>
      </c>
      <c r="E25" s="306" t="str">
        <f t="shared" si="0"/>
        <v>si</v>
      </c>
      <c r="F25" s="309" t="s">
        <v>498</v>
      </c>
      <c r="G25" s="307" t="s">
        <v>660</v>
      </c>
      <c r="H25" s="53">
        <v>577.4</v>
      </c>
      <c r="I25" s="307" t="s">
        <v>73</v>
      </c>
      <c r="J25" s="306">
        <f t="shared" si="1"/>
        <v>0</v>
      </c>
      <c r="L25" s="347" t="s">
        <v>498</v>
      </c>
      <c r="M25" s="346" t="s">
        <v>660</v>
      </c>
      <c r="N25" s="346">
        <v>577.4</v>
      </c>
      <c r="O25" s="346" t="s">
        <v>73</v>
      </c>
    </row>
    <row r="26" spans="1:15">
      <c r="A26" s="50" t="s">
        <v>76</v>
      </c>
      <c r="B26" s="51" t="s">
        <v>77</v>
      </c>
      <c r="C26" s="53">
        <v>577.4</v>
      </c>
      <c r="D26" s="209" t="s">
        <v>656</v>
      </c>
      <c r="E26" s="306" t="str">
        <f t="shared" si="0"/>
        <v>si</v>
      </c>
      <c r="F26" s="309" t="s">
        <v>752</v>
      </c>
      <c r="G26" s="307" t="s">
        <v>656</v>
      </c>
      <c r="H26" s="53">
        <v>577.4</v>
      </c>
      <c r="I26" s="307" t="s">
        <v>77</v>
      </c>
      <c r="J26" s="306">
        <f t="shared" si="1"/>
        <v>0</v>
      </c>
      <c r="L26" s="347" t="s">
        <v>752</v>
      </c>
      <c r="M26" s="346" t="s">
        <v>656</v>
      </c>
      <c r="N26" s="346">
        <v>577.4</v>
      </c>
      <c r="O26" s="346" t="s">
        <v>77</v>
      </c>
    </row>
    <row r="27" spans="1:15">
      <c r="A27" s="50" t="s">
        <v>78</v>
      </c>
      <c r="B27" s="51" t="s">
        <v>79</v>
      </c>
      <c r="C27" s="53">
        <v>577.4</v>
      </c>
      <c r="D27" s="209" t="s">
        <v>683</v>
      </c>
      <c r="E27" s="306" t="str">
        <f t="shared" si="0"/>
        <v>si</v>
      </c>
      <c r="F27" s="309" t="s">
        <v>753</v>
      </c>
      <c r="G27" s="307" t="s">
        <v>683</v>
      </c>
      <c r="H27" s="53">
        <v>577.20000000000005</v>
      </c>
      <c r="I27" s="307" t="s">
        <v>79</v>
      </c>
      <c r="J27" s="306">
        <f t="shared" si="1"/>
        <v>0</v>
      </c>
      <c r="L27" s="347" t="s">
        <v>753</v>
      </c>
      <c r="M27" s="346" t="s">
        <v>683</v>
      </c>
      <c r="N27" s="346">
        <v>577.20000000000005</v>
      </c>
      <c r="O27" s="346" t="s">
        <v>79</v>
      </c>
    </row>
    <row r="28" spans="1:15" s="335" customFormat="1">
      <c r="A28" s="64"/>
      <c r="B28" s="108"/>
      <c r="C28" s="345"/>
      <c r="D28" s="341"/>
      <c r="E28" s="335" t="str">
        <f t="shared" si="0"/>
        <v>no</v>
      </c>
      <c r="F28" s="331" t="s">
        <v>826</v>
      </c>
      <c r="G28" s="330">
        <v>2986476066</v>
      </c>
      <c r="H28" s="345">
        <v>482.60142857142853</v>
      </c>
      <c r="I28" s="317" t="s">
        <v>827</v>
      </c>
      <c r="J28" s="306">
        <f t="shared" si="1"/>
        <v>-2986476066</v>
      </c>
      <c r="L28" s="331" t="s">
        <v>826</v>
      </c>
      <c r="M28" s="340" t="s">
        <v>838</v>
      </c>
      <c r="N28" s="340">
        <v>482.6</v>
      </c>
      <c r="O28" s="340" t="s">
        <v>827</v>
      </c>
    </row>
    <row r="29" spans="1:15" s="335" customFormat="1">
      <c r="A29" s="64" t="s">
        <v>500</v>
      </c>
      <c r="B29" s="65" t="s">
        <v>501</v>
      </c>
      <c r="C29" s="345">
        <v>338.20000000000005</v>
      </c>
      <c r="D29" s="341">
        <v>2861674129</v>
      </c>
      <c r="E29" s="335" t="str">
        <f t="shared" si="0"/>
        <v>si</v>
      </c>
      <c r="F29" s="331" t="s">
        <v>500</v>
      </c>
      <c r="G29" s="317">
        <v>2861674129</v>
      </c>
      <c r="H29" s="345">
        <v>577.20000000000005</v>
      </c>
      <c r="I29" s="317" t="s">
        <v>501</v>
      </c>
      <c r="J29" s="306">
        <f t="shared" si="1"/>
        <v>0</v>
      </c>
      <c r="L29" s="331" t="s">
        <v>500</v>
      </c>
      <c r="M29" s="340" t="s">
        <v>838</v>
      </c>
      <c r="N29" s="340">
        <v>577.20000000000005</v>
      </c>
      <c r="O29" s="340" t="s">
        <v>501</v>
      </c>
    </row>
    <row r="30" spans="1:15">
      <c r="A30" s="50" t="s">
        <v>80</v>
      </c>
      <c r="B30" s="51" t="s">
        <v>81</v>
      </c>
      <c r="C30" s="53">
        <v>577.4</v>
      </c>
      <c r="D30" s="209" t="s">
        <v>671</v>
      </c>
      <c r="E30" s="306" t="str">
        <f t="shared" si="0"/>
        <v>si</v>
      </c>
      <c r="F30" s="309" t="s">
        <v>80</v>
      </c>
      <c r="G30" s="307" t="s">
        <v>671</v>
      </c>
      <c r="H30" s="53">
        <v>577.4</v>
      </c>
      <c r="I30" s="307" t="s">
        <v>81</v>
      </c>
      <c r="J30" s="306">
        <f t="shared" si="1"/>
        <v>0</v>
      </c>
      <c r="L30" s="347" t="s">
        <v>80</v>
      </c>
      <c r="M30" s="346" t="s">
        <v>671</v>
      </c>
      <c r="N30" s="346">
        <v>577.4</v>
      </c>
      <c r="O30" s="346" t="s">
        <v>81</v>
      </c>
    </row>
    <row r="31" spans="1:15" s="335" customFormat="1">
      <c r="A31" s="64"/>
      <c r="B31" s="65"/>
      <c r="C31" s="345"/>
      <c r="D31" s="341"/>
      <c r="E31" s="335" t="str">
        <f t="shared" si="0"/>
        <v>no</v>
      </c>
      <c r="F31" s="331" t="s">
        <v>828</v>
      </c>
      <c r="G31" s="330">
        <v>2962956136</v>
      </c>
      <c r="H31" s="345">
        <v>577.4</v>
      </c>
      <c r="I31" s="317" t="s">
        <v>829</v>
      </c>
      <c r="J31" s="306">
        <f t="shared" si="1"/>
        <v>-2962956136</v>
      </c>
      <c r="L31" s="331" t="s">
        <v>828</v>
      </c>
      <c r="M31" s="340" t="s">
        <v>838</v>
      </c>
      <c r="N31" s="340">
        <v>577.4</v>
      </c>
      <c r="O31" s="340" t="s">
        <v>829</v>
      </c>
    </row>
    <row r="32" spans="1:15">
      <c r="A32" s="50" t="s">
        <v>82</v>
      </c>
      <c r="B32" s="51" t="s">
        <v>83</v>
      </c>
      <c r="C32" s="53">
        <v>577.4</v>
      </c>
      <c r="D32" s="209" t="s">
        <v>644</v>
      </c>
      <c r="E32" s="306" t="str">
        <f t="shared" si="0"/>
        <v>si</v>
      </c>
      <c r="F32" s="309" t="s">
        <v>82</v>
      </c>
      <c r="G32" s="307" t="s">
        <v>644</v>
      </c>
      <c r="H32" s="53">
        <v>577.4</v>
      </c>
      <c r="I32" s="307" t="s">
        <v>83</v>
      </c>
      <c r="J32" s="306">
        <f t="shared" si="1"/>
        <v>0</v>
      </c>
      <c r="L32" s="347" t="s">
        <v>82</v>
      </c>
      <c r="M32" s="346" t="s">
        <v>644</v>
      </c>
      <c r="N32" s="346">
        <v>577.4</v>
      </c>
      <c r="O32" s="346" t="s">
        <v>83</v>
      </c>
    </row>
    <row r="33" spans="1:15">
      <c r="A33" s="50" t="s">
        <v>197</v>
      </c>
      <c r="B33" s="51" t="s">
        <v>198</v>
      </c>
      <c r="C33" s="53">
        <v>577.4</v>
      </c>
      <c r="D33" s="209" t="s">
        <v>706</v>
      </c>
      <c r="E33" s="306" t="str">
        <f t="shared" si="0"/>
        <v>si</v>
      </c>
      <c r="F33" s="309" t="s">
        <v>754</v>
      </c>
      <c r="G33" s="307" t="s">
        <v>706</v>
      </c>
      <c r="H33" s="53">
        <v>577.20000000000005</v>
      </c>
      <c r="I33" s="307" t="s">
        <v>198</v>
      </c>
      <c r="J33" s="306">
        <f t="shared" si="1"/>
        <v>0</v>
      </c>
      <c r="L33" s="347" t="s">
        <v>754</v>
      </c>
      <c r="M33" s="346" t="s">
        <v>706</v>
      </c>
      <c r="N33" s="346">
        <v>577.20000000000005</v>
      </c>
      <c r="O33" s="346" t="s">
        <v>198</v>
      </c>
    </row>
    <row r="34" spans="1:15">
      <c r="A34" s="50" t="s">
        <v>86</v>
      </c>
      <c r="B34" s="51" t="s">
        <v>87</v>
      </c>
      <c r="C34" s="53">
        <v>577.20000000000005</v>
      </c>
      <c r="D34" s="209" t="s">
        <v>694</v>
      </c>
      <c r="E34" s="306" t="str">
        <f t="shared" si="0"/>
        <v>si</v>
      </c>
      <c r="F34" s="309" t="s">
        <v>755</v>
      </c>
      <c r="G34" s="307" t="s">
        <v>694</v>
      </c>
      <c r="H34" s="53">
        <v>577.4</v>
      </c>
      <c r="I34" s="307" t="s">
        <v>87</v>
      </c>
      <c r="J34" s="306">
        <f t="shared" si="1"/>
        <v>0</v>
      </c>
      <c r="L34" s="347" t="s">
        <v>755</v>
      </c>
      <c r="M34" s="346" t="s">
        <v>694</v>
      </c>
      <c r="N34" s="346">
        <v>577.4</v>
      </c>
      <c r="O34" s="346" t="s">
        <v>87</v>
      </c>
    </row>
    <row r="35" spans="1:15">
      <c r="A35" s="50" t="s">
        <v>88</v>
      </c>
      <c r="B35" s="51" t="s">
        <v>89</v>
      </c>
      <c r="C35" s="53">
        <v>577.4</v>
      </c>
      <c r="D35" s="209" t="s">
        <v>701</v>
      </c>
      <c r="E35" s="306" t="str">
        <f t="shared" si="0"/>
        <v>si</v>
      </c>
      <c r="F35" s="309" t="s">
        <v>503</v>
      </c>
      <c r="G35" s="307" t="s">
        <v>701</v>
      </c>
      <c r="H35" s="53">
        <v>577.4</v>
      </c>
      <c r="I35" s="307" t="s">
        <v>89</v>
      </c>
      <c r="J35" s="306">
        <f t="shared" si="1"/>
        <v>0</v>
      </c>
      <c r="L35" s="347" t="s">
        <v>503</v>
      </c>
      <c r="M35" s="346" t="s">
        <v>701</v>
      </c>
      <c r="N35" s="346">
        <v>577.4</v>
      </c>
      <c r="O35" s="346" t="s">
        <v>89</v>
      </c>
    </row>
    <row r="36" spans="1:15">
      <c r="A36" s="50" t="s">
        <v>90</v>
      </c>
      <c r="B36" s="51" t="s">
        <v>91</v>
      </c>
      <c r="C36" s="53">
        <v>577.38</v>
      </c>
      <c r="D36" s="209" t="s">
        <v>676</v>
      </c>
      <c r="E36" s="306" t="str">
        <f t="shared" si="0"/>
        <v>si</v>
      </c>
      <c r="F36" s="309" t="s">
        <v>756</v>
      </c>
      <c r="G36" s="307" t="s">
        <v>676</v>
      </c>
      <c r="H36" s="53">
        <v>577.4</v>
      </c>
      <c r="I36" s="307" t="s">
        <v>91</v>
      </c>
      <c r="J36" s="306">
        <f t="shared" si="1"/>
        <v>0</v>
      </c>
      <c r="L36" s="347" t="s">
        <v>756</v>
      </c>
      <c r="M36" s="346" t="s">
        <v>676</v>
      </c>
      <c r="N36" s="346">
        <v>577.4</v>
      </c>
      <c r="O36" s="346" t="s">
        <v>91</v>
      </c>
    </row>
    <row r="37" spans="1:15">
      <c r="A37" s="50" t="s">
        <v>92</v>
      </c>
      <c r="B37" s="51" t="s">
        <v>93</v>
      </c>
      <c r="C37" s="53">
        <v>482.60142857142853</v>
      </c>
      <c r="D37" s="209" t="s">
        <v>655</v>
      </c>
      <c r="E37" s="306" t="str">
        <f t="shared" si="0"/>
        <v>si</v>
      </c>
      <c r="F37" s="309" t="s">
        <v>757</v>
      </c>
      <c r="G37" s="307" t="s">
        <v>655</v>
      </c>
      <c r="H37" s="53">
        <v>577.4</v>
      </c>
      <c r="I37" s="307" t="s">
        <v>93</v>
      </c>
      <c r="J37" s="306">
        <f t="shared" si="1"/>
        <v>0</v>
      </c>
      <c r="L37" s="347" t="s">
        <v>757</v>
      </c>
      <c r="M37" s="346" t="s">
        <v>655</v>
      </c>
      <c r="N37" s="346">
        <v>577.4</v>
      </c>
      <c r="O37" s="346" t="s">
        <v>93</v>
      </c>
    </row>
    <row r="38" spans="1:15" s="335" customFormat="1">
      <c r="A38" s="64" t="s">
        <v>94</v>
      </c>
      <c r="B38" s="65" t="s">
        <v>95</v>
      </c>
      <c r="C38" s="345">
        <v>577.20000000000005</v>
      </c>
      <c r="D38" s="341" t="s">
        <v>640</v>
      </c>
      <c r="E38" s="335" t="str">
        <f t="shared" si="0"/>
        <v>si</v>
      </c>
      <c r="F38" s="331" t="s">
        <v>758</v>
      </c>
      <c r="G38" s="342" t="s">
        <v>640</v>
      </c>
      <c r="H38" s="345">
        <v>577.4</v>
      </c>
      <c r="I38" s="317" t="s">
        <v>95</v>
      </c>
      <c r="J38" s="306" t="e">
        <f t="shared" si="1"/>
        <v>#VALUE!</v>
      </c>
      <c r="L38" s="331" t="s">
        <v>758</v>
      </c>
      <c r="M38" s="340" t="s">
        <v>838</v>
      </c>
      <c r="N38" s="340">
        <v>577.4</v>
      </c>
      <c r="O38" s="340" t="s">
        <v>95</v>
      </c>
    </row>
    <row r="39" spans="1:15">
      <c r="A39" s="50" t="s">
        <v>96</v>
      </c>
      <c r="B39" s="51" t="s">
        <v>97</v>
      </c>
      <c r="C39" s="53">
        <v>577.4</v>
      </c>
      <c r="D39" s="209" t="s">
        <v>681</v>
      </c>
      <c r="E39" s="306" t="str">
        <f t="shared" si="0"/>
        <v>si</v>
      </c>
      <c r="F39" s="309" t="s">
        <v>759</v>
      </c>
      <c r="G39" s="307" t="s">
        <v>681</v>
      </c>
      <c r="H39" s="53">
        <v>577.20000000000005</v>
      </c>
      <c r="I39" s="307" t="s">
        <v>97</v>
      </c>
      <c r="J39" s="306">
        <f t="shared" si="1"/>
        <v>0</v>
      </c>
      <c r="L39" s="347" t="s">
        <v>759</v>
      </c>
      <c r="M39" s="346" t="s">
        <v>681</v>
      </c>
      <c r="N39" s="346">
        <v>577.20000000000005</v>
      </c>
      <c r="O39" s="346" t="s">
        <v>97</v>
      </c>
    </row>
    <row r="40" spans="1:15">
      <c r="A40" s="50" t="s">
        <v>99</v>
      </c>
      <c r="B40" s="51" t="s">
        <v>100</v>
      </c>
      <c r="C40" s="53">
        <v>577.4</v>
      </c>
      <c r="D40" s="209" t="s">
        <v>693</v>
      </c>
      <c r="E40" s="306" t="str">
        <f t="shared" si="0"/>
        <v>si</v>
      </c>
      <c r="F40" s="309" t="s">
        <v>760</v>
      </c>
      <c r="G40" s="307" t="s">
        <v>693</v>
      </c>
      <c r="H40" s="53">
        <v>577.20000000000005</v>
      </c>
      <c r="I40" s="307" t="s">
        <v>100</v>
      </c>
      <c r="J40" s="306">
        <f t="shared" si="1"/>
        <v>0</v>
      </c>
      <c r="L40" s="347" t="s">
        <v>760</v>
      </c>
      <c r="M40" s="346" t="s">
        <v>693</v>
      </c>
      <c r="N40" s="346">
        <v>577.20000000000005</v>
      </c>
      <c r="O40" s="346" t="s">
        <v>100</v>
      </c>
    </row>
    <row r="41" spans="1:15">
      <c r="A41" s="50" t="s">
        <v>101</v>
      </c>
      <c r="B41" s="51" t="s">
        <v>102</v>
      </c>
      <c r="C41" s="53">
        <v>577.4</v>
      </c>
      <c r="D41" s="209" t="s">
        <v>672</v>
      </c>
      <c r="E41" s="306" t="str">
        <f t="shared" si="0"/>
        <v>si</v>
      </c>
      <c r="F41" s="309" t="s">
        <v>761</v>
      </c>
      <c r="G41" s="307" t="s">
        <v>672</v>
      </c>
      <c r="H41" s="53">
        <v>577.20000000000005</v>
      </c>
      <c r="I41" s="307" t="s">
        <v>102</v>
      </c>
      <c r="J41" s="306">
        <f t="shared" si="1"/>
        <v>0</v>
      </c>
      <c r="L41" s="347" t="s">
        <v>761</v>
      </c>
      <c r="M41" s="346" t="s">
        <v>672</v>
      </c>
      <c r="N41" s="346">
        <v>577.20000000000005</v>
      </c>
      <c r="O41" s="346" t="s">
        <v>102</v>
      </c>
    </row>
    <row r="42" spans="1:15" s="335" customFormat="1">
      <c r="A42" s="64"/>
      <c r="B42" s="108" t="s">
        <v>621</v>
      </c>
      <c r="C42" s="345">
        <v>577.4</v>
      </c>
      <c r="D42" s="341">
        <v>2948910731</v>
      </c>
      <c r="E42" s="335" t="str">
        <f t="shared" si="0"/>
        <v>si</v>
      </c>
      <c r="F42" s="331" t="s">
        <v>762</v>
      </c>
      <c r="G42" s="317">
        <v>2948910731</v>
      </c>
      <c r="H42" s="345">
        <v>577.4</v>
      </c>
      <c r="I42" s="317" t="s">
        <v>763</v>
      </c>
      <c r="J42" s="306">
        <f t="shared" si="1"/>
        <v>0</v>
      </c>
      <c r="L42" s="331" t="s">
        <v>762</v>
      </c>
      <c r="M42" s="340" t="s">
        <v>838</v>
      </c>
      <c r="N42" s="340">
        <v>0</v>
      </c>
      <c r="O42" s="340" t="s">
        <v>763</v>
      </c>
    </row>
    <row r="43" spans="1:15">
      <c r="A43" s="50" t="s">
        <v>103</v>
      </c>
      <c r="B43" s="51" t="s">
        <v>104</v>
      </c>
      <c r="C43" s="53">
        <v>577.4</v>
      </c>
      <c r="D43" s="209" t="s">
        <v>651</v>
      </c>
      <c r="E43" s="306" t="str">
        <f t="shared" si="0"/>
        <v>si</v>
      </c>
      <c r="F43" s="309" t="s">
        <v>764</v>
      </c>
      <c r="G43" s="307" t="s">
        <v>651</v>
      </c>
      <c r="H43" s="53">
        <v>577.20000000000005</v>
      </c>
      <c r="I43" s="307" t="s">
        <v>104</v>
      </c>
      <c r="J43" s="306">
        <f t="shared" si="1"/>
        <v>0</v>
      </c>
      <c r="L43" s="347" t="s">
        <v>764</v>
      </c>
      <c r="M43" s="346" t="s">
        <v>651</v>
      </c>
      <c r="N43" s="346">
        <v>0</v>
      </c>
      <c r="O43" s="346" t="s">
        <v>104</v>
      </c>
    </row>
    <row r="44" spans="1:15">
      <c r="A44" s="50" t="s">
        <v>105</v>
      </c>
      <c r="B44" s="51" t="s">
        <v>106</v>
      </c>
      <c r="C44" s="53">
        <v>577.4</v>
      </c>
      <c r="D44" s="209" t="s">
        <v>687</v>
      </c>
      <c r="E44" s="306" t="str">
        <f t="shared" si="0"/>
        <v>si</v>
      </c>
      <c r="F44" s="309" t="s">
        <v>765</v>
      </c>
      <c r="G44" s="307" t="s">
        <v>687</v>
      </c>
      <c r="H44" s="53">
        <v>577.4</v>
      </c>
      <c r="I44" s="307" t="s">
        <v>106</v>
      </c>
      <c r="J44" s="306">
        <f t="shared" si="1"/>
        <v>0</v>
      </c>
      <c r="L44" s="347" t="s">
        <v>765</v>
      </c>
      <c r="M44" s="346" t="s">
        <v>687</v>
      </c>
      <c r="N44" s="346">
        <v>0</v>
      </c>
      <c r="O44" s="346" t="s">
        <v>106</v>
      </c>
    </row>
    <row r="45" spans="1:15" s="335" customFormat="1">
      <c r="A45" s="64" t="s">
        <v>516</v>
      </c>
      <c r="B45" s="65" t="s">
        <v>515</v>
      </c>
      <c r="C45" s="345">
        <v>82.600000000000009</v>
      </c>
      <c r="D45" s="341">
        <v>1296641458</v>
      </c>
      <c r="E45" s="335" t="str">
        <f t="shared" si="0"/>
        <v>si</v>
      </c>
      <c r="F45" s="331" t="s">
        <v>516</v>
      </c>
      <c r="G45" s="317">
        <v>1296641458</v>
      </c>
      <c r="H45" s="345">
        <v>577.20000000000005</v>
      </c>
      <c r="I45" s="317" t="s">
        <v>515</v>
      </c>
      <c r="J45" s="306">
        <f t="shared" si="1"/>
        <v>0</v>
      </c>
      <c r="L45" s="331" t="s">
        <v>516</v>
      </c>
      <c r="M45" s="340" t="s">
        <v>838</v>
      </c>
      <c r="N45" s="340">
        <v>577.20000000000005</v>
      </c>
      <c r="O45" s="340" t="s">
        <v>515</v>
      </c>
    </row>
    <row r="46" spans="1:15" s="335" customFormat="1">
      <c r="A46" s="64" t="s">
        <v>504</v>
      </c>
      <c r="B46" s="65" t="s">
        <v>505</v>
      </c>
      <c r="C46" s="345">
        <v>338.20000000000005</v>
      </c>
      <c r="D46" s="341">
        <v>2959119167</v>
      </c>
      <c r="E46" s="335" t="str">
        <f t="shared" si="0"/>
        <v>si</v>
      </c>
      <c r="F46" s="331" t="s">
        <v>504</v>
      </c>
      <c r="G46" s="317">
        <v>2959119167</v>
      </c>
      <c r="H46" s="345">
        <v>577.4</v>
      </c>
      <c r="I46" s="317" t="s">
        <v>505</v>
      </c>
      <c r="J46" s="306">
        <f t="shared" si="1"/>
        <v>0</v>
      </c>
      <c r="L46" s="331" t="s">
        <v>504</v>
      </c>
      <c r="M46" s="340" t="s">
        <v>838</v>
      </c>
      <c r="N46" s="340">
        <v>577.4</v>
      </c>
      <c r="O46" s="340" t="s">
        <v>505</v>
      </c>
    </row>
    <row r="47" spans="1:15">
      <c r="A47" s="50" t="s">
        <v>107</v>
      </c>
      <c r="B47" s="51" t="s">
        <v>108</v>
      </c>
      <c r="C47" s="53">
        <v>577.4</v>
      </c>
      <c r="D47" s="209" t="s">
        <v>659</v>
      </c>
      <c r="E47" s="306" t="str">
        <f t="shared" si="0"/>
        <v>si</v>
      </c>
      <c r="F47" s="309" t="s">
        <v>766</v>
      </c>
      <c r="G47" s="307" t="s">
        <v>659</v>
      </c>
      <c r="H47" s="53">
        <v>577.4</v>
      </c>
      <c r="I47" s="307" t="s">
        <v>108</v>
      </c>
      <c r="J47" s="306">
        <f t="shared" si="1"/>
        <v>0</v>
      </c>
      <c r="L47" s="347" t="s">
        <v>766</v>
      </c>
      <c r="M47" s="346" t="s">
        <v>659</v>
      </c>
      <c r="N47" s="346">
        <v>0</v>
      </c>
      <c r="O47" s="346" t="s">
        <v>108</v>
      </c>
    </row>
    <row r="48" spans="1:15">
      <c r="A48" s="50" t="s">
        <v>109</v>
      </c>
      <c r="B48" s="51" t="s">
        <v>110</v>
      </c>
      <c r="C48" s="53">
        <v>577.4</v>
      </c>
      <c r="D48" s="209" t="s">
        <v>650</v>
      </c>
      <c r="E48" s="306" t="str">
        <f t="shared" si="0"/>
        <v>si</v>
      </c>
      <c r="F48" s="309" t="s">
        <v>506</v>
      </c>
      <c r="G48" s="307" t="s">
        <v>650</v>
      </c>
      <c r="H48" s="53">
        <v>577.20000000000005</v>
      </c>
      <c r="I48" s="307" t="s">
        <v>110</v>
      </c>
      <c r="J48" s="306">
        <f t="shared" si="1"/>
        <v>0</v>
      </c>
      <c r="L48" s="347" t="s">
        <v>506</v>
      </c>
      <c r="M48" s="346" t="s">
        <v>650</v>
      </c>
      <c r="N48" s="346">
        <v>0</v>
      </c>
      <c r="O48" s="346" t="s">
        <v>110</v>
      </c>
    </row>
    <row r="49" spans="1:15" s="335" customFormat="1">
      <c r="A49" s="64" t="s">
        <v>196</v>
      </c>
      <c r="B49" s="65" t="s">
        <v>296</v>
      </c>
      <c r="C49" s="345">
        <v>577.4</v>
      </c>
      <c r="D49" s="341" t="s">
        <v>708</v>
      </c>
      <c r="E49" s="335" t="str">
        <f t="shared" si="0"/>
        <v>si</v>
      </c>
      <c r="F49" s="331" t="s">
        <v>767</v>
      </c>
      <c r="G49" s="317">
        <v>2967093632</v>
      </c>
      <c r="H49" s="345">
        <v>577.20000000000005</v>
      </c>
      <c r="I49" s="317" t="s">
        <v>296</v>
      </c>
      <c r="J49" s="306" t="e">
        <f t="shared" si="1"/>
        <v>#VALUE!</v>
      </c>
      <c r="L49" s="331" t="s">
        <v>767</v>
      </c>
      <c r="M49" s="340" t="s">
        <v>838</v>
      </c>
      <c r="N49" s="340">
        <v>577.20000000000005</v>
      </c>
      <c r="O49" s="340" t="s">
        <v>296</v>
      </c>
    </row>
    <row r="50" spans="1:15">
      <c r="A50" s="50" t="s">
        <v>111</v>
      </c>
      <c r="B50" s="51" t="s">
        <v>112</v>
      </c>
      <c r="C50" s="53">
        <v>577.4</v>
      </c>
      <c r="D50" s="209" t="s">
        <v>686</v>
      </c>
      <c r="E50" s="306" t="str">
        <f t="shared" si="0"/>
        <v>si</v>
      </c>
      <c r="F50" s="309" t="s">
        <v>111</v>
      </c>
      <c r="G50" s="307" t="s">
        <v>686</v>
      </c>
      <c r="H50" s="53">
        <v>45.000000000000057</v>
      </c>
      <c r="I50" s="307" t="s">
        <v>112</v>
      </c>
      <c r="J50" s="306">
        <f t="shared" si="1"/>
        <v>0</v>
      </c>
      <c r="L50" s="347" t="s">
        <v>111</v>
      </c>
      <c r="M50" s="346" t="s">
        <v>686</v>
      </c>
      <c r="N50" s="346">
        <v>45</v>
      </c>
      <c r="O50" s="346" t="s">
        <v>112</v>
      </c>
    </row>
    <row r="51" spans="1:15" s="335" customFormat="1">
      <c r="A51" s="64"/>
      <c r="B51" s="65"/>
      <c r="C51" s="345"/>
      <c r="D51" s="341"/>
      <c r="E51" s="335" t="str">
        <f t="shared" si="0"/>
        <v>no</v>
      </c>
      <c r="F51" s="331" t="s">
        <v>802</v>
      </c>
      <c r="G51" s="330">
        <v>1171363360</v>
      </c>
      <c r="H51" s="345">
        <v>577.20000000000005</v>
      </c>
      <c r="I51" s="317" t="s">
        <v>803</v>
      </c>
      <c r="J51" s="306">
        <f t="shared" si="1"/>
        <v>-1171363360</v>
      </c>
      <c r="L51" s="331" t="s">
        <v>802</v>
      </c>
      <c r="M51" s="340" t="s">
        <v>838</v>
      </c>
      <c r="N51" s="340">
        <v>577.20000000000005</v>
      </c>
      <c r="O51" s="340" t="s">
        <v>803</v>
      </c>
    </row>
    <row r="52" spans="1:15" s="335" customFormat="1">
      <c r="A52" s="64"/>
      <c r="B52" s="108" t="s">
        <v>625</v>
      </c>
      <c r="C52" s="345">
        <v>577.4</v>
      </c>
      <c r="D52" s="341">
        <v>1905307865</v>
      </c>
      <c r="E52" s="335" t="str">
        <f t="shared" si="0"/>
        <v>si</v>
      </c>
      <c r="F52" s="331" t="s">
        <v>768</v>
      </c>
      <c r="G52" s="317">
        <v>1905307865</v>
      </c>
      <c r="H52" s="345">
        <v>577.4</v>
      </c>
      <c r="I52" s="317" t="s">
        <v>769</v>
      </c>
      <c r="J52" s="306">
        <f t="shared" si="1"/>
        <v>0</v>
      </c>
      <c r="L52" s="331" t="s">
        <v>768</v>
      </c>
      <c r="M52" s="340" t="s">
        <v>838</v>
      </c>
      <c r="N52" s="340">
        <v>577.4</v>
      </c>
      <c r="O52" s="340" t="s">
        <v>769</v>
      </c>
    </row>
    <row r="53" spans="1:15" s="335" customFormat="1">
      <c r="A53" s="64"/>
      <c r="B53" s="328"/>
      <c r="C53" s="345"/>
      <c r="D53" s="341"/>
      <c r="E53" s="335" t="str">
        <f t="shared" si="0"/>
        <v>no</v>
      </c>
      <c r="F53" s="331" t="s">
        <v>830</v>
      </c>
      <c r="G53" s="65">
        <v>2631133012</v>
      </c>
      <c r="H53" s="345">
        <v>577.4</v>
      </c>
      <c r="I53" s="317" t="s">
        <v>831</v>
      </c>
      <c r="J53" s="306">
        <f t="shared" si="1"/>
        <v>-2631133012</v>
      </c>
      <c r="L53" s="331" t="s">
        <v>830</v>
      </c>
      <c r="M53" s="340" t="s">
        <v>838</v>
      </c>
      <c r="N53" s="340">
        <v>577.4</v>
      </c>
      <c r="O53" s="340" t="s">
        <v>831</v>
      </c>
    </row>
    <row r="54" spans="1:15" s="335" customFormat="1">
      <c r="A54" s="64"/>
      <c r="B54" s="328"/>
      <c r="C54" s="345"/>
      <c r="D54" s="341"/>
      <c r="E54" s="335" t="str">
        <f t="shared" si="0"/>
        <v>no</v>
      </c>
      <c r="F54" s="331" t="s">
        <v>796</v>
      </c>
      <c r="G54" s="65">
        <v>2948414130</v>
      </c>
      <c r="H54" s="345">
        <v>577.20000000000005</v>
      </c>
      <c r="I54" s="317" t="s">
        <v>797</v>
      </c>
      <c r="J54" s="306">
        <f t="shared" si="1"/>
        <v>-2948414130</v>
      </c>
      <c r="L54" s="331" t="s">
        <v>796</v>
      </c>
      <c r="M54" s="340" t="s">
        <v>838</v>
      </c>
      <c r="N54" s="340">
        <v>577.20000000000005</v>
      </c>
      <c r="O54" s="340" t="s">
        <v>797</v>
      </c>
    </row>
    <row r="55" spans="1:15">
      <c r="A55" s="50" t="s">
        <v>113</v>
      </c>
      <c r="B55" s="51" t="s">
        <v>114</v>
      </c>
      <c r="C55" s="53">
        <v>577.4</v>
      </c>
      <c r="D55" s="209" t="s">
        <v>699</v>
      </c>
      <c r="E55" s="306" t="str">
        <f t="shared" si="0"/>
        <v>si</v>
      </c>
      <c r="F55" s="309" t="s">
        <v>770</v>
      </c>
      <c r="G55" s="307" t="s">
        <v>699</v>
      </c>
      <c r="H55" s="53">
        <v>116.80000000000001</v>
      </c>
      <c r="I55" s="307" t="s">
        <v>114</v>
      </c>
      <c r="J55" s="306">
        <f t="shared" si="1"/>
        <v>0</v>
      </c>
      <c r="L55" s="347" t="s">
        <v>770</v>
      </c>
      <c r="M55" s="346" t="s">
        <v>699</v>
      </c>
      <c r="N55" s="346">
        <v>116.8</v>
      </c>
      <c r="O55" s="346" t="s">
        <v>114</v>
      </c>
    </row>
    <row r="56" spans="1:15">
      <c r="A56" s="50" t="s">
        <v>115</v>
      </c>
      <c r="B56" s="51" t="s">
        <v>116</v>
      </c>
      <c r="C56" s="53">
        <v>577.4</v>
      </c>
      <c r="D56" s="209" t="s">
        <v>646</v>
      </c>
      <c r="E56" s="306" t="str">
        <f t="shared" si="0"/>
        <v>si</v>
      </c>
      <c r="F56" s="309" t="s">
        <v>771</v>
      </c>
      <c r="G56" s="307" t="s">
        <v>646</v>
      </c>
      <c r="H56" s="53">
        <v>577.4</v>
      </c>
      <c r="I56" s="307" t="s">
        <v>116</v>
      </c>
      <c r="J56" s="306">
        <f t="shared" si="1"/>
        <v>0</v>
      </c>
      <c r="L56" s="347" t="s">
        <v>771</v>
      </c>
      <c r="M56" s="346" t="s">
        <v>646</v>
      </c>
      <c r="N56" s="346">
        <v>577.4</v>
      </c>
      <c r="O56" s="346" t="s">
        <v>116</v>
      </c>
    </row>
    <row r="57" spans="1:15">
      <c r="A57" s="50" t="s">
        <v>121</v>
      </c>
      <c r="B57" s="51" t="s">
        <v>122</v>
      </c>
      <c r="C57" s="53">
        <v>577.4</v>
      </c>
      <c r="D57" s="209" t="s">
        <v>673</v>
      </c>
      <c r="E57" s="306" t="str">
        <f t="shared" si="0"/>
        <v>si</v>
      </c>
      <c r="F57" s="309" t="s">
        <v>772</v>
      </c>
      <c r="G57" s="307" t="s">
        <v>673</v>
      </c>
      <c r="H57" s="53">
        <v>577.4</v>
      </c>
      <c r="I57" s="307" t="s">
        <v>122</v>
      </c>
      <c r="J57" s="306">
        <f t="shared" si="1"/>
        <v>0</v>
      </c>
      <c r="L57" s="347" t="s">
        <v>772</v>
      </c>
      <c r="M57" s="346" t="s">
        <v>673</v>
      </c>
      <c r="N57" s="346">
        <v>577.4</v>
      </c>
      <c r="O57" s="346" t="s">
        <v>122</v>
      </c>
    </row>
    <row r="58" spans="1:15">
      <c r="A58" s="50" t="s">
        <v>117</v>
      </c>
      <c r="B58" s="51" t="s">
        <v>118</v>
      </c>
      <c r="C58" s="53">
        <v>577.4</v>
      </c>
      <c r="D58" s="209" t="s">
        <v>642</v>
      </c>
      <c r="E58" s="306" t="str">
        <f t="shared" si="0"/>
        <v>si</v>
      </c>
      <c r="F58" s="309" t="s">
        <v>773</v>
      </c>
      <c r="G58" s="307" t="s">
        <v>642</v>
      </c>
      <c r="H58" s="53">
        <v>577.4</v>
      </c>
      <c r="I58" s="307" t="s">
        <v>118</v>
      </c>
      <c r="J58" s="306">
        <f t="shared" si="1"/>
        <v>0</v>
      </c>
      <c r="L58" s="347" t="s">
        <v>773</v>
      </c>
      <c r="M58" s="346" t="s">
        <v>642</v>
      </c>
      <c r="N58" s="346">
        <v>577.4</v>
      </c>
      <c r="O58" s="346" t="s">
        <v>118</v>
      </c>
    </row>
    <row r="59" spans="1:15">
      <c r="A59" s="50" t="s">
        <v>119</v>
      </c>
      <c r="B59" s="51" t="s">
        <v>120</v>
      </c>
      <c r="C59" s="53">
        <v>547.6</v>
      </c>
      <c r="D59" s="209" t="s">
        <v>652</v>
      </c>
      <c r="E59" s="306" t="str">
        <f t="shared" si="0"/>
        <v>si</v>
      </c>
      <c r="F59" s="309" t="s">
        <v>507</v>
      </c>
      <c r="G59" s="307" t="s">
        <v>652</v>
      </c>
      <c r="H59" s="53">
        <v>577.4</v>
      </c>
      <c r="I59" s="307" t="s">
        <v>120</v>
      </c>
      <c r="J59" s="306">
        <f t="shared" si="1"/>
        <v>0</v>
      </c>
      <c r="L59" s="347" t="s">
        <v>507</v>
      </c>
      <c r="M59" s="346" t="s">
        <v>652</v>
      </c>
      <c r="N59" s="346">
        <v>0</v>
      </c>
      <c r="O59" s="346" t="s">
        <v>120</v>
      </c>
    </row>
    <row r="60" spans="1:15">
      <c r="A60" s="50" t="s">
        <v>123</v>
      </c>
      <c r="B60" s="51" t="s">
        <v>124</v>
      </c>
      <c r="C60" s="53">
        <v>577.4</v>
      </c>
      <c r="D60" s="209" t="s">
        <v>670</v>
      </c>
      <c r="E60" s="306" t="str">
        <f t="shared" si="0"/>
        <v>si</v>
      </c>
      <c r="F60" s="309" t="s">
        <v>774</v>
      </c>
      <c r="G60" s="307" t="s">
        <v>670</v>
      </c>
      <c r="H60" s="53">
        <v>577.4</v>
      </c>
      <c r="I60" s="307" t="s">
        <v>124</v>
      </c>
      <c r="J60" s="306">
        <f t="shared" si="1"/>
        <v>0</v>
      </c>
      <c r="L60" s="347" t="s">
        <v>774</v>
      </c>
      <c r="M60" s="346" t="s">
        <v>670</v>
      </c>
      <c r="N60" s="346">
        <v>577.4</v>
      </c>
      <c r="O60" s="346" t="s">
        <v>124</v>
      </c>
    </row>
    <row r="61" spans="1:15">
      <c r="A61" s="50" t="s">
        <v>125</v>
      </c>
      <c r="B61" s="51" t="s">
        <v>126</v>
      </c>
      <c r="C61" s="53">
        <v>577.20000000000005</v>
      </c>
      <c r="D61" s="209" t="s">
        <v>680</v>
      </c>
      <c r="E61" s="306" t="str">
        <f t="shared" si="0"/>
        <v>si</v>
      </c>
      <c r="F61" s="309" t="s">
        <v>508</v>
      </c>
      <c r="G61" s="307" t="s">
        <v>680</v>
      </c>
      <c r="H61" s="53">
        <v>577.4</v>
      </c>
      <c r="I61" s="307" t="s">
        <v>126</v>
      </c>
      <c r="J61" s="306">
        <f t="shared" si="1"/>
        <v>0</v>
      </c>
      <c r="L61" s="347" t="s">
        <v>508</v>
      </c>
      <c r="M61" s="346" t="s">
        <v>680</v>
      </c>
      <c r="N61" s="346">
        <v>577.4</v>
      </c>
      <c r="O61" s="346" t="s">
        <v>126</v>
      </c>
    </row>
    <row r="62" spans="1:15" s="335" customFormat="1">
      <c r="A62" s="64"/>
      <c r="B62" s="65"/>
      <c r="C62" s="345"/>
      <c r="D62" s="341"/>
      <c r="E62" s="335" t="str">
        <f t="shared" si="0"/>
        <v>no</v>
      </c>
      <c r="F62" s="331" t="s">
        <v>832</v>
      </c>
      <c r="G62" s="330">
        <v>2913584305</v>
      </c>
      <c r="H62" s="345">
        <v>577.4</v>
      </c>
      <c r="I62" s="317" t="s">
        <v>833</v>
      </c>
      <c r="J62" s="306">
        <f t="shared" si="1"/>
        <v>-2913584305</v>
      </c>
      <c r="L62" s="331" t="s">
        <v>832</v>
      </c>
      <c r="M62" s="340" t="s">
        <v>838</v>
      </c>
      <c r="N62" s="340">
        <v>577.4</v>
      </c>
      <c r="O62" s="340" t="s">
        <v>833</v>
      </c>
    </row>
    <row r="63" spans="1:15">
      <c r="A63" s="50" t="s">
        <v>129</v>
      </c>
      <c r="B63" s="51" t="s">
        <v>130</v>
      </c>
      <c r="C63" s="53">
        <v>577.4</v>
      </c>
      <c r="D63" s="209" t="s">
        <v>704</v>
      </c>
      <c r="E63" s="306" t="str">
        <f t="shared" si="0"/>
        <v>si</v>
      </c>
      <c r="F63" s="309" t="s">
        <v>775</v>
      </c>
      <c r="G63" s="307" t="s">
        <v>704</v>
      </c>
      <c r="H63" s="53">
        <v>577.20000000000005</v>
      </c>
      <c r="I63" s="307" t="s">
        <v>130</v>
      </c>
      <c r="J63" s="306">
        <f t="shared" si="1"/>
        <v>0</v>
      </c>
      <c r="L63" s="347" t="s">
        <v>775</v>
      </c>
      <c r="M63" s="346" t="s">
        <v>704</v>
      </c>
      <c r="N63" s="346">
        <v>577.20000000000005</v>
      </c>
      <c r="O63" s="346" t="s">
        <v>130</v>
      </c>
    </row>
    <row r="64" spans="1:15" s="335" customFormat="1">
      <c r="A64" s="64"/>
      <c r="B64" s="108" t="s">
        <v>629</v>
      </c>
      <c r="C64" s="345">
        <v>0</v>
      </c>
      <c r="D64" s="341">
        <v>2857006349</v>
      </c>
      <c r="E64" s="335" t="str">
        <f t="shared" ref="E64:E88" si="2">IF(B64=I64,"si","no")</f>
        <v>si</v>
      </c>
      <c r="F64" s="331" t="s">
        <v>798</v>
      </c>
      <c r="G64" s="317">
        <v>2857006349</v>
      </c>
      <c r="H64" s="345">
        <v>577.20000000000005</v>
      </c>
      <c r="I64" s="317" t="s">
        <v>799</v>
      </c>
      <c r="J64" s="306">
        <f t="shared" si="1"/>
        <v>0</v>
      </c>
      <c r="L64" s="331" t="s">
        <v>798</v>
      </c>
      <c r="M64" s="340" t="s">
        <v>838</v>
      </c>
      <c r="N64" s="340">
        <v>577.20000000000005</v>
      </c>
      <c r="O64" s="340" t="s">
        <v>799</v>
      </c>
    </row>
    <row r="65" spans="1:15">
      <c r="A65" s="50" t="s">
        <v>131</v>
      </c>
      <c r="B65" s="51" t="s">
        <v>132</v>
      </c>
      <c r="C65" s="53">
        <v>577.4</v>
      </c>
      <c r="D65" s="209" t="s">
        <v>696</v>
      </c>
      <c r="E65" s="306" t="str">
        <f t="shared" si="2"/>
        <v>si</v>
      </c>
      <c r="F65" s="309" t="s">
        <v>131</v>
      </c>
      <c r="G65" s="307" t="s">
        <v>696</v>
      </c>
      <c r="H65" s="53">
        <v>577.20000000000005</v>
      </c>
      <c r="I65" s="307" t="s">
        <v>132</v>
      </c>
      <c r="J65" s="306">
        <f t="shared" si="1"/>
        <v>0</v>
      </c>
      <c r="L65" s="347" t="s">
        <v>131</v>
      </c>
      <c r="M65" s="346" t="s">
        <v>696</v>
      </c>
      <c r="N65" s="346">
        <v>577.20000000000005</v>
      </c>
      <c r="O65" s="346" t="s">
        <v>132</v>
      </c>
    </row>
    <row r="66" spans="1:15">
      <c r="A66" s="50" t="s">
        <v>133</v>
      </c>
      <c r="B66" s="51" t="s">
        <v>134</v>
      </c>
      <c r="C66" s="53">
        <v>577.4</v>
      </c>
      <c r="D66" s="209" t="s">
        <v>658</v>
      </c>
      <c r="E66" s="306" t="str">
        <f t="shared" si="2"/>
        <v>si</v>
      </c>
      <c r="F66" s="309" t="s">
        <v>778</v>
      </c>
      <c r="G66" s="307" t="s">
        <v>658</v>
      </c>
      <c r="H66" s="53">
        <v>577.20000000000005</v>
      </c>
      <c r="I66" s="307" t="s">
        <v>134</v>
      </c>
      <c r="J66" s="306">
        <f t="shared" ref="J66:J88" si="3">+D66-G66</f>
        <v>0</v>
      </c>
      <c r="L66" s="347" t="s">
        <v>778</v>
      </c>
      <c r="M66" s="346" t="s">
        <v>658</v>
      </c>
      <c r="N66" s="346">
        <v>0</v>
      </c>
      <c r="O66" s="346" t="s">
        <v>134</v>
      </c>
    </row>
    <row r="67" spans="1:15" s="335" customFormat="1">
      <c r="A67" s="326" t="s">
        <v>199</v>
      </c>
      <c r="B67" s="326" t="s">
        <v>309</v>
      </c>
      <c r="C67" s="345">
        <v>577.20000000000005</v>
      </c>
      <c r="D67" s="341">
        <v>2995318777</v>
      </c>
      <c r="E67" s="335" t="str">
        <f t="shared" si="2"/>
        <v>si</v>
      </c>
      <c r="F67" s="331" t="s">
        <v>780</v>
      </c>
      <c r="G67" s="317">
        <v>2995318777</v>
      </c>
      <c r="H67" s="345">
        <v>577.20000000000005</v>
      </c>
      <c r="I67" s="317" t="s">
        <v>309</v>
      </c>
      <c r="J67" s="306">
        <f t="shared" si="3"/>
        <v>0</v>
      </c>
      <c r="L67" s="331" t="s">
        <v>780</v>
      </c>
      <c r="M67" s="340" t="s">
        <v>838</v>
      </c>
      <c r="N67" s="340">
        <v>577.20000000000005</v>
      </c>
      <c r="O67" s="340" t="s">
        <v>309</v>
      </c>
    </row>
    <row r="68" spans="1:15">
      <c r="A68" s="50" t="s">
        <v>137</v>
      </c>
      <c r="B68" s="51" t="s">
        <v>138</v>
      </c>
      <c r="C68" s="53">
        <v>577.4</v>
      </c>
      <c r="D68" s="209" t="s">
        <v>666</v>
      </c>
      <c r="E68" s="306" t="str">
        <f t="shared" si="2"/>
        <v>si</v>
      </c>
      <c r="F68" s="309" t="s">
        <v>137</v>
      </c>
      <c r="G68" s="307" t="s">
        <v>666</v>
      </c>
      <c r="H68" s="53">
        <v>577.4</v>
      </c>
      <c r="I68" s="307" t="s">
        <v>138</v>
      </c>
      <c r="J68" s="306">
        <f t="shared" si="3"/>
        <v>0</v>
      </c>
      <c r="L68" s="347" t="s">
        <v>137</v>
      </c>
      <c r="M68" s="346" t="s">
        <v>666</v>
      </c>
      <c r="N68" s="346">
        <v>577.4</v>
      </c>
      <c r="O68" s="346" t="s">
        <v>138</v>
      </c>
    </row>
    <row r="69" spans="1:15">
      <c r="A69" s="50" t="s">
        <v>139</v>
      </c>
      <c r="B69" s="51" t="s">
        <v>140</v>
      </c>
      <c r="C69" s="53">
        <v>577.4</v>
      </c>
      <c r="D69" s="209" t="s">
        <v>695</v>
      </c>
      <c r="E69" s="306" t="str">
        <f t="shared" si="2"/>
        <v>si</v>
      </c>
      <c r="F69" s="309" t="s">
        <v>781</v>
      </c>
      <c r="G69" s="307" t="s">
        <v>695</v>
      </c>
      <c r="H69" s="53">
        <v>577.20000000000005</v>
      </c>
      <c r="I69" s="307" t="s">
        <v>140</v>
      </c>
      <c r="J69" s="306">
        <f t="shared" si="3"/>
        <v>0</v>
      </c>
      <c r="L69" s="347" t="s">
        <v>781</v>
      </c>
      <c r="M69" s="346" t="s">
        <v>695</v>
      </c>
      <c r="N69" s="346">
        <v>577.20000000000005</v>
      </c>
      <c r="O69" s="346" t="s">
        <v>140</v>
      </c>
    </row>
    <row r="70" spans="1:15" s="335" customFormat="1">
      <c r="A70" s="64" t="s">
        <v>509</v>
      </c>
      <c r="B70" s="65" t="s">
        <v>510</v>
      </c>
      <c r="C70" s="345">
        <v>338.20000000000005</v>
      </c>
      <c r="D70" s="341">
        <v>9589670162</v>
      </c>
      <c r="E70" s="335" t="str">
        <f t="shared" si="2"/>
        <v>si</v>
      </c>
      <c r="F70" s="331" t="s">
        <v>509</v>
      </c>
      <c r="G70" s="317">
        <v>9589670162</v>
      </c>
      <c r="H70" s="345">
        <v>577.4</v>
      </c>
      <c r="I70" s="317" t="s">
        <v>510</v>
      </c>
      <c r="J70" s="306">
        <f t="shared" si="3"/>
        <v>0</v>
      </c>
      <c r="L70" s="331" t="s">
        <v>509</v>
      </c>
      <c r="M70" s="340" t="s">
        <v>838</v>
      </c>
      <c r="N70" s="340">
        <v>577.4</v>
      </c>
      <c r="O70" s="340" t="s">
        <v>510</v>
      </c>
    </row>
    <row r="71" spans="1:15">
      <c r="A71" s="50" t="s">
        <v>141</v>
      </c>
      <c r="B71" s="51" t="s">
        <v>142</v>
      </c>
      <c r="C71" s="53">
        <v>577.20000000000005</v>
      </c>
      <c r="D71" s="209" t="s">
        <v>645</v>
      </c>
      <c r="E71" s="306" t="str">
        <f t="shared" si="2"/>
        <v>si</v>
      </c>
      <c r="F71" s="309" t="s">
        <v>782</v>
      </c>
      <c r="G71" s="307" t="s">
        <v>645</v>
      </c>
      <c r="H71" s="53">
        <v>577.4</v>
      </c>
      <c r="I71" s="307" t="s">
        <v>142</v>
      </c>
      <c r="J71" s="306">
        <f t="shared" si="3"/>
        <v>0</v>
      </c>
      <c r="L71" s="347" t="s">
        <v>782</v>
      </c>
      <c r="M71" s="346" t="s">
        <v>645</v>
      </c>
      <c r="N71" s="346">
        <v>577.4</v>
      </c>
      <c r="O71" s="346" t="s">
        <v>142</v>
      </c>
    </row>
    <row r="72" spans="1:15">
      <c r="A72" s="50" t="s">
        <v>143</v>
      </c>
      <c r="B72" s="51" t="s">
        <v>144</v>
      </c>
      <c r="C72" s="53">
        <v>577.4</v>
      </c>
      <c r="D72" s="209" t="s">
        <v>674</v>
      </c>
      <c r="E72" s="306" t="str">
        <f t="shared" si="2"/>
        <v>si</v>
      </c>
      <c r="F72" s="309" t="s">
        <v>783</v>
      </c>
      <c r="G72" s="307" t="s">
        <v>674</v>
      </c>
      <c r="H72" s="53">
        <v>577.4</v>
      </c>
      <c r="I72" s="307" t="s">
        <v>144</v>
      </c>
      <c r="J72" s="306">
        <f t="shared" si="3"/>
        <v>0</v>
      </c>
      <c r="L72" s="347" t="s">
        <v>783</v>
      </c>
      <c r="M72" s="346" t="s">
        <v>674</v>
      </c>
      <c r="N72" s="346">
        <v>577.4</v>
      </c>
      <c r="O72" s="346" t="s">
        <v>144</v>
      </c>
    </row>
    <row r="73" spans="1:15" s="335" customFormat="1">
      <c r="A73" s="64" t="s">
        <v>188</v>
      </c>
      <c r="B73" s="65" t="s">
        <v>314</v>
      </c>
      <c r="C73" s="345">
        <v>577.4</v>
      </c>
      <c r="D73" s="341" t="s">
        <v>708</v>
      </c>
      <c r="E73" s="335" t="str">
        <f t="shared" si="2"/>
        <v>si</v>
      </c>
      <c r="F73" s="331" t="s">
        <v>784</v>
      </c>
      <c r="G73" s="323">
        <v>2969627642</v>
      </c>
      <c r="H73" s="345">
        <v>577.20000000000005</v>
      </c>
      <c r="I73" s="317" t="s">
        <v>314</v>
      </c>
      <c r="J73" s="306" t="e">
        <f t="shared" si="3"/>
        <v>#VALUE!</v>
      </c>
      <c r="L73" s="331" t="s">
        <v>784</v>
      </c>
      <c r="M73" s="340" t="s">
        <v>838</v>
      </c>
      <c r="N73" s="340">
        <v>577.20000000000005</v>
      </c>
      <c r="O73" s="340" t="s">
        <v>314</v>
      </c>
    </row>
    <row r="74" spans="1:15">
      <c r="A74" s="50" t="s">
        <v>148</v>
      </c>
      <c r="B74" s="51" t="s">
        <v>149</v>
      </c>
      <c r="C74" s="53">
        <v>577.4</v>
      </c>
      <c r="D74" s="209" t="s">
        <v>692</v>
      </c>
      <c r="E74" s="306" t="str">
        <f t="shared" si="2"/>
        <v>si</v>
      </c>
      <c r="F74" s="309" t="s">
        <v>785</v>
      </c>
      <c r="G74" s="307" t="s">
        <v>692</v>
      </c>
      <c r="H74" s="53">
        <v>577.20000000000005</v>
      </c>
      <c r="I74" s="307" t="s">
        <v>149</v>
      </c>
      <c r="J74" s="306">
        <f t="shared" si="3"/>
        <v>0</v>
      </c>
      <c r="L74" s="347" t="s">
        <v>785</v>
      </c>
      <c r="M74" s="346" t="s">
        <v>692</v>
      </c>
      <c r="N74" s="346">
        <v>0</v>
      </c>
      <c r="O74" s="346" t="s">
        <v>149</v>
      </c>
    </row>
    <row r="75" spans="1:15">
      <c r="A75" s="50" t="s">
        <v>150</v>
      </c>
      <c r="B75" s="51" t="s">
        <v>151</v>
      </c>
      <c r="C75" s="53">
        <v>577.4</v>
      </c>
      <c r="D75" s="209" t="s">
        <v>665</v>
      </c>
      <c r="E75" s="306" t="str">
        <f t="shared" si="2"/>
        <v>si</v>
      </c>
      <c r="F75" s="309" t="s">
        <v>150</v>
      </c>
      <c r="G75" s="307" t="s">
        <v>665</v>
      </c>
      <c r="H75" s="53">
        <v>577.20000000000005</v>
      </c>
      <c r="I75" s="307" t="s">
        <v>151</v>
      </c>
      <c r="J75" s="306">
        <f t="shared" si="3"/>
        <v>0</v>
      </c>
      <c r="L75" s="347" t="s">
        <v>150</v>
      </c>
      <c r="M75" s="346" t="s">
        <v>665</v>
      </c>
      <c r="N75" s="346">
        <v>577.20000000000005</v>
      </c>
      <c r="O75" s="346" t="s">
        <v>151</v>
      </c>
    </row>
    <row r="76" spans="1:15">
      <c r="A76" s="50" t="s">
        <v>152</v>
      </c>
      <c r="B76" s="51" t="s">
        <v>153</v>
      </c>
      <c r="C76" s="53">
        <v>577.4</v>
      </c>
      <c r="D76" s="209" t="s">
        <v>662</v>
      </c>
      <c r="E76" s="306" t="str">
        <f t="shared" si="2"/>
        <v>si</v>
      </c>
      <c r="F76" s="309" t="s">
        <v>786</v>
      </c>
      <c r="G76" s="307" t="s">
        <v>662</v>
      </c>
      <c r="H76" s="53">
        <v>577.4</v>
      </c>
      <c r="I76" s="307" t="s">
        <v>153</v>
      </c>
      <c r="J76" s="306">
        <f t="shared" si="3"/>
        <v>0</v>
      </c>
      <c r="L76" s="347" t="s">
        <v>786</v>
      </c>
      <c r="M76" s="346" t="s">
        <v>662</v>
      </c>
      <c r="N76" s="346">
        <v>0</v>
      </c>
      <c r="O76" s="346" t="s">
        <v>153</v>
      </c>
    </row>
    <row r="77" spans="1:15">
      <c r="A77" s="50" t="s">
        <v>317</v>
      </c>
      <c r="B77" s="51" t="s">
        <v>154</v>
      </c>
      <c r="C77" s="53">
        <v>577.20000000000005</v>
      </c>
      <c r="D77" s="209" t="s">
        <v>707</v>
      </c>
      <c r="E77" s="306" t="str">
        <f t="shared" si="2"/>
        <v>si</v>
      </c>
      <c r="F77" s="309" t="s">
        <v>317</v>
      </c>
      <c r="G77" s="307" t="s">
        <v>707</v>
      </c>
      <c r="H77" s="53">
        <v>577.4</v>
      </c>
      <c r="I77" s="307" t="s">
        <v>154</v>
      </c>
      <c r="J77" s="306">
        <f t="shared" si="3"/>
        <v>0</v>
      </c>
      <c r="L77" s="347" t="s">
        <v>317</v>
      </c>
      <c r="M77" s="346" t="s">
        <v>707</v>
      </c>
      <c r="N77" s="346">
        <v>577.4</v>
      </c>
      <c r="O77" s="346" t="s">
        <v>154</v>
      </c>
    </row>
    <row r="78" spans="1:15">
      <c r="A78" s="50" t="s">
        <v>155</v>
      </c>
      <c r="B78" s="51" t="s">
        <v>156</v>
      </c>
      <c r="C78" s="53">
        <v>577.20000000000005</v>
      </c>
      <c r="D78" s="209" t="s">
        <v>689</v>
      </c>
      <c r="E78" s="306" t="str">
        <f t="shared" si="2"/>
        <v>si</v>
      </c>
      <c r="F78" s="309" t="s">
        <v>787</v>
      </c>
      <c r="G78" s="307" t="s">
        <v>689</v>
      </c>
      <c r="H78" s="53">
        <v>577.4</v>
      </c>
      <c r="I78" s="307" t="s">
        <v>156</v>
      </c>
      <c r="J78" s="306">
        <f t="shared" si="3"/>
        <v>0</v>
      </c>
      <c r="L78" s="347" t="s">
        <v>787</v>
      </c>
      <c r="M78" s="346" t="s">
        <v>689</v>
      </c>
      <c r="N78" s="346">
        <v>577.4</v>
      </c>
      <c r="O78" s="346" t="s">
        <v>156</v>
      </c>
    </row>
    <row r="79" spans="1:15" s="335" customFormat="1">
      <c r="A79" s="64" t="s">
        <v>511</v>
      </c>
      <c r="B79" s="65" t="s">
        <v>512</v>
      </c>
      <c r="C79" s="345">
        <v>577.4</v>
      </c>
      <c r="D79" s="341">
        <v>2959934200</v>
      </c>
      <c r="E79" s="335" t="str">
        <f t="shared" si="2"/>
        <v>si</v>
      </c>
      <c r="F79" s="331" t="s">
        <v>511</v>
      </c>
      <c r="G79" s="317">
        <v>2959934200</v>
      </c>
      <c r="H79" s="345">
        <v>577.4</v>
      </c>
      <c r="I79" s="317" t="s">
        <v>512</v>
      </c>
      <c r="J79" s="306">
        <f t="shared" si="3"/>
        <v>0</v>
      </c>
      <c r="L79" s="331" t="s">
        <v>511</v>
      </c>
      <c r="M79" s="340" t="s">
        <v>838</v>
      </c>
      <c r="N79" s="340">
        <v>577.4</v>
      </c>
      <c r="O79" s="340" t="s">
        <v>512</v>
      </c>
    </row>
    <row r="80" spans="1:15">
      <c r="A80" s="50" t="s">
        <v>157</v>
      </c>
      <c r="B80" s="51" t="s">
        <v>158</v>
      </c>
      <c r="C80" s="53">
        <v>577.4</v>
      </c>
      <c r="D80" s="209" t="s">
        <v>685</v>
      </c>
      <c r="E80" s="306" t="str">
        <f t="shared" si="2"/>
        <v>si</v>
      </c>
      <c r="F80" s="309" t="s">
        <v>788</v>
      </c>
      <c r="G80" s="307" t="s">
        <v>685</v>
      </c>
      <c r="H80" s="53">
        <v>577.20000000000005</v>
      </c>
      <c r="I80" s="307" t="s">
        <v>158</v>
      </c>
      <c r="J80" s="306">
        <f t="shared" si="3"/>
        <v>0</v>
      </c>
      <c r="L80" s="347" t="s">
        <v>788</v>
      </c>
      <c r="M80" s="346" t="s">
        <v>685</v>
      </c>
      <c r="N80" s="346">
        <v>577.20000000000005</v>
      </c>
      <c r="O80" s="346" t="s">
        <v>158</v>
      </c>
    </row>
    <row r="81" spans="1:15">
      <c r="A81" s="50" t="s">
        <v>159</v>
      </c>
      <c r="B81" s="51" t="s">
        <v>160</v>
      </c>
      <c r="C81" s="53">
        <v>577.20000000000005</v>
      </c>
      <c r="D81" s="209" t="s">
        <v>677</v>
      </c>
      <c r="E81" s="306" t="str">
        <f t="shared" si="2"/>
        <v>si</v>
      </c>
      <c r="F81" s="309" t="s">
        <v>789</v>
      </c>
      <c r="G81" s="307" t="s">
        <v>677</v>
      </c>
      <c r="H81" s="53">
        <v>577.4</v>
      </c>
      <c r="I81" s="307" t="s">
        <v>160</v>
      </c>
      <c r="J81" s="306">
        <f t="shared" si="3"/>
        <v>0</v>
      </c>
      <c r="L81" s="347" t="s">
        <v>789</v>
      </c>
      <c r="M81" s="346" t="s">
        <v>677</v>
      </c>
      <c r="N81" s="346">
        <v>577.4</v>
      </c>
      <c r="O81" s="346" t="s">
        <v>160</v>
      </c>
    </row>
    <row r="82" spans="1:15">
      <c r="A82" s="50" t="s">
        <v>161</v>
      </c>
      <c r="B82" s="51" t="s">
        <v>162</v>
      </c>
      <c r="C82" s="53">
        <v>577.4</v>
      </c>
      <c r="D82" s="209" t="s">
        <v>691</v>
      </c>
      <c r="E82" s="306" t="str">
        <f t="shared" si="2"/>
        <v>si</v>
      </c>
      <c r="F82" s="309" t="s">
        <v>790</v>
      </c>
      <c r="G82" s="307" t="s">
        <v>691</v>
      </c>
      <c r="H82" s="53">
        <v>577.20000000000005</v>
      </c>
      <c r="I82" s="307" t="s">
        <v>162</v>
      </c>
      <c r="J82" s="306">
        <f t="shared" si="3"/>
        <v>0</v>
      </c>
      <c r="L82" s="347" t="s">
        <v>790</v>
      </c>
      <c r="M82" s="346" t="s">
        <v>691</v>
      </c>
      <c r="N82" s="346">
        <v>577.20000000000005</v>
      </c>
      <c r="O82" s="346" t="s">
        <v>162</v>
      </c>
    </row>
    <row r="83" spans="1:15">
      <c r="A83" s="50" t="s">
        <v>163</v>
      </c>
      <c r="B83" s="51" t="s">
        <v>164</v>
      </c>
      <c r="C83" s="53">
        <v>577.4</v>
      </c>
      <c r="D83" s="209" t="s">
        <v>697</v>
      </c>
      <c r="E83" s="306" t="str">
        <f t="shared" si="2"/>
        <v>si</v>
      </c>
      <c r="F83" s="309" t="s">
        <v>513</v>
      </c>
      <c r="G83" s="307" t="s">
        <v>697</v>
      </c>
      <c r="H83" s="53">
        <v>39.600000000000023</v>
      </c>
      <c r="I83" s="307" t="s">
        <v>164</v>
      </c>
      <c r="J83" s="306">
        <f t="shared" si="3"/>
        <v>0</v>
      </c>
      <c r="L83" s="347" t="s">
        <v>513</v>
      </c>
      <c r="M83" s="346" t="s">
        <v>697</v>
      </c>
      <c r="N83" s="346">
        <v>39.6</v>
      </c>
      <c r="O83" s="346" t="s">
        <v>164</v>
      </c>
    </row>
    <row r="84" spans="1:15" ht="15.75" thickBot="1">
      <c r="A84" s="50" t="s">
        <v>165</v>
      </c>
      <c r="B84" s="51" t="s">
        <v>166</v>
      </c>
      <c r="C84" s="314">
        <v>577.4</v>
      </c>
      <c r="D84" s="209" t="s">
        <v>643</v>
      </c>
      <c r="E84" s="306" t="str">
        <f t="shared" si="2"/>
        <v>si</v>
      </c>
      <c r="F84" s="309" t="s">
        <v>165</v>
      </c>
      <c r="G84" s="307" t="s">
        <v>643</v>
      </c>
      <c r="H84" s="53">
        <v>577.20000000000005</v>
      </c>
      <c r="I84" s="307" t="s">
        <v>166</v>
      </c>
      <c r="J84" s="306">
        <f t="shared" si="3"/>
        <v>0</v>
      </c>
      <c r="L84" s="347" t="s">
        <v>165</v>
      </c>
      <c r="M84" s="346" t="s">
        <v>643</v>
      </c>
      <c r="N84" s="346">
        <v>577.20000000000005</v>
      </c>
      <c r="O84" s="346" t="s">
        <v>166</v>
      </c>
    </row>
    <row r="85" spans="1:15">
      <c r="A85" s="50" t="s">
        <v>167</v>
      </c>
      <c r="B85" s="51" t="s">
        <v>168</v>
      </c>
      <c r="C85" s="53">
        <v>577.20000000000005</v>
      </c>
      <c r="D85" s="209" t="s">
        <v>653</v>
      </c>
      <c r="E85" s="306" t="str">
        <f t="shared" si="2"/>
        <v>si</v>
      </c>
      <c r="F85" s="309" t="s">
        <v>791</v>
      </c>
      <c r="G85" s="307" t="s">
        <v>653</v>
      </c>
      <c r="H85" s="53">
        <v>577.4</v>
      </c>
      <c r="I85" s="307" t="s">
        <v>168</v>
      </c>
      <c r="J85" s="306">
        <f t="shared" si="3"/>
        <v>0</v>
      </c>
      <c r="L85" s="347" t="s">
        <v>791</v>
      </c>
      <c r="M85" s="346" t="s">
        <v>653</v>
      </c>
      <c r="N85" s="346">
        <v>0</v>
      </c>
      <c r="O85" s="346" t="s">
        <v>168</v>
      </c>
    </row>
    <row r="86" spans="1:15">
      <c r="A86" s="50" t="s">
        <v>169</v>
      </c>
      <c r="B86" s="51" t="s">
        <v>170</v>
      </c>
      <c r="C86" s="53">
        <v>577.4</v>
      </c>
      <c r="D86" s="209" t="s">
        <v>663</v>
      </c>
      <c r="E86" s="306" t="str">
        <f t="shared" si="2"/>
        <v>si</v>
      </c>
      <c r="F86" s="309" t="s">
        <v>792</v>
      </c>
      <c r="G86" s="307" t="s">
        <v>663</v>
      </c>
      <c r="H86" s="53">
        <v>577.4</v>
      </c>
      <c r="I86" s="307" t="s">
        <v>170</v>
      </c>
      <c r="J86" s="306">
        <f t="shared" si="3"/>
        <v>0</v>
      </c>
      <c r="L86" s="347" t="s">
        <v>792</v>
      </c>
      <c r="M86" s="346" t="s">
        <v>663</v>
      </c>
      <c r="N86" s="346">
        <v>577.4</v>
      </c>
      <c r="O86" s="346" t="s">
        <v>170</v>
      </c>
    </row>
    <row r="87" spans="1:15">
      <c r="A87" s="50" t="s">
        <v>171</v>
      </c>
      <c r="B87" s="51" t="s">
        <v>172</v>
      </c>
      <c r="C87" s="53">
        <v>577.4</v>
      </c>
      <c r="D87" s="209" t="s">
        <v>703</v>
      </c>
      <c r="E87" s="306" t="str">
        <f t="shared" si="2"/>
        <v>si</v>
      </c>
      <c r="F87" s="309" t="s">
        <v>793</v>
      </c>
      <c r="G87" s="307" t="s">
        <v>703</v>
      </c>
      <c r="H87" s="53">
        <v>577.4</v>
      </c>
      <c r="I87" s="307" t="s">
        <v>172</v>
      </c>
      <c r="J87" s="306">
        <f t="shared" si="3"/>
        <v>0</v>
      </c>
      <c r="L87" s="347" t="s">
        <v>793</v>
      </c>
      <c r="M87" s="346" t="s">
        <v>703</v>
      </c>
      <c r="N87" s="346">
        <v>577.4</v>
      </c>
      <c r="O87" s="346" t="s">
        <v>172</v>
      </c>
    </row>
    <row r="88" spans="1:15" ht="15.75" thickBot="1">
      <c r="A88" s="50" t="s">
        <v>173</v>
      </c>
      <c r="B88" s="51" t="s">
        <v>174</v>
      </c>
      <c r="C88" s="314">
        <v>577.4</v>
      </c>
      <c r="D88" s="209" t="s">
        <v>698</v>
      </c>
      <c r="E88" s="306" t="str">
        <f t="shared" si="2"/>
        <v>si</v>
      </c>
      <c r="F88" s="309" t="s">
        <v>794</v>
      </c>
      <c r="G88" s="307" t="s">
        <v>698</v>
      </c>
      <c r="H88" s="53">
        <v>577.20000000000005</v>
      </c>
      <c r="I88" s="307" t="s">
        <v>174</v>
      </c>
      <c r="J88" s="306">
        <f t="shared" si="3"/>
        <v>0</v>
      </c>
      <c r="L88" s="347" t="s">
        <v>794</v>
      </c>
      <c r="M88" s="346" t="s">
        <v>698</v>
      </c>
      <c r="N88" s="346">
        <v>0</v>
      </c>
      <c r="O88" s="346" t="s">
        <v>174</v>
      </c>
    </row>
    <row r="89" spans="1:15">
      <c r="A89" s="50"/>
      <c r="B89" s="51"/>
      <c r="C89" s="315">
        <f>SUM(C5:C88)</f>
        <v>40368.184285714313</v>
      </c>
      <c r="D89" s="209"/>
      <c r="H89" s="333">
        <f>SUM(H1:H88)</f>
        <v>47896.798571428582</v>
      </c>
    </row>
    <row r="90" spans="1:15">
      <c r="A90" s="50"/>
      <c r="B90" s="51"/>
      <c r="C90" s="53"/>
      <c r="D90" s="209"/>
      <c r="H90" s="333"/>
    </row>
    <row r="91" spans="1:15">
      <c r="A91" s="50"/>
      <c r="B91" s="51"/>
      <c r="C91" s="315">
        <f>SUM(C89:C90)</f>
        <v>40368.184285714313</v>
      </c>
      <c r="D91" s="209"/>
      <c r="H91" s="333"/>
    </row>
    <row r="92" spans="1:15">
      <c r="A92" s="50"/>
      <c r="B92" s="51"/>
      <c r="C92" s="53"/>
      <c r="D92" s="209"/>
    </row>
    <row r="94" spans="1:15">
      <c r="I94" s="307" t="s">
        <v>178</v>
      </c>
    </row>
    <row r="95" spans="1:15">
      <c r="I95" s="307" t="s">
        <v>834</v>
      </c>
    </row>
    <row r="96" spans="1:15">
      <c r="I96" s="307" t="s">
        <v>296</v>
      </c>
    </row>
    <row r="97" spans="9:9">
      <c r="I97" s="307" t="s">
        <v>314</v>
      </c>
    </row>
  </sheetData>
  <sortState ref="F1:I88">
    <sortCondition ref="I1:I88"/>
  </sortState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C4" sqref="C4"/>
    </sheetView>
  </sheetViews>
  <sheetFormatPr baseColWidth="10" defaultRowHeight="15"/>
  <cols>
    <col min="2" max="2" width="11.5703125" bestFit="1" customWidth="1"/>
  </cols>
  <sheetData>
    <row r="1" spans="1:7">
      <c r="A1" s="382" t="s">
        <v>858</v>
      </c>
      <c r="B1" s="382"/>
      <c r="C1" s="383"/>
      <c r="D1" s="384"/>
      <c r="E1" s="384"/>
      <c r="F1" s="385"/>
      <c r="G1" s="385"/>
    </row>
    <row r="2" spans="1:7">
      <c r="A2" s="382" t="s">
        <v>848</v>
      </c>
      <c r="B2" s="382"/>
      <c r="C2" s="383"/>
      <c r="D2" s="384"/>
      <c r="E2" s="384"/>
      <c r="F2" s="385"/>
      <c r="G2" s="385"/>
    </row>
    <row r="3" spans="1:7">
      <c r="A3" s="382" t="s">
        <v>849</v>
      </c>
      <c r="B3" s="386" t="s">
        <v>808</v>
      </c>
      <c r="C3" s="383"/>
      <c r="D3" s="384"/>
      <c r="E3" s="384"/>
      <c r="F3" s="385"/>
      <c r="G3" s="385"/>
    </row>
    <row r="4" spans="1:7">
      <c r="A4" s="383"/>
      <c r="B4" s="383"/>
      <c r="C4" s="383"/>
      <c r="D4" s="384"/>
      <c r="E4" s="384"/>
      <c r="F4" s="385"/>
      <c r="G4" s="385"/>
    </row>
    <row r="5" spans="1:7">
      <c r="A5" s="383" t="s">
        <v>606</v>
      </c>
      <c r="B5" s="383" t="s">
        <v>844</v>
      </c>
      <c r="C5" s="383"/>
      <c r="D5" s="384"/>
      <c r="E5" s="384"/>
      <c r="F5" s="385"/>
      <c r="G5" s="385"/>
    </row>
    <row r="6" spans="1:7">
      <c r="A6" s="384" t="s">
        <v>850</v>
      </c>
      <c r="B6" s="387">
        <v>101843.82</v>
      </c>
      <c r="C6" s="384"/>
      <c r="D6" s="384"/>
      <c r="E6" s="384"/>
      <c r="F6" s="385"/>
      <c r="G6" s="385"/>
    </row>
    <row r="7" spans="1:7">
      <c r="A7" s="384" t="s">
        <v>851</v>
      </c>
      <c r="B7" s="387">
        <v>25704.5</v>
      </c>
      <c r="C7" s="384"/>
      <c r="D7" s="384"/>
      <c r="E7" s="384"/>
      <c r="F7" s="385"/>
      <c r="G7" s="385"/>
    </row>
    <row r="8" spans="1:7">
      <c r="A8" s="384" t="s">
        <v>852</v>
      </c>
      <c r="B8" s="387"/>
      <c r="C8" s="384"/>
      <c r="D8" s="384"/>
      <c r="E8" s="384"/>
      <c r="F8" s="385"/>
      <c r="G8" s="385"/>
    </row>
    <row r="9" spans="1:7">
      <c r="A9" s="384" t="s">
        <v>853</v>
      </c>
      <c r="B9" s="387">
        <v>8156.94</v>
      </c>
      <c r="C9" s="384"/>
      <c r="D9" s="384"/>
      <c r="E9" s="384"/>
      <c r="F9" s="385"/>
      <c r="G9" s="385"/>
    </row>
    <row r="10" spans="1:7">
      <c r="A10" s="384" t="s">
        <v>854</v>
      </c>
      <c r="B10" s="387"/>
      <c r="C10" s="384"/>
      <c r="D10" s="384"/>
      <c r="E10" s="384"/>
      <c r="F10" s="385"/>
      <c r="G10" s="385"/>
    </row>
    <row r="11" spans="1:7">
      <c r="A11" s="384" t="s">
        <v>855</v>
      </c>
      <c r="B11" s="387">
        <v>75802.41</v>
      </c>
      <c r="C11" s="384"/>
      <c r="D11" s="384"/>
      <c r="E11" s="384"/>
      <c r="F11" s="385"/>
      <c r="G11" s="385"/>
    </row>
    <row r="12" spans="1:7">
      <c r="A12" s="384" t="s">
        <v>856</v>
      </c>
      <c r="B12" s="388"/>
      <c r="C12" s="384"/>
      <c r="D12" s="384"/>
      <c r="E12" s="384"/>
      <c r="F12" s="385"/>
      <c r="G12" s="385"/>
    </row>
    <row r="13" spans="1:7" ht="15.75" thickBot="1">
      <c r="A13" s="384" t="s">
        <v>857</v>
      </c>
      <c r="B13" s="389">
        <v>66899.17</v>
      </c>
      <c r="C13" s="384"/>
      <c r="D13" s="384"/>
      <c r="E13" s="384"/>
      <c r="F13" s="385"/>
      <c r="G13" s="385"/>
    </row>
    <row r="14" spans="1:7">
      <c r="A14" s="384"/>
      <c r="B14" s="390">
        <f>SUM(B6:B13)</f>
        <v>278406.84000000003</v>
      </c>
      <c r="C14" s="384"/>
      <c r="D14" s="384"/>
      <c r="E14" s="384"/>
      <c r="F14" s="385"/>
      <c r="G14" s="385"/>
    </row>
    <row r="15" spans="1:7" ht="15.75" thickBot="1">
      <c r="A15" s="384"/>
      <c r="B15" s="391">
        <f>B14*0.16</f>
        <v>44545.094400000002</v>
      </c>
      <c r="C15" s="384"/>
      <c r="D15" s="384"/>
      <c r="E15" s="384"/>
      <c r="F15" s="385"/>
      <c r="G15" s="385"/>
    </row>
    <row r="16" spans="1:7" ht="15.75" thickTop="1">
      <c r="A16" s="384"/>
      <c r="B16" s="392">
        <f>+B14+B15</f>
        <v>322951.93440000003</v>
      </c>
      <c r="C16" s="384"/>
      <c r="D16" s="384"/>
      <c r="E16" s="384"/>
      <c r="F16" s="385"/>
      <c r="G16" s="385"/>
    </row>
    <row r="17" spans="1:7">
      <c r="A17" s="384"/>
      <c r="B17" s="387"/>
      <c r="C17" s="384"/>
      <c r="D17" s="384"/>
      <c r="E17" s="384"/>
      <c r="F17" s="385"/>
      <c r="G17" s="385"/>
    </row>
    <row r="18" spans="1:7">
      <c r="A18" s="384"/>
      <c r="B18" s="387"/>
      <c r="C18" s="384"/>
      <c r="D18" s="384"/>
      <c r="E18" s="384"/>
      <c r="F18" s="385"/>
      <c r="G18" s="385"/>
    </row>
    <row r="19" spans="1:7">
      <c r="A19" s="384"/>
      <c r="B19" s="387"/>
      <c r="C19" s="384"/>
      <c r="D19" s="384"/>
      <c r="E19" s="384"/>
      <c r="F19" s="385"/>
      <c r="G19" s="385"/>
    </row>
    <row r="20" spans="1:7">
      <c r="A20" s="384"/>
      <c r="B20" s="384"/>
      <c r="C20" s="384"/>
      <c r="D20" s="384"/>
      <c r="E20" s="384"/>
      <c r="F20" s="385"/>
      <c r="G20" s="385"/>
    </row>
    <row r="21" spans="1:7">
      <c r="A21" s="384"/>
      <c r="B21" s="384"/>
      <c r="C21" s="384"/>
      <c r="D21" s="384"/>
      <c r="E21" s="384"/>
      <c r="F21" s="385"/>
      <c r="G21" s="385"/>
    </row>
    <row r="22" spans="1:7">
      <c r="A22" s="384"/>
      <c r="B22" s="384"/>
      <c r="C22" s="384"/>
      <c r="D22" s="384"/>
      <c r="E22" s="384"/>
      <c r="F22" s="385"/>
      <c r="G22" s="38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1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4" sqref="B4:G4"/>
    </sheetView>
  </sheetViews>
  <sheetFormatPr baseColWidth="10" defaultRowHeight="11.25"/>
  <cols>
    <col min="1" max="1" width="12.28515625" style="2" customWidth="1"/>
    <col min="2" max="2" width="30.7109375" style="1" customWidth="1"/>
    <col min="3" max="3" width="9.5703125" style="1" customWidth="1"/>
    <col min="4" max="4" width="9.28515625" style="1" customWidth="1"/>
    <col min="5" max="5" width="14.42578125" style="1" customWidth="1"/>
    <col min="6" max="6" width="10.85546875" style="1" customWidth="1"/>
    <col min="7" max="7" width="9.5703125" style="1" customWidth="1"/>
    <col min="8" max="8" width="9.5703125" style="215" customWidth="1"/>
    <col min="9" max="9" width="9.7109375" style="1" customWidth="1"/>
    <col min="10" max="10" width="10.28515625" style="1" customWidth="1"/>
    <col min="11" max="11" width="13" style="1" customWidth="1"/>
    <col min="12" max="12" width="14.28515625" style="1" customWidth="1"/>
    <col min="13" max="14" width="11.42578125" style="1"/>
    <col min="15" max="15" width="26.5703125" style="1" bestFit="1" customWidth="1"/>
    <col min="16" max="18" width="11.42578125" style="251"/>
    <col min="19" max="19" width="15.85546875" style="1" bestFit="1" customWidth="1"/>
    <col min="20" max="16384" width="11.42578125" style="1"/>
  </cols>
  <sheetData>
    <row r="1" spans="1:20" ht="18" customHeight="1">
      <c r="A1" s="3" t="s">
        <v>0</v>
      </c>
      <c r="B1" s="414" t="s">
        <v>18</v>
      </c>
      <c r="C1" s="413"/>
      <c r="R1" s="258" t="s">
        <v>40</v>
      </c>
      <c r="S1" s="257" t="s">
        <v>41</v>
      </c>
      <c r="T1" s="259">
        <v>577.4</v>
      </c>
    </row>
    <row r="2" spans="1:20" ht="24.95" customHeight="1">
      <c r="A2" s="4" t="s">
        <v>1</v>
      </c>
      <c r="B2" s="410" t="s">
        <v>328</v>
      </c>
      <c r="C2" s="411"/>
      <c r="D2" s="411"/>
      <c r="E2" s="411"/>
      <c r="F2" s="411"/>
      <c r="R2" s="264" t="s">
        <v>776</v>
      </c>
      <c r="S2" s="263" t="s">
        <v>777</v>
      </c>
      <c r="T2" s="265">
        <v>577.4</v>
      </c>
    </row>
    <row r="3" spans="1:20" ht="15.75">
      <c r="B3" s="412" t="s">
        <v>2</v>
      </c>
      <c r="C3" s="413"/>
      <c r="D3" s="413"/>
      <c r="E3" s="413"/>
      <c r="F3" s="413"/>
      <c r="R3" s="264" t="s">
        <v>745</v>
      </c>
      <c r="S3" s="263" t="s">
        <v>59</v>
      </c>
      <c r="T3" s="265">
        <v>577.4</v>
      </c>
    </row>
    <row r="4" spans="1:20" ht="15">
      <c r="B4" s="415" t="str">
        <f>+FACTURACIÓN!B4</f>
        <v>Periodo 10 al 10 Semanal del 02/03/2016 al 08/03/2016</v>
      </c>
      <c r="C4" s="413"/>
      <c r="D4" s="413"/>
      <c r="E4" s="413"/>
      <c r="F4" s="413"/>
      <c r="G4" s="413"/>
      <c r="H4" s="223"/>
      <c r="R4" s="264" t="s">
        <v>779</v>
      </c>
      <c r="S4" s="263" t="s">
        <v>136</v>
      </c>
      <c r="T4" s="265">
        <v>577.4</v>
      </c>
    </row>
    <row r="5" spans="1:20" ht="15">
      <c r="B5" s="42" t="s">
        <v>329</v>
      </c>
      <c r="C5" s="40"/>
      <c r="D5" s="40"/>
      <c r="E5" s="40"/>
      <c r="F5" s="40"/>
      <c r="J5" s="217"/>
    </row>
    <row r="6" spans="1:20" ht="15">
      <c r="B6" s="42" t="s">
        <v>4</v>
      </c>
      <c r="C6" s="40"/>
      <c r="D6" s="40"/>
      <c r="E6" s="40"/>
      <c r="F6" s="40"/>
      <c r="J6" s="230"/>
      <c r="K6" s="217"/>
    </row>
    <row r="7" spans="1:20">
      <c r="B7" s="41"/>
      <c r="C7" s="41"/>
      <c r="D7" s="41"/>
      <c r="E7" s="41"/>
      <c r="F7" s="41"/>
    </row>
    <row r="8" spans="1:20" s="46" customFormat="1" ht="23.25" thickBot="1">
      <c r="A8" s="44" t="s">
        <v>5</v>
      </c>
      <c r="B8" s="14" t="s">
        <v>6</v>
      </c>
      <c r="C8" s="14" t="s">
        <v>7</v>
      </c>
      <c r="D8" s="14" t="s">
        <v>330</v>
      </c>
      <c r="E8" s="13" t="s">
        <v>8</v>
      </c>
      <c r="F8" s="14" t="s">
        <v>9</v>
      </c>
      <c r="G8" s="14" t="s">
        <v>331</v>
      </c>
      <c r="H8" s="14" t="s">
        <v>731</v>
      </c>
      <c r="I8" s="14" t="s">
        <v>10</v>
      </c>
      <c r="J8" s="14" t="s">
        <v>332</v>
      </c>
      <c r="K8" s="13" t="s">
        <v>11</v>
      </c>
      <c r="L8" s="45" t="s">
        <v>12</v>
      </c>
      <c r="P8" s="252"/>
      <c r="Q8" s="252"/>
      <c r="R8" s="252"/>
    </row>
    <row r="9" spans="1:20" s="51" customFormat="1" ht="12" thickTop="1">
      <c r="A9" s="214" t="s">
        <v>13</v>
      </c>
      <c r="P9" s="253"/>
      <c r="Q9" s="253"/>
      <c r="R9" s="253"/>
    </row>
    <row r="10" spans="1:20" s="51" customFormat="1">
      <c r="A10" s="20" t="s">
        <v>34</v>
      </c>
      <c r="B10" s="21" t="s">
        <v>35</v>
      </c>
      <c r="C10" s="53">
        <v>438.24</v>
      </c>
      <c r="D10" s="53">
        <v>73.040000000000006</v>
      </c>
      <c r="E10" s="53">
        <f>SUM(C10:D10)</f>
        <v>511.28000000000003</v>
      </c>
      <c r="F10" s="160">
        <v>-66.069999999999993</v>
      </c>
      <c r="G10" s="53">
        <v>0</v>
      </c>
      <c r="H10" s="53">
        <f>+FACTURACIÓN!R10</f>
        <v>0</v>
      </c>
      <c r="I10" s="160">
        <v>-0.05</v>
      </c>
      <c r="J10" s="53">
        <f>+FACTURACIÓN!S10</f>
        <v>0</v>
      </c>
      <c r="K10" s="53">
        <f>SUM(F10:J10)</f>
        <v>-66.11999999999999</v>
      </c>
      <c r="L10" s="53">
        <f>+E10-K10</f>
        <v>577.4</v>
      </c>
      <c r="M10" s="51" t="str">
        <f>IF(B10=O10,"SI","NO")</f>
        <v>SI</v>
      </c>
      <c r="N10" s="50" t="s">
        <v>738</v>
      </c>
      <c r="O10" s="51" t="s">
        <v>35</v>
      </c>
      <c r="P10" s="53">
        <v>577.4</v>
      </c>
      <c r="Q10" s="53">
        <f>+P10-L10</f>
        <v>0</v>
      </c>
      <c r="R10" s="254"/>
    </row>
    <row r="11" spans="1:20" s="51" customFormat="1">
      <c r="A11" s="20" t="s">
        <v>36</v>
      </c>
      <c r="B11" s="21" t="s">
        <v>37</v>
      </c>
      <c r="C11" s="53">
        <v>438.24</v>
      </c>
      <c r="D11" s="53">
        <v>73.040000000000006</v>
      </c>
      <c r="E11" s="53">
        <f t="shared" ref="E11:E74" si="0">SUM(C11:D11)</f>
        <v>511.28000000000003</v>
      </c>
      <c r="F11" s="160">
        <v>-66.069999999999993</v>
      </c>
      <c r="G11" s="53">
        <v>0</v>
      </c>
      <c r="H11" s="53">
        <f>+FACTURACIÓN!R11</f>
        <v>0</v>
      </c>
      <c r="I11" s="160">
        <v>-0.05</v>
      </c>
      <c r="J11" s="53">
        <f>+FACTURACIÓN!S11</f>
        <v>0</v>
      </c>
      <c r="K11" s="53">
        <f t="shared" ref="K11:K74" si="1">SUM(F11:J11)</f>
        <v>-66.11999999999999</v>
      </c>
      <c r="L11" s="53">
        <f t="shared" ref="L11:L74" si="2">+E11-K11</f>
        <v>577.4</v>
      </c>
      <c r="M11" s="51" t="str">
        <f t="shared" ref="M11:M74" si="3">IF(B11=O11,"SI","NO")</f>
        <v>SI</v>
      </c>
      <c r="N11" s="50" t="s">
        <v>494</v>
      </c>
      <c r="O11" s="51" t="s">
        <v>37</v>
      </c>
      <c r="P11" s="53">
        <v>577.4</v>
      </c>
      <c r="Q11" s="53">
        <f t="shared" ref="Q11:Q74" si="4">+P11-L11</f>
        <v>0</v>
      </c>
      <c r="R11" s="254"/>
    </row>
    <row r="12" spans="1:20" s="51" customFormat="1">
      <c r="A12" s="20" t="s">
        <v>38</v>
      </c>
      <c r="B12" s="21" t="s">
        <v>39</v>
      </c>
      <c r="C12" s="53">
        <v>438.24</v>
      </c>
      <c r="D12" s="53">
        <v>73.040000000000006</v>
      </c>
      <c r="E12" s="53">
        <f t="shared" si="0"/>
        <v>511.28000000000003</v>
      </c>
      <c r="F12" s="160">
        <v>-66.069999999999993</v>
      </c>
      <c r="G12" s="53">
        <v>0</v>
      </c>
      <c r="H12" s="53">
        <f>+FACTURACIÓN!R12</f>
        <v>0</v>
      </c>
      <c r="I12" s="160">
        <v>-0.05</v>
      </c>
      <c r="J12" s="53">
        <f>+FACTURACIÓN!S12</f>
        <v>0</v>
      </c>
      <c r="K12" s="53">
        <f t="shared" si="1"/>
        <v>-66.11999999999999</v>
      </c>
      <c r="L12" s="53">
        <f t="shared" si="2"/>
        <v>577.4</v>
      </c>
      <c r="M12" s="51" t="str">
        <f t="shared" si="3"/>
        <v>SI</v>
      </c>
      <c r="N12" s="50" t="s">
        <v>495</v>
      </c>
      <c r="O12" s="51" t="s">
        <v>39</v>
      </c>
      <c r="P12" s="53">
        <v>577.4</v>
      </c>
      <c r="Q12" s="53">
        <f t="shared" si="4"/>
        <v>0</v>
      </c>
      <c r="R12" s="254"/>
    </row>
    <row r="13" spans="1:20" s="51" customFormat="1">
      <c r="A13" s="50" t="s">
        <v>289</v>
      </c>
      <c r="B13" s="21" t="s">
        <v>178</v>
      </c>
      <c r="C13" s="53">
        <v>438.24</v>
      </c>
      <c r="D13" s="53">
        <v>73.040000000000006</v>
      </c>
      <c r="E13" s="53">
        <f t="shared" si="0"/>
        <v>511.28000000000003</v>
      </c>
      <c r="F13" s="160">
        <v>-66.069999999999993</v>
      </c>
      <c r="G13" s="53">
        <v>0</v>
      </c>
      <c r="H13" s="53">
        <f>+FACTURACIÓN!R13</f>
        <v>0</v>
      </c>
      <c r="I13" s="53">
        <v>0.15</v>
      </c>
      <c r="J13" s="53">
        <f>+FACTURACIÓN!S13</f>
        <v>0</v>
      </c>
      <c r="K13" s="53">
        <f t="shared" si="1"/>
        <v>-65.919999999999987</v>
      </c>
      <c r="L13" s="53">
        <f t="shared" si="2"/>
        <v>577.20000000000005</v>
      </c>
      <c r="M13" s="51" t="str">
        <f t="shared" si="3"/>
        <v>SI</v>
      </c>
      <c r="N13" s="50" t="s">
        <v>739</v>
      </c>
      <c r="O13" s="51" t="s">
        <v>178</v>
      </c>
      <c r="P13" s="53">
        <v>577.20000000000005</v>
      </c>
      <c r="Q13" s="53">
        <f t="shared" si="4"/>
        <v>0</v>
      </c>
      <c r="R13" s="254"/>
    </row>
    <row r="14" spans="1:20" s="51" customFormat="1">
      <c r="A14" s="20" t="s">
        <v>42</v>
      </c>
      <c r="B14" s="21" t="s">
        <v>43</v>
      </c>
      <c r="C14" s="53">
        <v>438.24</v>
      </c>
      <c r="D14" s="53">
        <v>73.040000000000006</v>
      </c>
      <c r="E14" s="53">
        <f t="shared" si="0"/>
        <v>511.28000000000003</v>
      </c>
      <c r="F14" s="160">
        <v>-66.069999999999993</v>
      </c>
      <c r="G14" s="53">
        <v>0</v>
      </c>
      <c r="H14" s="53">
        <f>+FACTURACIÓN!R14</f>
        <v>0</v>
      </c>
      <c r="I14" s="160">
        <v>-0.05</v>
      </c>
      <c r="J14" s="53">
        <f>+FACTURACIÓN!S14</f>
        <v>0</v>
      </c>
      <c r="K14" s="53">
        <f t="shared" si="1"/>
        <v>-66.11999999999999</v>
      </c>
      <c r="L14" s="53">
        <f t="shared" si="2"/>
        <v>577.4</v>
      </c>
      <c r="M14" s="51" t="str">
        <f t="shared" si="3"/>
        <v>SI</v>
      </c>
      <c r="N14" s="50" t="s">
        <v>42</v>
      </c>
      <c r="O14" s="51" t="s">
        <v>43</v>
      </c>
      <c r="P14" s="53">
        <v>577.4</v>
      </c>
      <c r="Q14" s="53">
        <f t="shared" si="4"/>
        <v>0</v>
      </c>
      <c r="R14" s="254"/>
    </row>
    <row r="15" spans="1:20" s="51" customFormat="1">
      <c r="A15" s="20" t="s">
        <v>732</v>
      </c>
      <c r="B15" s="21" t="s">
        <v>609</v>
      </c>
      <c r="C15" s="53">
        <v>438.24</v>
      </c>
      <c r="D15" s="53">
        <v>73.040000000000006</v>
      </c>
      <c r="E15" s="53">
        <f t="shared" si="0"/>
        <v>511.28000000000003</v>
      </c>
      <c r="F15" s="160">
        <v>-66.069999999999993</v>
      </c>
      <c r="G15" s="53">
        <v>0</v>
      </c>
      <c r="H15" s="53">
        <f>+FACTURACIÓN!R15</f>
        <v>0</v>
      </c>
      <c r="I15" s="53">
        <v>0.15</v>
      </c>
      <c r="J15" s="53">
        <f>+FACTURACIÓN!S15</f>
        <v>0</v>
      </c>
      <c r="K15" s="53">
        <f t="shared" si="1"/>
        <v>-65.919999999999987</v>
      </c>
      <c r="L15" s="53">
        <f t="shared" si="2"/>
        <v>577.20000000000005</v>
      </c>
      <c r="M15" s="51" t="str">
        <f t="shared" si="3"/>
        <v>SI</v>
      </c>
      <c r="N15" s="50" t="s">
        <v>732</v>
      </c>
      <c r="O15" s="51" t="s">
        <v>740</v>
      </c>
      <c r="P15" s="53">
        <v>577.20000000000005</v>
      </c>
      <c r="Q15" s="53">
        <f t="shared" si="4"/>
        <v>0</v>
      </c>
      <c r="R15" s="254"/>
    </row>
    <row r="16" spans="1:20" s="51" customFormat="1">
      <c r="A16" s="20" t="s">
        <v>44</v>
      </c>
      <c r="B16" s="21" t="s">
        <v>45</v>
      </c>
      <c r="C16" s="53">
        <v>438.24</v>
      </c>
      <c r="D16" s="53">
        <v>73.040000000000006</v>
      </c>
      <c r="E16" s="53">
        <f t="shared" si="0"/>
        <v>511.28000000000003</v>
      </c>
      <c r="F16" s="160">
        <v>-66.069999999999993</v>
      </c>
      <c r="G16" s="53">
        <v>0</v>
      </c>
      <c r="H16" s="53">
        <f>+FACTURACIÓN!R16</f>
        <v>0</v>
      </c>
      <c r="I16" s="160">
        <v>-0.05</v>
      </c>
      <c r="J16" s="53">
        <f>+FACTURACIÓN!S16</f>
        <v>0</v>
      </c>
      <c r="K16" s="53">
        <f t="shared" si="1"/>
        <v>-66.11999999999999</v>
      </c>
      <c r="L16" s="53">
        <f t="shared" si="2"/>
        <v>577.4</v>
      </c>
      <c r="M16" s="51" t="str">
        <f t="shared" si="3"/>
        <v>SI</v>
      </c>
      <c r="N16" s="50" t="s">
        <v>496</v>
      </c>
      <c r="O16" s="51" t="s">
        <v>45</v>
      </c>
      <c r="P16" s="53">
        <v>577.4</v>
      </c>
      <c r="Q16" s="53">
        <f t="shared" si="4"/>
        <v>0</v>
      </c>
      <c r="R16" s="254"/>
    </row>
    <row r="17" spans="1:21" s="51" customFormat="1">
      <c r="A17" s="50" t="s">
        <v>518</v>
      </c>
      <c r="B17" s="21" t="s">
        <v>517</v>
      </c>
      <c r="C17" s="53">
        <v>438.24</v>
      </c>
      <c r="D17" s="53">
        <v>73.040000000000006</v>
      </c>
      <c r="E17" s="53">
        <f t="shared" si="0"/>
        <v>511.28000000000003</v>
      </c>
      <c r="F17" s="160">
        <v>-66.069999999999993</v>
      </c>
      <c r="G17" s="53">
        <v>0</v>
      </c>
      <c r="H17" s="53">
        <f>+FACTURACIÓN!R17</f>
        <v>0</v>
      </c>
      <c r="I17" s="53">
        <v>0.15</v>
      </c>
      <c r="J17" s="53">
        <f>+FACTURACIÓN!S17</f>
        <v>0</v>
      </c>
      <c r="K17" s="53">
        <f t="shared" si="1"/>
        <v>-65.919999999999987</v>
      </c>
      <c r="L17" s="53">
        <f t="shared" si="2"/>
        <v>577.20000000000005</v>
      </c>
      <c r="M17" s="51" t="str">
        <f t="shared" si="3"/>
        <v>SI</v>
      </c>
      <c r="N17" s="50" t="s">
        <v>518</v>
      </c>
      <c r="O17" s="51" t="s">
        <v>517</v>
      </c>
      <c r="P17" s="53">
        <v>577.20000000000005</v>
      </c>
      <c r="Q17" s="53">
        <f t="shared" si="4"/>
        <v>0</v>
      </c>
      <c r="R17" s="254"/>
    </row>
    <row r="18" spans="1:21" s="51" customFormat="1">
      <c r="A18" s="20" t="s">
        <v>290</v>
      </c>
      <c r="B18" s="21" t="s">
        <v>46</v>
      </c>
      <c r="C18" s="53">
        <v>438.24</v>
      </c>
      <c r="D18" s="53">
        <v>73.040000000000006</v>
      </c>
      <c r="E18" s="53">
        <f t="shared" si="0"/>
        <v>511.28000000000003</v>
      </c>
      <c r="F18" s="160">
        <v>-66.069999999999993</v>
      </c>
      <c r="G18" s="53">
        <v>0</v>
      </c>
      <c r="H18" s="53">
        <f>+FACTURACIÓN!R18</f>
        <v>0</v>
      </c>
      <c r="I18" s="160">
        <v>-0.05</v>
      </c>
      <c r="J18" s="53">
        <f>+FACTURACIÓN!S18</f>
        <v>0</v>
      </c>
      <c r="K18" s="53">
        <f t="shared" si="1"/>
        <v>-66.11999999999999</v>
      </c>
      <c r="L18" s="53">
        <f t="shared" si="2"/>
        <v>577.4</v>
      </c>
      <c r="M18" s="51" t="str">
        <f t="shared" si="3"/>
        <v>SI</v>
      </c>
      <c r="N18" s="50" t="s">
        <v>290</v>
      </c>
      <c r="O18" s="51" t="s">
        <v>46</v>
      </c>
      <c r="P18" s="53">
        <v>577.4</v>
      </c>
      <c r="Q18" s="53">
        <f t="shared" si="4"/>
        <v>0</v>
      </c>
      <c r="R18" s="254"/>
    </row>
    <row r="19" spans="1:21" s="51" customFormat="1">
      <c r="A19" s="20" t="s">
        <v>14</v>
      </c>
      <c r="B19" s="21" t="s">
        <v>47</v>
      </c>
      <c r="C19" s="53">
        <v>438.24</v>
      </c>
      <c r="D19" s="53">
        <v>73.040000000000006</v>
      </c>
      <c r="E19" s="53">
        <f t="shared" si="0"/>
        <v>511.28000000000003</v>
      </c>
      <c r="F19" s="160">
        <v>-66.069999999999993</v>
      </c>
      <c r="G19" s="53">
        <v>0</v>
      </c>
      <c r="H19" s="53">
        <f>+FACTURACIÓN!R19</f>
        <v>0</v>
      </c>
      <c r="I19" s="53">
        <v>0.15</v>
      </c>
      <c r="J19" s="53">
        <f>+FACTURACIÓN!S19</f>
        <v>0</v>
      </c>
      <c r="K19" s="53">
        <f t="shared" si="1"/>
        <v>-65.919999999999987</v>
      </c>
      <c r="L19" s="53">
        <f t="shared" si="2"/>
        <v>577.20000000000005</v>
      </c>
      <c r="M19" s="51" t="str">
        <f t="shared" si="3"/>
        <v>SI</v>
      </c>
      <c r="N19" s="50" t="s">
        <v>741</v>
      </c>
      <c r="O19" s="51" t="s">
        <v>47</v>
      </c>
      <c r="P19" s="53">
        <v>577.20000000000005</v>
      </c>
      <c r="Q19" s="53">
        <f t="shared" si="4"/>
        <v>0</v>
      </c>
      <c r="R19" s="254"/>
    </row>
    <row r="20" spans="1:21" s="51" customFormat="1">
      <c r="A20" s="20" t="s">
        <v>48</v>
      </c>
      <c r="B20" s="21" t="s">
        <v>49</v>
      </c>
      <c r="C20" s="53">
        <v>438.24</v>
      </c>
      <c r="D20" s="53">
        <v>73.040000000000006</v>
      </c>
      <c r="E20" s="53">
        <f t="shared" si="0"/>
        <v>511.28000000000003</v>
      </c>
      <c r="F20" s="160">
        <v>-66.069999999999993</v>
      </c>
      <c r="G20" s="53">
        <v>0</v>
      </c>
      <c r="H20" s="53">
        <f>+FACTURACIÓN!R20</f>
        <v>0</v>
      </c>
      <c r="I20" s="160">
        <v>-0.05</v>
      </c>
      <c r="J20" s="53">
        <f>+FACTURACIÓN!S20</f>
        <v>0</v>
      </c>
      <c r="K20" s="53">
        <f t="shared" si="1"/>
        <v>-66.11999999999999</v>
      </c>
      <c r="L20" s="53">
        <f t="shared" si="2"/>
        <v>577.4</v>
      </c>
      <c r="M20" s="51" t="str">
        <f t="shared" si="3"/>
        <v>SI</v>
      </c>
      <c r="N20" s="50" t="s">
        <v>742</v>
      </c>
      <c r="O20" s="51" t="s">
        <v>49</v>
      </c>
      <c r="P20" s="53">
        <v>577.4</v>
      </c>
      <c r="Q20" s="53">
        <f t="shared" si="4"/>
        <v>0</v>
      </c>
      <c r="R20" s="254"/>
    </row>
    <row r="21" spans="1:21" s="51" customFormat="1">
      <c r="A21" s="20" t="s">
        <v>50</v>
      </c>
      <c r="B21" s="21" t="s">
        <v>51</v>
      </c>
      <c r="C21" s="53">
        <v>219.12</v>
      </c>
      <c r="D21" s="53">
        <v>36.520000000000003</v>
      </c>
      <c r="E21" s="53">
        <f t="shared" si="0"/>
        <v>255.64000000000001</v>
      </c>
      <c r="F21" s="160">
        <f>-66.07/7*4</f>
        <v>-37.754285714285707</v>
      </c>
      <c r="G21" s="53">
        <v>0</v>
      </c>
      <c r="H21" s="53">
        <f>+FACTURACIÓN!R21</f>
        <v>0</v>
      </c>
      <c r="I21" s="53">
        <v>0.15</v>
      </c>
      <c r="J21" s="53">
        <f>+FACTURACIÓN!S21</f>
        <v>167.44</v>
      </c>
      <c r="K21" s="53">
        <f t="shared" si="1"/>
        <v>129.83571428571429</v>
      </c>
      <c r="L21" s="53">
        <f t="shared" si="2"/>
        <v>125.80428571428573</v>
      </c>
      <c r="M21" s="51" t="str">
        <f t="shared" si="3"/>
        <v>SI</v>
      </c>
      <c r="N21" s="50" t="s">
        <v>50</v>
      </c>
      <c r="O21" s="51" t="s">
        <v>51</v>
      </c>
      <c r="P21" s="53">
        <v>125.8</v>
      </c>
      <c r="Q21" s="53">
        <f t="shared" si="4"/>
        <v>-4.285714285728659E-3</v>
      </c>
      <c r="R21" s="254"/>
    </row>
    <row r="22" spans="1:21" s="51" customFormat="1">
      <c r="A22" s="50" t="s">
        <v>824</v>
      </c>
      <c r="B22" s="51" t="s">
        <v>825</v>
      </c>
      <c r="C22" s="53">
        <v>73.040000000000006</v>
      </c>
      <c r="D22" s="53">
        <v>12.17</v>
      </c>
      <c r="E22" s="53">
        <f t="shared" si="0"/>
        <v>85.210000000000008</v>
      </c>
      <c r="F22" s="160">
        <f>-66.07/7*2</f>
        <v>-18.877142857142854</v>
      </c>
      <c r="G22" s="53">
        <v>0</v>
      </c>
      <c r="H22" s="53">
        <f>+FACTURACIÓN!R22</f>
        <v>0</v>
      </c>
      <c r="I22" s="53">
        <v>0.09</v>
      </c>
      <c r="J22" s="53">
        <f>+FACTURACIÓN!S22</f>
        <v>0</v>
      </c>
      <c r="K22" s="53">
        <f t="shared" si="1"/>
        <v>-18.787142857142854</v>
      </c>
      <c r="L22" s="53">
        <f t="shared" si="2"/>
        <v>103.99714285714286</v>
      </c>
      <c r="M22" s="51" t="str">
        <f t="shared" si="3"/>
        <v>SI</v>
      </c>
      <c r="N22" s="50" t="s">
        <v>824</v>
      </c>
      <c r="O22" s="51" t="s">
        <v>825</v>
      </c>
      <c r="P22" s="53">
        <v>104</v>
      </c>
      <c r="Q22" s="53">
        <f t="shared" si="4"/>
        <v>2.8571428571382285E-3</v>
      </c>
      <c r="R22" s="254"/>
    </row>
    <row r="23" spans="1:21" s="51" customFormat="1">
      <c r="A23" s="20" t="s">
        <v>291</v>
      </c>
      <c r="B23" s="21" t="s">
        <v>52</v>
      </c>
      <c r="C23" s="53">
        <v>438.24</v>
      </c>
      <c r="D23" s="53">
        <v>73.040000000000006</v>
      </c>
      <c r="E23" s="53">
        <f t="shared" si="0"/>
        <v>511.28000000000003</v>
      </c>
      <c r="F23" s="160">
        <v>-66.069999999999993</v>
      </c>
      <c r="G23" s="53">
        <v>0</v>
      </c>
      <c r="H23" s="53">
        <f>+FACTURACIÓN!R23</f>
        <v>0</v>
      </c>
      <c r="I23" s="160">
        <v>-0.05</v>
      </c>
      <c r="J23" s="53">
        <f>+FACTURACIÓN!S23</f>
        <v>0</v>
      </c>
      <c r="K23" s="53">
        <f t="shared" si="1"/>
        <v>-66.11999999999999</v>
      </c>
      <c r="L23" s="53">
        <f t="shared" si="2"/>
        <v>577.4</v>
      </c>
      <c r="M23" s="51" t="str">
        <f t="shared" si="3"/>
        <v>SI</v>
      </c>
      <c r="N23" s="50" t="s">
        <v>291</v>
      </c>
      <c r="O23" s="51" t="s">
        <v>52</v>
      </c>
      <c r="P23" s="53">
        <v>577.4</v>
      </c>
      <c r="Q23" s="53">
        <f t="shared" si="4"/>
        <v>0</v>
      </c>
      <c r="R23" s="254"/>
    </row>
    <row r="24" spans="1:21" s="51" customFormat="1">
      <c r="A24" s="20" t="s">
        <v>53</v>
      </c>
      <c r="B24" s="21" t="s">
        <v>54</v>
      </c>
      <c r="C24" s="53">
        <v>438.24</v>
      </c>
      <c r="D24" s="53">
        <v>73.040000000000006</v>
      </c>
      <c r="E24" s="53">
        <f t="shared" si="0"/>
        <v>511.28000000000003</v>
      </c>
      <c r="F24" s="160">
        <v>-66.069999999999993</v>
      </c>
      <c r="G24" s="53">
        <v>0</v>
      </c>
      <c r="H24" s="53">
        <f>+FACTURACIÓN!R24</f>
        <v>0</v>
      </c>
      <c r="I24" s="160">
        <v>-0.05</v>
      </c>
      <c r="J24" s="53">
        <f>+FACTURACIÓN!S24</f>
        <v>0</v>
      </c>
      <c r="K24" s="53">
        <f t="shared" si="1"/>
        <v>-66.11999999999999</v>
      </c>
      <c r="L24" s="53">
        <f t="shared" si="2"/>
        <v>577.4</v>
      </c>
      <c r="M24" s="51" t="str">
        <f t="shared" si="3"/>
        <v>SI</v>
      </c>
      <c r="N24" s="50" t="s">
        <v>743</v>
      </c>
      <c r="O24" s="51" t="s">
        <v>54</v>
      </c>
      <c r="P24" s="53">
        <v>577.4</v>
      </c>
      <c r="Q24" s="53">
        <f t="shared" si="4"/>
        <v>0</v>
      </c>
      <c r="R24" s="254"/>
    </row>
    <row r="25" spans="1:21" s="51" customFormat="1">
      <c r="A25" s="20" t="s">
        <v>15</v>
      </c>
      <c r="B25" s="21" t="s">
        <v>55</v>
      </c>
      <c r="C25" s="53">
        <v>438.24</v>
      </c>
      <c r="D25" s="53">
        <v>73.040000000000006</v>
      </c>
      <c r="E25" s="53">
        <f t="shared" si="0"/>
        <v>511.28000000000003</v>
      </c>
      <c r="F25" s="160">
        <v>-66.069999999999993</v>
      </c>
      <c r="G25" s="53">
        <v>0</v>
      </c>
      <c r="H25" s="53">
        <f>+FACTURACIÓN!R25</f>
        <v>0</v>
      </c>
      <c r="I25" s="160">
        <v>-0.05</v>
      </c>
      <c r="J25" s="53">
        <f>+FACTURACIÓN!S25</f>
        <v>0</v>
      </c>
      <c r="K25" s="53">
        <f t="shared" si="1"/>
        <v>-66.11999999999999</v>
      </c>
      <c r="L25" s="53">
        <f t="shared" si="2"/>
        <v>577.4</v>
      </c>
      <c r="M25" s="51" t="str">
        <f t="shared" si="3"/>
        <v>SI</v>
      </c>
      <c r="N25" s="50" t="s">
        <v>497</v>
      </c>
      <c r="O25" s="51" t="s">
        <v>55</v>
      </c>
      <c r="P25" s="53">
        <v>577.4</v>
      </c>
      <c r="Q25" s="53">
        <f t="shared" si="4"/>
        <v>0</v>
      </c>
      <c r="R25" s="254"/>
    </row>
    <row r="26" spans="1:21" s="51" customFormat="1">
      <c r="A26" s="20" t="s">
        <v>56</v>
      </c>
      <c r="B26" s="21" t="s">
        <v>57</v>
      </c>
      <c r="C26" s="53">
        <v>438.24</v>
      </c>
      <c r="D26" s="53">
        <v>73.040000000000006</v>
      </c>
      <c r="E26" s="53">
        <f t="shared" si="0"/>
        <v>511.28000000000003</v>
      </c>
      <c r="F26" s="160">
        <v>-66.069999999999993</v>
      </c>
      <c r="G26" s="53">
        <v>0</v>
      </c>
      <c r="H26" s="53">
        <f>+FACTURACIÓN!R26</f>
        <v>0</v>
      </c>
      <c r="I26" s="160">
        <v>-0.05</v>
      </c>
      <c r="J26" s="53">
        <f>+FACTURACIÓN!S26</f>
        <v>0</v>
      </c>
      <c r="K26" s="53">
        <f t="shared" si="1"/>
        <v>-66.11999999999999</v>
      </c>
      <c r="L26" s="53">
        <f t="shared" si="2"/>
        <v>577.4</v>
      </c>
      <c r="M26" s="51" t="str">
        <f t="shared" si="3"/>
        <v>SI</v>
      </c>
      <c r="N26" s="50" t="s">
        <v>744</v>
      </c>
      <c r="O26" s="51" t="s">
        <v>57</v>
      </c>
      <c r="P26" s="53">
        <v>577.4</v>
      </c>
      <c r="Q26" s="53">
        <f t="shared" si="4"/>
        <v>0</v>
      </c>
      <c r="R26" s="254"/>
    </row>
    <row r="27" spans="1:21" s="51" customFormat="1">
      <c r="A27" s="20" t="s">
        <v>60</v>
      </c>
      <c r="B27" s="21" t="s">
        <v>61</v>
      </c>
      <c r="C27" s="53">
        <v>438.24</v>
      </c>
      <c r="D27" s="53">
        <v>73.040000000000006</v>
      </c>
      <c r="E27" s="53">
        <f t="shared" si="0"/>
        <v>511.28000000000003</v>
      </c>
      <c r="F27" s="160">
        <v>-66.069999999999993</v>
      </c>
      <c r="G27" s="53">
        <v>0</v>
      </c>
      <c r="H27" s="53">
        <f>+FACTURACIÓN!R27</f>
        <v>0</v>
      </c>
      <c r="I27" s="160">
        <v>-0.05</v>
      </c>
      <c r="J27" s="53">
        <f>+FACTURACIÓN!S27</f>
        <v>0</v>
      </c>
      <c r="K27" s="53">
        <f t="shared" si="1"/>
        <v>-66.11999999999999</v>
      </c>
      <c r="L27" s="53">
        <f t="shared" si="2"/>
        <v>577.4</v>
      </c>
      <c r="M27" s="51" t="str">
        <f t="shared" si="3"/>
        <v>SI</v>
      </c>
      <c r="N27" s="50" t="s">
        <v>746</v>
      </c>
      <c r="O27" s="51" t="s">
        <v>61</v>
      </c>
      <c r="P27" s="53">
        <v>577.4</v>
      </c>
      <c r="Q27" s="53">
        <f t="shared" si="4"/>
        <v>0</v>
      </c>
      <c r="R27" s="254"/>
    </row>
    <row r="28" spans="1:21" s="51" customFormat="1">
      <c r="A28" s="50" t="s">
        <v>835</v>
      </c>
      <c r="B28" s="51" t="s">
        <v>834</v>
      </c>
      <c r="C28" s="53">
        <v>73.040000000000006</v>
      </c>
      <c r="D28" s="53">
        <v>12.17</v>
      </c>
      <c r="E28" s="53">
        <f t="shared" si="0"/>
        <v>85.210000000000008</v>
      </c>
      <c r="F28" s="160">
        <v>-18.88</v>
      </c>
      <c r="G28" s="53">
        <v>0</v>
      </c>
      <c r="H28" s="53">
        <f>+FACTURACIÓN!R28</f>
        <v>0</v>
      </c>
      <c r="I28" s="53">
        <v>0.09</v>
      </c>
      <c r="J28" s="53">
        <f>+FACTURACIÓN!S28</f>
        <v>0</v>
      </c>
      <c r="K28" s="53">
        <f t="shared" si="1"/>
        <v>-18.79</v>
      </c>
      <c r="L28" s="53">
        <f t="shared" si="2"/>
        <v>104</v>
      </c>
      <c r="M28" s="51" t="str">
        <f t="shared" si="3"/>
        <v>SI</v>
      </c>
      <c r="N28" s="50" t="s">
        <v>835</v>
      </c>
      <c r="O28" s="51" t="s">
        <v>834</v>
      </c>
      <c r="P28" s="53">
        <v>104</v>
      </c>
      <c r="Q28" s="53">
        <f t="shared" si="4"/>
        <v>0</v>
      </c>
      <c r="R28" s="254"/>
    </row>
    <row r="29" spans="1:21" s="51" customFormat="1">
      <c r="A29" s="20" t="s">
        <v>62</v>
      </c>
      <c r="B29" s="21" t="s">
        <v>63</v>
      </c>
      <c r="C29" s="53">
        <v>438.24</v>
      </c>
      <c r="D29" s="53">
        <v>73.040000000000006</v>
      </c>
      <c r="E29" s="53">
        <f t="shared" si="0"/>
        <v>511.28000000000003</v>
      </c>
      <c r="F29" s="160">
        <v>-66.069999999999993</v>
      </c>
      <c r="G29" s="53">
        <v>0</v>
      </c>
      <c r="H29" s="53">
        <f>+FACTURACIÓN!R29</f>
        <v>0</v>
      </c>
      <c r="I29" s="53">
        <v>0.15</v>
      </c>
      <c r="J29" s="53">
        <f>+FACTURACIÓN!S29</f>
        <v>0</v>
      </c>
      <c r="K29" s="53">
        <f t="shared" si="1"/>
        <v>-65.919999999999987</v>
      </c>
      <c r="L29" s="53">
        <f t="shared" si="2"/>
        <v>577.20000000000005</v>
      </c>
      <c r="M29" s="51" t="str">
        <f t="shared" si="3"/>
        <v>SI</v>
      </c>
      <c r="N29" s="50" t="s">
        <v>747</v>
      </c>
      <c r="O29" s="51" t="s">
        <v>63</v>
      </c>
      <c r="P29" s="53">
        <v>577.20000000000005</v>
      </c>
      <c r="Q29" s="53">
        <f t="shared" si="4"/>
        <v>0</v>
      </c>
      <c r="R29" s="254"/>
    </row>
    <row r="30" spans="1:21" s="51" customFormat="1">
      <c r="A30" s="20" t="s">
        <v>64</v>
      </c>
      <c r="B30" s="21" t="s">
        <v>65</v>
      </c>
      <c r="C30" s="53">
        <v>438.24</v>
      </c>
      <c r="D30" s="53">
        <v>73.040000000000006</v>
      </c>
      <c r="E30" s="53">
        <f t="shared" si="0"/>
        <v>511.28000000000003</v>
      </c>
      <c r="F30" s="160">
        <v>-66.069999999999993</v>
      </c>
      <c r="G30" s="53">
        <v>0</v>
      </c>
      <c r="H30" s="53">
        <f>+FACTURACIÓN!R30</f>
        <v>0</v>
      </c>
      <c r="I30" s="53">
        <v>0.15</v>
      </c>
      <c r="J30" s="53">
        <f>+FACTURACIÓN!S30</f>
        <v>0</v>
      </c>
      <c r="K30" s="53">
        <f t="shared" si="1"/>
        <v>-65.919999999999987</v>
      </c>
      <c r="L30" s="53">
        <f t="shared" si="2"/>
        <v>577.20000000000005</v>
      </c>
      <c r="M30" s="51" t="str">
        <f t="shared" si="3"/>
        <v>SI</v>
      </c>
      <c r="N30" s="50" t="s">
        <v>748</v>
      </c>
      <c r="O30" s="51" t="s">
        <v>65</v>
      </c>
      <c r="P30" s="53">
        <v>577.20000000000005</v>
      </c>
      <c r="Q30" s="53">
        <f t="shared" si="4"/>
        <v>0</v>
      </c>
      <c r="R30" s="254"/>
    </row>
    <row r="31" spans="1:21" s="51" customFormat="1">
      <c r="A31" s="20" t="s">
        <v>66</v>
      </c>
      <c r="B31" s="21" t="s">
        <v>67</v>
      </c>
      <c r="C31" s="53">
        <v>438.24</v>
      </c>
      <c r="D31" s="53">
        <v>73.040000000000006</v>
      </c>
      <c r="E31" s="53">
        <f t="shared" si="0"/>
        <v>511.28000000000003</v>
      </c>
      <c r="F31" s="160">
        <v>-66.069999999999993</v>
      </c>
      <c r="G31" s="53">
        <v>0</v>
      </c>
      <c r="H31" s="53">
        <f>+FACTURACIÓN!R31</f>
        <v>0</v>
      </c>
      <c r="I31" s="160">
        <v>-0.05</v>
      </c>
      <c r="J31" s="53">
        <f>+FACTURACIÓN!S31</f>
        <v>0</v>
      </c>
      <c r="K31" s="53">
        <f t="shared" si="1"/>
        <v>-66.11999999999999</v>
      </c>
      <c r="L31" s="53">
        <f t="shared" si="2"/>
        <v>577.4</v>
      </c>
      <c r="M31" s="51" t="str">
        <f t="shared" si="3"/>
        <v>SI</v>
      </c>
      <c r="N31" s="50" t="s">
        <v>749</v>
      </c>
      <c r="O31" s="51" t="s">
        <v>67</v>
      </c>
      <c r="P31" s="53">
        <v>577.4</v>
      </c>
      <c r="Q31" s="53">
        <f t="shared" si="4"/>
        <v>0</v>
      </c>
      <c r="R31" s="254"/>
      <c r="T31" s="53"/>
      <c r="U31" s="254"/>
    </row>
    <row r="32" spans="1:21" s="51" customFormat="1">
      <c r="A32" s="20" t="s">
        <v>68</v>
      </c>
      <c r="B32" s="21" t="s">
        <v>69</v>
      </c>
      <c r="C32" s="53">
        <v>438.24</v>
      </c>
      <c r="D32" s="53">
        <v>73.040000000000006</v>
      </c>
      <c r="E32" s="53">
        <f t="shared" si="0"/>
        <v>511.28000000000003</v>
      </c>
      <c r="F32" s="160">
        <v>-66.069999999999993</v>
      </c>
      <c r="G32" s="53">
        <v>0</v>
      </c>
      <c r="H32" s="53">
        <f>+FACTURACIÓN!R32</f>
        <v>0</v>
      </c>
      <c r="I32" s="160">
        <v>-0.05</v>
      </c>
      <c r="J32" s="53">
        <f>+FACTURACIÓN!S32</f>
        <v>0</v>
      </c>
      <c r="K32" s="53">
        <f t="shared" si="1"/>
        <v>-66.11999999999999</v>
      </c>
      <c r="L32" s="53">
        <f t="shared" si="2"/>
        <v>577.4</v>
      </c>
      <c r="M32" s="51" t="str">
        <f t="shared" si="3"/>
        <v>SI</v>
      </c>
      <c r="N32" s="50" t="s">
        <v>750</v>
      </c>
      <c r="O32" s="51" t="s">
        <v>69</v>
      </c>
      <c r="P32" s="53">
        <v>577.4</v>
      </c>
      <c r="Q32" s="53">
        <f t="shared" si="4"/>
        <v>0</v>
      </c>
      <c r="R32" s="254"/>
    </row>
    <row r="33" spans="1:21" s="51" customFormat="1">
      <c r="A33" s="20" t="s">
        <v>70</v>
      </c>
      <c r="B33" s="21" t="s">
        <v>71</v>
      </c>
      <c r="C33" s="53">
        <v>438.24</v>
      </c>
      <c r="D33" s="53">
        <v>73.040000000000006</v>
      </c>
      <c r="E33" s="53">
        <f t="shared" si="0"/>
        <v>511.28000000000003</v>
      </c>
      <c r="F33" s="160">
        <v>-66.069999999999993</v>
      </c>
      <c r="G33" s="53">
        <v>0</v>
      </c>
      <c r="H33" s="53">
        <f>+FACTURACIÓN!R33</f>
        <v>0</v>
      </c>
      <c r="I33" s="53">
        <v>0.09</v>
      </c>
      <c r="J33" s="53">
        <f>+FACTURACIÓN!S33</f>
        <v>168.06</v>
      </c>
      <c r="K33" s="53">
        <f t="shared" si="1"/>
        <v>102.08000000000001</v>
      </c>
      <c r="L33" s="53">
        <f t="shared" si="2"/>
        <v>409.20000000000005</v>
      </c>
      <c r="M33" s="51" t="str">
        <f t="shared" si="3"/>
        <v>SI</v>
      </c>
      <c r="N33" s="50" t="s">
        <v>751</v>
      </c>
      <c r="O33" s="51" t="s">
        <v>71</v>
      </c>
      <c r="P33" s="53">
        <v>409.2</v>
      </c>
      <c r="Q33" s="53">
        <f t="shared" si="4"/>
        <v>0</v>
      </c>
      <c r="R33" s="254"/>
    </row>
    <row r="34" spans="1:21" s="51" customFormat="1">
      <c r="A34" s="20" t="s">
        <v>72</v>
      </c>
      <c r="B34" s="21" t="s">
        <v>73</v>
      </c>
      <c r="C34" s="53">
        <v>438.24</v>
      </c>
      <c r="D34" s="53">
        <v>73.040000000000006</v>
      </c>
      <c r="E34" s="53">
        <f t="shared" si="0"/>
        <v>511.28000000000003</v>
      </c>
      <c r="F34" s="160">
        <v>-66.069999999999993</v>
      </c>
      <c r="G34" s="53">
        <v>0</v>
      </c>
      <c r="H34" s="53">
        <f>+FACTURACIÓN!R34</f>
        <v>0</v>
      </c>
      <c r="I34" s="160">
        <v>-0.05</v>
      </c>
      <c r="J34" s="53">
        <f>+FACTURACIÓN!S34</f>
        <v>0</v>
      </c>
      <c r="K34" s="53">
        <f t="shared" si="1"/>
        <v>-66.11999999999999</v>
      </c>
      <c r="L34" s="53">
        <f t="shared" si="2"/>
        <v>577.4</v>
      </c>
      <c r="M34" s="51" t="str">
        <f t="shared" si="3"/>
        <v>SI</v>
      </c>
      <c r="N34" s="50" t="s">
        <v>498</v>
      </c>
      <c r="O34" s="51" t="s">
        <v>73</v>
      </c>
      <c r="P34" s="53">
        <v>577.4</v>
      </c>
      <c r="Q34" s="53">
        <f t="shared" si="4"/>
        <v>0</v>
      </c>
      <c r="R34" s="254"/>
    </row>
    <row r="35" spans="1:21" s="51" customFormat="1">
      <c r="A35" s="20" t="s">
        <v>76</v>
      </c>
      <c r="B35" s="21" t="s">
        <v>724</v>
      </c>
      <c r="C35" s="53">
        <v>438.24</v>
      </c>
      <c r="D35" s="53">
        <v>73.040000000000006</v>
      </c>
      <c r="E35" s="53">
        <f t="shared" si="0"/>
        <v>511.28000000000003</v>
      </c>
      <c r="F35" s="160">
        <v>-66.069999999999993</v>
      </c>
      <c r="G35" s="53">
        <v>0</v>
      </c>
      <c r="H35" s="53">
        <f>+FACTURACIÓN!R35</f>
        <v>0</v>
      </c>
      <c r="I35" s="160">
        <v>-0.05</v>
      </c>
      <c r="J35" s="53">
        <f>+FACTURACIÓN!S35</f>
        <v>0</v>
      </c>
      <c r="K35" s="53">
        <f t="shared" si="1"/>
        <v>-66.11999999999999</v>
      </c>
      <c r="L35" s="53">
        <f t="shared" si="2"/>
        <v>577.4</v>
      </c>
      <c r="M35" s="51" t="str">
        <f t="shared" si="3"/>
        <v>NO</v>
      </c>
      <c r="N35" s="50" t="s">
        <v>752</v>
      </c>
      <c r="O35" s="51" t="s">
        <v>77</v>
      </c>
      <c r="P35" s="53">
        <v>577.4</v>
      </c>
      <c r="Q35" s="53">
        <f t="shared" si="4"/>
        <v>0</v>
      </c>
      <c r="R35" s="254"/>
      <c r="T35" s="53"/>
      <c r="U35" s="53"/>
    </row>
    <row r="36" spans="1:21" s="51" customFormat="1">
      <c r="A36" s="20" t="s">
        <v>78</v>
      </c>
      <c r="B36" s="21" t="s">
        <v>79</v>
      </c>
      <c r="C36" s="53">
        <v>438.24</v>
      </c>
      <c r="D36" s="53">
        <v>73.040000000000006</v>
      </c>
      <c r="E36" s="53">
        <f t="shared" si="0"/>
        <v>511.28000000000003</v>
      </c>
      <c r="F36" s="160">
        <v>-66.069999999999993</v>
      </c>
      <c r="G36" s="53">
        <v>0</v>
      </c>
      <c r="H36" s="53">
        <f>+FACTURACIÓN!R36</f>
        <v>0</v>
      </c>
      <c r="I36" s="53">
        <v>0.15</v>
      </c>
      <c r="J36" s="53">
        <f>+FACTURACIÓN!S36</f>
        <v>0</v>
      </c>
      <c r="K36" s="53">
        <f t="shared" si="1"/>
        <v>-65.919999999999987</v>
      </c>
      <c r="L36" s="53">
        <f t="shared" si="2"/>
        <v>577.20000000000005</v>
      </c>
      <c r="M36" s="51" t="str">
        <f t="shared" si="3"/>
        <v>SI</v>
      </c>
      <c r="N36" s="50" t="s">
        <v>753</v>
      </c>
      <c r="O36" s="51" t="s">
        <v>79</v>
      </c>
      <c r="P36" s="53">
        <v>577.20000000000005</v>
      </c>
      <c r="Q36" s="53">
        <f t="shared" si="4"/>
        <v>0</v>
      </c>
      <c r="R36" s="254"/>
      <c r="T36" s="53"/>
      <c r="U36" s="53"/>
    </row>
    <row r="37" spans="1:21" s="51" customFormat="1">
      <c r="A37" s="50" t="s">
        <v>826</v>
      </c>
      <c r="B37" s="51" t="s">
        <v>827</v>
      </c>
      <c r="C37" s="53">
        <v>365.2</v>
      </c>
      <c r="D37" s="53">
        <v>60.87</v>
      </c>
      <c r="E37" s="53">
        <f t="shared" si="0"/>
        <v>426.07</v>
      </c>
      <c r="F37" s="160">
        <f>-66.07/7*6</f>
        <v>-56.631428571428557</v>
      </c>
      <c r="G37" s="53">
        <v>0</v>
      </c>
      <c r="H37" s="53">
        <f>+FACTURACIÓN!R37</f>
        <v>0</v>
      </c>
      <c r="I37" s="53">
        <v>0.1</v>
      </c>
      <c r="J37" s="53">
        <f>+FACTURACIÓN!S37</f>
        <v>0</v>
      </c>
      <c r="K37" s="53">
        <f t="shared" si="1"/>
        <v>-56.531428571428556</v>
      </c>
      <c r="L37" s="53">
        <f t="shared" si="2"/>
        <v>482.60142857142853</v>
      </c>
      <c r="M37" s="51" t="str">
        <f t="shared" si="3"/>
        <v>SI</v>
      </c>
      <c r="N37" s="50" t="s">
        <v>826</v>
      </c>
      <c r="O37" s="51" t="s">
        <v>827</v>
      </c>
      <c r="P37" s="53">
        <v>482.6</v>
      </c>
      <c r="Q37" s="53">
        <f t="shared" si="4"/>
        <v>-1.4285714285051654E-3</v>
      </c>
      <c r="R37" s="254"/>
    </row>
    <row r="38" spans="1:21" s="51" customFormat="1">
      <c r="A38" s="50" t="s">
        <v>500</v>
      </c>
      <c r="B38" s="21" t="s">
        <v>501</v>
      </c>
      <c r="C38" s="53">
        <v>438.24</v>
      </c>
      <c r="D38" s="53">
        <v>73.040000000000006</v>
      </c>
      <c r="E38" s="53">
        <f t="shared" si="0"/>
        <v>511.28000000000003</v>
      </c>
      <c r="F38" s="160">
        <v>-66.069999999999993</v>
      </c>
      <c r="G38" s="53">
        <v>0</v>
      </c>
      <c r="H38" s="53">
        <f>+FACTURACIÓN!R38</f>
        <v>0</v>
      </c>
      <c r="I38" s="53">
        <v>0.15</v>
      </c>
      <c r="J38" s="53">
        <f>+FACTURACIÓN!S38</f>
        <v>0</v>
      </c>
      <c r="K38" s="53">
        <f t="shared" si="1"/>
        <v>-65.919999999999987</v>
      </c>
      <c r="L38" s="53">
        <f t="shared" si="2"/>
        <v>577.20000000000005</v>
      </c>
      <c r="M38" s="51" t="str">
        <f t="shared" si="3"/>
        <v>SI</v>
      </c>
      <c r="N38" s="50" t="s">
        <v>500</v>
      </c>
      <c r="O38" s="51" t="s">
        <v>501</v>
      </c>
      <c r="P38" s="53">
        <v>577.20000000000005</v>
      </c>
      <c r="Q38" s="53">
        <f t="shared" si="4"/>
        <v>0</v>
      </c>
      <c r="R38" s="254"/>
    </row>
    <row r="39" spans="1:21" s="51" customFormat="1">
      <c r="A39" s="20" t="s">
        <v>80</v>
      </c>
      <c r="B39" s="21" t="s">
        <v>81</v>
      </c>
      <c r="C39" s="53">
        <v>438.24</v>
      </c>
      <c r="D39" s="53">
        <v>73.040000000000006</v>
      </c>
      <c r="E39" s="53">
        <f t="shared" si="0"/>
        <v>511.28000000000003</v>
      </c>
      <c r="F39" s="160">
        <v>-66.069999999999993</v>
      </c>
      <c r="G39" s="53">
        <v>0</v>
      </c>
      <c r="H39" s="53">
        <f>+FACTURACIÓN!R39</f>
        <v>0</v>
      </c>
      <c r="I39" s="160">
        <v>-0.05</v>
      </c>
      <c r="J39" s="53">
        <f>+FACTURACIÓN!S39</f>
        <v>0</v>
      </c>
      <c r="K39" s="53">
        <f t="shared" si="1"/>
        <v>-66.11999999999999</v>
      </c>
      <c r="L39" s="53">
        <f t="shared" si="2"/>
        <v>577.4</v>
      </c>
      <c r="M39" s="51" t="str">
        <f t="shared" si="3"/>
        <v>SI</v>
      </c>
      <c r="N39" s="50" t="s">
        <v>80</v>
      </c>
      <c r="O39" s="51" t="s">
        <v>81</v>
      </c>
      <c r="P39" s="53">
        <v>577.4</v>
      </c>
      <c r="Q39" s="53">
        <f t="shared" si="4"/>
        <v>0</v>
      </c>
      <c r="R39" s="254"/>
    </row>
    <row r="40" spans="1:21" s="51" customFormat="1">
      <c r="A40" s="50" t="s">
        <v>828</v>
      </c>
      <c r="B40" s="51" t="s">
        <v>829</v>
      </c>
      <c r="C40" s="53">
        <v>410.85</v>
      </c>
      <c r="D40" s="53">
        <v>68.48</v>
      </c>
      <c r="E40" s="53">
        <f t="shared" si="0"/>
        <v>479.33000000000004</v>
      </c>
      <c r="F40" s="160">
        <v>-68.12</v>
      </c>
      <c r="G40" s="53">
        <v>0</v>
      </c>
      <c r="H40" s="53">
        <f>+FACTURACIÓN!R40</f>
        <v>0</v>
      </c>
      <c r="I40" s="53">
        <v>0.05</v>
      </c>
      <c r="J40" s="53">
        <f>+FACTURACIÓN!S40</f>
        <v>0</v>
      </c>
      <c r="K40" s="53">
        <f t="shared" si="1"/>
        <v>-68.070000000000007</v>
      </c>
      <c r="L40" s="53">
        <f t="shared" si="2"/>
        <v>547.40000000000009</v>
      </c>
      <c r="M40" s="51" t="str">
        <f t="shared" si="3"/>
        <v>SI</v>
      </c>
      <c r="N40" s="50" t="s">
        <v>828</v>
      </c>
      <c r="O40" s="51" t="s">
        <v>829</v>
      </c>
      <c r="P40" s="53">
        <v>547.4</v>
      </c>
      <c r="Q40" s="53">
        <f t="shared" si="4"/>
        <v>0</v>
      </c>
      <c r="R40" s="254"/>
    </row>
    <row r="41" spans="1:21" s="51" customFormat="1">
      <c r="A41" s="20" t="s">
        <v>82</v>
      </c>
      <c r="B41" s="21" t="s">
        <v>83</v>
      </c>
      <c r="C41" s="53">
        <v>438.24</v>
      </c>
      <c r="D41" s="53">
        <v>73.040000000000006</v>
      </c>
      <c r="E41" s="53">
        <f t="shared" si="0"/>
        <v>511.28000000000003</v>
      </c>
      <c r="F41" s="160">
        <v>-66.069999999999993</v>
      </c>
      <c r="G41" s="53">
        <v>0</v>
      </c>
      <c r="H41" s="53">
        <f>+FACTURACIÓN!R41</f>
        <v>0</v>
      </c>
      <c r="I41" s="160">
        <v>-0.05</v>
      </c>
      <c r="J41" s="53">
        <f>+FACTURACIÓN!S41</f>
        <v>0</v>
      </c>
      <c r="K41" s="53">
        <f t="shared" si="1"/>
        <v>-66.11999999999999</v>
      </c>
      <c r="L41" s="53">
        <f t="shared" si="2"/>
        <v>577.4</v>
      </c>
      <c r="M41" s="51" t="str">
        <f t="shared" si="3"/>
        <v>SI</v>
      </c>
      <c r="N41" s="50" t="s">
        <v>82</v>
      </c>
      <c r="O41" s="51" t="s">
        <v>83</v>
      </c>
      <c r="P41" s="53">
        <v>577.4</v>
      </c>
      <c r="Q41" s="53">
        <f t="shared" si="4"/>
        <v>0</v>
      </c>
      <c r="R41" s="254"/>
    </row>
    <row r="42" spans="1:21" s="51" customFormat="1">
      <c r="A42" s="20" t="s">
        <v>197</v>
      </c>
      <c r="B42" s="21" t="s">
        <v>198</v>
      </c>
      <c r="C42" s="53">
        <v>410.85</v>
      </c>
      <c r="D42" s="53">
        <v>68.48</v>
      </c>
      <c r="E42" s="53">
        <f t="shared" ref="E42" si="5">SUM(C42:D42)</f>
        <v>479.33000000000004</v>
      </c>
      <c r="F42" s="160">
        <v>-68.12</v>
      </c>
      <c r="G42" s="53">
        <v>0</v>
      </c>
      <c r="H42" s="53">
        <f>+FACTURACIÓN!R42</f>
        <v>0</v>
      </c>
      <c r="I42" s="53">
        <v>0.05</v>
      </c>
      <c r="J42" s="53">
        <f>+FACTURACIÓN!S42</f>
        <v>0</v>
      </c>
      <c r="K42" s="53">
        <f t="shared" si="1"/>
        <v>-68.070000000000007</v>
      </c>
      <c r="L42" s="53">
        <f t="shared" si="2"/>
        <v>547.40000000000009</v>
      </c>
      <c r="M42" s="51" t="str">
        <f t="shared" si="3"/>
        <v>SI</v>
      </c>
      <c r="N42" s="50" t="s">
        <v>754</v>
      </c>
      <c r="O42" s="51" t="s">
        <v>198</v>
      </c>
      <c r="P42" s="53">
        <v>547.4</v>
      </c>
      <c r="Q42" s="53">
        <f t="shared" si="4"/>
        <v>0</v>
      </c>
      <c r="R42" s="254"/>
    </row>
    <row r="43" spans="1:21" s="51" customFormat="1">
      <c r="A43" s="20" t="s">
        <v>86</v>
      </c>
      <c r="B43" s="21" t="s">
        <v>87</v>
      </c>
      <c r="C43" s="53">
        <v>438.24</v>
      </c>
      <c r="D43" s="53">
        <v>73.040000000000006</v>
      </c>
      <c r="E43" s="53">
        <f t="shared" si="0"/>
        <v>511.28000000000003</v>
      </c>
      <c r="F43" s="160">
        <v>-66.069999999999993</v>
      </c>
      <c r="G43" s="53">
        <v>0</v>
      </c>
      <c r="H43" s="53">
        <f>+FACTURACIÓN!R43</f>
        <v>0</v>
      </c>
      <c r="I43" s="160">
        <v>-0.05</v>
      </c>
      <c r="J43" s="53">
        <f>+FACTURACIÓN!S43</f>
        <v>0</v>
      </c>
      <c r="K43" s="53">
        <f t="shared" si="1"/>
        <v>-66.11999999999999</v>
      </c>
      <c r="L43" s="53">
        <f t="shared" si="2"/>
        <v>577.4</v>
      </c>
      <c r="M43" s="51" t="str">
        <f t="shared" si="3"/>
        <v>SI</v>
      </c>
      <c r="N43" s="50" t="s">
        <v>755</v>
      </c>
      <c r="O43" s="51" t="s">
        <v>87</v>
      </c>
      <c r="P43" s="53">
        <v>577.4</v>
      </c>
      <c r="Q43" s="53">
        <f t="shared" si="4"/>
        <v>0</v>
      </c>
      <c r="R43" s="254"/>
    </row>
    <row r="44" spans="1:21" s="51" customFormat="1">
      <c r="A44" s="20" t="s">
        <v>88</v>
      </c>
      <c r="B44" s="21" t="s">
        <v>89</v>
      </c>
      <c r="C44" s="53">
        <v>438.24</v>
      </c>
      <c r="D44" s="53">
        <v>73.040000000000006</v>
      </c>
      <c r="E44" s="53">
        <f t="shared" si="0"/>
        <v>511.28000000000003</v>
      </c>
      <c r="F44" s="160">
        <v>-66.069999999999993</v>
      </c>
      <c r="G44" s="53">
        <v>0</v>
      </c>
      <c r="H44" s="53">
        <f>+FACTURACIÓN!R44</f>
        <v>0</v>
      </c>
      <c r="I44" s="160">
        <v>-0.05</v>
      </c>
      <c r="J44" s="53">
        <f>+FACTURACIÓN!S44</f>
        <v>0</v>
      </c>
      <c r="K44" s="53">
        <f t="shared" si="1"/>
        <v>-66.11999999999999</v>
      </c>
      <c r="L44" s="53">
        <f t="shared" si="2"/>
        <v>577.4</v>
      </c>
      <c r="M44" s="51" t="str">
        <f t="shared" si="3"/>
        <v>SI</v>
      </c>
      <c r="N44" s="50" t="s">
        <v>503</v>
      </c>
      <c r="O44" s="51" t="s">
        <v>89</v>
      </c>
      <c r="P44" s="53">
        <v>577.4</v>
      </c>
      <c r="Q44" s="53">
        <f t="shared" si="4"/>
        <v>0</v>
      </c>
      <c r="R44" s="254"/>
    </row>
    <row r="45" spans="1:21" s="51" customFormat="1">
      <c r="A45" s="20" t="s">
        <v>90</v>
      </c>
      <c r="B45" s="21" t="s">
        <v>91</v>
      </c>
      <c r="C45" s="53">
        <v>438.24</v>
      </c>
      <c r="D45" s="53">
        <v>73.040000000000006</v>
      </c>
      <c r="E45" s="53">
        <f t="shared" si="0"/>
        <v>511.28000000000003</v>
      </c>
      <c r="F45" s="160">
        <v>-66.069999999999993</v>
      </c>
      <c r="G45" s="53">
        <v>0</v>
      </c>
      <c r="H45" s="53">
        <f>+FACTURACIÓN!R45</f>
        <v>0</v>
      </c>
      <c r="I45" s="160">
        <v>-0.05</v>
      </c>
      <c r="J45" s="53">
        <f>+FACTURACIÓN!S45</f>
        <v>0</v>
      </c>
      <c r="K45" s="53">
        <f t="shared" si="1"/>
        <v>-66.11999999999999</v>
      </c>
      <c r="L45" s="53">
        <f t="shared" si="2"/>
        <v>577.4</v>
      </c>
      <c r="M45" s="51" t="str">
        <f t="shared" si="3"/>
        <v>SI</v>
      </c>
      <c r="N45" s="50" t="s">
        <v>756</v>
      </c>
      <c r="O45" s="51" t="s">
        <v>91</v>
      </c>
      <c r="P45" s="53">
        <v>577.4</v>
      </c>
      <c r="Q45" s="53">
        <f t="shared" si="4"/>
        <v>0</v>
      </c>
      <c r="R45" s="254"/>
    </row>
    <row r="46" spans="1:21" s="51" customFormat="1">
      <c r="A46" s="20" t="s">
        <v>92</v>
      </c>
      <c r="B46" s="21" t="s">
        <v>93</v>
      </c>
      <c r="C46" s="53">
        <v>438.24</v>
      </c>
      <c r="D46" s="53">
        <v>73.040000000000006</v>
      </c>
      <c r="E46" s="53">
        <f t="shared" si="0"/>
        <v>511.28000000000003</v>
      </c>
      <c r="F46" s="160">
        <v>-66.069999999999993</v>
      </c>
      <c r="G46" s="53">
        <v>0</v>
      </c>
      <c r="H46" s="53">
        <f>+FACTURACIÓN!R46</f>
        <v>0</v>
      </c>
      <c r="I46" s="160">
        <v>-0.05</v>
      </c>
      <c r="J46" s="53">
        <f>+FACTURACIÓN!S46</f>
        <v>0</v>
      </c>
      <c r="K46" s="53">
        <f t="shared" si="1"/>
        <v>-66.11999999999999</v>
      </c>
      <c r="L46" s="53">
        <f t="shared" si="2"/>
        <v>577.4</v>
      </c>
      <c r="M46" s="51" t="str">
        <f t="shared" si="3"/>
        <v>SI</v>
      </c>
      <c r="N46" s="50" t="s">
        <v>757</v>
      </c>
      <c r="O46" s="51" t="s">
        <v>93</v>
      </c>
      <c r="P46" s="53">
        <v>577.4</v>
      </c>
      <c r="Q46" s="53">
        <f t="shared" si="4"/>
        <v>0</v>
      </c>
      <c r="R46" s="254"/>
    </row>
    <row r="47" spans="1:21" s="51" customFormat="1">
      <c r="A47" s="20" t="s">
        <v>94</v>
      </c>
      <c r="B47" s="21" t="s">
        <v>95</v>
      </c>
      <c r="C47" s="53">
        <v>438.24</v>
      </c>
      <c r="D47" s="53">
        <v>73.040000000000006</v>
      </c>
      <c r="E47" s="53">
        <f t="shared" si="0"/>
        <v>511.28000000000003</v>
      </c>
      <c r="F47" s="160">
        <v>-66.069999999999993</v>
      </c>
      <c r="G47" s="53">
        <v>0</v>
      </c>
      <c r="H47" s="53">
        <f>+FACTURACIÓN!R47</f>
        <v>0</v>
      </c>
      <c r="I47" s="160">
        <v>-0.05</v>
      </c>
      <c r="J47" s="53">
        <f>+FACTURACIÓN!S47</f>
        <v>0</v>
      </c>
      <c r="K47" s="53">
        <f t="shared" si="1"/>
        <v>-66.11999999999999</v>
      </c>
      <c r="L47" s="53">
        <f t="shared" si="2"/>
        <v>577.4</v>
      </c>
      <c r="M47" s="51" t="str">
        <f t="shared" si="3"/>
        <v>SI</v>
      </c>
      <c r="N47" s="50" t="s">
        <v>758</v>
      </c>
      <c r="O47" s="51" t="s">
        <v>95</v>
      </c>
      <c r="P47" s="53">
        <v>577.4</v>
      </c>
      <c r="Q47" s="53">
        <f t="shared" si="4"/>
        <v>0</v>
      </c>
      <c r="R47" s="254"/>
    </row>
    <row r="48" spans="1:21" s="51" customFormat="1">
      <c r="A48" s="20" t="s">
        <v>96</v>
      </c>
      <c r="B48" s="21" t="s">
        <v>97</v>
      </c>
      <c r="C48" s="53">
        <v>438.24</v>
      </c>
      <c r="D48" s="53">
        <v>73.040000000000006</v>
      </c>
      <c r="E48" s="53">
        <f t="shared" si="0"/>
        <v>511.28000000000003</v>
      </c>
      <c r="F48" s="160">
        <v>-66.069999999999993</v>
      </c>
      <c r="G48" s="53">
        <v>0</v>
      </c>
      <c r="H48" s="53">
        <f>+FACTURACIÓN!R48</f>
        <v>0</v>
      </c>
      <c r="I48" s="53">
        <v>0.15</v>
      </c>
      <c r="J48" s="53">
        <f>+FACTURACIÓN!S48</f>
        <v>0</v>
      </c>
      <c r="K48" s="53">
        <f t="shared" si="1"/>
        <v>-65.919999999999987</v>
      </c>
      <c r="L48" s="53">
        <f t="shared" si="2"/>
        <v>577.20000000000005</v>
      </c>
      <c r="M48" s="51" t="str">
        <f t="shared" si="3"/>
        <v>SI</v>
      </c>
      <c r="N48" s="50" t="s">
        <v>759</v>
      </c>
      <c r="O48" s="51" t="s">
        <v>97</v>
      </c>
      <c r="P48" s="53">
        <v>577.20000000000005</v>
      </c>
      <c r="Q48" s="53">
        <f t="shared" si="4"/>
        <v>0</v>
      </c>
      <c r="R48" s="254"/>
    </row>
    <row r="49" spans="1:22" s="51" customFormat="1">
      <c r="A49" s="20" t="s">
        <v>99</v>
      </c>
      <c r="B49" s="21" t="s">
        <v>100</v>
      </c>
      <c r="C49" s="53">
        <v>438.24</v>
      </c>
      <c r="D49" s="53">
        <v>73.040000000000006</v>
      </c>
      <c r="E49" s="53">
        <f t="shared" si="0"/>
        <v>511.28000000000003</v>
      </c>
      <c r="F49" s="160">
        <v>-66.069999999999993</v>
      </c>
      <c r="G49" s="53">
        <v>0</v>
      </c>
      <c r="H49" s="53">
        <f>+FACTURACIÓN!R49</f>
        <v>0</v>
      </c>
      <c r="I49" s="53">
        <v>0.15</v>
      </c>
      <c r="J49" s="53">
        <f>+FACTURACIÓN!S49</f>
        <v>0</v>
      </c>
      <c r="K49" s="53">
        <f t="shared" si="1"/>
        <v>-65.919999999999987</v>
      </c>
      <c r="L49" s="53">
        <f t="shared" si="2"/>
        <v>577.20000000000005</v>
      </c>
      <c r="M49" s="51" t="str">
        <f t="shared" si="3"/>
        <v>SI</v>
      </c>
      <c r="N49" s="50" t="s">
        <v>760</v>
      </c>
      <c r="O49" s="51" t="s">
        <v>100</v>
      </c>
      <c r="P49" s="53">
        <v>577.20000000000005</v>
      </c>
      <c r="Q49" s="53">
        <f t="shared" si="4"/>
        <v>0</v>
      </c>
      <c r="R49" s="254"/>
    </row>
    <row r="50" spans="1:22" s="51" customFormat="1">
      <c r="A50" s="20" t="s">
        <v>101</v>
      </c>
      <c r="B50" s="21" t="s">
        <v>102</v>
      </c>
      <c r="C50" s="53">
        <v>438.24</v>
      </c>
      <c r="D50" s="53">
        <v>73.040000000000006</v>
      </c>
      <c r="E50" s="53">
        <f t="shared" si="0"/>
        <v>511.28000000000003</v>
      </c>
      <c r="F50" s="160">
        <v>-66.069999999999993</v>
      </c>
      <c r="G50" s="53">
        <v>0</v>
      </c>
      <c r="H50" s="53">
        <f>+FACTURACIÓN!R50</f>
        <v>0</v>
      </c>
      <c r="I50" s="53">
        <v>0.15</v>
      </c>
      <c r="J50" s="53">
        <f>+FACTURACIÓN!S50</f>
        <v>0</v>
      </c>
      <c r="K50" s="53">
        <f t="shared" si="1"/>
        <v>-65.919999999999987</v>
      </c>
      <c r="L50" s="53">
        <f t="shared" si="2"/>
        <v>577.20000000000005</v>
      </c>
      <c r="M50" s="51" t="str">
        <f t="shared" si="3"/>
        <v>SI</v>
      </c>
      <c r="N50" s="50" t="s">
        <v>761</v>
      </c>
      <c r="O50" s="51" t="s">
        <v>102</v>
      </c>
      <c r="P50" s="53">
        <v>577.20000000000005</v>
      </c>
      <c r="Q50" s="53">
        <f t="shared" si="4"/>
        <v>0</v>
      </c>
      <c r="R50" s="254"/>
    </row>
    <row r="51" spans="1:22" s="51" customFormat="1">
      <c r="A51" s="50" t="s">
        <v>762</v>
      </c>
      <c r="B51" s="51" t="s">
        <v>763</v>
      </c>
      <c r="C51" s="53">
        <v>438.24</v>
      </c>
      <c r="D51" s="53">
        <v>73.040000000000006</v>
      </c>
      <c r="E51" s="53">
        <f t="shared" si="0"/>
        <v>511.28000000000003</v>
      </c>
      <c r="F51" s="160">
        <v>-66.069999999999993</v>
      </c>
      <c r="G51" s="53">
        <v>0</v>
      </c>
      <c r="H51" s="53">
        <f>+FACTURACIÓN!R51</f>
        <v>0</v>
      </c>
      <c r="I51" s="160">
        <v>-0.05</v>
      </c>
      <c r="J51" s="53">
        <f>+FACTURACIÓN!S51</f>
        <v>0</v>
      </c>
      <c r="K51" s="53">
        <f t="shared" si="1"/>
        <v>-66.11999999999999</v>
      </c>
      <c r="L51" s="53">
        <f t="shared" si="2"/>
        <v>577.4</v>
      </c>
      <c r="M51" s="51" t="str">
        <f t="shared" si="3"/>
        <v>SI</v>
      </c>
      <c r="N51" s="50" t="s">
        <v>762</v>
      </c>
      <c r="O51" s="51" t="s">
        <v>763</v>
      </c>
      <c r="P51" s="53">
        <v>577.4</v>
      </c>
      <c r="Q51" s="53">
        <f t="shared" si="4"/>
        <v>0</v>
      </c>
      <c r="R51" s="254"/>
    </row>
    <row r="52" spans="1:22" s="51" customFormat="1">
      <c r="A52" s="20" t="s">
        <v>103</v>
      </c>
      <c r="B52" s="21" t="s">
        <v>104</v>
      </c>
      <c r="C52" s="53">
        <v>438.24</v>
      </c>
      <c r="D52" s="53">
        <v>73.040000000000006</v>
      </c>
      <c r="E52" s="53">
        <f t="shared" si="0"/>
        <v>511.28000000000003</v>
      </c>
      <c r="F52" s="160">
        <v>-66.069999999999993</v>
      </c>
      <c r="G52" s="53">
        <v>0</v>
      </c>
      <c r="H52" s="53">
        <f>+FACTURACIÓN!R52</f>
        <v>0</v>
      </c>
      <c r="I52" s="53">
        <v>0.15</v>
      </c>
      <c r="J52" s="53">
        <f>+FACTURACIÓN!S52</f>
        <v>0</v>
      </c>
      <c r="K52" s="53">
        <f t="shared" si="1"/>
        <v>-65.919999999999987</v>
      </c>
      <c r="L52" s="53">
        <f t="shared" si="2"/>
        <v>577.20000000000005</v>
      </c>
      <c r="M52" s="51" t="str">
        <f t="shared" si="3"/>
        <v>SI</v>
      </c>
      <c r="N52" s="50" t="s">
        <v>764</v>
      </c>
      <c r="O52" s="51" t="s">
        <v>104</v>
      </c>
      <c r="P52" s="53">
        <v>577.20000000000005</v>
      </c>
      <c r="Q52" s="53">
        <f t="shared" si="4"/>
        <v>0</v>
      </c>
      <c r="R52" s="254"/>
    </row>
    <row r="53" spans="1:22" s="51" customFormat="1">
      <c r="A53" s="20" t="s">
        <v>105</v>
      </c>
      <c r="B53" s="21" t="s">
        <v>106</v>
      </c>
      <c r="C53" s="53">
        <v>438.24</v>
      </c>
      <c r="D53" s="53">
        <v>73.040000000000006</v>
      </c>
      <c r="E53" s="53">
        <f t="shared" si="0"/>
        <v>511.28000000000003</v>
      </c>
      <c r="F53" s="160">
        <v>-66.069999999999993</v>
      </c>
      <c r="G53" s="53">
        <v>0</v>
      </c>
      <c r="H53" s="53">
        <f>+FACTURACIÓN!R53</f>
        <v>0</v>
      </c>
      <c r="I53" s="160">
        <v>-0.05</v>
      </c>
      <c r="J53" s="53">
        <f>+FACTURACIÓN!S53</f>
        <v>0</v>
      </c>
      <c r="K53" s="53">
        <f t="shared" si="1"/>
        <v>-66.11999999999999</v>
      </c>
      <c r="L53" s="53">
        <f t="shared" si="2"/>
        <v>577.4</v>
      </c>
      <c r="M53" s="51" t="str">
        <f t="shared" si="3"/>
        <v>SI</v>
      </c>
      <c r="N53" s="50" t="s">
        <v>765</v>
      </c>
      <c r="O53" s="51" t="s">
        <v>106</v>
      </c>
      <c r="P53" s="53">
        <v>577.4</v>
      </c>
      <c r="Q53" s="53">
        <f t="shared" si="4"/>
        <v>0</v>
      </c>
      <c r="R53" s="254"/>
    </row>
    <row r="54" spans="1:22" s="51" customFormat="1">
      <c r="A54" s="50" t="s">
        <v>516</v>
      </c>
      <c r="B54" s="21" t="s">
        <v>515</v>
      </c>
      <c r="C54" s="53">
        <v>438.24</v>
      </c>
      <c r="D54" s="53">
        <v>73.040000000000006</v>
      </c>
      <c r="E54" s="53">
        <f t="shared" si="0"/>
        <v>511.28000000000003</v>
      </c>
      <c r="F54" s="160">
        <v>-66.069999999999993</v>
      </c>
      <c r="G54" s="53">
        <v>0</v>
      </c>
      <c r="H54" s="53">
        <f>+FACTURACIÓN!R54</f>
        <v>0</v>
      </c>
      <c r="I54" s="53">
        <v>0.15</v>
      </c>
      <c r="J54" s="53">
        <f>+FACTURACIÓN!S54</f>
        <v>0</v>
      </c>
      <c r="K54" s="53">
        <f t="shared" si="1"/>
        <v>-65.919999999999987</v>
      </c>
      <c r="L54" s="53">
        <f t="shared" si="2"/>
        <v>577.20000000000005</v>
      </c>
      <c r="M54" s="51" t="str">
        <f t="shared" si="3"/>
        <v>SI</v>
      </c>
      <c r="N54" s="50" t="s">
        <v>516</v>
      </c>
      <c r="O54" s="51" t="s">
        <v>515</v>
      </c>
      <c r="P54" s="53">
        <v>577.20000000000005</v>
      </c>
      <c r="Q54" s="53">
        <f t="shared" si="4"/>
        <v>0</v>
      </c>
      <c r="R54" s="254"/>
    </row>
    <row r="55" spans="1:22" s="51" customFormat="1">
      <c r="A55" s="50" t="s">
        <v>504</v>
      </c>
      <c r="B55" s="21" t="s">
        <v>505</v>
      </c>
      <c r="C55" s="53">
        <v>438.24</v>
      </c>
      <c r="D55" s="53">
        <v>73.040000000000006</v>
      </c>
      <c r="E55" s="53">
        <f t="shared" si="0"/>
        <v>511.28000000000003</v>
      </c>
      <c r="F55" s="160">
        <v>-66.069999999999993</v>
      </c>
      <c r="G55" s="53">
        <v>0</v>
      </c>
      <c r="H55" s="53">
        <f>+FACTURACIÓN!R55</f>
        <v>0</v>
      </c>
      <c r="I55" s="160">
        <v>-0.05</v>
      </c>
      <c r="J55" s="53">
        <f>+FACTURACIÓN!S55</f>
        <v>0</v>
      </c>
      <c r="K55" s="53">
        <f t="shared" si="1"/>
        <v>-66.11999999999999</v>
      </c>
      <c r="L55" s="53">
        <f t="shared" si="2"/>
        <v>577.4</v>
      </c>
      <c r="M55" s="51" t="str">
        <f t="shared" si="3"/>
        <v>SI</v>
      </c>
      <c r="N55" s="50" t="s">
        <v>504</v>
      </c>
      <c r="O55" s="51" t="s">
        <v>505</v>
      </c>
      <c r="P55" s="53">
        <v>577.4</v>
      </c>
      <c r="Q55" s="53">
        <f t="shared" si="4"/>
        <v>0</v>
      </c>
      <c r="R55" s="254"/>
    </row>
    <row r="56" spans="1:22" s="51" customFormat="1" ht="12.75" customHeight="1">
      <c r="A56" s="20" t="s">
        <v>107</v>
      </c>
      <c r="B56" s="21" t="s">
        <v>108</v>
      </c>
      <c r="C56" s="53">
        <v>438.24</v>
      </c>
      <c r="D56" s="53">
        <v>73.040000000000006</v>
      </c>
      <c r="E56" s="53">
        <f t="shared" si="0"/>
        <v>511.28000000000003</v>
      </c>
      <c r="F56" s="160">
        <v>-66.069999999999993</v>
      </c>
      <c r="G56" s="53">
        <v>0</v>
      </c>
      <c r="H56" s="53">
        <f>+FACTURACIÓN!R56</f>
        <v>0</v>
      </c>
      <c r="I56" s="160">
        <v>-0.05</v>
      </c>
      <c r="J56" s="53">
        <f>+FACTURACIÓN!S56</f>
        <v>0</v>
      </c>
      <c r="K56" s="53">
        <f t="shared" si="1"/>
        <v>-66.11999999999999</v>
      </c>
      <c r="L56" s="53">
        <f t="shared" si="2"/>
        <v>577.4</v>
      </c>
      <c r="M56" s="51" t="str">
        <f t="shared" si="3"/>
        <v>SI</v>
      </c>
      <c r="N56" s="50" t="s">
        <v>766</v>
      </c>
      <c r="O56" s="51" t="s">
        <v>108</v>
      </c>
      <c r="P56" s="53">
        <v>577.4</v>
      </c>
      <c r="Q56" s="53">
        <f t="shared" si="4"/>
        <v>0</v>
      </c>
      <c r="R56" s="254"/>
    </row>
    <row r="57" spans="1:22" s="51" customFormat="1">
      <c r="A57" s="20" t="s">
        <v>109</v>
      </c>
      <c r="B57" s="21" t="s">
        <v>110</v>
      </c>
      <c r="C57" s="53">
        <v>438.24</v>
      </c>
      <c r="D57" s="53">
        <v>73.040000000000006</v>
      </c>
      <c r="E57" s="53">
        <f t="shared" si="0"/>
        <v>511.28000000000003</v>
      </c>
      <c r="F57" s="160">
        <v>-66.069999999999993</v>
      </c>
      <c r="G57" s="53">
        <v>0</v>
      </c>
      <c r="H57" s="53">
        <f>+FACTURACIÓN!R57</f>
        <v>0</v>
      </c>
      <c r="I57" s="53">
        <v>0.15</v>
      </c>
      <c r="J57" s="53">
        <f>+FACTURACIÓN!S57</f>
        <v>0</v>
      </c>
      <c r="K57" s="53">
        <f t="shared" si="1"/>
        <v>-65.919999999999987</v>
      </c>
      <c r="L57" s="53">
        <f t="shared" si="2"/>
        <v>577.20000000000005</v>
      </c>
      <c r="M57" s="51" t="str">
        <f t="shared" si="3"/>
        <v>SI</v>
      </c>
      <c r="N57" s="50" t="s">
        <v>506</v>
      </c>
      <c r="O57" s="51" t="s">
        <v>110</v>
      </c>
      <c r="P57" s="53">
        <v>577.20000000000005</v>
      </c>
      <c r="Q57" s="53">
        <f t="shared" si="4"/>
        <v>0</v>
      </c>
      <c r="R57" s="254"/>
    </row>
    <row r="58" spans="1:22" s="51" customFormat="1">
      <c r="A58" s="20" t="s">
        <v>196</v>
      </c>
      <c r="B58" s="21" t="s">
        <v>296</v>
      </c>
      <c r="C58" s="53">
        <v>438.24</v>
      </c>
      <c r="D58" s="53">
        <v>73.040000000000006</v>
      </c>
      <c r="E58" s="53">
        <f t="shared" si="0"/>
        <v>511.28000000000003</v>
      </c>
      <c r="F58" s="160">
        <v>-66.069999999999993</v>
      </c>
      <c r="G58" s="53">
        <v>0</v>
      </c>
      <c r="H58" s="53">
        <f>+FACTURACIÓN!R58</f>
        <v>0</v>
      </c>
      <c r="I58" s="53">
        <v>0.15</v>
      </c>
      <c r="J58" s="53">
        <f>+FACTURACIÓN!S58</f>
        <v>0</v>
      </c>
      <c r="K58" s="53">
        <f t="shared" si="1"/>
        <v>-65.919999999999987</v>
      </c>
      <c r="L58" s="53">
        <f t="shared" si="2"/>
        <v>577.20000000000005</v>
      </c>
      <c r="M58" s="51" t="str">
        <f t="shared" si="3"/>
        <v>SI</v>
      </c>
      <c r="N58" s="50" t="s">
        <v>767</v>
      </c>
      <c r="O58" s="51" t="s">
        <v>296</v>
      </c>
      <c r="P58" s="53">
        <v>577.20000000000005</v>
      </c>
      <c r="Q58" s="53">
        <f t="shared" si="4"/>
        <v>0</v>
      </c>
      <c r="R58" s="254"/>
    </row>
    <row r="59" spans="1:22" s="51" customFormat="1">
      <c r="A59" s="20" t="s">
        <v>111</v>
      </c>
      <c r="B59" s="21" t="s">
        <v>112</v>
      </c>
      <c r="C59" s="53">
        <v>438.24</v>
      </c>
      <c r="D59" s="53">
        <v>73.040000000000006</v>
      </c>
      <c r="E59" s="53">
        <f t="shared" si="0"/>
        <v>511.28000000000003</v>
      </c>
      <c r="F59" s="160">
        <v>-66.069999999999993</v>
      </c>
      <c r="G59" s="53">
        <v>0</v>
      </c>
      <c r="H59" s="53">
        <f>+FACTURACIÓN!R59</f>
        <v>532.30999999999995</v>
      </c>
      <c r="I59" s="53">
        <v>0.04</v>
      </c>
      <c r="J59" s="53">
        <f>+FACTURACIÓN!S59</f>
        <v>0</v>
      </c>
      <c r="K59" s="53">
        <f t="shared" si="1"/>
        <v>466.28</v>
      </c>
      <c r="L59" s="53">
        <f t="shared" si="2"/>
        <v>45.000000000000057</v>
      </c>
      <c r="M59" s="51" t="str">
        <f t="shared" si="3"/>
        <v>SI</v>
      </c>
      <c r="N59" s="50" t="s">
        <v>111</v>
      </c>
      <c r="O59" s="51" t="s">
        <v>112</v>
      </c>
      <c r="P59" s="53">
        <v>45</v>
      </c>
      <c r="Q59" s="53">
        <f t="shared" si="4"/>
        <v>-5.6843418860808015E-14</v>
      </c>
      <c r="R59" s="254"/>
    </row>
    <row r="60" spans="1:22" s="51" customFormat="1">
      <c r="A60" s="50" t="s">
        <v>802</v>
      </c>
      <c r="B60" s="51" t="s">
        <v>803</v>
      </c>
      <c r="C60" s="53">
        <v>438.24</v>
      </c>
      <c r="D60" s="53">
        <v>73.040000000000006</v>
      </c>
      <c r="E60" s="53">
        <f t="shared" si="0"/>
        <v>511.28000000000003</v>
      </c>
      <c r="F60" s="160">
        <v>-66.069999999999993</v>
      </c>
      <c r="G60" s="53">
        <v>0</v>
      </c>
      <c r="H60" s="53">
        <f>+FACTURACIÓN!R60</f>
        <v>0</v>
      </c>
      <c r="I60" s="53">
        <v>0.15</v>
      </c>
      <c r="J60" s="53">
        <f>+FACTURACIÓN!S60</f>
        <v>0</v>
      </c>
      <c r="K60" s="53">
        <f t="shared" si="1"/>
        <v>-65.919999999999987</v>
      </c>
      <c r="L60" s="53">
        <f t="shared" si="2"/>
        <v>577.20000000000005</v>
      </c>
      <c r="M60" s="51" t="str">
        <f t="shared" si="3"/>
        <v>SI</v>
      </c>
      <c r="N60" s="50" t="s">
        <v>802</v>
      </c>
      <c r="O60" s="51" t="s">
        <v>803</v>
      </c>
      <c r="P60" s="53">
        <v>577.20000000000005</v>
      </c>
      <c r="Q60" s="53">
        <f t="shared" si="4"/>
        <v>0</v>
      </c>
      <c r="R60" s="254"/>
    </row>
    <row r="61" spans="1:22" s="51" customFormat="1">
      <c r="A61" s="50" t="s">
        <v>768</v>
      </c>
      <c r="B61" s="51" t="s">
        <v>769</v>
      </c>
      <c r="C61" s="53">
        <v>438.24</v>
      </c>
      <c r="D61" s="53">
        <v>73.040000000000006</v>
      </c>
      <c r="E61" s="53">
        <f t="shared" si="0"/>
        <v>511.28000000000003</v>
      </c>
      <c r="F61" s="160">
        <v>-66.069999999999993</v>
      </c>
      <c r="G61" s="53">
        <v>0</v>
      </c>
      <c r="H61" s="53">
        <f>+FACTURACIÓN!R61</f>
        <v>0</v>
      </c>
      <c r="I61" s="160">
        <v>-0.05</v>
      </c>
      <c r="J61" s="53">
        <f>+FACTURACIÓN!S61</f>
        <v>0</v>
      </c>
      <c r="K61" s="53">
        <f t="shared" si="1"/>
        <v>-66.11999999999999</v>
      </c>
      <c r="L61" s="53">
        <f t="shared" si="2"/>
        <v>577.4</v>
      </c>
      <c r="M61" s="51" t="str">
        <f t="shared" si="3"/>
        <v>SI</v>
      </c>
      <c r="N61" s="50" t="s">
        <v>768</v>
      </c>
      <c r="O61" s="51" t="s">
        <v>769</v>
      </c>
      <c r="P61" s="53">
        <v>577.4</v>
      </c>
      <c r="Q61" s="53">
        <f t="shared" si="4"/>
        <v>0</v>
      </c>
      <c r="R61" s="254"/>
    </row>
    <row r="62" spans="1:22" s="51" customFormat="1">
      <c r="A62" s="50" t="s">
        <v>830</v>
      </c>
      <c r="B62" s="51" t="s">
        <v>831</v>
      </c>
      <c r="C62" s="53">
        <v>438.24</v>
      </c>
      <c r="D62" s="53">
        <v>73.040000000000006</v>
      </c>
      <c r="E62" s="53">
        <f t="shared" si="0"/>
        <v>511.28000000000003</v>
      </c>
      <c r="F62" s="160">
        <v>-66.069999999999993</v>
      </c>
      <c r="G62" s="53">
        <v>0</v>
      </c>
      <c r="H62" s="53">
        <f>+FACTURACIÓN!R62</f>
        <v>0</v>
      </c>
      <c r="I62" s="160">
        <v>-0.05</v>
      </c>
      <c r="J62" s="53">
        <f>+FACTURACIÓN!S62</f>
        <v>0</v>
      </c>
      <c r="K62" s="53">
        <f t="shared" si="1"/>
        <v>-66.11999999999999</v>
      </c>
      <c r="L62" s="53">
        <f t="shared" si="2"/>
        <v>577.4</v>
      </c>
      <c r="M62" s="51" t="str">
        <f t="shared" si="3"/>
        <v>SI</v>
      </c>
      <c r="N62" s="50" t="s">
        <v>830</v>
      </c>
      <c r="O62" s="51" t="s">
        <v>831</v>
      </c>
      <c r="P62" s="53">
        <v>577.4</v>
      </c>
      <c r="Q62" s="53">
        <f t="shared" si="4"/>
        <v>0</v>
      </c>
      <c r="R62" s="254"/>
    </row>
    <row r="63" spans="1:22" s="51" customFormat="1">
      <c r="A63" s="50" t="s">
        <v>796</v>
      </c>
      <c r="B63" s="51" t="s">
        <v>797</v>
      </c>
      <c r="C63" s="53">
        <v>438.24</v>
      </c>
      <c r="D63" s="53">
        <v>73.040000000000006</v>
      </c>
      <c r="E63" s="53">
        <f t="shared" si="0"/>
        <v>511.28000000000003</v>
      </c>
      <c r="F63" s="160">
        <v>-66.069999999999993</v>
      </c>
      <c r="G63" s="53">
        <v>0</v>
      </c>
      <c r="H63" s="53">
        <f>+FACTURACIÓN!R63</f>
        <v>0</v>
      </c>
      <c r="I63" s="53">
        <v>0.15</v>
      </c>
      <c r="J63" s="53">
        <f>+FACTURACIÓN!S63</f>
        <v>0</v>
      </c>
      <c r="K63" s="53">
        <f t="shared" si="1"/>
        <v>-65.919999999999987</v>
      </c>
      <c r="L63" s="53">
        <f t="shared" si="2"/>
        <v>577.20000000000005</v>
      </c>
      <c r="M63" s="51" t="str">
        <f t="shared" si="3"/>
        <v>SI</v>
      </c>
      <c r="N63" s="50" t="s">
        <v>796</v>
      </c>
      <c r="O63" s="51" t="s">
        <v>797</v>
      </c>
      <c r="P63" s="53">
        <v>577.20000000000005</v>
      </c>
      <c r="Q63" s="53">
        <f t="shared" si="4"/>
        <v>0</v>
      </c>
      <c r="R63" s="254"/>
    </row>
    <row r="64" spans="1:22" s="51" customFormat="1">
      <c r="A64" s="20" t="s">
        <v>113</v>
      </c>
      <c r="B64" s="21" t="s">
        <v>114</v>
      </c>
      <c r="C64" s="53">
        <v>438.24</v>
      </c>
      <c r="D64" s="53">
        <v>73.040000000000006</v>
      </c>
      <c r="E64" s="53">
        <f t="shared" si="0"/>
        <v>511.28000000000003</v>
      </c>
      <c r="F64" s="160">
        <v>-66.069999999999993</v>
      </c>
      <c r="G64" s="53">
        <v>86.56</v>
      </c>
      <c r="H64" s="53">
        <f>+FACTURACIÓN!R64</f>
        <v>460.45</v>
      </c>
      <c r="I64" s="160">
        <v>-0.06</v>
      </c>
      <c r="J64" s="53">
        <f>+FACTURACIÓN!S64</f>
        <v>0</v>
      </c>
      <c r="K64" s="53">
        <f t="shared" si="1"/>
        <v>480.88</v>
      </c>
      <c r="L64" s="53">
        <f t="shared" si="2"/>
        <v>30.400000000000034</v>
      </c>
      <c r="M64" s="51" t="str">
        <f t="shared" si="3"/>
        <v>SI</v>
      </c>
      <c r="N64" s="50" t="s">
        <v>770</v>
      </c>
      <c r="O64" s="51" t="s">
        <v>114</v>
      </c>
      <c r="P64" s="53">
        <v>30.4</v>
      </c>
      <c r="Q64" s="53">
        <f t="shared" si="4"/>
        <v>-3.5527136788005009E-14</v>
      </c>
      <c r="R64" s="254"/>
      <c r="S64" s="50"/>
      <c r="U64" s="53"/>
      <c r="V64" s="53"/>
    </row>
    <row r="65" spans="1:22" s="51" customFormat="1">
      <c r="A65" s="20" t="s">
        <v>115</v>
      </c>
      <c r="B65" s="21" t="s">
        <v>116</v>
      </c>
      <c r="C65" s="53">
        <v>438.24</v>
      </c>
      <c r="D65" s="53">
        <v>73.040000000000006</v>
      </c>
      <c r="E65" s="53">
        <f t="shared" si="0"/>
        <v>511.28000000000003</v>
      </c>
      <c r="F65" s="160">
        <v>-66.069999999999993</v>
      </c>
      <c r="G65" s="53">
        <v>0</v>
      </c>
      <c r="H65" s="53">
        <f>+FACTURACIÓN!R65</f>
        <v>0</v>
      </c>
      <c r="I65" s="160">
        <v>-0.05</v>
      </c>
      <c r="J65" s="53">
        <f>+FACTURACIÓN!S65</f>
        <v>0</v>
      </c>
      <c r="K65" s="53">
        <f t="shared" si="1"/>
        <v>-66.11999999999999</v>
      </c>
      <c r="L65" s="53">
        <f t="shared" si="2"/>
        <v>577.4</v>
      </c>
      <c r="M65" s="51" t="str">
        <f t="shared" si="3"/>
        <v>SI</v>
      </c>
      <c r="N65" s="50" t="s">
        <v>771</v>
      </c>
      <c r="O65" s="51" t="s">
        <v>116</v>
      </c>
      <c r="P65" s="53">
        <v>577.4</v>
      </c>
      <c r="Q65" s="53">
        <f t="shared" si="4"/>
        <v>0</v>
      </c>
      <c r="R65" s="254"/>
    </row>
    <row r="66" spans="1:22" s="51" customFormat="1">
      <c r="A66" s="20" t="s">
        <v>121</v>
      </c>
      <c r="B66" s="21" t="s">
        <v>122</v>
      </c>
      <c r="C66" s="53">
        <v>438.24</v>
      </c>
      <c r="D66" s="53">
        <v>73.040000000000006</v>
      </c>
      <c r="E66" s="53">
        <f t="shared" si="0"/>
        <v>511.28000000000003</v>
      </c>
      <c r="F66" s="160">
        <v>-66.069999999999993</v>
      </c>
      <c r="G66" s="53">
        <v>0</v>
      </c>
      <c r="H66" s="53">
        <f>+FACTURACIÓN!R66</f>
        <v>0</v>
      </c>
      <c r="I66" s="160">
        <v>-0.05</v>
      </c>
      <c r="J66" s="53">
        <f>+FACTURACIÓN!S66</f>
        <v>0</v>
      </c>
      <c r="K66" s="53">
        <f t="shared" si="1"/>
        <v>-66.11999999999999</v>
      </c>
      <c r="L66" s="53">
        <f t="shared" si="2"/>
        <v>577.4</v>
      </c>
      <c r="M66" s="51" t="str">
        <f t="shared" si="3"/>
        <v>SI</v>
      </c>
      <c r="N66" s="50" t="s">
        <v>772</v>
      </c>
      <c r="O66" s="51" t="s">
        <v>122</v>
      </c>
      <c r="P66" s="53">
        <v>577.4</v>
      </c>
      <c r="Q66" s="53">
        <f t="shared" si="4"/>
        <v>0</v>
      </c>
      <c r="R66" s="254"/>
    </row>
    <row r="67" spans="1:22" s="55" customFormat="1">
      <c r="A67" s="20" t="s">
        <v>117</v>
      </c>
      <c r="B67" s="21" t="s">
        <v>118</v>
      </c>
      <c r="C67" s="53">
        <v>438.24</v>
      </c>
      <c r="D67" s="53">
        <v>73.040000000000006</v>
      </c>
      <c r="E67" s="53">
        <f t="shared" si="0"/>
        <v>511.28000000000003</v>
      </c>
      <c r="F67" s="160">
        <v>-66.069999999999993</v>
      </c>
      <c r="G67" s="53">
        <v>0</v>
      </c>
      <c r="H67" s="53">
        <f>+FACTURACIÓN!R67</f>
        <v>0</v>
      </c>
      <c r="I67" s="160">
        <v>-0.05</v>
      </c>
      <c r="J67" s="53">
        <f>+FACTURACIÓN!S67</f>
        <v>0</v>
      </c>
      <c r="K67" s="53">
        <f t="shared" si="1"/>
        <v>-66.11999999999999</v>
      </c>
      <c r="L67" s="53">
        <f t="shared" si="2"/>
        <v>577.4</v>
      </c>
      <c r="M67" s="51" t="str">
        <f t="shared" si="3"/>
        <v>SI</v>
      </c>
      <c r="N67" s="50" t="s">
        <v>773</v>
      </c>
      <c r="O67" s="51" t="s">
        <v>118</v>
      </c>
      <c r="P67" s="53">
        <v>577.4</v>
      </c>
      <c r="Q67" s="53">
        <f t="shared" si="4"/>
        <v>0</v>
      </c>
      <c r="R67" s="254"/>
    </row>
    <row r="68" spans="1:22" s="57" customFormat="1" ht="14.25">
      <c r="A68" s="20" t="s">
        <v>119</v>
      </c>
      <c r="B68" s="21" t="s">
        <v>120</v>
      </c>
      <c r="C68" s="53">
        <v>438.24</v>
      </c>
      <c r="D68" s="53">
        <v>73.040000000000006</v>
      </c>
      <c r="E68" s="53">
        <f t="shared" si="0"/>
        <v>511.28000000000003</v>
      </c>
      <c r="F68" s="160">
        <v>-66.069999999999993</v>
      </c>
      <c r="G68" s="53">
        <v>0</v>
      </c>
      <c r="H68" s="53">
        <f>+FACTURACIÓN!R68</f>
        <v>0</v>
      </c>
      <c r="I68" s="160">
        <v>-0.05</v>
      </c>
      <c r="J68" s="53">
        <f>+FACTURACIÓN!S68</f>
        <v>0</v>
      </c>
      <c r="K68" s="53">
        <f t="shared" si="1"/>
        <v>-66.11999999999999</v>
      </c>
      <c r="L68" s="53">
        <f t="shared" si="2"/>
        <v>577.4</v>
      </c>
      <c r="M68" s="51" t="str">
        <f t="shared" si="3"/>
        <v>SI</v>
      </c>
      <c r="N68" s="50" t="s">
        <v>507</v>
      </c>
      <c r="O68" s="51" t="s">
        <v>120</v>
      </c>
      <c r="P68" s="53">
        <v>577.4</v>
      </c>
      <c r="Q68" s="53">
        <f t="shared" si="4"/>
        <v>0</v>
      </c>
      <c r="R68" s="254"/>
    </row>
    <row r="69" spans="1:22" s="51" customFormat="1">
      <c r="A69" s="20" t="s">
        <v>123</v>
      </c>
      <c r="B69" s="21" t="s">
        <v>124</v>
      </c>
      <c r="C69" s="53">
        <v>438.24</v>
      </c>
      <c r="D69" s="53">
        <v>73.040000000000006</v>
      </c>
      <c r="E69" s="53">
        <f t="shared" si="0"/>
        <v>511.28000000000003</v>
      </c>
      <c r="F69" s="160">
        <v>-66.069999999999993</v>
      </c>
      <c r="G69" s="53">
        <v>0</v>
      </c>
      <c r="H69" s="53">
        <f>+FACTURACIÓN!R69</f>
        <v>0</v>
      </c>
      <c r="I69" s="160">
        <v>-0.05</v>
      </c>
      <c r="J69" s="53">
        <f>+FACTURACIÓN!S69</f>
        <v>0</v>
      </c>
      <c r="K69" s="53">
        <f t="shared" si="1"/>
        <v>-66.11999999999999</v>
      </c>
      <c r="L69" s="53">
        <f t="shared" si="2"/>
        <v>577.4</v>
      </c>
      <c r="M69" s="51" t="str">
        <f t="shared" si="3"/>
        <v>SI</v>
      </c>
      <c r="N69" s="50" t="s">
        <v>774</v>
      </c>
      <c r="O69" s="51" t="s">
        <v>124</v>
      </c>
      <c r="P69" s="53">
        <v>577.4</v>
      </c>
      <c r="Q69" s="53">
        <f t="shared" si="4"/>
        <v>0</v>
      </c>
      <c r="R69" s="254"/>
    </row>
    <row r="70" spans="1:22" s="51" customFormat="1">
      <c r="A70" s="20" t="s">
        <v>125</v>
      </c>
      <c r="B70" s="21" t="s">
        <v>126</v>
      </c>
      <c r="C70" s="53">
        <v>438.24</v>
      </c>
      <c r="D70" s="53">
        <v>73.040000000000006</v>
      </c>
      <c r="E70" s="53">
        <f t="shared" si="0"/>
        <v>511.28000000000003</v>
      </c>
      <c r="F70" s="160">
        <v>-66.069999999999993</v>
      </c>
      <c r="G70" s="53">
        <v>0</v>
      </c>
      <c r="H70" s="53">
        <f>+FACTURACIÓN!R70</f>
        <v>0</v>
      </c>
      <c r="I70" s="160">
        <v>-0.05</v>
      </c>
      <c r="J70" s="53">
        <f>+FACTURACIÓN!S70</f>
        <v>0</v>
      </c>
      <c r="K70" s="53">
        <f t="shared" si="1"/>
        <v>-66.11999999999999</v>
      </c>
      <c r="L70" s="53">
        <f t="shared" si="2"/>
        <v>577.4</v>
      </c>
      <c r="M70" s="51" t="str">
        <f t="shared" si="3"/>
        <v>SI</v>
      </c>
      <c r="N70" s="50" t="s">
        <v>508</v>
      </c>
      <c r="O70" s="51" t="s">
        <v>126</v>
      </c>
      <c r="P70" s="53">
        <v>577.4</v>
      </c>
      <c r="Q70" s="53">
        <f t="shared" si="4"/>
        <v>0</v>
      </c>
      <c r="R70" s="254"/>
    </row>
    <row r="71" spans="1:22" s="51" customFormat="1">
      <c r="A71" s="50" t="s">
        <v>832</v>
      </c>
      <c r="B71" s="51" t="s">
        <v>833</v>
      </c>
      <c r="C71" s="53">
        <v>438.24</v>
      </c>
      <c r="D71" s="53">
        <v>73.040000000000006</v>
      </c>
      <c r="E71" s="53">
        <f t="shared" si="0"/>
        <v>511.28000000000003</v>
      </c>
      <c r="F71" s="160">
        <v>-66.069999999999993</v>
      </c>
      <c r="G71" s="53">
        <v>0</v>
      </c>
      <c r="H71" s="53">
        <f>+FACTURACIÓN!R71</f>
        <v>0</v>
      </c>
      <c r="I71" s="160">
        <v>-0.05</v>
      </c>
      <c r="J71" s="53">
        <f>+FACTURACIÓN!S71</f>
        <v>0</v>
      </c>
      <c r="K71" s="53">
        <f t="shared" si="1"/>
        <v>-66.11999999999999</v>
      </c>
      <c r="L71" s="53">
        <f t="shared" si="2"/>
        <v>577.4</v>
      </c>
      <c r="M71" s="51" t="str">
        <f t="shared" si="3"/>
        <v>SI</v>
      </c>
      <c r="N71" s="50" t="s">
        <v>832</v>
      </c>
      <c r="O71" s="51" t="s">
        <v>833</v>
      </c>
      <c r="P71" s="53">
        <v>577.4</v>
      </c>
      <c r="Q71" s="53">
        <f t="shared" si="4"/>
        <v>0</v>
      </c>
      <c r="R71" s="254"/>
    </row>
    <row r="72" spans="1:22" s="51" customFormat="1">
      <c r="A72" s="20" t="s">
        <v>129</v>
      </c>
      <c r="B72" s="21" t="s">
        <v>130</v>
      </c>
      <c r="C72" s="53">
        <v>438.24</v>
      </c>
      <c r="D72" s="53">
        <v>73.040000000000006</v>
      </c>
      <c r="E72" s="53">
        <f t="shared" si="0"/>
        <v>511.28000000000003</v>
      </c>
      <c r="F72" s="160">
        <v>-66.069999999999993</v>
      </c>
      <c r="G72" s="53">
        <v>0</v>
      </c>
      <c r="H72" s="53">
        <f>+FACTURACIÓN!R72</f>
        <v>0</v>
      </c>
      <c r="I72" s="53">
        <v>0.15</v>
      </c>
      <c r="J72" s="53">
        <f>+FACTURACIÓN!S72</f>
        <v>0</v>
      </c>
      <c r="K72" s="53">
        <f t="shared" si="1"/>
        <v>-65.919999999999987</v>
      </c>
      <c r="L72" s="53">
        <f t="shared" si="2"/>
        <v>577.20000000000005</v>
      </c>
      <c r="M72" s="51" t="str">
        <f t="shared" si="3"/>
        <v>SI</v>
      </c>
      <c r="N72" s="50" t="s">
        <v>775</v>
      </c>
      <c r="O72" s="51" t="s">
        <v>130</v>
      </c>
      <c r="P72" s="53">
        <v>577.20000000000005</v>
      </c>
      <c r="Q72" s="53">
        <f t="shared" si="4"/>
        <v>0</v>
      </c>
      <c r="R72" s="254"/>
    </row>
    <row r="73" spans="1:22" s="51" customFormat="1">
      <c r="A73" s="50" t="s">
        <v>798</v>
      </c>
      <c r="B73" s="51" t="s">
        <v>799</v>
      </c>
      <c r="C73" s="53">
        <v>438.24</v>
      </c>
      <c r="D73" s="53">
        <v>73.040000000000006</v>
      </c>
      <c r="E73" s="53">
        <f t="shared" si="0"/>
        <v>511.28000000000003</v>
      </c>
      <c r="F73" s="160">
        <v>-66.069999999999993</v>
      </c>
      <c r="G73" s="53">
        <v>0</v>
      </c>
      <c r="H73" s="53">
        <f>+FACTURACIÓN!R73</f>
        <v>0</v>
      </c>
      <c r="I73" s="53">
        <v>0.15</v>
      </c>
      <c r="J73" s="53">
        <f>+FACTURACIÓN!S73</f>
        <v>0</v>
      </c>
      <c r="K73" s="53">
        <f t="shared" si="1"/>
        <v>-65.919999999999987</v>
      </c>
      <c r="L73" s="53">
        <f t="shared" si="2"/>
        <v>577.20000000000005</v>
      </c>
      <c r="M73" s="51" t="str">
        <f t="shared" si="3"/>
        <v>SI</v>
      </c>
      <c r="N73" s="50" t="s">
        <v>798</v>
      </c>
      <c r="O73" s="51" t="s">
        <v>799</v>
      </c>
      <c r="P73" s="53">
        <v>577.20000000000005</v>
      </c>
      <c r="Q73" s="53">
        <f t="shared" si="4"/>
        <v>0</v>
      </c>
      <c r="R73" s="254"/>
    </row>
    <row r="74" spans="1:22" s="51" customFormat="1">
      <c r="A74" s="20" t="s">
        <v>131</v>
      </c>
      <c r="B74" s="21" t="s">
        <v>132</v>
      </c>
      <c r="C74" s="53">
        <v>438.24</v>
      </c>
      <c r="D74" s="53">
        <v>73.040000000000006</v>
      </c>
      <c r="E74" s="53">
        <f t="shared" si="0"/>
        <v>511.28000000000003</v>
      </c>
      <c r="F74" s="160">
        <v>-66.069999999999993</v>
      </c>
      <c r="G74" s="53">
        <v>0</v>
      </c>
      <c r="H74" s="53">
        <f>+FACTURACIÓN!R74</f>
        <v>0</v>
      </c>
      <c r="I74" s="53">
        <v>0.15</v>
      </c>
      <c r="J74" s="53">
        <f>+FACTURACIÓN!S74</f>
        <v>0</v>
      </c>
      <c r="K74" s="53">
        <f t="shared" si="1"/>
        <v>-65.919999999999987</v>
      </c>
      <c r="L74" s="53">
        <f t="shared" si="2"/>
        <v>577.20000000000005</v>
      </c>
      <c r="M74" s="51" t="str">
        <f t="shared" si="3"/>
        <v>SI</v>
      </c>
      <c r="N74" s="50" t="s">
        <v>131</v>
      </c>
      <c r="O74" s="51" t="s">
        <v>132</v>
      </c>
      <c r="P74" s="53">
        <v>577.20000000000005</v>
      </c>
      <c r="Q74" s="53">
        <f t="shared" si="4"/>
        <v>0</v>
      </c>
      <c r="R74" s="254"/>
    </row>
    <row r="75" spans="1:22" s="51" customFormat="1">
      <c r="A75" s="20" t="s">
        <v>133</v>
      </c>
      <c r="B75" s="21" t="s">
        <v>134</v>
      </c>
      <c r="C75" s="53">
        <v>438.24</v>
      </c>
      <c r="D75" s="53">
        <v>73.040000000000006</v>
      </c>
      <c r="E75" s="53">
        <f t="shared" ref="E75:E97" si="6">SUM(C75:D75)</f>
        <v>511.28000000000003</v>
      </c>
      <c r="F75" s="160">
        <v>-66.069999999999993</v>
      </c>
      <c r="G75" s="53">
        <v>0</v>
      </c>
      <c r="H75" s="53">
        <f>+FACTURACIÓN!R75</f>
        <v>0</v>
      </c>
      <c r="I75" s="53">
        <v>0.15</v>
      </c>
      <c r="J75" s="53">
        <f>+FACTURACIÓN!S75</f>
        <v>0</v>
      </c>
      <c r="K75" s="53">
        <f t="shared" ref="K75:K97" si="7">SUM(F75:J75)</f>
        <v>-65.919999999999987</v>
      </c>
      <c r="L75" s="53">
        <f t="shared" ref="L75:L97" si="8">+E75-K75</f>
        <v>577.20000000000005</v>
      </c>
      <c r="M75" s="51" t="str">
        <f t="shared" ref="M75:M97" si="9">IF(B75=O75,"SI","NO")</f>
        <v>SI</v>
      </c>
      <c r="N75" s="50" t="s">
        <v>778</v>
      </c>
      <c r="O75" s="51" t="s">
        <v>134</v>
      </c>
      <c r="P75" s="53">
        <v>577.20000000000005</v>
      </c>
      <c r="Q75" s="53">
        <f t="shared" ref="Q75:Q97" si="10">+P75-L75</f>
        <v>0</v>
      </c>
      <c r="R75" s="254"/>
    </row>
    <row r="76" spans="1:22" s="51" customFormat="1">
      <c r="A76" s="20" t="s">
        <v>199</v>
      </c>
      <c r="B76" s="21" t="s">
        <v>309</v>
      </c>
      <c r="C76" s="53">
        <v>438.24</v>
      </c>
      <c r="D76" s="53">
        <v>73.040000000000006</v>
      </c>
      <c r="E76" s="53">
        <f t="shared" si="6"/>
        <v>511.28000000000003</v>
      </c>
      <c r="F76" s="160">
        <v>-66.069999999999993</v>
      </c>
      <c r="G76" s="53">
        <v>0</v>
      </c>
      <c r="H76" s="53">
        <f>+FACTURACIÓN!R76</f>
        <v>0</v>
      </c>
      <c r="I76" s="53">
        <v>0.15</v>
      </c>
      <c r="J76" s="53">
        <f>+FACTURACIÓN!S76</f>
        <v>0</v>
      </c>
      <c r="K76" s="53">
        <f t="shared" si="7"/>
        <v>-65.919999999999987</v>
      </c>
      <c r="L76" s="53">
        <f t="shared" si="8"/>
        <v>577.20000000000005</v>
      </c>
      <c r="M76" s="51" t="str">
        <f t="shared" si="9"/>
        <v>SI</v>
      </c>
      <c r="N76" s="50" t="s">
        <v>780</v>
      </c>
      <c r="O76" s="51" t="s">
        <v>309</v>
      </c>
      <c r="P76" s="53">
        <v>577.20000000000005</v>
      </c>
      <c r="Q76" s="53">
        <f t="shared" si="10"/>
        <v>0</v>
      </c>
      <c r="R76" s="254"/>
    </row>
    <row r="77" spans="1:22" s="51" customFormat="1">
      <c r="A77" s="20" t="s">
        <v>137</v>
      </c>
      <c r="B77" s="21" t="s">
        <v>138</v>
      </c>
      <c r="C77" s="53">
        <v>438.24</v>
      </c>
      <c r="D77" s="53">
        <v>73.040000000000006</v>
      </c>
      <c r="E77" s="53">
        <f t="shared" si="6"/>
        <v>511.28000000000003</v>
      </c>
      <c r="F77" s="160">
        <v>-66.069999999999993</v>
      </c>
      <c r="G77" s="53">
        <v>0</v>
      </c>
      <c r="H77" s="53">
        <f>+FACTURACIÓN!R77</f>
        <v>0</v>
      </c>
      <c r="I77" s="160">
        <v>-0.05</v>
      </c>
      <c r="J77" s="53">
        <f>+FACTURACIÓN!S77</f>
        <v>0</v>
      </c>
      <c r="K77" s="53">
        <f t="shared" si="7"/>
        <v>-66.11999999999999</v>
      </c>
      <c r="L77" s="53">
        <f t="shared" si="8"/>
        <v>577.4</v>
      </c>
      <c r="M77" s="51" t="str">
        <f t="shared" si="9"/>
        <v>SI</v>
      </c>
      <c r="N77" s="50" t="s">
        <v>137</v>
      </c>
      <c r="O77" s="51" t="s">
        <v>138</v>
      </c>
      <c r="P77" s="53">
        <v>577.4</v>
      </c>
      <c r="Q77" s="53">
        <f t="shared" si="10"/>
        <v>0</v>
      </c>
      <c r="R77" s="254"/>
    </row>
    <row r="78" spans="1:22" s="51" customFormat="1">
      <c r="A78" s="20" t="s">
        <v>139</v>
      </c>
      <c r="B78" s="21" t="s">
        <v>140</v>
      </c>
      <c r="C78" s="53">
        <v>438.24</v>
      </c>
      <c r="D78" s="53">
        <v>73.040000000000006</v>
      </c>
      <c r="E78" s="53">
        <f t="shared" si="6"/>
        <v>511.28000000000003</v>
      </c>
      <c r="F78" s="160">
        <v>-66.069999999999993</v>
      </c>
      <c r="G78" s="53">
        <v>0</v>
      </c>
      <c r="H78" s="53">
        <f>+FACTURACIÓN!R78</f>
        <v>0</v>
      </c>
      <c r="I78" s="53">
        <v>0.15</v>
      </c>
      <c r="J78" s="53">
        <f>+FACTURACIÓN!S78</f>
        <v>0</v>
      </c>
      <c r="K78" s="53">
        <f t="shared" si="7"/>
        <v>-65.919999999999987</v>
      </c>
      <c r="L78" s="53">
        <f t="shared" si="8"/>
        <v>577.20000000000005</v>
      </c>
      <c r="M78" s="51" t="str">
        <f t="shared" si="9"/>
        <v>SI</v>
      </c>
      <c r="N78" s="50" t="s">
        <v>781</v>
      </c>
      <c r="O78" s="51" t="s">
        <v>140</v>
      </c>
      <c r="P78" s="53">
        <v>577.20000000000005</v>
      </c>
      <c r="Q78" s="53">
        <f t="shared" si="10"/>
        <v>0</v>
      </c>
      <c r="R78" s="254"/>
    </row>
    <row r="79" spans="1:22" s="51" customFormat="1">
      <c r="A79" s="50" t="s">
        <v>509</v>
      </c>
      <c r="B79" s="21" t="s">
        <v>510</v>
      </c>
      <c r="C79" s="53">
        <v>438.24</v>
      </c>
      <c r="D79" s="53">
        <v>73.040000000000006</v>
      </c>
      <c r="E79" s="53">
        <f t="shared" si="6"/>
        <v>511.28000000000003</v>
      </c>
      <c r="F79" s="160">
        <v>-66.069999999999993</v>
      </c>
      <c r="G79" s="53">
        <v>0</v>
      </c>
      <c r="H79" s="53">
        <f>+FACTURACIÓN!R79</f>
        <v>0</v>
      </c>
      <c r="I79" s="160">
        <v>-0.05</v>
      </c>
      <c r="J79" s="53">
        <f>+FACTURACIÓN!S79</f>
        <v>0</v>
      </c>
      <c r="K79" s="53">
        <f t="shared" si="7"/>
        <v>-66.11999999999999</v>
      </c>
      <c r="L79" s="53">
        <f t="shared" si="8"/>
        <v>577.4</v>
      </c>
      <c r="M79" s="51" t="str">
        <f t="shared" si="9"/>
        <v>SI</v>
      </c>
      <c r="N79" s="50" t="s">
        <v>509</v>
      </c>
      <c r="O79" s="51" t="s">
        <v>510</v>
      </c>
      <c r="P79" s="53">
        <v>577.4</v>
      </c>
      <c r="Q79" s="53">
        <f t="shared" si="10"/>
        <v>0</v>
      </c>
      <c r="R79" s="254"/>
    </row>
    <row r="80" spans="1:22" s="51" customFormat="1">
      <c r="A80" s="20" t="s">
        <v>141</v>
      </c>
      <c r="B80" s="21" t="s">
        <v>142</v>
      </c>
      <c r="C80" s="53">
        <v>438.24</v>
      </c>
      <c r="D80" s="53">
        <v>73.040000000000006</v>
      </c>
      <c r="E80" s="53">
        <f t="shared" si="6"/>
        <v>511.28000000000003</v>
      </c>
      <c r="F80" s="160">
        <v>-66.069999999999993</v>
      </c>
      <c r="G80" s="53">
        <v>0</v>
      </c>
      <c r="H80" s="53">
        <f>+FACTURACIÓN!R80</f>
        <v>0</v>
      </c>
      <c r="I80" s="160">
        <v>-0.05</v>
      </c>
      <c r="J80" s="53">
        <f>+FACTURACIÓN!S80</f>
        <v>0</v>
      </c>
      <c r="K80" s="53">
        <f t="shared" si="7"/>
        <v>-66.11999999999999</v>
      </c>
      <c r="L80" s="53">
        <f t="shared" si="8"/>
        <v>577.4</v>
      </c>
      <c r="M80" s="51" t="str">
        <f t="shared" si="9"/>
        <v>SI</v>
      </c>
      <c r="N80" s="50" t="s">
        <v>782</v>
      </c>
      <c r="O80" s="51" t="s">
        <v>142</v>
      </c>
      <c r="P80" s="53">
        <v>577.4</v>
      </c>
      <c r="Q80" s="53">
        <f t="shared" si="10"/>
        <v>0</v>
      </c>
      <c r="R80" s="254"/>
      <c r="S80" s="50"/>
      <c r="U80" s="53"/>
      <c r="V80" s="53"/>
    </row>
    <row r="81" spans="1:22" s="51" customFormat="1">
      <c r="A81" s="20" t="s">
        <v>143</v>
      </c>
      <c r="B81" s="21" t="s">
        <v>144</v>
      </c>
      <c r="C81" s="53">
        <v>438.24</v>
      </c>
      <c r="D81" s="53">
        <v>73.040000000000006</v>
      </c>
      <c r="E81" s="53">
        <f t="shared" si="6"/>
        <v>511.28000000000003</v>
      </c>
      <c r="F81" s="160">
        <v>-66.069999999999993</v>
      </c>
      <c r="G81" s="53">
        <v>0</v>
      </c>
      <c r="H81" s="53">
        <f>+FACTURACIÓN!R81</f>
        <v>0</v>
      </c>
      <c r="I81" s="160">
        <v>-0.05</v>
      </c>
      <c r="J81" s="53">
        <f>+FACTURACIÓN!S81</f>
        <v>0</v>
      </c>
      <c r="K81" s="53">
        <f t="shared" si="7"/>
        <v>-66.11999999999999</v>
      </c>
      <c r="L81" s="53">
        <f t="shared" si="8"/>
        <v>577.4</v>
      </c>
      <c r="M81" s="51" t="str">
        <f t="shared" si="9"/>
        <v>SI</v>
      </c>
      <c r="N81" s="50" t="s">
        <v>783</v>
      </c>
      <c r="O81" s="51" t="s">
        <v>144</v>
      </c>
      <c r="P81" s="53">
        <v>577.4</v>
      </c>
      <c r="Q81" s="53">
        <f t="shared" si="10"/>
        <v>0</v>
      </c>
      <c r="R81" s="254"/>
    </row>
    <row r="82" spans="1:22" s="51" customFormat="1">
      <c r="A82" s="20" t="s">
        <v>188</v>
      </c>
      <c r="B82" s="21" t="s">
        <v>314</v>
      </c>
      <c r="C82" s="53">
        <v>438.24</v>
      </c>
      <c r="D82" s="53">
        <v>73.040000000000006</v>
      </c>
      <c r="E82" s="53">
        <f t="shared" si="6"/>
        <v>511.28000000000003</v>
      </c>
      <c r="F82" s="160">
        <v>-66.069999999999993</v>
      </c>
      <c r="G82" s="53">
        <v>0</v>
      </c>
      <c r="H82" s="53">
        <f>+FACTURACIÓN!R82</f>
        <v>0</v>
      </c>
      <c r="I82" s="53">
        <v>0.15</v>
      </c>
      <c r="J82" s="53">
        <f>+FACTURACIÓN!S82</f>
        <v>0</v>
      </c>
      <c r="K82" s="53">
        <f t="shared" si="7"/>
        <v>-65.919999999999987</v>
      </c>
      <c r="L82" s="53">
        <f t="shared" si="8"/>
        <v>577.20000000000005</v>
      </c>
      <c r="M82" s="51" t="str">
        <f t="shared" si="9"/>
        <v>SI</v>
      </c>
      <c r="N82" s="50" t="s">
        <v>784</v>
      </c>
      <c r="O82" s="51" t="s">
        <v>314</v>
      </c>
      <c r="P82" s="53">
        <v>577.20000000000005</v>
      </c>
      <c r="Q82" s="53">
        <f t="shared" si="10"/>
        <v>0</v>
      </c>
      <c r="R82" s="254"/>
    </row>
    <row r="83" spans="1:22" s="51" customFormat="1">
      <c r="A83" s="20" t="s">
        <v>148</v>
      </c>
      <c r="B83" s="21" t="s">
        <v>149</v>
      </c>
      <c r="C83" s="53">
        <v>438.24</v>
      </c>
      <c r="D83" s="53">
        <v>73.040000000000006</v>
      </c>
      <c r="E83" s="53">
        <f t="shared" si="6"/>
        <v>511.28000000000003</v>
      </c>
      <c r="F83" s="160">
        <v>-66.069999999999993</v>
      </c>
      <c r="G83" s="53">
        <v>0</v>
      </c>
      <c r="H83" s="53">
        <f>+FACTURACIÓN!R83</f>
        <v>0</v>
      </c>
      <c r="I83" s="53">
        <v>0.15</v>
      </c>
      <c r="J83" s="53">
        <f>+FACTURACIÓN!S83</f>
        <v>0</v>
      </c>
      <c r="K83" s="53">
        <f t="shared" si="7"/>
        <v>-65.919999999999987</v>
      </c>
      <c r="L83" s="53">
        <f t="shared" si="8"/>
        <v>577.20000000000005</v>
      </c>
      <c r="M83" s="51" t="str">
        <f t="shared" si="9"/>
        <v>SI</v>
      </c>
      <c r="N83" s="50" t="s">
        <v>785</v>
      </c>
      <c r="O83" s="51" t="s">
        <v>149</v>
      </c>
      <c r="P83" s="53">
        <v>577.20000000000005</v>
      </c>
      <c r="Q83" s="53">
        <f t="shared" si="10"/>
        <v>0</v>
      </c>
      <c r="R83" s="254"/>
    </row>
    <row r="84" spans="1:22" s="51" customFormat="1">
      <c r="A84" s="20" t="s">
        <v>150</v>
      </c>
      <c r="B84" s="21" t="s">
        <v>151</v>
      </c>
      <c r="C84" s="53">
        <v>438.24</v>
      </c>
      <c r="D84" s="53">
        <v>73.040000000000006</v>
      </c>
      <c r="E84" s="53">
        <f t="shared" si="6"/>
        <v>511.28000000000003</v>
      </c>
      <c r="F84" s="160">
        <v>-66.069999999999993</v>
      </c>
      <c r="G84" s="53">
        <v>0</v>
      </c>
      <c r="H84" s="53">
        <f>+FACTURACIÓN!R84</f>
        <v>0</v>
      </c>
      <c r="I84" s="53">
        <v>0.15</v>
      </c>
      <c r="J84" s="53">
        <f>+FACTURACIÓN!S84</f>
        <v>0</v>
      </c>
      <c r="K84" s="53">
        <f t="shared" si="7"/>
        <v>-65.919999999999987</v>
      </c>
      <c r="L84" s="53">
        <f t="shared" si="8"/>
        <v>577.20000000000005</v>
      </c>
      <c r="M84" s="51" t="str">
        <f t="shared" si="9"/>
        <v>SI</v>
      </c>
      <c r="N84" s="50" t="s">
        <v>150</v>
      </c>
      <c r="O84" s="51" t="s">
        <v>151</v>
      </c>
      <c r="P84" s="53">
        <v>577.20000000000005</v>
      </c>
      <c r="Q84" s="53">
        <f t="shared" si="10"/>
        <v>0</v>
      </c>
      <c r="R84" s="254"/>
    </row>
    <row r="85" spans="1:22" s="51" customFormat="1">
      <c r="A85" s="20" t="s">
        <v>152</v>
      </c>
      <c r="B85" s="21" t="s">
        <v>153</v>
      </c>
      <c r="C85" s="53">
        <v>438.24</v>
      </c>
      <c r="D85" s="53">
        <v>73.040000000000006</v>
      </c>
      <c r="E85" s="53">
        <f t="shared" si="6"/>
        <v>511.28000000000003</v>
      </c>
      <c r="F85" s="160">
        <v>-66.069999999999993</v>
      </c>
      <c r="G85" s="53">
        <v>0</v>
      </c>
      <c r="H85" s="53">
        <f>+FACTURACIÓN!R85</f>
        <v>0</v>
      </c>
      <c r="I85" s="160">
        <v>-0.05</v>
      </c>
      <c r="J85" s="53">
        <f>+FACTURACIÓN!S85</f>
        <v>0</v>
      </c>
      <c r="K85" s="53">
        <f t="shared" si="7"/>
        <v>-66.11999999999999</v>
      </c>
      <c r="L85" s="53">
        <f t="shared" si="8"/>
        <v>577.4</v>
      </c>
      <c r="M85" s="51" t="str">
        <f t="shared" si="9"/>
        <v>SI</v>
      </c>
      <c r="N85" s="50" t="s">
        <v>786</v>
      </c>
      <c r="O85" s="51" t="s">
        <v>153</v>
      </c>
      <c r="P85" s="53">
        <v>577.4</v>
      </c>
      <c r="Q85" s="53">
        <f t="shared" si="10"/>
        <v>0</v>
      </c>
      <c r="R85" s="254"/>
    </row>
    <row r="86" spans="1:22" s="51" customFormat="1">
      <c r="A86" s="20" t="s">
        <v>317</v>
      </c>
      <c r="B86" s="21" t="s">
        <v>154</v>
      </c>
      <c r="C86" s="53">
        <v>438.24</v>
      </c>
      <c r="D86" s="53">
        <v>73.040000000000006</v>
      </c>
      <c r="E86" s="53">
        <f t="shared" si="6"/>
        <v>511.28000000000003</v>
      </c>
      <c r="F86" s="160">
        <v>-66.069999999999993</v>
      </c>
      <c r="G86" s="53">
        <v>0</v>
      </c>
      <c r="H86" s="53">
        <f>+FACTURACIÓN!R86</f>
        <v>0</v>
      </c>
      <c r="I86" s="160">
        <v>-0.05</v>
      </c>
      <c r="J86" s="53">
        <f>+FACTURACIÓN!S86</f>
        <v>0</v>
      </c>
      <c r="K86" s="53">
        <f t="shared" si="7"/>
        <v>-66.11999999999999</v>
      </c>
      <c r="L86" s="53">
        <f t="shared" si="8"/>
        <v>577.4</v>
      </c>
      <c r="M86" s="51" t="str">
        <f t="shared" si="9"/>
        <v>SI</v>
      </c>
      <c r="N86" s="50" t="s">
        <v>317</v>
      </c>
      <c r="O86" s="51" t="s">
        <v>154</v>
      </c>
      <c r="P86" s="53">
        <v>577.4</v>
      </c>
      <c r="Q86" s="53">
        <f t="shared" si="10"/>
        <v>0</v>
      </c>
      <c r="R86" s="254"/>
    </row>
    <row r="87" spans="1:22" s="51" customFormat="1">
      <c r="A87" s="20" t="s">
        <v>155</v>
      </c>
      <c r="B87" s="21" t="s">
        <v>156</v>
      </c>
      <c r="C87" s="53">
        <v>438.24</v>
      </c>
      <c r="D87" s="53">
        <v>73.040000000000006</v>
      </c>
      <c r="E87" s="53">
        <f t="shared" si="6"/>
        <v>511.28000000000003</v>
      </c>
      <c r="F87" s="160">
        <v>-66.069999999999993</v>
      </c>
      <c r="G87" s="53">
        <v>0</v>
      </c>
      <c r="H87" s="53">
        <f>+FACTURACIÓN!R87</f>
        <v>0</v>
      </c>
      <c r="I87" s="160">
        <v>-0.05</v>
      </c>
      <c r="J87" s="53">
        <f>+FACTURACIÓN!S87</f>
        <v>0</v>
      </c>
      <c r="K87" s="53">
        <f t="shared" si="7"/>
        <v>-66.11999999999999</v>
      </c>
      <c r="L87" s="53">
        <f t="shared" si="8"/>
        <v>577.4</v>
      </c>
      <c r="M87" s="51" t="str">
        <f t="shared" si="9"/>
        <v>SI</v>
      </c>
      <c r="N87" s="50" t="s">
        <v>787</v>
      </c>
      <c r="O87" s="51" t="s">
        <v>156</v>
      </c>
      <c r="P87" s="53">
        <v>577.4</v>
      </c>
      <c r="Q87" s="53">
        <f t="shared" si="10"/>
        <v>0</v>
      </c>
      <c r="R87" s="254"/>
    </row>
    <row r="88" spans="1:22" s="51" customFormat="1">
      <c r="A88" s="50" t="s">
        <v>511</v>
      </c>
      <c r="B88" s="21" t="s">
        <v>512</v>
      </c>
      <c r="C88" s="53">
        <v>438.24</v>
      </c>
      <c r="D88" s="53">
        <v>73.040000000000006</v>
      </c>
      <c r="E88" s="53">
        <f t="shared" si="6"/>
        <v>511.28000000000003</v>
      </c>
      <c r="F88" s="160">
        <v>-66.069999999999993</v>
      </c>
      <c r="G88" s="53">
        <v>0</v>
      </c>
      <c r="H88" s="53">
        <f>+FACTURACIÓN!R88</f>
        <v>0</v>
      </c>
      <c r="I88" s="160">
        <v>-0.05</v>
      </c>
      <c r="J88" s="53">
        <f>+FACTURACIÓN!S88</f>
        <v>0</v>
      </c>
      <c r="K88" s="53">
        <f t="shared" si="7"/>
        <v>-66.11999999999999</v>
      </c>
      <c r="L88" s="53">
        <f t="shared" si="8"/>
        <v>577.4</v>
      </c>
      <c r="M88" s="51" t="str">
        <f t="shared" si="9"/>
        <v>SI</v>
      </c>
      <c r="N88" s="50" t="s">
        <v>511</v>
      </c>
      <c r="O88" s="51" t="s">
        <v>512</v>
      </c>
      <c r="P88" s="53">
        <v>577.4</v>
      </c>
      <c r="Q88" s="53">
        <f t="shared" si="10"/>
        <v>0</v>
      </c>
      <c r="R88" s="254"/>
    </row>
    <row r="89" spans="1:22" s="51" customFormat="1">
      <c r="A89" s="20" t="s">
        <v>157</v>
      </c>
      <c r="B89" s="21" t="s">
        <v>158</v>
      </c>
      <c r="C89" s="53">
        <v>438.24</v>
      </c>
      <c r="D89" s="53">
        <v>73.040000000000006</v>
      </c>
      <c r="E89" s="53">
        <f t="shared" si="6"/>
        <v>511.28000000000003</v>
      </c>
      <c r="F89" s="160">
        <v>-66.069999999999993</v>
      </c>
      <c r="G89" s="53">
        <v>0</v>
      </c>
      <c r="H89" s="53">
        <f>+FACTURACIÓN!R89</f>
        <v>0</v>
      </c>
      <c r="I89" s="53">
        <v>0.15</v>
      </c>
      <c r="J89" s="53">
        <f>+FACTURACIÓN!S89</f>
        <v>0</v>
      </c>
      <c r="K89" s="53">
        <f t="shared" si="7"/>
        <v>-65.919999999999987</v>
      </c>
      <c r="L89" s="53">
        <f t="shared" si="8"/>
        <v>577.20000000000005</v>
      </c>
      <c r="M89" s="51" t="str">
        <f t="shared" si="9"/>
        <v>SI</v>
      </c>
      <c r="N89" s="50" t="s">
        <v>788</v>
      </c>
      <c r="O89" s="51" t="s">
        <v>158</v>
      </c>
      <c r="P89" s="53">
        <v>577.20000000000005</v>
      </c>
      <c r="Q89" s="53">
        <f t="shared" si="10"/>
        <v>0</v>
      </c>
      <c r="R89" s="254"/>
    </row>
    <row r="90" spans="1:22" s="51" customFormat="1">
      <c r="A90" s="20" t="s">
        <v>159</v>
      </c>
      <c r="B90" s="21" t="s">
        <v>160</v>
      </c>
      <c r="C90" s="53">
        <v>438.24</v>
      </c>
      <c r="D90" s="53">
        <v>73.040000000000006</v>
      </c>
      <c r="E90" s="53">
        <f t="shared" si="6"/>
        <v>511.28000000000003</v>
      </c>
      <c r="F90" s="160">
        <v>-66.069999999999993</v>
      </c>
      <c r="G90" s="53">
        <v>0</v>
      </c>
      <c r="H90" s="53">
        <f>+FACTURACIÓN!R90</f>
        <v>0</v>
      </c>
      <c r="I90" s="160">
        <v>-0.05</v>
      </c>
      <c r="J90" s="53">
        <f>+FACTURACIÓN!S90</f>
        <v>0</v>
      </c>
      <c r="K90" s="53">
        <f t="shared" si="7"/>
        <v>-66.11999999999999</v>
      </c>
      <c r="L90" s="53">
        <f t="shared" si="8"/>
        <v>577.4</v>
      </c>
      <c r="M90" s="51" t="str">
        <f t="shared" si="9"/>
        <v>SI</v>
      </c>
      <c r="N90" s="50" t="s">
        <v>789</v>
      </c>
      <c r="O90" s="51" t="s">
        <v>160</v>
      </c>
      <c r="P90" s="53">
        <v>577.4</v>
      </c>
      <c r="Q90" s="53">
        <f t="shared" si="10"/>
        <v>0</v>
      </c>
      <c r="R90" s="254"/>
    </row>
    <row r="91" spans="1:22" s="51" customFormat="1">
      <c r="A91" s="20" t="s">
        <v>161</v>
      </c>
      <c r="B91" s="21" t="s">
        <v>162</v>
      </c>
      <c r="C91" s="53">
        <v>438.24</v>
      </c>
      <c r="D91" s="53">
        <v>73.040000000000006</v>
      </c>
      <c r="E91" s="53">
        <f t="shared" si="6"/>
        <v>511.28000000000003</v>
      </c>
      <c r="F91" s="160">
        <v>-66.069999999999993</v>
      </c>
      <c r="G91" s="53">
        <v>0</v>
      </c>
      <c r="H91" s="53">
        <f>+FACTURACIÓN!R91</f>
        <v>0</v>
      </c>
      <c r="I91" s="53">
        <v>0.15</v>
      </c>
      <c r="J91" s="53">
        <f>+FACTURACIÓN!S91</f>
        <v>0</v>
      </c>
      <c r="K91" s="53">
        <f t="shared" si="7"/>
        <v>-65.919999999999987</v>
      </c>
      <c r="L91" s="53">
        <f t="shared" si="8"/>
        <v>577.20000000000005</v>
      </c>
      <c r="M91" s="51" t="str">
        <f t="shared" si="9"/>
        <v>SI</v>
      </c>
      <c r="N91" s="50" t="s">
        <v>790</v>
      </c>
      <c r="O91" s="51" t="s">
        <v>162</v>
      </c>
      <c r="P91" s="53">
        <v>577.20000000000005</v>
      </c>
      <c r="Q91" s="53">
        <f t="shared" si="10"/>
        <v>0</v>
      </c>
      <c r="R91" s="254"/>
    </row>
    <row r="92" spans="1:22" s="51" customFormat="1">
      <c r="A92" s="20" t="s">
        <v>163</v>
      </c>
      <c r="B92" s="21" t="s">
        <v>164</v>
      </c>
      <c r="C92" s="53">
        <v>438.24</v>
      </c>
      <c r="D92" s="53">
        <v>73.040000000000006</v>
      </c>
      <c r="E92" s="53">
        <f t="shared" si="6"/>
        <v>511.28000000000003</v>
      </c>
      <c r="F92" s="160">
        <v>-66.069999999999993</v>
      </c>
      <c r="G92" s="53">
        <v>0</v>
      </c>
      <c r="H92" s="53">
        <f>+FACTURACIÓN!R92</f>
        <v>537.87</v>
      </c>
      <c r="I92" s="160">
        <v>-0.12</v>
      </c>
      <c r="J92" s="53">
        <f>+FACTURACIÓN!S92</f>
        <v>0</v>
      </c>
      <c r="K92" s="53">
        <f t="shared" si="7"/>
        <v>471.68</v>
      </c>
      <c r="L92" s="53">
        <f t="shared" si="8"/>
        <v>39.600000000000023</v>
      </c>
      <c r="M92" s="51" t="str">
        <f t="shared" si="9"/>
        <v>SI</v>
      </c>
      <c r="N92" s="50" t="s">
        <v>513</v>
      </c>
      <c r="O92" s="51" t="s">
        <v>164</v>
      </c>
      <c r="P92" s="53">
        <v>39.6</v>
      </c>
      <c r="Q92" s="53">
        <f t="shared" si="10"/>
        <v>0</v>
      </c>
      <c r="R92" s="254"/>
    </row>
    <row r="93" spans="1:22" s="51" customFormat="1">
      <c r="A93" s="20" t="s">
        <v>165</v>
      </c>
      <c r="B93" s="21" t="s">
        <v>166</v>
      </c>
      <c r="C93" s="53">
        <v>438.24</v>
      </c>
      <c r="D93" s="53">
        <v>73.040000000000006</v>
      </c>
      <c r="E93" s="53">
        <f t="shared" si="6"/>
        <v>511.28000000000003</v>
      </c>
      <c r="F93" s="160">
        <v>-66.069999999999993</v>
      </c>
      <c r="G93" s="53">
        <v>0</v>
      </c>
      <c r="H93" s="53">
        <f>+FACTURACIÓN!R93</f>
        <v>0</v>
      </c>
      <c r="I93" s="53">
        <v>0.15</v>
      </c>
      <c r="J93" s="53">
        <f>+FACTURACIÓN!S93</f>
        <v>0</v>
      </c>
      <c r="K93" s="53">
        <f t="shared" si="7"/>
        <v>-65.919999999999987</v>
      </c>
      <c r="L93" s="53">
        <f t="shared" si="8"/>
        <v>577.20000000000005</v>
      </c>
      <c r="M93" s="51" t="str">
        <f t="shared" si="9"/>
        <v>SI</v>
      </c>
      <c r="N93" s="50" t="s">
        <v>165</v>
      </c>
      <c r="O93" s="51" t="s">
        <v>166</v>
      </c>
      <c r="P93" s="53">
        <v>577.20000000000005</v>
      </c>
      <c r="Q93" s="53">
        <f t="shared" si="10"/>
        <v>0</v>
      </c>
      <c r="R93" s="254"/>
    </row>
    <row r="94" spans="1:22" s="51" customFormat="1">
      <c r="A94" s="20" t="s">
        <v>167</v>
      </c>
      <c r="B94" s="21" t="s">
        <v>168</v>
      </c>
      <c r="C94" s="53">
        <v>438.24</v>
      </c>
      <c r="D94" s="53">
        <v>73.040000000000006</v>
      </c>
      <c r="E94" s="53">
        <f t="shared" si="6"/>
        <v>511.28000000000003</v>
      </c>
      <c r="F94" s="160">
        <v>-66.069999999999993</v>
      </c>
      <c r="G94" s="53">
        <v>0</v>
      </c>
      <c r="H94" s="53">
        <f>+FACTURACIÓN!R94</f>
        <v>0</v>
      </c>
      <c r="I94" s="160">
        <v>-0.05</v>
      </c>
      <c r="J94" s="53">
        <f>+FACTURACIÓN!S94</f>
        <v>0</v>
      </c>
      <c r="K94" s="53">
        <f t="shared" si="7"/>
        <v>-66.11999999999999</v>
      </c>
      <c r="L94" s="53">
        <f t="shared" si="8"/>
        <v>577.4</v>
      </c>
      <c r="M94" s="51" t="str">
        <f t="shared" si="9"/>
        <v>SI</v>
      </c>
      <c r="N94" s="50" t="s">
        <v>791</v>
      </c>
      <c r="O94" s="51" t="s">
        <v>168</v>
      </c>
      <c r="P94" s="53">
        <v>577.4</v>
      </c>
      <c r="Q94" s="53">
        <f t="shared" si="10"/>
        <v>0</v>
      </c>
      <c r="R94" s="254"/>
      <c r="S94" s="50"/>
      <c r="U94" s="53"/>
      <c r="V94" s="53"/>
    </row>
    <row r="95" spans="1:22" s="51" customFormat="1">
      <c r="A95" s="20" t="s">
        <v>169</v>
      </c>
      <c r="B95" s="21" t="s">
        <v>170</v>
      </c>
      <c r="C95" s="53">
        <v>438.24</v>
      </c>
      <c r="D95" s="53">
        <v>73.040000000000006</v>
      </c>
      <c r="E95" s="53">
        <f t="shared" si="6"/>
        <v>511.28000000000003</v>
      </c>
      <c r="F95" s="160">
        <v>-66.069999999999993</v>
      </c>
      <c r="G95" s="53">
        <v>0</v>
      </c>
      <c r="H95" s="53">
        <f>+FACTURACIÓN!R95</f>
        <v>0</v>
      </c>
      <c r="I95" s="160">
        <v>-0.05</v>
      </c>
      <c r="J95" s="53">
        <f>+FACTURACIÓN!S95</f>
        <v>0</v>
      </c>
      <c r="K95" s="53">
        <f t="shared" si="7"/>
        <v>-66.11999999999999</v>
      </c>
      <c r="L95" s="53">
        <f t="shared" si="8"/>
        <v>577.4</v>
      </c>
      <c r="M95" s="51" t="str">
        <f t="shared" si="9"/>
        <v>SI</v>
      </c>
      <c r="N95" s="50" t="s">
        <v>792</v>
      </c>
      <c r="O95" s="51" t="s">
        <v>170</v>
      </c>
      <c r="P95" s="53">
        <v>577.4</v>
      </c>
      <c r="Q95" s="53">
        <f t="shared" si="10"/>
        <v>0</v>
      </c>
      <c r="R95" s="254"/>
      <c r="S95" s="50"/>
      <c r="U95" s="202"/>
      <c r="V95" s="53"/>
    </row>
    <row r="96" spans="1:22" s="51" customFormat="1">
      <c r="A96" s="20" t="s">
        <v>171</v>
      </c>
      <c r="B96" s="21" t="s">
        <v>172</v>
      </c>
      <c r="C96" s="53">
        <v>438.24</v>
      </c>
      <c r="D96" s="53">
        <v>73.040000000000006</v>
      </c>
      <c r="E96" s="53">
        <f t="shared" si="6"/>
        <v>511.28000000000003</v>
      </c>
      <c r="F96" s="160">
        <v>-66.069999999999993</v>
      </c>
      <c r="G96" s="53">
        <v>0</v>
      </c>
      <c r="H96" s="53">
        <f>+FACTURACIÓN!R96</f>
        <v>0</v>
      </c>
      <c r="I96" s="160">
        <v>-0.05</v>
      </c>
      <c r="J96" s="53">
        <f>+FACTURACIÓN!S96</f>
        <v>0</v>
      </c>
      <c r="K96" s="53">
        <f t="shared" si="7"/>
        <v>-66.11999999999999</v>
      </c>
      <c r="L96" s="53">
        <f t="shared" si="8"/>
        <v>577.4</v>
      </c>
      <c r="M96" s="51" t="str">
        <f t="shared" si="9"/>
        <v>SI</v>
      </c>
      <c r="N96" s="50" t="s">
        <v>793</v>
      </c>
      <c r="O96" s="51" t="s">
        <v>172</v>
      </c>
      <c r="P96" s="53">
        <v>577.4</v>
      </c>
      <c r="Q96" s="53">
        <f t="shared" si="10"/>
        <v>0</v>
      </c>
      <c r="R96" s="254"/>
      <c r="S96" s="50"/>
      <c r="U96" s="202"/>
      <c r="V96" s="53"/>
    </row>
    <row r="97" spans="1:18" s="51" customFormat="1">
      <c r="A97" s="20" t="s">
        <v>173</v>
      </c>
      <c r="B97" s="21" t="s">
        <v>174</v>
      </c>
      <c r="C97" s="53">
        <v>438.24</v>
      </c>
      <c r="D97" s="53">
        <v>73.040000000000006</v>
      </c>
      <c r="E97" s="53">
        <f t="shared" si="6"/>
        <v>511.28000000000003</v>
      </c>
      <c r="F97" s="160">
        <v>-66.069999999999993</v>
      </c>
      <c r="G97" s="53">
        <v>0</v>
      </c>
      <c r="H97" s="53">
        <f>+FACTURACIÓN!R97</f>
        <v>0</v>
      </c>
      <c r="I97" s="53">
        <v>0.15</v>
      </c>
      <c r="J97" s="53">
        <f>+FACTURACIÓN!S97</f>
        <v>0</v>
      </c>
      <c r="K97" s="53">
        <f t="shared" si="7"/>
        <v>-65.919999999999987</v>
      </c>
      <c r="L97" s="53">
        <f t="shared" si="8"/>
        <v>577.20000000000005</v>
      </c>
      <c r="M97" s="51" t="str">
        <f t="shared" si="9"/>
        <v>SI</v>
      </c>
      <c r="N97" s="50" t="s">
        <v>794</v>
      </c>
      <c r="O97" s="51" t="s">
        <v>174</v>
      </c>
      <c r="P97" s="53">
        <v>577.20000000000005</v>
      </c>
      <c r="Q97" s="53">
        <f t="shared" si="10"/>
        <v>0</v>
      </c>
      <c r="R97" s="254"/>
    </row>
    <row r="98" spans="1:18" s="51" customFormat="1">
      <c r="A98" s="50"/>
      <c r="C98" s="53"/>
      <c r="D98" s="53"/>
      <c r="E98" s="53"/>
      <c r="F98" s="160"/>
      <c r="G98" s="53"/>
      <c r="H98" s="53"/>
      <c r="I98" s="160"/>
      <c r="J98" s="53"/>
      <c r="K98" s="53"/>
      <c r="L98" s="53"/>
      <c r="P98" s="253"/>
      <c r="R98" s="253"/>
    </row>
    <row r="99" spans="1:18" s="51" customFormat="1">
      <c r="P99" s="253"/>
      <c r="Q99" s="311"/>
      <c r="R99" s="253"/>
    </row>
    <row r="100" spans="1:18" s="51" customFormat="1" ht="12.75" thickBot="1">
      <c r="A100" s="50"/>
      <c r="C100" s="162">
        <f>SUM(C10:C97)</f>
        <v>37487.780000000035</v>
      </c>
      <c r="D100" s="162">
        <f t="shared" ref="D100:K100" si="11">SUM(D10:D97)</f>
        <v>6247.9699999999975</v>
      </c>
      <c r="E100" s="162">
        <f t="shared" si="11"/>
        <v>43735.749999999949</v>
      </c>
      <c r="F100" s="162">
        <f t="shared" si="11"/>
        <v>-5686.1228571428537</v>
      </c>
      <c r="G100" s="162">
        <f t="shared" si="11"/>
        <v>86.56</v>
      </c>
      <c r="H100" s="162">
        <f t="shared" si="11"/>
        <v>1530.63</v>
      </c>
      <c r="I100" s="162">
        <f t="shared" si="11"/>
        <v>2.5799999999999996</v>
      </c>
      <c r="J100" s="162">
        <f t="shared" si="11"/>
        <v>335.5</v>
      </c>
      <c r="K100" s="162">
        <f t="shared" si="11"/>
        <v>-3730.8528571428546</v>
      </c>
      <c r="L100" s="162">
        <f>SUM(L10:L97)</f>
        <v>47466.602857142869</v>
      </c>
      <c r="P100" s="253"/>
      <c r="Q100" s="253"/>
      <c r="R100" s="253"/>
    </row>
    <row r="101" spans="1:18" s="51" customFormat="1" ht="12" thickTop="1">
      <c r="A101" s="50"/>
      <c r="L101" s="53"/>
      <c r="N101" s="50"/>
      <c r="P101" s="255"/>
      <c r="Q101" s="253"/>
      <c r="R101" s="253"/>
    </row>
    <row r="102" spans="1:18" s="51" customFormat="1">
      <c r="A102" s="50"/>
      <c r="L102" s="350"/>
      <c r="N102" s="50"/>
      <c r="P102" s="255"/>
      <c r="Q102" s="254"/>
      <c r="R102" s="253"/>
    </row>
    <row r="103" spans="1:18" s="51" customFormat="1" ht="12">
      <c r="A103" s="50"/>
      <c r="L103" s="53"/>
      <c r="N103" s="50"/>
      <c r="P103" s="256"/>
      <c r="Q103" s="253"/>
      <c r="R103" s="253"/>
    </row>
    <row r="104" spans="1:18" s="51" customFormat="1">
      <c r="A104" s="50"/>
      <c r="N104" s="50"/>
      <c r="P104" s="255"/>
      <c r="Q104" s="253"/>
      <c r="R104" s="253"/>
    </row>
    <row r="105" spans="1:18" s="51" customFormat="1">
      <c r="A105" s="50"/>
      <c r="P105" s="253"/>
      <c r="Q105" s="253"/>
      <c r="R105" s="253"/>
    </row>
    <row r="106" spans="1:18" s="51" customFormat="1">
      <c r="A106" s="50"/>
      <c r="P106" s="253"/>
      <c r="Q106" s="253"/>
      <c r="R106" s="253"/>
    </row>
    <row r="107" spans="1:18" s="51" customFormat="1">
      <c r="A107" s="50"/>
      <c r="P107" s="253"/>
      <c r="Q107" s="253"/>
      <c r="R107" s="253"/>
    </row>
    <row r="108" spans="1:18" s="51" customFormat="1">
      <c r="A108" s="50"/>
      <c r="P108" s="253"/>
      <c r="Q108" s="253"/>
      <c r="R108" s="253"/>
    </row>
    <row r="109" spans="1:18" s="51" customFormat="1">
      <c r="A109" s="50"/>
      <c r="C109" s="53"/>
      <c r="D109" s="53"/>
      <c r="E109" s="53"/>
      <c r="F109" s="160"/>
      <c r="G109" s="53"/>
      <c r="H109" s="53"/>
      <c r="I109" s="53"/>
      <c r="J109" s="53"/>
      <c r="K109" s="53"/>
      <c r="L109" s="53"/>
      <c r="P109" s="253"/>
      <c r="Q109" s="253"/>
      <c r="R109" s="253"/>
    </row>
    <row r="110" spans="1:18" s="51" customFormat="1">
      <c r="A110" s="50"/>
      <c r="C110" s="53"/>
      <c r="D110" s="53"/>
      <c r="E110" s="53"/>
      <c r="F110" s="160"/>
      <c r="G110" s="53"/>
      <c r="H110" s="53"/>
      <c r="I110" s="53"/>
      <c r="J110" s="53"/>
      <c r="K110" s="53"/>
      <c r="L110" s="53"/>
      <c r="P110" s="253"/>
      <c r="Q110" s="253"/>
      <c r="R110" s="253"/>
    </row>
    <row r="111" spans="1:18" s="51" customFormat="1">
      <c r="A111" s="50" t="s">
        <v>74</v>
      </c>
      <c r="B111" s="51" t="s">
        <v>75</v>
      </c>
      <c r="C111" s="53">
        <v>438.24</v>
      </c>
      <c r="D111" s="53">
        <v>73.040000000000006</v>
      </c>
      <c r="E111" s="53">
        <f>SUM(C111:D111)</f>
        <v>511.28000000000003</v>
      </c>
      <c r="F111" s="160">
        <v>-66.069999999999993</v>
      </c>
      <c r="G111" s="53">
        <v>0</v>
      </c>
      <c r="H111" s="53"/>
      <c r="I111" s="160">
        <v>-0.05</v>
      </c>
      <c r="J111" s="53">
        <v>0</v>
      </c>
      <c r="K111" s="53">
        <f>SUM(F111:J111)</f>
        <v>-66.11999999999999</v>
      </c>
      <c r="L111" s="53">
        <f>+E111-K111</f>
        <v>577.4</v>
      </c>
      <c r="P111" s="253"/>
      <c r="Q111" s="253"/>
      <c r="R111" s="253"/>
    </row>
    <row r="112" spans="1:18">
      <c r="A112" s="50" t="s">
        <v>84</v>
      </c>
      <c r="B112" s="51" t="s">
        <v>85</v>
      </c>
      <c r="C112" s="53">
        <v>438.24</v>
      </c>
      <c r="D112" s="53">
        <v>73.040000000000006</v>
      </c>
      <c r="E112" s="53">
        <f>SUM(C112:D112)</f>
        <v>511.28000000000003</v>
      </c>
      <c r="F112" s="160">
        <v>-66.069999999999993</v>
      </c>
      <c r="G112" s="53">
        <v>0</v>
      </c>
      <c r="H112" s="53"/>
      <c r="I112" s="160">
        <v>-0.05</v>
      </c>
      <c r="J112" s="53">
        <v>0</v>
      </c>
      <c r="K112" s="53">
        <f>SUM(F112:J112)</f>
        <v>-66.11999999999999</v>
      </c>
      <c r="L112" s="53">
        <f>+E112-K112</f>
        <v>577.4</v>
      </c>
    </row>
    <row r="113" spans="1:12">
      <c r="A113" s="36" t="s">
        <v>127</v>
      </c>
      <c r="B113" s="37" t="s">
        <v>128</v>
      </c>
      <c r="C113" s="47">
        <v>438.24</v>
      </c>
      <c r="D113" s="47">
        <v>73.040000000000006</v>
      </c>
      <c r="E113" s="47">
        <f>SUM(C113:D113)</f>
        <v>511.28000000000003</v>
      </c>
      <c r="F113" s="48">
        <v>-66.069999999999993</v>
      </c>
      <c r="G113" s="47">
        <v>0</v>
      </c>
      <c r="H113" s="47"/>
      <c r="I113" s="47">
        <v>0.15</v>
      </c>
      <c r="J113" s="47">
        <v>0</v>
      </c>
      <c r="K113" s="47">
        <f>SUM(F113:J113)</f>
        <v>-65.919999999999987</v>
      </c>
      <c r="L113" s="47">
        <f>+E113-K113</f>
        <v>577.20000000000005</v>
      </c>
    </row>
    <row r="114" spans="1:12">
      <c r="A114" s="50" t="s">
        <v>146</v>
      </c>
      <c r="B114" s="51" t="s">
        <v>147</v>
      </c>
      <c r="C114" s="53">
        <v>438.24</v>
      </c>
      <c r="D114" s="53">
        <v>73.040000000000006</v>
      </c>
      <c r="E114" s="53">
        <f>SUM(C114:D114)</f>
        <v>511.28000000000003</v>
      </c>
      <c r="F114" s="160">
        <v>-66.069999999999993</v>
      </c>
      <c r="G114" s="53">
        <v>0</v>
      </c>
      <c r="H114" s="53"/>
      <c r="I114" s="53">
        <v>0.15</v>
      </c>
      <c r="J114" s="53">
        <v>0</v>
      </c>
      <c r="K114" s="53">
        <f>SUM(F114:J114)</f>
        <v>-65.919999999999987</v>
      </c>
      <c r="L114" s="53">
        <f>+E114-K114</f>
        <v>577.20000000000005</v>
      </c>
    </row>
    <row r="115" spans="1:12">
      <c r="A115" s="50" t="s">
        <v>175</v>
      </c>
      <c r="B115" s="51" t="s">
        <v>176</v>
      </c>
      <c r="C115" s="53">
        <v>438.24</v>
      </c>
      <c r="D115" s="53">
        <v>73.040000000000006</v>
      </c>
      <c r="E115" s="53">
        <f>SUM(C115:D115)</f>
        <v>511.28000000000003</v>
      </c>
      <c r="F115" s="160">
        <v>-66.069999999999993</v>
      </c>
      <c r="G115" s="53">
        <v>0</v>
      </c>
      <c r="H115" s="53"/>
      <c r="I115" s="160">
        <v>-0.05</v>
      </c>
      <c r="J115" s="53">
        <v>0</v>
      </c>
      <c r="K115" s="53">
        <f>SUM(F115:J115)</f>
        <v>-66.11999999999999</v>
      </c>
      <c r="L115" s="53">
        <f>+E115-K115</f>
        <v>577.4</v>
      </c>
    </row>
  </sheetData>
  <sortState ref="N10:P90">
    <sortCondition ref="O10:O90"/>
  </sortState>
  <mergeCells count="4">
    <mergeCell ref="B2:F2"/>
    <mergeCell ref="B3:F3"/>
    <mergeCell ref="B1:C1"/>
    <mergeCell ref="B4:G4"/>
  </mergeCells>
  <pageMargins left="0.32" right="0.70866141732283472" top="0.28000000000000003" bottom="0.34" header="0.2" footer="0.2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20"/>
  <sheetViews>
    <sheetView workbookViewId="0">
      <pane xSplit="2" ySplit="9" topLeftCell="K10" activePane="bottomRight" state="frozen"/>
      <selection pane="topRight" activeCell="C1" sqref="C1"/>
      <selection pane="bottomLeft" activeCell="A10" sqref="A10"/>
      <selection pane="bottomRight" activeCell="L16" sqref="L16"/>
    </sheetView>
  </sheetViews>
  <sheetFormatPr baseColWidth="10" defaultRowHeight="11.25"/>
  <cols>
    <col min="1" max="1" width="12.28515625" style="2" customWidth="1"/>
    <col min="2" max="2" width="30.7109375" style="1" customWidth="1"/>
    <col min="3" max="3" width="13" style="1" bestFit="1" customWidth="1"/>
    <col min="4" max="4" width="13.5703125" style="1" bestFit="1" customWidth="1"/>
    <col min="5" max="5" width="13" style="1" bestFit="1" customWidth="1"/>
    <col min="6" max="9" width="13" style="62" customWidth="1"/>
    <col min="10" max="13" width="13" style="1" customWidth="1"/>
    <col min="14" max="14" width="12.7109375" style="1" customWidth="1"/>
    <col min="15" max="15" width="13.140625" style="1" bestFit="1" customWidth="1"/>
    <col min="16" max="16" width="13" style="1" customWidth="1"/>
    <col min="17" max="17" width="2.7109375" style="51" hidden="1" customWidth="1"/>
    <col min="18" max="18" width="11.42578125" style="51" hidden="1" customWidth="1"/>
    <col min="19" max="19" width="26.5703125" style="51" hidden="1" customWidth="1"/>
    <col min="20" max="25" width="11.42578125" style="51" hidden="1" customWidth="1"/>
    <col min="26" max="30" width="0" style="51" hidden="1" customWidth="1"/>
    <col min="31" max="33" width="11.42578125" style="51"/>
    <col min="34" max="34" width="26.85546875" style="51" bestFit="1" customWidth="1"/>
    <col min="35" max="16384" width="11.42578125" style="51"/>
  </cols>
  <sheetData>
    <row r="1" spans="1:36" ht="18" customHeight="1">
      <c r="A1" s="3" t="s">
        <v>0</v>
      </c>
      <c r="B1" s="414" t="s">
        <v>18</v>
      </c>
      <c r="C1" s="413"/>
    </row>
    <row r="2" spans="1:36" ht="24.95" customHeight="1">
      <c r="A2" s="4" t="s">
        <v>1</v>
      </c>
      <c r="B2" s="9" t="s">
        <v>737</v>
      </c>
      <c r="C2" s="10"/>
      <c r="P2" s="231"/>
    </row>
    <row r="3" spans="1:36" ht="15.75">
      <c r="B3" s="412" t="s">
        <v>2</v>
      </c>
      <c r="C3" s="413"/>
    </row>
    <row r="4" spans="1:36" ht="15">
      <c r="B4" s="11" t="str">
        <f>+FACTURACIÓN!B4</f>
        <v>Periodo 10 al 10 Semanal del 02/03/2016 al 08/03/2016</v>
      </c>
      <c r="C4" s="12"/>
      <c r="P4" s="231"/>
    </row>
    <row r="5" spans="1:36">
      <c r="B5" s="5" t="s">
        <v>3</v>
      </c>
    </row>
    <row r="6" spans="1:36">
      <c r="B6" s="5" t="s">
        <v>4</v>
      </c>
    </row>
    <row r="7" spans="1:36" ht="23.25" thickBot="1">
      <c r="F7" s="19" t="s">
        <v>357</v>
      </c>
      <c r="G7" s="19" t="s">
        <v>358</v>
      </c>
      <c r="H7" s="19" t="s">
        <v>359</v>
      </c>
      <c r="I7" s="19" t="s">
        <v>360</v>
      </c>
      <c r="J7" s="19" t="s">
        <v>29</v>
      </c>
      <c r="K7" s="19" t="s">
        <v>363</v>
      </c>
      <c r="L7" s="19" t="s">
        <v>333</v>
      </c>
      <c r="M7" s="19" t="s">
        <v>520</v>
      </c>
      <c r="N7" s="19" t="s">
        <v>608</v>
      </c>
    </row>
    <row r="8" spans="1:36" s="250" customFormat="1" ht="35.25" thickTop="1" thickBot="1">
      <c r="A8" s="6" t="s">
        <v>5</v>
      </c>
      <c r="B8" s="7" t="s">
        <v>6</v>
      </c>
      <c r="C8" s="14" t="s">
        <v>27</v>
      </c>
      <c r="D8" s="14" t="s">
        <v>28</v>
      </c>
      <c r="E8" s="13" t="s">
        <v>8</v>
      </c>
      <c r="F8" s="19" t="s">
        <v>357</v>
      </c>
      <c r="G8" s="19" t="s">
        <v>358</v>
      </c>
      <c r="H8" s="19" t="s">
        <v>359</v>
      </c>
      <c r="I8" s="19" t="s">
        <v>360</v>
      </c>
      <c r="J8" s="19" t="s">
        <v>29</v>
      </c>
      <c r="K8" s="19" t="s">
        <v>363</v>
      </c>
      <c r="L8" s="19" t="s">
        <v>333</v>
      </c>
      <c r="M8" s="19" t="s">
        <v>520</v>
      </c>
      <c r="N8" s="19" t="s">
        <v>608</v>
      </c>
      <c r="O8" s="13" t="s">
        <v>11</v>
      </c>
      <c r="P8" s="28" t="s">
        <v>12</v>
      </c>
    </row>
    <row r="9" spans="1:36" ht="12" thickTop="1">
      <c r="A9" s="5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36" ht="12.75">
      <c r="A10" s="20" t="s">
        <v>34</v>
      </c>
      <c r="B10" s="21" t="s">
        <v>35</v>
      </c>
      <c r="C10" s="52">
        <f>+FACTURACIÓN!G10-'C&amp;A'!L10-'C&amp;A'!J10-'C&amp;A'!H10-'C&amp;A'!G10</f>
        <v>2853.72</v>
      </c>
      <c r="D10" s="53">
        <v>0</v>
      </c>
      <c r="E10" s="54">
        <f>SUM(C10:D10)</f>
        <v>2853.72</v>
      </c>
      <c r="F10" s="54">
        <f>+FACTURACIÓN!H10</f>
        <v>0</v>
      </c>
      <c r="G10" s="54">
        <f>+FACTURACIÓN!I10</f>
        <v>0</v>
      </c>
      <c r="H10" s="54">
        <f>+FACTURACIÓN!J10</f>
        <v>0</v>
      </c>
      <c r="I10" s="54">
        <f>+FACTURACIÓN!K10</f>
        <v>0</v>
      </c>
      <c r="J10" s="54">
        <f>+FACTURACIÓN!L10</f>
        <v>0</v>
      </c>
      <c r="K10" s="54">
        <f>+FACTURACIÓN!M10</f>
        <v>0</v>
      </c>
      <c r="L10" s="54">
        <f>+FACTURACIÓN!N10</f>
        <v>0</v>
      </c>
      <c r="M10" s="54">
        <f>+FACTURACIÓN!O10</f>
        <v>0</v>
      </c>
      <c r="N10" s="54">
        <f>+FACTURACIÓN!P10</f>
        <v>0</v>
      </c>
      <c r="O10" s="53">
        <f>SUM(F10:N10)</f>
        <v>0</v>
      </c>
      <c r="P10" s="58">
        <f>+E10-O10</f>
        <v>2853.72</v>
      </c>
      <c r="Q10" s="51" t="str">
        <f>IF(B10=S10,"si ","no")</f>
        <v xml:space="preserve">si </v>
      </c>
      <c r="R10" s="20" t="s">
        <v>34</v>
      </c>
      <c r="S10" s="21" t="s">
        <v>35</v>
      </c>
      <c r="T10" s="53">
        <v>2189.4</v>
      </c>
      <c r="U10" s="58">
        <f>+T10-P10</f>
        <v>-664.31999999999971</v>
      </c>
      <c r="Y10" s="51" t="str">
        <f>IF(AC10=B10,"si","no")</f>
        <v>si</v>
      </c>
      <c r="Z10" s="339" t="s">
        <v>738</v>
      </c>
      <c r="AA10" s="358" t="s">
        <v>675</v>
      </c>
      <c r="AB10" s="53">
        <v>577.4</v>
      </c>
      <c r="AC10" s="360" t="s">
        <v>35</v>
      </c>
      <c r="AF10" s="51" t="str">
        <f>IF(B10=AH10,"si","no")</f>
        <v>si</v>
      </c>
      <c r="AG10" s="50" t="s">
        <v>738</v>
      </c>
      <c r="AH10" s="51" t="s">
        <v>35</v>
      </c>
      <c r="AI10" s="53">
        <v>2853.8</v>
      </c>
      <c r="AJ10" s="53">
        <f>+P10-AI10</f>
        <v>-8.0000000000381988E-2</v>
      </c>
    </row>
    <row r="11" spans="1:36" ht="12.75">
      <c r="A11" s="20" t="s">
        <v>36</v>
      </c>
      <c r="B11" s="21" t="s">
        <v>37</v>
      </c>
      <c r="C11" s="52">
        <f>+FACTURACIÓN!G11-'C&amp;A'!L11-'C&amp;A'!J11-'C&amp;A'!H11-'C&amp;A'!G11</f>
        <v>2937.83</v>
      </c>
      <c r="D11" s="53">
        <v>0</v>
      </c>
      <c r="E11" s="54">
        <f t="shared" ref="E11:E74" si="0">SUM(C11:D11)</f>
        <v>2937.83</v>
      </c>
      <c r="F11" s="54">
        <f>+FACTURACIÓN!H11</f>
        <v>0</v>
      </c>
      <c r="G11" s="54">
        <f>+FACTURACIÓN!I11</f>
        <v>0</v>
      </c>
      <c r="H11" s="54">
        <f>+FACTURACIÓN!J11</f>
        <v>0</v>
      </c>
      <c r="I11" s="54">
        <f>+FACTURACIÓN!K11</f>
        <v>0</v>
      </c>
      <c r="J11" s="54">
        <f>+FACTURACIÓN!L11</f>
        <v>0</v>
      </c>
      <c r="K11" s="54">
        <f>+FACTURACIÓN!M11</f>
        <v>0</v>
      </c>
      <c r="L11" s="54">
        <f>+FACTURACIÓN!N11</f>
        <v>0</v>
      </c>
      <c r="M11" s="54">
        <f>+FACTURACIÓN!O11</f>
        <v>351.52300000000002</v>
      </c>
      <c r="N11" s="54">
        <f>+FACTURACIÓN!P11</f>
        <v>0</v>
      </c>
      <c r="O11" s="53">
        <f t="shared" ref="O11:O74" si="1">SUM(F11:N11)</f>
        <v>351.52300000000002</v>
      </c>
      <c r="P11" s="58">
        <f t="shared" ref="P11:P74" si="2">+E11-O11</f>
        <v>2586.3069999999998</v>
      </c>
      <c r="Q11" s="51" t="str">
        <f t="shared" ref="Q11:Q74" si="3">IF(B11=S11,"si ","no")</f>
        <v xml:space="preserve">si </v>
      </c>
      <c r="R11" s="20" t="s">
        <v>36</v>
      </c>
      <c r="S11" s="21" t="s">
        <v>37</v>
      </c>
      <c r="T11" s="53">
        <v>7352</v>
      </c>
      <c r="U11" s="58">
        <f t="shared" ref="U11:U54" si="4">+T11-P11</f>
        <v>4765.6930000000002</v>
      </c>
      <c r="Y11" s="51" t="str">
        <f t="shared" ref="Y11:Y74" si="5">IF(AC11=B11,"si","no")</f>
        <v>si</v>
      </c>
      <c r="Z11" s="339" t="s">
        <v>494</v>
      </c>
      <c r="AA11" s="358" t="s">
        <v>668</v>
      </c>
      <c r="AB11" s="53">
        <v>577.4</v>
      </c>
      <c r="AC11" s="360" t="s">
        <v>37</v>
      </c>
      <c r="AF11" s="51" t="str">
        <f t="shared" ref="AF11:AF74" si="6">IF(B11=AH11,"si","no")</f>
        <v>si</v>
      </c>
      <c r="AG11" s="50" t="s">
        <v>494</v>
      </c>
      <c r="AH11" s="51" t="s">
        <v>37</v>
      </c>
      <c r="AI11" s="53">
        <v>2586.1999999999998</v>
      </c>
      <c r="AJ11" s="53">
        <f t="shared" ref="AJ11:AJ74" si="7">+P11-AI11</f>
        <v>0.1069999999999709</v>
      </c>
    </row>
    <row r="12" spans="1:36" ht="12.75">
      <c r="A12" s="20" t="s">
        <v>38</v>
      </c>
      <c r="B12" s="21" t="s">
        <v>39</v>
      </c>
      <c r="C12" s="52">
        <f>+FACTURACIÓN!G12-'C&amp;A'!L12-'C&amp;A'!J12-'C&amp;A'!H12-'C&amp;A'!G12</f>
        <v>4837.71</v>
      </c>
      <c r="D12" s="53">
        <v>0</v>
      </c>
      <c r="E12" s="54">
        <f t="shared" si="0"/>
        <v>4837.71</v>
      </c>
      <c r="F12" s="54">
        <f>+FACTURACIÓN!H12</f>
        <v>0</v>
      </c>
      <c r="G12" s="54">
        <f>+FACTURACIÓN!I12</f>
        <v>265.34039000000001</v>
      </c>
      <c r="H12" s="54">
        <f>+FACTURACIÓN!J12</f>
        <v>54.1511</v>
      </c>
      <c r="I12" s="54">
        <f>+FACTURACIÓN!K12</f>
        <v>0</v>
      </c>
      <c r="J12" s="54">
        <f>+FACTURACIÓN!L12</f>
        <v>0</v>
      </c>
      <c r="K12" s="54">
        <f>+FACTURACIÓN!M12</f>
        <v>0</v>
      </c>
      <c r="L12" s="54">
        <f>+FACTURACIÓN!N12</f>
        <v>0</v>
      </c>
      <c r="M12" s="54">
        <f>+FACTURACIÓN!O12</f>
        <v>541.51099999999997</v>
      </c>
      <c r="N12" s="54">
        <f>+FACTURACIÓN!P12</f>
        <v>0</v>
      </c>
      <c r="O12" s="53">
        <f t="shared" si="1"/>
        <v>861.00248999999997</v>
      </c>
      <c r="P12" s="58">
        <f t="shared" si="2"/>
        <v>3976.7075100000002</v>
      </c>
      <c r="Q12" s="51" t="str">
        <f t="shared" si="3"/>
        <v xml:space="preserve">si </v>
      </c>
      <c r="R12" s="20" t="s">
        <v>38</v>
      </c>
      <c r="S12" s="21" t="s">
        <v>39</v>
      </c>
      <c r="T12" s="53">
        <v>3786.8</v>
      </c>
      <c r="U12" s="58">
        <f t="shared" si="4"/>
        <v>-189.90751</v>
      </c>
      <c r="Y12" s="51" t="str">
        <f t="shared" si="5"/>
        <v>si</v>
      </c>
      <c r="Z12" s="339" t="s">
        <v>495</v>
      </c>
      <c r="AA12" s="358" t="s">
        <v>700</v>
      </c>
      <c r="AB12" s="53">
        <v>577.4</v>
      </c>
      <c r="AC12" s="360" t="s">
        <v>39</v>
      </c>
      <c r="AF12" s="51" t="str">
        <f t="shared" si="6"/>
        <v>si</v>
      </c>
      <c r="AG12" s="50" t="s">
        <v>495</v>
      </c>
      <c r="AH12" s="51" t="s">
        <v>39</v>
      </c>
      <c r="AI12" s="53">
        <v>3976.6</v>
      </c>
      <c r="AJ12" s="53">
        <f t="shared" si="7"/>
        <v>0.10751000000027489</v>
      </c>
    </row>
    <row r="13" spans="1:36" ht="12.75">
      <c r="A13" s="50" t="s">
        <v>289</v>
      </c>
      <c r="B13" s="21" t="s">
        <v>178</v>
      </c>
      <c r="C13" s="52">
        <f>+FACTURACIÓN!G13-'C&amp;A'!L13-'C&amp;A'!J13-'C&amp;A'!H13-'C&amp;A'!G13</f>
        <v>2790.3900000000003</v>
      </c>
      <c r="D13" s="53">
        <v>0</v>
      </c>
      <c r="E13" s="54">
        <f t="shared" si="0"/>
        <v>2790.3900000000003</v>
      </c>
      <c r="F13" s="54">
        <f>+FACTURACIÓN!H13</f>
        <v>0</v>
      </c>
      <c r="G13" s="54">
        <f>+FACTURACIÓN!I13</f>
        <v>0</v>
      </c>
      <c r="H13" s="54">
        <f>+FACTURACIÓN!J13</f>
        <v>0</v>
      </c>
      <c r="I13" s="54">
        <f>+FACTURACIÓN!K13</f>
        <v>0</v>
      </c>
      <c r="J13" s="54">
        <f>+FACTURACIÓN!L13</f>
        <v>0</v>
      </c>
      <c r="K13" s="54">
        <f>+FACTURACIÓN!M13</f>
        <v>0</v>
      </c>
      <c r="L13" s="54">
        <f>+FACTURACIÓN!N13</f>
        <v>0</v>
      </c>
      <c r="M13" s="54">
        <f>+FACTURACIÓN!O13</f>
        <v>0</v>
      </c>
      <c r="N13" s="54">
        <f>+FACTURACIÓN!P13</f>
        <v>0</v>
      </c>
      <c r="O13" s="53">
        <f t="shared" si="1"/>
        <v>0</v>
      </c>
      <c r="P13" s="58">
        <f t="shared" si="2"/>
        <v>2790.3900000000003</v>
      </c>
      <c r="Q13" s="51" t="str">
        <f t="shared" si="3"/>
        <v xml:space="preserve">si </v>
      </c>
      <c r="R13" s="50" t="s">
        <v>289</v>
      </c>
      <c r="S13" s="21" t="s">
        <v>178</v>
      </c>
      <c r="T13" s="53">
        <v>2745.2</v>
      </c>
      <c r="U13" s="58">
        <f t="shared" si="4"/>
        <v>-45.190000000000509</v>
      </c>
      <c r="Y13" s="51" t="str">
        <f t="shared" si="5"/>
        <v>si</v>
      </c>
      <c r="Z13" s="339" t="s">
        <v>739</v>
      </c>
      <c r="AA13" s="358">
        <v>2706107109</v>
      </c>
      <c r="AB13" s="53">
        <v>577.20000000000005</v>
      </c>
      <c r="AC13" s="360" t="s">
        <v>178</v>
      </c>
      <c r="AF13" s="51" t="str">
        <f t="shared" si="6"/>
        <v>si</v>
      </c>
      <c r="AG13" s="50" t="s">
        <v>739</v>
      </c>
      <c r="AH13" s="51" t="s">
        <v>178</v>
      </c>
      <c r="AI13" s="53">
        <v>2790.4</v>
      </c>
      <c r="AJ13" s="53">
        <f t="shared" si="7"/>
        <v>-9.9999999997635314E-3</v>
      </c>
    </row>
    <row r="14" spans="1:36" ht="12.75">
      <c r="A14" s="20" t="s">
        <v>42</v>
      </c>
      <c r="B14" s="21" t="s">
        <v>43</v>
      </c>
      <c r="C14" s="52">
        <f>+FACTURACIÓN!G14-'C&amp;A'!L14-'C&amp;A'!J14-'C&amp;A'!H14-'C&amp;A'!G14</f>
        <v>3190.45</v>
      </c>
      <c r="D14" s="53">
        <v>0</v>
      </c>
      <c r="E14" s="54">
        <f t="shared" si="0"/>
        <v>3190.45</v>
      </c>
      <c r="F14" s="54">
        <f>+FACTURACIÓN!H14</f>
        <v>0</v>
      </c>
      <c r="G14" s="54">
        <f>+FACTURACIÓN!I14</f>
        <v>0</v>
      </c>
      <c r="H14" s="54">
        <f>+FACTURACIÓN!J14</f>
        <v>0</v>
      </c>
      <c r="I14" s="54">
        <f>+FACTURACIÓN!K14</f>
        <v>0</v>
      </c>
      <c r="J14" s="54">
        <f>+FACTURACIÓN!L14</f>
        <v>0</v>
      </c>
      <c r="K14" s="54">
        <f>+FACTURACIÓN!M14</f>
        <v>0</v>
      </c>
      <c r="L14" s="54">
        <f>+FACTURACIÓN!N14</f>
        <v>0</v>
      </c>
      <c r="M14" s="54">
        <f>+FACTURACIÓN!O14</f>
        <v>376.78500000000003</v>
      </c>
      <c r="N14" s="54">
        <f>+FACTURACIÓN!P14</f>
        <v>0</v>
      </c>
      <c r="O14" s="53">
        <f t="shared" si="1"/>
        <v>376.78500000000003</v>
      </c>
      <c r="P14" s="58">
        <f t="shared" si="2"/>
        <v>2813.665</v>
      </c>
      <c r="Q14" s="51" t="str">
        <f t="shared" si="3"/>
        <v xml:space="preserve">si </v>
      </c>
      <c r="R14" s="20" t="s">
        <v>42</v>
      </c>
      <c r="S14" s="21" t="s">
        <v>43</v>
      </c>
      <c r="T14" s="53">
        <v>2930.8</v>
      </c>
      <c r="U14" s="58">
        <f t="shared" si="4"/>
        <v>117.13500000000022</v>
      </c>
      <c r="Y14" s="51" t="str">
        <f t="shared" si="5"/>
        <v>si</v>
      </c>
      <c r="Z14" s="339" t="s">
        <v>42</v>
      </c>
      <c r="AA14" s="358">
        <v>2648514356</v>
      </c>
      <c r="AB14" s="53">
        <v>577.4</v>
      </c>
      <c r="AC14" s="360" t="s">
        <v>43</v>
      </c>
      <c r="AF14" s="51" t="str">
        <f t="shared" si="6"/>
        <v>si</v>
      </c>
      <c r="AG14" s="50" t="s">
        <v>42</v>
      </c>
      <c r="AH14" s="51" t="s">
        <v>43</v>
      </c>
      <c r="AI14" s="53">
        <v>2813.6</v>
      </c>
      <c r="AJ14" s="53">
        <f t="shared" si="7"/>
        <v>6.500000000005457E-2</v>
      </c>
    </row>
    <row r="15" spans="1:36" ht="12.75">
      <c r="A15" s="20" t="s">
        <v>732</v>
      </c>
      <c r="B15" s="21" t="s">
        <v>609</v>
      </c>
      <c r="C15" s="52">
        <f>+FACTURACIÓN!G15-'C&amp;A'!L15-'C&amp;A'!J15-'C&amp;A'!H15-'C&amp;A'!G15</f>
        <v>1437.2</v>
      </c>
      <c r="D15" s="53">
        <v>0</v>
      </c>
      <c r="E15" s="54">
        <f t="shared" si="0"/>
        <v>1437.2</v>
      </c>
      <c r="F15" s="54">
        <f>+FACTURACIÓN!H15</f>
        <v>0</v>
      </c>
      <c r="G15" s="54">
        <f>+FACTURACIÓN!I15</f>
        <v>0</v>
      </c>
      <c r="H15" s="54">
        <f>+FACTURACIÓN!J15</f>
        <v>0</v>
      </c>
      <c r="I15" s="54">
        <f>+FACTURACIÓN!K15</f>
        <v>0</v>
      </c>
      <c r="J15" s="54">
        <f>+FACTURACIÓN!L15</f>
        <v>0</v>
      </c>
      <c r="K15" s="54">
        <f>+FACTURACIÓN!M15</f>
        <v>0</v>
      </c>
      <c r="L15" s="54">
        <f>+FACTURACIÓN!N15</f>
        <v>0</v>
      </c>
      <c r="M15" s="54">
        <f>+FACTURACIÓN!O15</f>
        <v>0</v>
      </c>
      <c r="N15" s="54">
        <f>+FACTURACIÓN!P15</f>
        <v>0</v>
      </c>
      <c r="O15" s="53">
        <f t="shared" si="1"/>
        <v>0</v>
      </c>
      <c r="P15" s="58">
        <f t="shared" si="2"/>
        <v>1437.2</v>
      </c>
      <c r="Q15" s="51" t="str">
        <f t="shared" si="3"/>
        <v xml:space="preserve">si </v>
      </c>
      <c r="R15" s="20" t="s">
        <v>732</v>
      </c>
      <c r="S15" s="21" t="s">
        <v>609</v>
      </c>
      <c r="T15" s="53">
        <v>900.8</v>
      </c>
      <c r="U15" s="58">
        <f t="shared" si="4"/>
        <v>-536.40000000000009</v>
      </c>
      <c r="Y15" s="51" t="str">
        <f t="shared" si="5"/>
        <v>si</v>
      </c>
      <c r="Z15" s="339" t="s">
        <v>732</v>
      </c>
      <c r="AA15" s="358">
        <v>1456104819</v>
      </c>
      <c r="AB15" s="53">
        <v>577.20000000000005</v>
      </c>
      <c r="AC15" s="360" t="s">
        <v>740</v>
      </c>
      <c r="AF15" s="51" t="str">
        <f t="shared" si="6"/>
        <v>si</v>
      </c>
      <c r="AG15" s="50" t="s">
        <v>732</v>
      </c>
      <c r="AH15" s="51" t="s">
        <v>740</v>
      </c>
      <c r="AI15" s="53">
        <v>1437.2</v>
      </c>
      <c r="AJ15" s="53">
        <f t="shared" si="7"/>
        <v>0</v>
      </c>
    </row>
    <row r="16" spans="1:36" ht="12.75">
      <c r="A16" s="20" t="s">
        <v>44</v>
      </c>
      <c r="B16" s="21" t="s">
        <v>45</v>
      </c>
      <c r="C16" s="52">
        <f>+FACTURACIÓN!G16-'C&amp;A'!L16-'C&amp;A'!J16-'C&amp;A'!H16-'C&amp;A'!G16</f>
        <v>6018.29</v>
      </c>
      <c r="D16" s="53">
        <v>0</v>
      </c>
      <c r="E16" s="54">
        <f t="shared" si="0"/>
        <v>6018.29</v>
      </c>
      <c r="F16" s="54">
        <f>+FACTURACIÓN!H16</f>
        <v>0</v>
      </c>
      <c r="G16" s="54">
        <f>+FACTURACIÓN!I16</f>
        <v>0</v>
      </c>
      <c r="H16" s="54">
        <f>+FACTURACIÓN!J16</f>
        <v>0</v>
      </c>
      <c r="I16" s="54">
        <f>+FACTURACIÓN!K16</f>
        <v>0</v>
      </c>
      <c r="J16" s="54">
        <f>+FACTURACIÓN!L16</f>
        <v>0</v>
      </c>
      <c r="K16" s="54">
        <f>+FACTURACIÓN!M16</f>
        <v>0</v>
      </c>
      <c r="L16" s="54">
        <f>+FACTURACIÓN!N16</f>
        <v>368.35</v>
      </c>
      <c r="M16" s="54">
        <f>+FACTURACIÓN!O16</f>
        <v>659.56899999999996</v>
      </c>
      <c r="N16" s="54">
        <f>+FACTURACIÓN!P16</f>
        <v>0</v>
      </c>
      <c r="O16" s="53">
        <f t="shared" si="1"/>
        <v>1027.9189999999999</v>
      </c>
      <c r="P16" s="58">
        <f t="shared" si="2"/>
        <v>4990.3710000000001</v>
      </c>
      <c r="Q16" s="51" t="str">
        <f t="shared" si="3"/>
        <v xml:space="preserve">si </v>
      </c>
      <c r="R16" s="20" t="s">
        <v>44</v>
      </c>
      <c r="S16" s="21" t="s">
        <v>45</v>
      </c>
      <c r="T16" s="53">
        <v>1175.8</v>
      </c>
      <c r="U16" s="58">
        <f t="shared" si="4"/>
        <v>-3814.5709999999999</v>
      </c>
      <c r="Y16" s="51" t="str">
        <f t="shared" si="5"/>
        <v>si</v>
      </c>
      <c r="Z16" s="339" t="s">
        <v>496</v>
      </c>
      <c r="AA16" s="358" t="s">
        <v>684</v>
      </c>
      <c r="AB16" s="53">
        <v>577.4</v>
      </c>
      <c r="AC16" s="360" t="s">
        <v>45</v>
      </c>
      <c r="AF16" s="51" t="str">
        <f t="shared" si="6"/>
        <v>si</v>
      </c>
      <c r="AG16" s="50" t="s">
        <v>496</v>
      </c>
      <c r="AH16" s="51" t="s">
        <v>45</v>
      </c>
      <c r="AI16" s="53">
        <v>4990.3999999999996</v>
      </c>
      <c r="AJ16" s="53">
        <f t="shared" si="7"/>
        <v>-2.8999999999541615E-2</v>
      </c>
    </row>
    <row r="17" spans="1:36" ht="12.75">
      <c r="A17" s="50" t="s">
        <v>518</v>
      </c>
      <c r="B17" s="21" t="s">
        <v>517</v>
      </c>
      <c r="C17" s="52">
        <f>+FACTURACIÓN!G17-'C&amp;A'!L17-'C&amp;A'!J17-'C&amp;A'!H17-'C&amp;A'!G17</f>
        <v>589.46</v>
      </c>
      <c r="D17" s="53">
        <v>0</v>
      </c>
      <c r="E17" s="54">
        <f t="shared" si="0"/>
        <v>589.46</v>
      </c>
      <c r="F17" s="54">
        <f>+FACTURACIÓN!H17</f>
        <v>0</v>
      </c>
      <c r="G17" s="54">
        <f>+FACTURACIÓN!I17</f>
        <v>0</v>
      </c>
      <c r="H17" s="54">
        <f>+FACTURACIÓN!J17</f>
        <v>0</v>
      </c>
      <c r="I17" s="54">
        <f>+FACTURACIÓN!K17</f>
        <v>0</v>
      </c>
      <c r="J17" s="54">
        <f>+FACTURACIÓN!L17</f>
        <v>0</v>
      </c>
      <c r="K17" s="54">
        <f>+FACTURACIÓN!M17</f>
        <v>0</v>
      </c>
      <c r="L17" s="54">
        <f>+FACTURACIÓN!N17</f>
        <v>0</v>
      </c>
      <c r="M17" s="54">
        <f>+FACTURACIÓN!O17</f>
        <v>0</v>
      </c>
      <c r="N17" s="54">
        <f>+FACTURACIÓN!P17</f>
        <v>0</v>
      </c>
      <c r="O17" s="53">
        <f t="shared" si="1"/>
        <v>0</v>
      </c>
      <c r="P17" s="58">
        <f t="shared" si="2"/>
        <v>589.46</v>
      </c>
      <c r="Q17" s="51" t="str">
        <f t="shared" si="3"/>
        <v xml:space="preserve">si </v>
      </c>
      <c r="R17" s="50" t="s">
        <v>518</v>
      </c>
      <c r="S17" s="21" t="s">
        <v>517</v>
      </c>
      <c r="T17" s="53">
        <v>127.2</v>
      </c>
      <c r="U17" s="58">
        <f t="shared" si="4"/>
        <v>-462.26000000000005</v>
      </c>
      <c r="Y17" s="51" t="str">
        <f t="shared" si="5"/>
        <v>si</v>
      </c>
      <c r="Z17" s="339" t="s">
        <v>518</v>
      </c>
      <c r="AA17" s="358">
        <v>2959161945</v>
      </c>
      <c r="AB17" s="53">
        <v>577.20000000000005</v>
      </c>
      <c r="AC17" s="360" t="s">
        <v>517</v>
      </c>
      <c r="AF17" s="51" t="str">
        <f t="shared" si="6"/>
        <v>si</v>
      </c>
      <c r="AG17" s="50" t="s">
        <v>518</v>
      </c>
      <c r="AH17" s="51" t="s">
        <v>517</v>
      </c>
      <c r="AI17" s="53">
        <v>589.6</v>
      </c>
      <c r="AJ17" s="53">
        <f t="shared" si="7"/>
        <v>-0.13999999999998636</v>
      </c>
    </row>
    <row r="18" spans="1:36" ht="12.75">
      <c r="A18" s="20" t="s">
        <v>290</v>
      </c>
      <c r="B18" s="21" t="s">
        <v>46</v>
      </c>
      <c r="C18" s="52">
        <f>+FACTURACIÓN!G18-'C&amp;A'!L18-'C&amp;A'!J18-'C&amp;A'!H18-'C&amp;A'!G18</f>
        <v>950.06000000000006</v>
      </c>
      <c r="D18" s="53">
        <v>0</v>
      </c>
      <c r="E18" s="54">
        <f t="shared" si="0"/>
        <v>950.06000000000006</v>
      </c>
      <c r="F18" s="54">
        <f>+FACTURACIÓN!H18</f>
        <v>150</v>
      </c>
      <c r="G18" s="54">
        <f>+FACTURACIÓN!I18</f>
        <v>57.685740000000003</v>
      </c>
      <c r="H18" s="54">
        <f>+FACTURACIÓN!J18</f>
        <v>11.772600000000001</v>
      </c>
      <c r="I18" s="54">
        <f>+FACTURACIÓN!K18</f>
        <v>0</v>
      </c>
      <c r="J18" s="54">
        <f>+FACTURACIÓN!L18</f>
        <v>0</v>
      </c>
      <c r="K18" s="54">
        <f>+FACTURACIÓN!M18</f>
        <v>0</v>
      </c>
      <c r="L18" s="54">
        <f>+FACTURACIÓN!N18</f>
        <v>0</v>
      </c>
      <c r="M18" s="54">
        <f>+FACTURACIÓN!O18</f>
        <v>0</v>
      </c>
      <c r="N18" s="54">
        <f>+FACTURACIÓN!P18</f>
        <v>0</v>
      </c>
      <c r="O18" s="53">
        <f t="shared" si="1"/>
        <v>219.45834000000002</v>
      </c>
      <c r="P18" s="58">
        <f t="shared" si="2"/>
        <v>730.60166000000004</v>
      </c>
      <c r="Q18" s="51" t="str">
        <f t="shared" si="3"/>
        <v xml:space="preserve">si </v>
      </c>
      <c r="R18" s="20" t="s">
        <v>290</v>
      </c>
      <c r="S18" s="21" t="s">
        <v>46</v>
      </c>
      <c r="T18" s="53">
        <v>621</v>
      </c>
      <c r="U18" s="58">
        <f t="shared" si="4"/>
        <v>-109.60166000000004</v>
      </c>
      <c r="Y18" s="51" t="str">
        <f t="shared" si="5"/>
        <v>si</v>
      </c>
      <c r="Z18" s="339" t="s">
        <v>290</v>
      </c>
      <c r="AA18" s="358" t="s">
        <v>667</v>
      </c>
      <c r="AB18" s="53">
        <v>577.4</v>
      </c>
      <c r="AC18" s="360" t="s">
        <v>46</v>
      </c>
      <c r="AF18" s="51" t="str">
        <f t="shared" si="6"/>
        <v>si</v>
      </c>
      <c r="AG18" s="50" t="s">
        <v>290</v>
      </c>
      <c r="AH18" s="51" t="s">
        <v>46</v>
      </c>
      <c r="AI18" s="53">
        <v>730.6</v>
      </c>
      <c r="AJ18" s="53">
        <f t="shared" si="7"/>
        <v>1.6600000000153159E-3</v>
      </c>
    </row>
    <row r="19" spans="1:36" ht="12.75">
      <c r="A19" s="20" t="s">
        <v>14</v>
      </c>
      <c r="B19" s="21" t="s">
        <v>47</v>
      </c>
      <c r="C19" s="52">
        <f>+FACTURACIÓN!G19-'C&amp;A'!L19-'C&amp;A'!J19-'C&amp;A'!H19-'C&amp;A'!G19</f>
        <v>2346.6999999999998</v>
      </c>
      <c r="D19" s="53">
        <v>0</v>
      </c>
      <c r="E19" s="54">
        <f t="shared" si="0"/>
        <v>2346.6999999999998</v>
      </c>
      <c r="F19" s="54">
        <f>+FACTURACIÓN!H19</f>
        <v>0</v>
      </c>
      <c r="G19" s="54">
        <f>+FACTURACIÓN!I19</f>
        <v>0</v>
      </c>
      <c r="H19" s="54">
        <f>+FACTURACIÓN!J19</f>
        <v>0</v>
      </c>
      <c r="I19" s="54">
        <f>+FACTURACIÓN!K19</f>
        <v>0</v>
      </c>
      <c r="J19" s="54">
        <f>+FACTURACIÓN!L19</f>
        <v>0</v>
      </c>
      <c r="K19" s="54">
        <f>+FACTURACIÓN!M19</f>
        <v>0</v>
      </c>
      <c r="L19" s="54">
        <f>+FACTURACIÓN!N19</f>
        <v>879.45</v>
      </c>
      <c r="M19" s="54">
        <f>+FACTURACIÓN!O19</f>
        <v>0</v>
      </c>
      <c r="N19" s="54">
        <f>+FACTURACIÓN!P19</f>
        <v>0</v>
      </c>
      <c r="O19" s="53">
        <f t="shared" si="1"/>
        <v>879.45</v>
      </c>
      <c r="P19" s="58">
        <f t="shared" si="2"/>
        <v>1467.2499999999998</v>
      </c>
      <c r="Q19" s="51" t="str">
        <f t="shared" si="3"/>
        <v xml:space="preserve">si </v>
      </c>
      <c r="R19" s="20" t="s">
        <v>14</v>
      </c>
      <c r="S19" s="21" t="s">
        <v>47</v>
      </c>
      <c r="T19" s="53">
        <v>4673.3999999999996</v>
      </c>
      <c r="U19" s="58">
        <f t="shared" si="4"/>
        <v>3206.1499999999996</v>
      </c>
      <c r="Y19" s="51" t="str">
        <f t="shared" si="5"/>
        <v>si</v>
      </c>
      <c r="Z19" s="339" t="s">
        <v>741</v>
      </c>
      <c r="AA19" s="358" t="s">
        <v>640</v>
      </c>
      <c r="AB19" s="53">
        <v>577.20000000000005</v>
      </c>
      <c r="AC19" s="360" t="s">
        <v>47</v>
      </c>
      <c r="AF19" s="51" t="str">
        <f t="shared" si="6"/>
        <v>si</v>
      </c>
      <c r="AG19" s="50" t="s">
        <v>741</v>
      </c>
      <c r="AH19" s="51" t="s">
        <v>47</v>
      </c>
      <c r="AI19" s="53">
        <v>1467.2</v>
      </c>
      <c r="AJ19" s="53">
        <f t="shared" si="7"/>
        <v>4.9999999999727152E-2</v>
      </c>
    </row>
    <row r="20" spans="1:36" ht="12.75">
      <c r="A20" s="20" t="s">
        <v>48</v>
      </c>
      <c r="B20" s="21" t="s">
        <v>49</v>
      </c>
      <c r="C20" s="52">
        <f>+FACTURACIÓN!G20-'C&amp;A'!L20-'C&amp;A'!J20-'C&amp;A'!H20-'C&amp;A'!G20</f>
        <v>905.93</v>
      </c>
      <c r="D20" s="53">
        <v>0</v>
      </c>
      <c r="E20" s="54">
        <f t="shared" si="0"/>
        <v>905.93</v>
      </c>
      <c r="F20" s="54">
        <f>+FACTURACIÓN!H20</f>
        <v>0</v>
      </c>
      <c r="G20" s="54">
        <f>+FACTURACIÓN!I20</f>
        <v>0</v>
      </c>
      <c r="H20" s="54">
        <f>+FACTURACIÓN!J20</f>
        <v>0</v>
      </c>
      <c r="I20" s="54">
        <f>+FACTURACIÓN!K20</f>
        <v>0</v>
      </c>
      <c r="J20" s="54">
        <f>+FACTURACIÓN!L20</f>
        <v>0</v>
      </c>
      <c r="K20" s="54">
        <f>+FACTURACIÓN!M20</f>
        <v>0</v>
      </c>
      <c r="L20" s="54">
        <f>+FACTURACIÓN!N20</f>
        <v>0</v>
      </c>
      <c r="M20" s="54">
        <f>+FACTURACIÓN!O20</f>
        <v>0</v>
      </c>
      <c r="N20" s="54">
        <f>+FACTURACIÓN!P20</f>
        <v>58.91</v>
      </c>
      <c r="O20" s="53">
        <f t="shared" si="1"/>
        <v>58.91</v>
      </c>
      <c r="P20" s="58">
        <f t="shared" si="2"/>
        <v>847.02</v>
      </c>
      <c r="Q20" s="51" t="str">
        <f t="shared" si="3"/>
        <v xml:space="preserve">si </v>
      </c>
      <c r="R20" s="20" t="s">
        <v>48</v>
      </c>
      <c r="S20" s="21" t="s">
        <v>49</v>
      </c>
      <c r="T20" s="53">
        <v>1062</v>
      </c>
      <c r="U20" s="58">
        <f t="shared" si="4"/>
        <v>214.98000000000002</v>
      </c>
      <c r="Y20" s="51" t="str">
        <f t="shared" si="5"/>
        <v>si</v>
      </c>
      <c r="Z20" s="339" t="s">
        <v>742</v>
      </c>
      <c r="AA20" s="358" t="s">
        <v>679</v>
      </c>
      <c r="AB20" s="53">
        <v>577.4</v>
      </c>
      <c r="AC20" s="360" t="s">
        <v>49</v>
      </c>
      <c r="AF20" s="51" t="str">
        <f t="shared" si="6"/>
        <v>si</v>
      </c>
      <c r="AG20" s="50" t="s">
        <v>742</v>
      </c>
      <c r="AH20" s="51" t="s">
        <v>49</v>
      </c>
      <c r="AI20" s="53">
        <v>847</v>
      </c>
      <c r="AJ20" s="53">
        <f t="shared" si="7"/>
        <v>1.999999999998181E-2</v>
      </c>
    </row>
    <row r="21" spans="1:36" ht="12.75">
      <c r="A21" s="20" t="s">
        <v>50</v>
      </c>
      <c r="B21" s="21" t="s">
        <v>51</v>
      </c>
      <c r="C21" s="52">
        <f>+FACTURACIÓN!G21-'C&amp;A'!L21-'C&amp;A'!J21-'C&amp;A'!H21-'C&amp;A'!G21</f>
        <v>313.7657142857143</v>
      </c>
      <c r="D21" s="53">
        <v>0</v>
      </c>
      <c r="E21" s="54">
        <f t="shared" si="0"/>
        <v>313.7657142857143</v>
      </c>
      <c r="F21" s="54">
        <f>+FACTURACIÓN!H21</f>
        <v>0</v>
      </c>
      <c r="G21" s="54">
        <f>+FACTURACIÓN!I21</f>
        <v>0</v>
      </c>
      <c r="H21" s="54">
        <f>+FACTURACIÓN!J21</f>
        <v>0</v>
      </c>
      <c r="I21" s="54">
        <f>+FACTURACIÓN!K21</f>
        <v>0</v>
      </c>
      <c r="J21" s="54">
        <f>+FACTURACIÓN!L21</f>
        <v>0</v>
      </c>
      <c r="K21" s="54">
        <f>+FACTURACIÓN!M21</f>
        <v>0</v>
      </c>
      <c r="L21" s="54">
        <f>+FACTURACIÓN!N21</f>
        <v>128.33250000000001</v>
      </c>
      <c r="M21" s="54">
        <f>+FACTURACIÓN!O21</f>
        <v>0</v>
      </c>
      <c r="N21" s="54">
        <f>+FACTURACIÓN!P21</f>
        <v>58.91</v>
      </c>
      <c r="O21" s="53">
        <f t="shared" si="1"/>
        <v>187.24250000000001</v>
      </c>
      <c r="P21" s="58">
        <f t="shared" si="2"/>
        <v>126.52321428571429</v>
      </c>
      <c r="Q21" s="51" t="str">
        <f t="shared" si="3"/>
        <v xml:space="preserve">si </v>
      </c>
      <c r="R21" s="20" t="s">
        <v>50</v>
      </c>
      <c r="S21" s="21" t="s">
        <v>51</v>
      </c>
      <c r="T21" s="53">
        <v>271.2</v>
      </c>
      <c r="U21" s="58">
        <f t="shared" si="4"/>
        <v>144.6767857142857</v>
      </c>
      <c r="Y21" s="51" t="str">
        <f t="shared" si="5"/>
        <v>si</v>
      </c>
      <c r="Z21" s="339" t="s">
        <v>50</v>
      </c>
      <c r="AA21" s="358" t="s">
        <v>669</v>
      </c>
      <c r="AB21" s="53">
        <v>125.84428571428572</v>
      </c>
      <c r="AC21" s="360" t="s">
        <v>51</v>
      </c>
      <c r="AF21" s="51" t="str">
        <f t="shared" si="6"/>
        <v>si</v>
      </c>
      <c r="AG21" s="50" t="s">
        <v>50</v>
      </c>
      <c r="AH21" s="51" t="s">
        <v>51</v>
      </c>
      <c r="AI21" s="53">
        <v>126.4</v>
      </c>
      <c r="AJ21" s="53">
        <f t="shared" si="7"/>
        <v>0.12321428571428328</v>
      </c>
    </row>
    <row r="22" spans="1:36" ht="12.75">
      <c r="A22" s="50" t="s">
        <v>824</v>
      </c>
      <c r="B22" s="51" t="s">
        <v>825</v>
      </c>
      <c r="C22" s="52">
        <f>+FACTURACIÓN!G22-'C&amp;A'!L22-'C&amp;A'!J22-'C&amp;A'!H22-'C&amp;A'!G22</f>
        <v>323.01428571428573</v>
      </c>
      <c r="D22" s="53">
        <v>0</v>
      </c>
      <c r="E22" s="54">
        <f t="shared" si="0"/>
        <v>323.01428571428573</v>
      </c>
      <c r="F22" s="54">
        <f>+FACTURACIÓN!H22</f>
        <v>0</v>
      </c>
      <c r="G22" s="54">
        <f>+FACTURACIÓN!I22</f>
        <v>0</v>
      </c>
      <c r="H22" s="54">
        <f>+FACTURACIÓN!J22</f>
        <v>0</v>
      </c>
      <c r="I22" s="54">
        <f>+FACTURACIÓN!K22</f>
        <v>0</v>
      </c>
      <c r="J22" s="54">
        <f>+FACTURACIÓN!L22</f>
        <v>0</v>
      </c>
      <c r="K22" s="54">
        <f>+FACTURACIÓN!M22</f>
        <v>0</v>
      </c>
      <c r="L22" s="54">
        <f>+FACTURACIÓN!N22</f>
        <v>0</v>
      </c>
      <c r="M22" s="54">
        <f>+FACTURACIÓN!O22</f>
        <v>0</v>
      </c>
      <c r="N22" s="54">
        <f>+FACTURACIÓN!P22</f>
        <v>0</v>
      </c>
      <c r="O22" s="53">
        <f t="shared" si="1"/>
        <v>0</v>
      </c>
      <c r="P22" s="58">
        <f t="shared" si="2"/>
        <v>323.01428571428573</v>
      </c>
      <c r="Q22" s="51" t="str">
        <f t="shared" si="3"/>
        <v xml:space="preserve">si </v>
      </c>
      <c r="R22" s="50" t="s">
        <v>824</v>
      </c>
      <c r="S22" s="51" t="s">
        <v>825</v>
      </c>
      <c r="T22" s="53">
        <v>1503</v>
      </c>
      <c r="U22" s="58">
        <f t="shared" si="4"/>
        <v>1179.9857142857143</v>
      </c>
      <c r="Y22" s="51" t="str">
        <f t="shared" si="5"/>
        <v>si</v>
      </c>
      <c r="Z22" s="339" t="s">
        <v>824</v>
      </c>
      <c r="AA22" s="358">
        <v>1487589077</v>
      </c>
      <c r="AB22" s="53">
        <v>103.99714285714286</v>
      </c>
      <c r="AC22" s="360" t="s">
        <v>825</v>
      </c>
      <c r="AF22" s="51" t="str">
        <f t="shared" si="6"/>
        <v>si</v>
      </c>
      <c r="AG22" s="50" t="s">
        <v>824</v>
      </c>
      <c r="AH22" s="51" t="s">
        <v>825</v>
      </c>
      <c r="AI22" s="53">
        <v>323</v>
      </c>
      <c r="AJ22" s="53">
        <f t="shared" si="7"/>
        <v>1.4285714285733775E-2</v>
      </c>
    </row>
    <row r="23" spans="1:36" ht="12.75">
      <c r="A23" s="20" t="s">
        <v>291</v>
      </c>
      <c r="B23" s="21" t="s">
        <v>52</v>
      </c>
      <c r="C23" s="52">
        <f>+FACTURACIÓN!G23-'C&amp;A'!L23-'C&amp;A'!J23-'C&amp;A'!H23-'C&amp;A'!G23</f>
        <v>1522.1799999999998</v>
      </c>
      <c r="D23" s="53">
        <v>0</v>
      </c>
      <c r="E23" s="54">
        <f t="shared" si="0"/>
        <v>1522.1799999999998</v>
      </c>
      <c r="F23" s="54">
        <f>+FACTURACIÓN!H23</f>
        <v>0</v>
      </c>
      <c r="G23" s="54">
        <f>+FACTURACIÓN!I23</f>
        <v>0</v>
      </c>
      <c r="H23" s="54">
        <f>+FACTURACIÓN!J23</f>
        <v>0</v>
      </c>
      <c r="I23" s="54">
        <f>+FACTURACIÓN!K23</f>
        <v>0</v>
      </c>
      <c r="J23" s="54">
        <f>+FACTURACIÓN!L23</f>
        <v>0</v>
      </c>
      <c r="K23" s="54">
        <f>+FACTURACIÓN!M23</f>
        <v>0</v>
      </c>
      <c r="L23" s="54">
        <f>+FACTURACIÓN!N23</f>
        <v>0</v>
      </c>
      <c r="M23" s="54">
        <f>+FACTURACIÓN!O23</f>
        <v>0</v>
      </c>
      <c r="N23" s="54">
        <f>+FACTURACIÓN!P23</f>
        <v>0</v>
      </c>
      <c r="O23" s="53">
        <f t="shared" si="1"/>
        <v>0</v>
      </c>
      <c r="P23" s="58">
        <f t="shared" si="2"/>
        <v>1522.1799999999998</v>
      </c>
      <c r="Q23" s="51" t="str">
        <f t="shared" si="3"/>
        <v xml:space="preserve">si </v>
      </c>
      <c r="R23" s="20" t="s">
        <v>291</v>
      </c>
      <c r="S23" s="21" t="s">
        <v>52</v>
      </c>
      <c r="T23" s="53">
        <v>1117.4000000000001</v>
      </c>
      <c r="U23" s="58">
        <f t="shared" si="4"/>
        <v>-404.77999999999975</v>
      </c>
      <c r="Y23" s="51" t="str">
        <f t="shared" si="5"/>
        <v>si</v>
      </c>
      <c r="Z23" s="339" t="s">
        <v>291</v>
      </c>
      <c r="AA23" s="358" t="s">
        <v>702</v>
      </c>
      <c r="AB23" s="53">
        <v>577.4</v>
      </c>
      <c r="AC23" s="360" t="s">
        <v>52</v>
      </c>
      <c r="AF23" s="51" t="str">
        <f t="shared" si="6"/>
        <v>si</v>
      </c>
      <c r="AG23" s="50" t="s">
        <v>291</v>
      </c>
      <c r="AH23" s="51" t="s">
        <v>52</v>
      </c>
      <c r="AI23" s="53">
        <v>1522.2</v>
      </c>
      <c r="AJ23" s="53">
        <f t="shared" si="7"/>
        <v>-2.0000000000209184E-2</v>
      </c>
    </row>
    <row r="24" spans="1:36" ht="12.75">
      <c r="A24" s="20" t="s">
        <v>53</v>
      </c>
      <c r="B24" s="21" t="s">
        <v>54</v>
      </c>
      <c r="C24" s="52">
        <f>+FACTURACIÓN!G24-'C&amp;A'!L24-'C&amp;A'!J24-'C&amp;A'!H24-'C&amp;A'!G24</f>
        <v>3412.2999999999997</v>
      </c>
      <c r="D24" s="53">
        <v>0</v>
      </c>
      <c r="E24" s="54">
        <f t="shared" si="0"/>
        <v>3412.2999999999997</v>
      </c>
      <c r="F24" s="54">
        <f>+FACTURACIÓN!H24</f>
        <v>0</v>
      </c>
      <c r="G24" s="54">
        <f>+FACTURACIÓN!I24</f>
        <v>195.49529999999999</v>
      </c>
      <c r="H24" s="54">
        <f>+FACTURACIÓN!J24</f>
        <v>39.896999999999998</v>
      </c>
      <c r="I24" s="54">
        <f>+FACTURACIÓN!K24</f>
        <v>0</v>
      </c>
      <c r="J24" s="54">
        <f>+FACTURACIÓN!L24</f>
        <v>0</v>
      </c>
      <c r="K24" s="54">
        <f>+FACTURACIÓN!M24</f>
        <v>0</v>
      </c>
      <c r="L24" s="54">
        <f>+FACTURACIÓN!N24</f>
        <v>0</v>
      </c>
      <c r="M24" s="54">
        <f>+FACTURACIÓN!O24</f>
        <v>398.97</v>
      </c>
      <c r="N24" s="54">
        <f>+FACTURACIÓN!P24</f>
        <v>0</v>
      </c>
      <c r="O24" s="53">
        <f t="shared" si="1"/>
        <v>634.3623</v>
      </c>
      <c r="P24" s="58">
        <f t="shared" si="2"/>
        <v>2777.9376999999995</v>
      </c>
      <c r="Q24" s="51" t="str">
        <f t="shared" si="3"/>
        <v xml:space="preserve">si </v>
      </c>
      <c r="R24" s="20" t="s">
        <v>53</v>
      </c>
      <c r="S24" s="21" t="s">
        <v>54</v>
      </c>
      <c r="T24" s="53">
        <v>3352.6</v>
      </c>
      <c r="U24" s="58">
        <f t="shared" si="4"/>
        <v>574.66230000000041</v>
      </c>
      <c r="Y24" s="51" t="str">
        <f t="shared" si="5"/>
        <v>si</v>
      </c>
      <c r="Z24" s="339" t="s">
        <v>743</v>
      </c>
      <c r="AA24" s="358" t="s">
        <v>654</v>
      </c>
      <c r="AB24" s="53">
        <v>577.4</v>
      </c>
      <c r="AC24" s="360" t="s">
        <v>54</v>
      </c>
      <c r="AF24" s="51" t="str">
        <f t="shared" si="6"/>
        <v>si</v>
      </c>
      <c r="AG24" s="50" t="s">
        <v>743</v>
      </c>
      <c r="AH24" s="51" t="s">
        <v>54</v>
      </c>
      <c r="AI24" s="53">
        <v>2778</v>
      </c>
      <c r="AJ24" s="53">
        <f t="shared" si="7"/>
        <v>-6.2300000000504951E-2</v>
      </c>
    </row>
    <row r="25" spans="1:36" ht="12.75">
      <c r="A25" s="20" t="s">
        <v>15</v>
      </c>
      <c r="B25" s="21" t="s">
        <v>55</v>
      </c>
      <c r="C25" s="52">
        <f>+FACTURACIÓN!G25-'C&amp;A'!L25-'C&amp;A'!J25-'C&amp;A'!H25-'C&amp;A'!G25</f>
        <v>8010.34</v>
      </c>
      <c r="D25" s="53">
        <v>0</v>
      </c>
      <c r="E25" s="54">
        <f t="shared" si="0"/>
        <v>8010.34</v>
      </c>
      <c r="F25" s="54">
        <f>+FACTURACIÓN!H25</f>
        <v>700</v>
      </c>
      <c r="G25" s="54">
        <f>+FACTURACIÓN!I25</f>
        <v>0</v>
      </c>
      <c r="H25" s="54">
        <f>+FACTURACIÓN!J25</f>
        <v>0</v>
      </c>
      <c r="I25" s="54">
        <f>+FACTURACIÓN!K25</f>
        <v>0</v>
      </c>
      <c r="J25" s="54">
        <f>+FACTURACIÓN!L25</f>
        <v>0</v>
      </c>
      <c r="K25" s="54">
        <f>+FACTURACIÓN!M25</f>
        <v>205.7</v>
      </c>
      <c r="L25" s="54">
        <f>+FACTURACIÓN!N25</f>
        <v>0</v>
      </c>
      <c r="M25" s="54">
        <f>+FACTURACIÓN!O25</f>
        <v>858.774</v>
      </c>
      <c r="N25" s="54">
        <f>+FACTURACIÓN!P25</f>
        <v>0</v>
      </c>
      <c r="O25" s="53">
        <f t="shared" si="1"/>
        <v>1764.4740000000002</v>
      </c>
      <c r="P25" s="58">
        <f t="shared" si="2"/>
        <v>6245.866</v>
      </c>
      <c r="Q25" s="51" t="str">
        <f t="shared" si="3"/>
        <v xml:space="preserve">si </v>
      </c>
      <c r="R25" s="20" t="s">
        <v>15</v>
      </c>
      <c r="S25" s="21" t="s">
        <v>55</v>
      </c>
      <c r="T25" s="53">
        <v>764.4</v>
      </c>
      <c r="U25" s="58">
        <f t="shared" si="4"/>
        <v>-5481.4660000000003</v>
      </c>
      <c r="Y25" s="51" t="str">
        <f t="shared" si="5"/>
        <v>si</v>
      </c>
      <c r="Z25" s="339" t="s">
        <v>497</v>
      </c>
      <c r="AA25" s="358" t="s">
        <v>649</v>
      </c>
      <c r="AB25" s="53">
        <v>577.4</v>
      </c>
      <c r="AC25" s="360" t="s">
        <v>55</v>
      </c>
      <c r="AF25" s="51" t="str">
        <f t="shared" si="6"/>
        <v>si</v>
      </c>
      <c r="AG25" s="50" t="s">
        <v>497</v>
      </c>
      <c r="AH25" s="51" t="s">
        <v>55</v>
      </c>
      <c r="AI25" s="53">
        <v>6246</v>
      </c>
      <c r="AJ25" s="53">
        <f t="shared" si="7"/>
        <v>-0.13400000000001455</v>
      </c>
    </row>
    <row r="26" spans="1:36" ht="12.75">
      <c r="A26" s="20" t="s">
        <v>56</v>
      </c>
      <c r="B26" s="21" t="s">
        <v>57</v>
      </c>
      <c r="C26" s="52">
        <f>+FACTURACIÓN!G26-'C&amp;A'!L26-'C&amp;A'!J26-'C&amp;A'!H26-'C&amp;A'!G26</f>
        <v>1170.5</v>
      </c>
      <c r="D26" s="53">
        <v>0</v>
      </c>
      <c r="E26" s="54">
        <f t="shared" si="0"/>
        <v>1170.5</v>
      </c>
      <c r="F26" s="54">
        <f>+FACTURACIÓN!H26</f>
        <v>17.479000000000003</v>
      </c>
      <c r="G26" s="54">
        <f>+FACTURACIÓN!I26</f>
        <v>85.647100000000009</v>
      </c>
      <c r="H26" s="54">
        <f>+FACTURACIÓN!J26</f>
        <v>0</v>
      </c>
      <c r="I26" s="54">
        <f>+FACTURACIÓN!K26</f>
        <v>0</v>
      </c>
      <c r="J26" s="54">
        <f>+FACTURACIÓN!L26</f>
        <v>0</v>
      </c>
      <c r="K26" s="54">
        <f>+FACTURACIÓN!M26</f>
        <v>0</v>
      </c>
      <c r="L26" s="54">
        <f>+FACTURACIÓN!N26</f>
        <v>0</v>
      </c>
      <c r="M26" s="54">
        <f>+FACTURACIÓN!O26</f>
        <v>0</v>
      </c>
      <c r="N26" s="54">
        <f>+FACTURACIÓN!P26</f>
        <v>0</v>
      </c>
      <c r="O26" s="53">
        <f t="shared" si="1"/>
        <v>103.12610000000001</v>
      </c>
      <c r="P26" s="58">
        <f t="shared" si="2"/>
        <v>1067.3739</v>
      </c>
      <c r="Q26" s="51" t="str">
        <f t="shared" si="3"/>
        <v xml:space="preserve">si </v>
      </c>
      <c r="R26" s="20" t="s">
        <v>56</v>
      </c>
      <c r="S26" s="21" t="s">
        <v>57</v>
      </c>
      <c r="T26" s="53">
        <v>233</v>
      </c>
      <c r="U26" s="58">
        <f t="shared" si="4"/>
        <v>-834.37390000000005</v>
      </c>
      <c r="W26" s="50" t="s">
        <v>745</v>
      </c>
      <c r="X26" s="51" t="s">
        <v>59</v>
      </c>
      <c r="Y26" s="51" t="str">
        <f t="shared" si="5"/>
        <v>si</v>
      </c>
      <c r="Z26" s="339" t="s">
        <v>744</v>
      </c>
      <c r="AA26" s="358" t="s">
        <v>647</v>
      </c>
      <c r="AB26" s="53">
        <v>577.4</v>
      </c>
      <c r="AC26" s="360" t="s">
        <v>57</v>
      </c>
      <c r="AF26" s="51" t="str">
        <f t="shared" si="6"/>
        <v>si</v>
      </c>
      <c r="AG26" s="50" t="s">
        <v>744</v>
      </c>
      <c r="AH26" s="51" t="s">
        <v>57</v>
      </c>
      <c r="AI26" s="53">
        <v>1067.4000000000001</v>
      </c>
      <c r="AJ26" s="53">
        <f t="shared" si="7"/>
        <v>-2.6100000000042201E-2</v>
      </c>
    </row>
    <row r="27" spans="1:36" ht="12.75">
      <c r="A27" s="20" t="s">
        <v>60</v>
      </c>
      <c r="B27" s="21" t="s">
        <v>61</v>
      </c>
      <c r="C27" s="52">
        <f>+FACTURACIÓN!G27-'C&amp;A'!L27-'C&amp;A'!J27-'C&amp;A'!H27-'C&amp;A'!G27</f>
        <v>3935.93</v>
      </c>
      <c r="D27" s="53">
        <v>0</v>
      </c>
      <c r="E27" s="54">
        <f t="shared" si="0"/>
        <v>3935.93</v>
      </c>
      <c r="F27" s="54">
        <f>+FACTURACIÓN!H27</f>
        <v>0</v>
      </c>
      <c r="G27" s="54">
        <f>+FACTURACIÓN!I27</f>
        <v>0</v>
      </c>
      <c r="H27" s="54">
        <f>+FACTURACIÓN!J27</f>
        <v>0</v>
      </c>
      <c r="I27" s="54">
        <f>+FACTURACIÓN!K27</f>
        <v>0</v>
      </c>
      <c r="J27" s="54">
        <f>+FACTURACIÓN!L27</f>
        <v>0</v>
      </c>
      <c r="K27" s="54">
        <f>+FACTURACIÓN!M27</f>
        <v>0</v>
      </c>
      <c r="L27" s="54">
        <f>+FACTURACIÓN!N27</f>
        <v>797.62</v>
      </c>
      <c r="M27" s="54">
        <f>+FACTURACIÓN!O27</f>
        <v>451.33300000000003</v>
      </c>
      <c r="N27" s="54">
        <f>+FACTURACIÓN!P27</f>
        <v>0</v>
      </c>
      <c r="O27" s="53">
        <f t="shared" si="1"/>
        <v>1248.953</v>
      </c>
      <c r="P27" s="58">
        <f t="shared" si="2"/>
        <v>2686.9769999999999</v>
      </c>
      <c r="Q27" s="51" t="str">
        <f t="shared" si="3"/>
        <v xml:space="preserve">si </v>
      </c>
      <c r="R27" s="20" t="s">
        <v>60</v>
      </c>
      <c r="S27" s="21" t="s">
        <v>61</v>
      </c>
      <c r="T27" s="53">
        <v>2774.6</v>
      </c>
      <c r="U27" s="58">
        <f t="shared" si="4"/>
        <v>87.623000000000047</v>
      </c>
      <c r="Y27" s="51" t="str">
        <f t="shared" si="5"/>
        <v>si</v>
      </c>
      <c r="Z27" s="339" t="s">
        <v>746</v>
      </c>
      <c r="AA27" s="358" t="s">
        <v>690</v>
      </c>
      <c r="AB27" s="53">
        <v>577.4</v>
      </c>
      <c r="AC27" s="360" t="s">
        <v>61</v>
      </c>
      <c r="AF27" s="51" t="str">
        <f t="shared" si="6"/>
        <v>si</v>
      </c>
      <c r="AG27" s="50" t="s">
        <v>746</v>
      </c>
      <c r="AH27" s="51" t="s">
        <v>61</v>
      </c>
      <c r="AI27" s="53">
        <v>2687</v>
      </c>
      <c r="AJ27" s="53">
        <f t="shared" si="7"/>
        <v>-2.3000000000138243E-2</v>
      </c>
    </row>
    <row r="28" spans="1:36" ht="12.75">
      <c r="A28" s="50" t="s">
        <v>835</v>
      </c>
      <c r="B28" s="51" t="s">
        <v>834</v>
      </c>
      <c r="C28" s="52">
        <f>+FACTURACIÓN!G28-'C&amp;A'!L28-'C&amp;A'!J28-'C&amp;A'!H28-'C&amp;A'!G28</f>
        <v>323.01142857142861</v>
      </c>
      <c r="D28" s="53">
        <v>0</v>
      </c>
      <c r="E28" s="54">
        <f t="shared" si="0"/>
        <v>323.01142857142861</v>
      </c>
      <c r="F28" s="54">
        <f>+FACTURACIÓN!H28</f>
        <v>0</v>
      </c>
      <c r="G28" s="54">
        <f>+FACTURACIÓN!I28</f>
        <v>0</v>
      </c>
      <c r="H28" s="54">
        <f>+FACTURACIÓN!J28</f>
        <v>0</v>
      </c>
      <c r="I28" s="54">
        <f>+FACTURACIÓN!K28</f>
        <v>0</v>
      </c>
      <c r="J28" s="54">
        <f>+FACTURACIÓN!L28</f>
        <v>0</v>
      </c>
      <c r="K28" s="54">
        <f>+FACTURACIÓN!M28</f>
        <v>0</v>
      </c>
      <c r="L28" s="54">
        <f>+FACTURACIÓN!N28</f>
        <v>0</v>
      </c>
      <c r="M28" s="54">
        <f>+FACTURACIÓN!O28</f>
        <v>0</v>
      </c>
      <c r="N28" s="54">
        <f>+FACTURACIÓN!P28</f>
        <v>0</v>
      </c>
      <c r="O28" s="53">
        <f t="shared" si="1"/>
        <v>0</v>
      </c>
      <c r="P28" s="58">
        <f t="shared" si="2"/>
        <v>323.01142857142861</v>
      </c>
      <c r="Q28" s="51" t="str">
        <f t="shared" si="3"/>
        <v xml:space="preserve">si </v>
      </c>
      <c r="R28" s="50" t="s">
        <v>835</v>
      </c>
      <c r="S28" s="51" t="s">
        <v>834</v>
      </c>
      <c r="T28" s="53">
        <v>79</v>
      </c>
      <c r="U28" s="58">
        <f t="shared" si="4"/>
        <v>-244.01142857142861</v>
      </c>
      <c r="Y28" s="51" t="str">
        <f t="shared" si="5"/>
        <v>si</v>
      </c>
      <c r="Z28" s="339" t="s">
        <v>835</v>
      </c>
      <c r="AA28" s="358" t="s">
        <v>838</v>
      </c>
      <c r="AB28" s="53">
        <v>104</v>
      </c>
      <c r="AC28" s="360" t="s">
        <v>834</v>
      </c>
      <c r="AF28" s="51" t="str">
        <f t="shared" si="6"/>
        <v>si</v>
      </c>
      <c r="AG28" s="50" t="s">
        <v>835</v>
      </c>
      <c r="AH28" s="51" t="s">
        <v>834</v>
      </c>
      <c r="AI28" s="53">
        <v>323</v>
      </c>
      <c r="AJ28" s="53">
        <f t="shared" si="7"/>
        <v>1.1428571428609757E-2</v>
      </c>
    </row>
    <row r="29" spans="1:36" ht="12.75">
      <c r="A29" s="20" t="s">
        <v>62</v>
      </c>
      <c r="B29" s="21" t="s">
        <v>63</v>
      </c>
      <c r="C29" s="52">
        <f>+FACTURACIÓN!G29-'C&amp;A'!L29-'C&amp;A'!J29-'C&amp;A'!H29-'C&amp;A'!G29</f>
        <v>3298.51</v>
      </c>
      <c r="D29" s="53">
        <v>0</v>
      </c>
      <c r="E29" s="54">
        <f t="shared" si="0"/>
        <v>3298.51</v>
      </c>
      <c r="F29" s="54">
        <f>+FACTURACIÓN!H29</f>
        <v>0</v>
      </c>
      <c r="G29" s="54">
        <f>+FACTURACIÓN!I29</f>
        <v>0</v>
      </c>
      <c r="H29" s="54">
        <f>+FACTURACIÓN!J29</f>
        <v>0</v>
      </c>
      <c r="I29" s="54">
        <f>+FACTURACIÓN!K29</f>
        <v>0</v>
      </c>
      <c r="J29" s="54">
        <f>+FACTURACIÓN!L29</f>
        <v>0</v>
      </c>
      <c r="K29" s="54">
        <f>+FACTURACIÓN!M29</f>
        <v>0</v>
      </c>
      <c r="L29" s="54">
        <f>+FACTURACIÓN!N29</f>
        <v>0</v>
      </c>
      <c r="M29" s="54">
        <f>+FACTURACIÓN!O29</f>
        <v>387.57100000000003</v>
      </c>
      <c r="N29" s="54">
        <f>+FACTURACIÓN!P29</f>
        <v>0</v>
      </c>
      <c r="O29" s="53">
        <f t="shared" si="1"/>
        <v>387.57100000000003</v>
      </c>
      <c r="P29" s="58">
        <f t="shared" si="2"/>
        <v>2910.9390000000003</v>
      </c>
      <c r="Q29" s="51" t="str">
        <f t="shared" si="3"/>
        <v xml:space="preserve">si </v>
      </c>
      <c r="R29" s="20" t="s">
        <v>62</v>
      </c>
      <c r="S29" s="21" t="s">
        <v>63</v>
      </c>
      <c r="T29" s="53">
        <v>1403</v>
      </c>
      <c r="U29" s="58">
        <f t="shared" si="4"/>
        <v>-1507.9390000000003</v>
      </c>
      <c r="Y29" s="51" t="str">
        <f t="shared" si="5"/>
        <v>si</v>
      </c>
      <c r="Z29" s="339" t="s">
        <v>747</v>
      </c>
      <c r="AA29" s="358" t="s">
        <v>657</v>
      </c>
      <c r="AB29" s="53">
        <v>577.20000000000005</v>
      </c>
      <c r="AC29" s="360" t="s">
        <v>63</v>
      </c>
      <c r="AF29" s="51" t="str">
        <f t="shared" si="6"/>
        <v>si</v>
      </c>
      <c r="AG29" s="50" t="s">
        <v>747</v>
      </c>
      <c r="AH29" s="51" t="s">
        <v>63</v>
      </c>
      <c r="AI29" s="53">
        <v>2910.8</v>
      </c>
      <c r="AJ29" s="53">
        <f t="shared" si="7"/>
        <v>0.13900000000012369</v>
      </c>
    </row>
    <row r="30" spans="1:36" ht="12.75">
      <c r="A30" s="20" t="s">
        <v>64</v>
      </c>
      <c r="B30" s="21" t="s">
        <v>65</v>
      </c>
      <c r="C30" s="52">
        <f>+FACTURACIÓN!G30-'C&amp;A'!L30-'C&amp;A'!J30-'C&amp;A'!H30-'C&amp;A'!G30</f>
        <v>1811.1299999999999</v>
      </c>
      <c r="D30" s="53">
        <v>0</v>
      </c>
      <c r="E30" s="54">
        <f t="shared" si="0"/>
        <v>1811.1299999999999</v>
      </c>
      <c r="F30" s="54">
        <f>+FACTURACIÓN!H30</f>
        <v>0</v>
      </c>
      <c r="G30" s="54">
        <f>+FACTURACIÓN!I30</f>
        <v>0</v>
      </c>
      <c r="H30" s="54">
        <f>+FACTURACIÓN!J30</f>
        <v>0</v>
      </c>
      <c r="I30" s="54">
        <f>+FACTURACIÓN!K30</f>
        <v>0</v>
      </c>
      <c r="J30" s="54">
        <f>+FACTURACIÓN!L30</f>
        <v>0</v>
      </c>
      <c r="K30" s="54">
        <f>+FACTURACIÓN!M30</f>
        <v>0</v>
      </c>
      <c r="L30" s="54">
        <f>+FACTURACIÓN!N30</f>
        <v>0</v>
      </c>
      <c r="M30" s="54">
        <f>+FACTURACIÓN!O30</f>
        <v>0</v>
      </c>
      <c r="N30" s="54">
        <f>+FACTURACIÓN!P30</f>
        <v>0</v>
      </c>
      <c r="O30" s="53">
        <f t="shared" si="1"/>
        <v>0</v>
      </c>
      <c r="P30" s="58">
        <f t="shared" si="2"/>
        <v>1811.1299999999999</v>
      </c>
      <c r="Q30" s="51" t="str">
        <f t="shared" si="3"/>
        <v xml:space="preserve">si </v>
      </c>
      <c r="R30" s="20" t="s">
        <v>64</v>
      </c>
      <c r="S30" s="21" t="s">
        <v>65</v>
      </c>
      <c r="T30" s="53">
        <v>802</v>
      </c>
      <c r="U30" s="58">
        <f t="shared" si="4"/>
        <v>-1009.1299999999999</v>
      </c>
      <c r="Y30" s="51" t="str">
        <f t="shared" si="5"/>
        <v>si</v>
      </c>
      <c r="Z30" s="339" t="s">
        <v>748</v>
      </c>
      <c r="AA30" s="358" t="s">
        <v>682</v>
      </c>
      <c r="AB30" s="53">
        <v>577.20000000000005</v>
      </c>
      <c r="AC30" s="360" t="s">
        <v>65</v>
      </c>
      <c r="AF30" s="51" t="str">
        <f t="shared" si="6"/>
        <v>si</v>
      </c>
      <c r="AG30" s="50" t="s">
        <v>748</v>
      </c>
      <c r="AH30" s="51" t="s">
        <v>65</v>
      </c>
      <c r="AI30" s="53">
        <v>1811.2</v>
      </c>
      <c r="AJ30" s="53">
        <f t="shared" si="7"/>
        <v>-7.0000000000163709E-2</v>
      </c>
    </row>
    <row r="31" spans="1:36" ht="12.75">
      <c r="A31" s="20" t="s">
        <v>66</v>
      </c>
      <c r="B31" s="21" t="s">
        <v>67</v>
      </c>
      <c r="C31" s="52">
        <f>+FACTURACIÓN!G31-'C&amp;A'!L31-'C&amp;A'!J31-'C&amp;A'!H31-'C&amp;A'!G31</f>
        <v>1923.4699999999998</v>
      </c>
      <c r="D31" s="53">
        <v>0</v>
      </c>
      <c r="E31" s="54">
        <f t="shared" si="0"/>
        <v>1923.4699999999998</v>
      </c>
      <c r="F31" s="54">
        <f>+FACTURACIÓN!H31</f>
        <v>0</v>
      </c>
      <c r="G31" s="54">
        <f>+FACTURACIÓN!I31</f>
        <v>0</v>
      </c>
      <c r="H31" s="54">
        <f>+FACTURACIÓN!J31</f>
        <v>0</v>
      </c>
      <c r="I31" s="54">
        <f>+FACTURACIÓN!K31</f>
        <v>0</v>
      </c>
      <c r="J31" s="54">
        <f>+FACTURACIÓN!L31</f>
        <v>0</v>
      </c>
      <c r="K31" s="54">
        <f>+FACTURACIÓN!M31</f>
        <v>0</v>
      </c>
      <c r="L31" s="54">
        <f>+FACTURACIÓN!N31</f>
        <v>0</v>
      </c>
      <c r="M31" s="54">
        <f>+FACTURACIÓN!O31</f>
        <v>0</v>
      </c>
      <c r="N31" s="54">
        <f>+FACTURACIÓN!P31</f>
        <v>0</v>
      </c>
      <c r="O31" s="53">
        <f t="shared" si="1"/>
        <v>0</v>
      </c>
      <c r="P31" s="58">
        <f t="shared" si="2"/>
        <v>1923.4699999999998</v>
      </c>
      <c r="Q31" s="51" t="str">
        <f t="shared" si="3"/>
        <v xml:space="preserve">si </v>
      </c>
      <c r="R31" s="20" t="s">
        <v>66</v>
      </c>
      <c r="S31" s="21" t="s">
        <v>67</v>
      </c>
      <c r="T31" s="53">
        <v>694</v>
      </c>
      <c r="U31" s="58">
        <f t="shared" si="4"/>
        <v>-1229.4699999999998</v>
      </c>
      <c r="Y31" s="51" t="str">
        <f t="shared" si="5"/>
        <v>si</v>
      </c>
      <c r="Z31" s="339" t="s">
        <v>749</v>
      </c>
      <c r="AA31" s="358" t="s">
        <v>688</v>
      </c>
      <c r="AB31" s="53">
        <v>577.4</v>
      </c>
      <c r="AC31" s="360" t="s">
        <v>67</v>
      </c>
      <c r="AF31" s="51" t="str">
        <f t="shared" si="6"/>
        <v>si</v>
      </c>
      <c r="AG31" s="50" t="s">
        <v>749</v>
      </c>
      <c r="AH31" s="51" t="s">
        <v>67</v>
      </c>
      <c r="AI31" s="53">
        <v>1923.4</v>
      </c>
      <c r="AJ31" s="53">
        <f t="shared" si="7"/>
        <v>6.9999999999708962E-2</v>
      </c>
    </row>
    <row r="32" spans="1:36" ht="12.75">
      <c r="A32" s="20" t="s">
        <v>68</v>
      </c>
      <c r="B32" s="21" t="s">
        <v>69</v>
      </c>
      <c r="C32" s="52">
        <f>+FACTURACIÓN!G32-'C&amp;A'!L32-'C&amp;A'!J32-'C&amp;A'!H32-'C&amp;A'!G32</f>
        <v>905.93</v>
      </c>
      <c r="D32" s="53">
        <v>0</v>
      </c>
      <c r="E32" s="54">
        <f t="shared" si="0"/>
        <v>905.93</v>
      </c>
      <c r="F32" s="54">
        <f>+FACTURACIÓN!H32</f>
        <v>0</v>
      </c>
      <c r="G32" s="54">
        <f>+FACTURACIÓN!I32</f>
        <v>0</v>
      </c>
      <c r="H32" s="54">
        <f>+FACTURACIÓN!J32</f>
        <v>0</v>
      </c>
      <c r="I32" s="54">
        <f>+FACTURACIÓN!K32</f>
        <v>0</v>
      </c>
      <c r="J32" s="54">
        <f>+FACTURACIÓN!L32</f>
        <v>0</v>
      </c>
      <c r="K32" s="54">
        <f>+FACTURACIÓN!M32</f>
        <v>0</v>
      </c>
      <c r="L32" s="54">
        <f>+FACTURACIÓN!N32</f>
        <v>0</v>
      </c>
      <c r="M32" s="54">
        <f>+FACTURACIÓN!O32</f>
        <v>0</v>
      </c>
      <c r="N32" s="54">
        <f>+FACTURACIÓN!P32</f>
        <v>58.91</v>
      </c>
      <c r="O32" s="53">
        <f t="shared" si="1"/>
        <v>58.91</v>
      </c>
      <c r="P32" s="58">
        <f t="shared" si="2"/>
        <v>847.02</v>
      </c>
      <c r="Q32" s="51" t="str">
        <f t="shared" si="3"/>
        <v xml:space="preserve">si </v>
      </c>
      <c r="R32" s="20" t="s">
        <v>68</v>
      </c>
      <c r="S32" s="21" t="s">
        <v>69</v>
      </c>
      <c r="T32" s="53">
        <v>3001.6</v>
      </c>
      <c r="U32" s="58">
        <f t="shared" si="4"/>
        <v>2154.58</v>
      </c>
      <c r="Y32" s="51" t="str">
        <f t="shared" si="5"/>
        <v>si</v>
      </c>
      <c r="Z32" s="339" t="s">
        <v>750</v>
      </c>
      <c r="AA32" s="358" t="s">
        <v>678</v>
      </c>
      <c r="AB32" s="53">
        <v>577.4</v>
      </c>
      <c r="AC32" s="360" t="s">
        <v>69</v>
      </c>
      <c r="AF32" s="51" t="str">
        <f t="shared" si="6"/>
        <v>si</v>
      </c>
      <c r="AG32" s="50" t="s">
        <v>750</v>
      </c>
      <c r="AH32" s="51" t="s">
        <v>69</v>
      </c>
      <c r="AI32" s="53">
        <v>847</v>
      </c>
      <c r="AJ32" s="53">
        <f t="shared" si="7"/>
        <v>1.999999999998181E-2</v>
      </c>
    </row>
    <row r="33" spans="1:36" ht="12.75">
      <c r="A33" s="20" t="s">
        <v>70</v>
      </c>
      <c r="B33" s="21" t="s">
        <v>71</v>
      </c>
      <c r="C33" s="52">
        <f>+FACTURACIÓN!G33-'C&amp;A'!L33-'C&amp;A'!J33-'C&amp;A'!H33-'C&amp;A'!G33</f>
        <v>939.41000000000008</v>
      </c>
      <c r="D33" s="53">
        <v>0</v>
      </c>
      <c r="E33" s="54">
        <f t="shared" si="0"/>
        <v>939.41000000000008</v>
      </c>
      <c r="F33" s="54">
        <f>+FACTURACIÓN!H33</f>
        <v>200</v>
      </c>
      <c r="G33" s="54">
        <f>+FACTURACIÓN!I33</f>
        <v>0</v>
      </c>
      <c r="H33" s="54">
        <f>+FACTURACIÓN!J33</f>
        <v>0</v>
      </c>
      <c r="I33" s="54">
        <f>+FACTURACIÓN!K33</f>
        <v>0</v>
      </c>
      <c r="J33" s="54">
        <f>+FACTURACIÓN!L33</f>
        <v>0</v>
      </c>
      <c r="K33" s="54">
        <f>+FACTURACIÓN!M33</f>
        <v>0</v>
      </c>
      <c r="L33" s="54">
        <f>+FACTURACIÓN!N33</f>
        <v>0</v>
      </c>
      <c r="M33" s="54">
        <f>+FACTURACIÓN!O33</f>
        <v>0</v>
      </c>
      <c r="N33" s="54">
        <f>+FACTURACIÓN!P33</f>
        <v>0</v>
      </c>
      <c r="O33" s="53">
        <f t="shared" si="1"/>
        <v>200</v>
      </c>
      <c r="P33" s="58">
        <f t="shared" si="2"/>
        <v>739.41000000000008</v>
      </c>
      <c r="Q33" s="51" t="str">
        <f t="shared" si="3"/>
        <v xml:space="preserve">si </v>
      </c>
      <c r="R33" s="20" t="s">
        <v>70</v>
      </c>
      <c r="S33" s="21" t="s">
        <v>71</v>
      </c>
      <c r="T33" s="53">
        <v>2453.4</v>
      </c>
      <c r="U33" s="58">
        <f t="shared" si="4"/>
        <v>1713.99</v>
      </c>
      <c r="V33" s="50" t="s">
        <v>499</v>
      </c>
      <c r="W33" s="51" t="s">
        <v>75</v>
      </c>
      <c r="Y33" s="51" t="str">
        <f t="shared" si="5"/>
        <v>si</v>
      </c>
      <c r="Z33" s="339" t="s">
        <v>751</v>
      </c>
      <c r="AA33" s="358" t="s">
        <v>641</v>
      </c>
      <c r="AB33" s="53">
        <v>409.20000000000005</v>
      </c>
      <c r="AC33" s="360" t="s">
        <v>71</v>
      </c>
      <c r="AF33" s="51" t="str">
        <f t="shared" si="6"/>
        <v>si</v>
      </c>
      <c r="AG33" s="50" t="s">
        <v>751</v>
      </c>
      <c r="AH33" s="51" t="s">
        <v>71</v>
      </c>
      <c r="AI33" s="53">
        <v>739.4</v>
      </c>
      <c r="AJ33" s="53">
        <f t="shared" si="7"/>
        <v>1.0000000000104592E-2</v>
      </c>
    </row>
    <row r="34" spans="1:36" ht="12.75">
      <c r="A34" s="20" t="s">
        <v>72</v>
      </c>
      <c r="B34" s="21" t="s">
        <v>73</v>
      </c>
      <c r="C34" s="52">
        <f>+FACTURACIÓN!G34-'C&amp;A'!L34-'C&amp;A'!J34-'C&amp;A'!H34-'C&amp;A'!G34</f>
        <v>2930.46</v>
      </c>
      <c r="D34" s="53">
        <v>0</v>
      </c>
      <c r="E34" s="54">
        <f t="shared" si="0"/>
        <v>2930.46</v>
      </c>
      <c r="F34" s="54">
        <f>+FACTURACIÓN!H34</f>
        <v>500</v>
      </c>
      <c r="G34" s="54">
        <f>+FACTURACIÓN!I34</f>
        <v>171.88514000000001</v>
      </c>
      <c r="H34" s="54">
        <f>+FACTURACIÓN!J34</f>
        <v>35.078600000000002</v>
      </c>
      <c r="I34" s="54">
        <f>+FACTURACIÓN!K34</f>
        <v>0</v>
      </c>
      <c r="J34" s="54">
        <f>+FACTURACIÓN!L34</f>
        <v>0</v>
      </c>
      <c r="K34" s="54">
        <f>+FACTURACIÓN!M34</f>
        <v>0</v>
      </c>
      <c r="L34" s="54">
        <f>+FACTURACIÓN!N34</f>
        <v>0</v>
      </c>
      <c r="M34" s="54">
        <f>+FACTURACIÓN!O34</f>
        <v>350.78600000000006</v>
      </c>
      <c r="N34" s="54">
        <f>+FACTURACIÓN!P34</f>
        <v>0</v>
      </c>
      <c r="O34" s="53">
        <f t="shared" si="1"/>
        <v>1057.7497400000002</v>
      </c>
      <c r="P34" s="58">
        <f t="shared" si="2"/>
        <v>1872.7102599999998</v>
      </c>
      <c r="Q34" s="51" t="str">
        <f t="shared" si="3"/>
        <v xml:space="preserve">si </v>
      </c>
      <c r="R34" s="20" t="s">
        <v>72</v>
      </c>
      <c r="S34" s="21" t="s">
        <v>73</v>
      </c>
      <c r="T34" s="53">
        <v>870</v>
      </c>
      <c r="U34" s="58">
        <f t="shared" si="4"/>
        <v>-1002.7102599999998</v>
      </c>
      <c r="Y34" s="51" t="str">
        <f t="shared" si="5"/>
        <v>si</v>
      </c>
      <c r="Z34" s="339" t="s">
        <v>498</v>
      </c>
      <c r="AA34" s="358" t="s">
        <v>660</v>
      </c>
      <c r="AB34" s="53">
        <v>577.4</v>
      </c>
      <c r="AC34" s="360" t="s">
        <v>73</v>
      </c>
      <c r="AF34" s="51" t="str">
        <f t="shared" si="6"/>
        <v>si</v>
      </c>
      <c r="AG34" s="50" t="s">
        <v>498</v>
      </c>
      <c r="AH34" s="51" t="s">
        <v>73</v>
      </c>
      <c r="AI34" s="53">
        <v>1872.8</v>
      </c>
      <c r="AJ34" s="53">
        <f t="shared" si="7"/>
        <v>-8.9740000000119835E-2</v>
      </c>
    </row>
    <row r="35" spans="1:36" ht="12.75">
      <c r="A35" s="20" t="s">
        <v>76</v>
      </c>
      <c r="B35" s="21" t="s">
        <v>724</v>
      </c>
      <c r="C35" s="52">
        <f>+FACTURACIÓN!G35-'C&amp;A'!L35-'C&amp;A'!J35-'C&amp;A'!H35-'C&amp;A'!G35</f>
        <v>4987.04</v>
      </c>
      <c r="D35" s="53">
        <v>0</v>
      </c>
      <c r="E35" s="54">
        <f t="shared" si="0"/>
        <v>4987.04</v>
      </c>
      <c r="F35" s="54">
        <f>+FACTURACIÓN!H35</f>
        <v>1000</v>
      </c>
      <c r="G35" s="54">
        <f>+FACTURACIÓN!I35</f>
        <v>272.65755999999999</v>
      </c>
      <c r="H35" s="54">
        <f>+FACTURACIÓN!J35</f>
        <v>55.644399999999997</v>
      </c>
      <c r="I35" s="54">
        <f>+FACTURACIÓN!K35</f>
        <v>300</v>
      </c>
      <c r="J35" s="54">
        <f>+FACTURACIÓN!L35</f>
        <v>0</v>
      </c>
      <c r="K35" s="54">
        <f>+FACTURACIÓN!M35</f>
        <v>0</v>
      </c>
      <c r="L35" s="54">
        <f>+FACTURACIÓN!N35</f>
        <v>0</v>
      </c>
      <c r="M35" s="54">
        <f>+FACTURACIÓN!O35</f>
        <v>556.44399999999996</v>
      </c>
      <c r="N35" s="54">
        <f>+FACTURACIÓN!P35</f>
        <v>0</v>
      </c>
      <c r="O35" s="53">
        <f t="shared" si="1"/>
        <v>2184.7459600000002</v>
      </c>
      <c r="P35" s="58">
        <f t="shared" si="2"/>
        <v>2802.2940399999998</v>
      </c>
      <c r="Q35" s="51" t="str">
        <f t="shared" si="3"/>
        <v xml:space="preserve">si </v>
      </c>
      <c r="R35" s="20" t="s">
        <v>76</v>
      </c>
      <c r="S35" s="21" t="s">
        <v>724</v>
      </c>
      <c r="T35" s="53">
        <v>116.6</v>
      </c>
      <c r="U35" s="58">
        <f t="shared" si="4"/>
        <v>-2685.6940399999999</v>
      </c>
      <c r="Y35" s="51" t="str">
        <f t="shared" si="5"/>
        <v>no</v>
      </c>
      <c r="Z35" s="339" t="s">
        <v>752</v>
      </c>
      <c r="AA35" s="358" t="s">
        <v>656</v>
      </c>
      <c r="AB35" s="53">
        <v>577.4</v>
      </c>
      <c r="AC35" s="360" t="s">
        <v>77</v>
      </c>
      <c r="AF35" s="51" t="str">
        <f t="shared" si="6"/>
        <v>no</v>
      </c>
      <c r="AG35" s="50" t="s">
        <v>752</v>
      </c>
      <c r="AH35" s="51" t="s">
        <v>77</v>
      </c>
      <c r="AI35" s="53">
        <v>2802.2</v>
      </c>
      <c r="AJ35" s="53">
        <f t="shared" si="7"/>
        <v>9.4039999999949941E-2</v>
      </c>
    </row>
    <row r="36" spans="1:36" ht="12.75">
      <c r="A36" s="20" t="s">
        <v>78</v>
      </c>
      <c r="B36" s="21" t="s">
        <v>79</v>
      </c>
      <c r="C36" s="52">
        <f>+FACTURACIÓN!G36-'C&amp;A'!L36-'C&amp;A'!J36-'C&amp;A'!H36-'C&amp;A'!G36</f>
        <v>1314.9799999999998</v>
      </c>
      <c r="D36" s="53">
        <v>0</v>
      </c>
      <c r="E36" s="54">
        <f t="shared" si="0"/>
        <v>1314.9799999999998</v>
      </c>
      <c r="F36" s="54">
        <f>+FACTURACIÓN!H36</f>
        <v>0</v>
      </c>
      <c r="G36" s="54">
        <f>+FACTURACIÓN!I36</f>
        <v>0</v>
      </c>
      <c r="H36" s="54">
        <f>+FACTURACIÓN!J36</f>
        <v>0</v>
      </c>
      <c r="I36" s="54">
        <f>+FACTURACIÓN!K36</f>
        <v>0</v>
      </c>
      <c r="J36" s="54">
        <f>+FACTURACIÓN!L36</f>
        <v>0</v>
      </c>
      <c r="K36" s="54">
        <f>+FACTURACIÓN!M36</f>
        <v>0</v>
      </c>
      <c r="L36" s="54">
        <f>+FACTURACIÓN!N36</f>
        <v>0</v>
      </c>
      <c r="M36" s="54">
        <f>+FACTURACIÓN!O36</f>
        <v>0</v>
      </c>
      <c r="N36" s="54">
        <f>+FACTURACIÓN!P36</f>
        <v>0</v>
      </c>
      <c r="O36" s="53">
        <f t="shared" si="1"/>
        <v>0</v>
      </c>
      <c r="P36" s="58">
        <f t="shared" si="2"/>
        <v>1314.9799999999998</v>
      </c>
      <c r="Q36" s="51" t="str">
        <f t="shared" si="3"/>
        <v xml:space="preserve">si </v>
      </c>
      <c r="R36" s="20" t="s">
        <v>78</v>
      </c>
      <c r="S36" s="21" t="s">
        <v>79</v>
      </c>
      <c r="T36" s="53">
        <v>638.79999999999995</v>
      </c>
      <c r="U36" s="58">
        <f t="shared" si="4"/>
        <v>-676.17999999999984</v>
      </c>
      <c r="Y36" s="51" t="str">
        <f t="shared" si="5"/>
        <v>si</v>
      </c>
      <c r="Z36" s="339" t="s">
        <v>753</v>
      </c>
      <c r="AA36" s="358" t="s">
        <v>683</v>
      </c>
      <c r="AB36" s="53">
        <v>577.20000000000005</v>
      </c>
      <c r="AC36" s="360" t="s">
        <v>79</v>
      </c>
      <c r="AF36" s="51" t="str">
        <f t="shared" si="6"/>
        <v>si</v>
      </c>
      <c r="AG36" s="50" t="s">
        <v>753</v>
      </c>
      <c r="AH36" s="51" t="s">
        <v>79</v>
      </c>
      <c r="AI36" s="53">
        <v>1315</v>
      </c>
      <c r="AJ36" s="53">
        <f t="shared" si="7"/>
        <v>-2.0000000000209184E-2</v>
      </c>
    </row>
    <row r="37" spans="1:36" ht="12.75">
      <c r="A37" s="50" t="s">
        <v>826</v>
      </c>
      <c r="B37" s="51" t="s">
        <v>827</v>
      </c>
      <c r="C37" s="52">
        <f>+FACTURACIÓN!G37-'C&amp;A'!L37-'C&amp;A'!J37-'C&amp;A'!H37-'C&amp;A'!G37</f>
        <v>517.11</v>
      </c>
      <c r="D37" s="53">
        <v>0</v>
      </c>
      <c r="E37" s="54">
        <f t="shared" si="0"/>
        <v>517.11</v>
      </c>
      <c r="F37" s="54">
        <f>+FACTURACIÓN!H37</f>
        <v>0</v>
      </c>
      <c r="G37" s="54">
        <f>+FACTURACIÓN!I37</f>
        <v>0</v>
      </c>
      <c r="H37" s="54">
        <f>+FACTURACIÓN!J37</f>
        <v>0</v>
      </c>
      <c r="I37" s="54">
        <f>+FACTURACIÓN!K37</f>
        <v>0</v>
      </c>
      <c r="J37" s="54">
        <f>+FACTURACIÓN!L37</f>
        <v>0</v>
      </c>
      <c r="K37" s="54">
        <f>+FACTURACIÓN!M37</f>
        <v>0</v>
      </c>
      <c r="L37" s="54">
        <f>+FACTURACIÓN!N37</f>
        <v>0</v>
      </c>
      <c r="M37" s="54">
        <f>+FACTURACIÓN!O37</f>
        <v>0</v>
      </c>
      <c r="N37" s="54">
        <f>+FACTURACIÓN!P37</f>
        <v>0</v>
      </c>
      <c r="O37" s="53">
        <f t="shared" si="1"/>
        <v>0</v>
      </c>
      <c r="P37" s="58">
        <f t="shared" si="2"/>
        <v>517.11</v>
      </c>
      <c r="Q37" s="51" t="str">
        <f t="shared" si="3"/>
        <v xml:space="preserve">si </v>
      </c>
      <c r="R37" s="50" t="s">
        <v>826</v>
      </c>
      <c r="S37" s="51" t="s">
        <v>827</v>
      </c>
      <c r="T37" s="53">
        <v>10032.200000000001</v>
      </c>
      <c r="U37" s="58">
        <f t="shared" si="4"/>
        <v>9515.09</v>
      </c>
      <c r="Y37" s="51" t="str">
        <f t="shared" si="5"/>
        <v>si</v>
      </c>
      <c r="Z37" s="339" t="s">
        <v>826</v>
      </c>
      <c r="AA37" s="358">
        <v>2986476066</v>
      </c>
      <c r="AB37" s="53">
        <v>482.60142857142853</v>
      </c>
      <c r="AC37" s="360" t="s">
        <v>827</v>
      </c>
      <c r="AF37" s="51" t="str">
        <f t="shared" si="6"/>
        <v>si</v>
      </c>
      <c r="AG37" s="50" t="s">
        <v>826</v>
      </c>
      <c r="AH37" s="51" t="s">
        <v>827</v>
      </c>
      <c r="AI37" s="53">
        <v>517.20000000000005</v>
      </c>
      <c r="AJ37" s="53">
        <f t="shared" si="7"/>
        <v>-9.0000000000031832E-2</v>
      </c>
    </row>
    <row r="38" spans="1:36" ht="12.75">
      <c r="A38" s="50" t="s">
        <v>500</v>
      </c>
      <c r="B38" s="21" t="s">
        <v>501</v>
      </c>
      <c r="C38" s="52">
        <f>+FACTURACIÓN!G38-'C&amp;A'!L38-'C&amp;A'!J38-'C&amp;A'!H38-'C&amp;A'!G38</f>
        <v>7308.67</v>
      </c>
      <c r="D38" s="53">
        <v>0</v>
      </c>
      <c r="E38" s="54">
        <f t="shared" si="0"/>
        <v>7308.67</v>
      </c>
      <c r="F38" s="54">
        <f>+FACTURACIÓN!H38</f>
        <v>0</v>
      </c>
      <c r="G38" s="54">
        <f>+FACTURACIÓN!I38</f>
        <v>0</v>
      </c>
      <c r="H38" s="54">
        <f>+FACTURACIÓN!J38</f>
        <v>0</v>
      </c>
      <c r="I38" s="54">
        <f>+FACTURACIÓN!K38</f>
        <v>0</v>
      </c>
      <c r="J38" s="54">
        <f>+FACTURACIÓN!L38</f>
        <v>0</v>
      </c>
      <c r="K38" s="54">
        <f>+FACTURACIÓN!M38</f>
        <v>0</v>
      </c>
      <c r="L38" s="54">
        <f>+FACTURACIÓN!N38</f>
        <v>0</v>
      </c>
      <c r="M38" s="54">
        <f>+FACTURACIÓN!O38</f>
        <v>788.58699999999999</v>
      </c>
      <c r="N38" s="54">
        <f>+FACTURACIÓN!P38</f>
        <v>0</v>
      </c>
      <c r="O38" s="53">
        <f t="shared" si="1"/>
        <v>788.58699999999999</v>
      </c>
      <c r="P38" s="58">
        <f t="shared" si="2"/>
        <v>6520.0830000000005</v>
      </c>
      <c r="Q38" s="51" t="str">
        <f t="shared" si="3"/>
        <v xml:space="preserve">si </v>
      </c>
      <c r="R38" s="50" t="s">
        <v>500</v>
      </c>
      <c r="S38" s="21" t="s">
        <v>501</v>
      </c>
      <c r="T38" s="53">
        <v>847.4</v>
      </c>
      <c r="U38" s="58">
        <f t="shared" si="4"/>
        <v>-5672.6830000000009</v>
      </c>
      <c r="Y38" s="51" t="str">
        <f t="shared" si="5"/>
        <v>si</v>
      </c>
      <c r="Z38" s="339" t="s">
        <v>500</v>
      </c>
      <c r="AA38" s="358">
        <v>2861674129</v>
      </c>
      <c r="AB38" s="53">
        <v>577.20000000000005</v>
      </c>
      <c r="AC38" s="360" t="s">
        <v>501</v>
      </c>
      <c r="AF38" s="51" t="str">
        <f t="shared" si="6"/>
        <v>si</v>
      </c>
      <c r="AG38" s="50" t="s">
        <v>500</v>
      </c>
      <c r="AH38" s="51" t="s">
        <v>501</v>
      </c>
      <c r="AI38" s="53">
        <v>6520</v>
      </c>
      <c r="AJ38" s="53">
        <f t="shared" si="7"/>
        <v>8.3000000000538421E-2</v>
      </c>
    </row>
    <row r="39" spans="1:36" ht="12.75">
      <c r="A39" s="20" t="s">
        <v>80</v>
      </c>
      <c r="B39" s="21" t="s">
        <v>81</v>
      </c>
      <c r="C39" s="52">
        <f>+FACTURACIÓN!G39-'C&amp;A'!L39-'C&amp;A'!J39-'C&amp;A'!H39-'C&amp;A'!G39</f>
        <v>1985.9299999999998</v>
      </c>
      <c r="D39" s="53">
        <v>0</v>
      </c>
      <c r="E39" s="54">
        <f t="shared" si="0"/>
        <v>1985.9299999999998</v>
      </c>
      <c r="F39" s="54">
        <f>+FACTURACIÓN!H39</f>
        <v>0</v>
      </c>
      <c r="G39" s="54">
        <f>+FACTURACIÓN!I39</f>
        <v>0</v>
      </c>
      <c r="H39" s="54">
        <f>+FACTURACIÓN!J39</f>
        <v>0</v>
      </c>
      <c r="I39" s="54">
        <f>+FACTURACIÓN!K39</f>
        <v>0</v>
      </c>
      <c r="J39" s="54">
        <f>+FACTURACIÓN!L39</f>
        <v>0</v>
      </c>
      <c r="K39" s="54">
        <f>+FACTURACIÓN!M39</f>
        <v>0</v>
      </c>
      <c r="L39" s="54">
        <f>+FACTURACIÓN!N39</f>
        <v>349.07</v>
      </c>
      <c r="M39" s="54">
        <f>+FACTURACIÓN!O39</f>
        <v>0</v>
      </c>
      <c r="N39" s="54">
        <f>+FACTURACIÓN!P39</f>
        <v>58.91</v>
      </c>
      <c r="O39" s="53">
        <f t="shared" si="1"/>
        <v>407.98</v>
      </c>
      <c r="P39" s="58">
        <f t="shared" si="2"/>
        <v>1577.9499999999998</v>
      </c>
      <c r="Q39" s="51" t="str">
        <f t="shared" si="3"/>
        <v xml:space="preserve">si </v>
      </c>
      <c r="R39" s="20" t="s">
        <v>80</v>
      </c>
      <c r="S39" s="21" t="s">
        <v>81</v>
      </c>
      <c r="T39" s="53">
        <v>484.8</v>
      </c>
      <c r="U39" s="58">
        <f t="shared" si="4"/>
        <v>-1093.1499999999999</v>
      </c>
      <c r="Y39" s="51" t="str">
        <f t="shared" si="5"/>
        <v>si</v>
      </c>
      <c r="Z39" s="339" t="s">
        <v>80</v>
      </c>
      <c r="AA39" s="358" t="s">
        <v>671</v>
      </c>
      <c r="AB39" s="53">
        <v>577.4</v>
      </c>
      <c r="AC39" s="360" t="s">
        <v>81</v>
      </c>
      <c r="AF39" s="51" t="str">
        <f t="shared" si="6"/>
        <v>si</v>
      </c>
      <c r="AG39" s="50" t="s">
        <v>80</v>
      </c>
      <c r="AH39" s="51" t="s">
        <v>81</v>
      </c>
      <c r="AI39" s="53">
        <v>1578</v>
      </c>
      <c r="AJ39" s="53">
        <f t="shared" si="7"/>
        <v>-5.0000000000181899E-2</v>
      </c>
    </row>
    <row r="40" spans="1:36" ht="12.75">
      <c r="A40" s="50" t="s">
        <v>828</v>
      </c>
      <c r="B40" s="51" t="s">
        <v>829</v>
      </c>
      <c r="C40" s="52">
        <f>+FACTURACIÓN!G40-'C&amp;A'!L40-'C&amp;A'!J40-'C&amp;A'!H40-'C&amp;A'!G40</f>
        <v>54.779999999999859</v>
      </c>
      <c r="D40" s="53">
        <v>0</v>
      </c>
      <c r="E40" s="54">
        <f t="shared" si="0"/>
        <v>54.779999999999859</v>
      </c>
      <c r="F40" s="54">
        <f>+FACTURACIÓN!H40</f>
        <v>0</v>
      </c>
      <c r="G40" s="54">
        <f>+FACTURACIÓN!I40</f>
        <v>24.910620000000002</v>
      </c>
      <c r="H40" s="54">
        <f>+FACTURACIÓN!J40</f>
        <v>5.0838000000000001</v>
      </c>
      <c r="I40" s="54">
        <f>+FACTURACIÓN!K40</f>
        <v>0</v>
      </c>
      <c r="J40" s="54">
        <f>+FACTURACIÓN!L40</f>
        <v>0</v>
      </c>
      <c r="K40" s="54">
        <f>+FACTURACIÓN!M40</f>
        <v>0</v>
      </c>
      <c r="L40" s="54">
        <f>+FACTURACIÓN!N40</f>
        <v>0</v>
      </c>
      <c r="M40" s="54">
        <f>+FACTURACIÓN!O40</f>
        <v>0</v>
      </c>
      <c r="N40" s="54">
        <f>+FACTURACIÓN!P40</f>
        <v>0</v>
      </c>
      <c r="O40" s="53">
        <f t="shared" si="1"/>
        <v>29.994420000000002</v>
      </c>
      <c r="P40" s="58">
        <f t="shared" si="2"/>
        <v>24.785579999999857</v>
      </c>
      <c r="Q40" s="51" t="str">
        <f t="shared" si="3"/>
        <v xml:space="preserve">si </v>
      </c>
      <c r="R40" s="50" t="s">
        <v>828</v>
      </c>
      <c r="S40" s="51" t="s">
        <v>829</v>
      </c>
      <c r="T40" s="53">
        <v>1700.4</v>
      </c>
      <c r="U40" s="58">
        <f t="shared" si="4"/>
        <v>1675.6144200000003</v>
      </c>
      <c r="V40" s="50" t="s">
        <v>502</v>
      </c>
      <c r="W40" s="51" t="s">
        <v>85</v>
      </c>
      <c r="Y40" s="51" t="str">
        <f t="shared" si="5"/>
        <v>si</v>
      </c>
      <c r="Z40" s="339" t="s">
        <v>828</v>
      </c>
      <c r="AA40" s="358">
        <v>2962956136</v>
      </c>
      <c r="AB40" s="53">
        <v>547.40000000000009</v>
      </c>
      <c r="AC40" s="360" t="s">
        <v>829</v>
      </c>
      <c r="AF40" s="51" t="str">
        <f t="shared" si="6"/>
        <v>si</v>
      </c>
      <c r="AG40" s="50" t="s">
        <v>828</v>
      </c>
      <c r="AH40" s="51" t="s">
        <v>829</v>
      </c>
      <c r="AI40" s="53">
        <v>24.8</v>
      </c>
      <c r="AJ40" s="53">
        <f t="shared" si="7"/>
        <v>-1.4420000000143318E-2</v>
      </c>
    </row>
    <row r="41" spans="1:36" ht="12.75">
      <c r="A41" s="20" t="s">
        <v>82</v>
      </c>
      <c r="B41" s="21" t="s">
        <v>83</v>
      </c>
      <c r="C41" s="52">
        <f>+FACTURACIÓN!G41-'C&amp;A'!L41-'C&amp;A'!J41-'C&amp;A'!H41-'C&amp;A'!G41</f>
        <v>539.31000000000006</v>
      </c>
      <c r="D41" s="53">
        <v>0</v>
      </c>
      <c r="E41" s="54">
        <f t="shared" si="0"/>
        <v>539.31000000000006</v>
      </c>
      <c r="F41" s="54">
        <f>+FACTURACIÓN!H41</f>
        <v>0</v>
      </c>
      <c r="G41" s="54">
        <f>+FACTURACIÓN!I41</f>
        <v>0</v>
      </c>
      <c r="H41" s="54">
        <f>+FACTURACIÓN!J41</f>
        <v>0</v>
      </c>
      <c r="I41" s="54">
        <f>+FACTURACIÓN!K41</f>
        <v>0</v>
      </c>
      <c r="J41" s="54">
        <f>+FACTURACIÓN!L41</f>
        <v>0</v>
      </c>
      <c r="K41" s="54">
        <f>+FACTURACIÓN!M41</f>
        <v>0</v>
      </c>
      <c r="L41" s="54">
        <f>+FACTURACIÓN!N41</f>
        <v>0</v>
      </c>
      <c r="M41" s="54">
        <f>+FACTURACIÓN!O41</f>
        <v>0</v>
      </c>
      <c r="N41" s="54">
        <f>+FACTURACIÓN!P41</f>
        <v>58.91</v>
      </c>
      <c r="O41" s="53">
        <f t="shared" si="1"/>
        <v>58.91</v>
      </c>
      <c r="P41" s="58">
        <f t="shared" si="2"/>
        <v>480.40000000000009</v>
      </c>
      <c r="Q41" s="51" t="str">
        <f t="shared" si="3"/>
        <v xml:space="preserve">si </v>
      </c>
      <c r="R41" s="20" t="s">
        <v>82</v>
      </c>
      <c r="S41" s="21" t="s">
        <v>83</v>
      </c>
      <c r="T41" s="53">
        <v>2496</v>
      </c>
      <c r="U41" s="58">
        <f t="shared" si="4"/>
        <v>2015.6</v>
      </c>
      <c r="V41" s="50" t="s">
        <v>804</v>
      </c>
      <c r="W41" s="51" t="s">
        <v>805</v>
      </c>
      <c r="Y41" s="51" t="str">
        <f t="shared" si="5"/>
        <v>si</v>
      </c>
      <c r="Z41" s="339" t="s">
        <v>82</v>
      </c>
      <c r="AA41" s="358" t="s">
        <v>644</v>
      </c>
      <c r="AB41" s="53">
        <v>577.4</v>
      </c>
      <c r="AC41" s="360" t="s">
        <v>83</v>
      </c>
      <c r="AF41" s="51" t="str">
        <f t="shared" si="6"/>
        <v>si</v>
      </c>
      <c r="AG41" s="50" t="s">
        <v>82</v>
      </c>
      <c r="AH41" s="51" t="s">
        <v>83</v>
      </c>
      <c r="AI41" s="53">
        <v>480.4</v>
      </c>
      <c r="AJ41" s="53">
        <f t="shared" si="7"/>
        <v>0</v>
      </c>
    </row>
    <row r="42" spans="1:36" ht="12.75">
      <c r="A42" s="20" t="s">
        <v>197</v>
      </c>
      <c r="B42" s="21" t="s">
        <v>198</v>
      </c>
      <c r="C42" s="52">
        <f>+FACTURACIÓN!G42-'C&amp;A'!L42-'C&amp;A'!J42-'C&amp;A'!H42-'C&amp;A'!G42</f>
        <v>59.6099999999999</v>
      </c>
      <c r="D42" s="53">
        <v>0</v>
      </c>
      <c r="E42" s="54">
        <f t="shared" si="0"/>
        <v>59.6099999999999</v>
      </c>
      <c r="F42" s="54">
        <f>+FACTURACIÓN!H42</f>
        <v>0</v>
      </c>
      <c r="G42" s="54">
        <f>+FACTURACIÓN!I42</f>
        <v>0</v>
      </c>
      <c r="H42" s="54">
        <f>+FACTURACIÓN!J42</f>
        <v>0</v>
      </c>
      <c r="I42" s="54">
        <f>+FACTURACIÓN!K42</f>
        <v>0</v>
      </c>
      <c r="J42" s="54">
        <f>+FACTURACIÓN!L42</f>
        <v>0</v>
      </c>
      <c r="K42" s="54">
        <f>+FACTURACIÓN!M42</f>
        <v>0</v>
      </c>
      <c r="L42" s="54">
        <f>+FACTURACIÓN!N42</f>
        <v>0</v>
      </c>
      <c r="M42" s="54">
        <f>+FACTURACIÓN!O42</f>
        <v>0</v>
      </c>
      <c r="N42" s="54">
        <f>+FACTURACIÓN!P42</f>
        <v>58.91</v>
      </c>
      <c r="O42" s="53">
        <f t="shared" si="1"/>
        <v>58.91</v>
      </c>
      <c r="P42" s="58">
        <f t="shared" si="2"/>
        <v>0.69999999999990337</v>
      </c>
      <c r="Q42" s="51" t="str">
        <f t="shared" si="3"/>
        <v xml:space="preserve">si </v>
      </c>
      <c r="R42" s="20" t="s">
        <v>197</v>
      </c>
      <c r="S42" s="21" t="s">
        <v>198</v>
      </c>
      <c r="T42" s="53">
        <v>2293.1999999999998</v>
      </c>
      <c r="U42" s="58">
        <f t="shared" si="4"/>
        <v>2292.5</v>
      </c>
      <c r="Y42" s="51" t="str">
        <f t="shared" si="5"/>
        <v>si</v>
      </c>
      <c r="Z42" s="339" t="s">
        <v>754</v>
      </c>
      <c r="AA42" s="358" t="s">
        <v>706</v>
      </c>
      <c r="AB42" s="53">
        <v>547.40000000000009</v>
      </c>
      <c r="AC42" s="360" t="s">
        <v>198</v>
      </c>
      <c r="AF42" s="51" t="str">
        <f t="shared" si="6"/>
        <v>si</v>
      </c>
      <c r="AG42" s="50" t="s">
        <v>754</v>
      </c>
      <c r="AH42" s="51" t="s">
        <v>198</v>
      </c>
      <c r="AI42" s="53">
        <v>0.8</v>
      </c>
      <c r="AJ42" s="53">
        <f t="shared" si="7"/>
        <v>-0.10000000000009668</v>
      </c>
    </row>
    <row r="43" spans="1:36" ht="12.75">
      <c r="A43" s="20" t="s">
        <v>86</v>
      </c>
      <c r="B43" s="21" t="s">
        <v>87</v>
      </c>
      <c r="C43" s="52">
        <f>+FACTURACIÓN!G43-'C&amp;A'!L43-'C&amp;A'!J43-'C&amp;A'!H43-'C&amp;A'!G43</f>
        <v>1955.48</v>
      </c>
      <c r="D43" s="53">
        <v>0</v>
      </c>
      <c r="E43" s="54">
        <f t="shared" si="0"/>
        <v>1955.48</v>
      </c>
      <c r="F43" s="54">
        <f>+FACTURACIÓN!H43</f>
        <v>0</v>
      </c>
      <c r="G43" s="54">
        <f>+FACTURACIÓN!I43</f>
        <v>0</v>
      </c>
      <c r="H43" s="54">
        <f>+FACTURACIÓN!J43</f>
        <v>0</v>
      </c>
      <c r="I43" s="54">
        <f>+FACTURACIÓN!K43</f>
        <v>0</v>
      </c>
      <c r="J43" s="54">
        <f>+FACTURACIÓN!L43</f>
        <v>0</v>
      </c>
      <c r="K43" s="54">
        <f>+FACTURACIÓN!M43</f>
        <v>0</v>
      </c>
      <c r="L43" s="54">
        <f>+FACTURACIÓN!N43</f>
        <v>0</v>
      </c>
      <c r="M43" s="54">
        <f>+FACTURACIÓN!O43</f>
        <v>0</v>
      </c>
      <c r="N43" s="54">
        <f>+FACTURACIÓN!P43</f>
        <v>0</v>
      </c>
      <c r="O43" s="53">
        <f t="shared" si="1"/>
        <v>0</v>
      </c>
      <c r="P43" s="58">
        <f t="shared" si="2"/>
        <v>1955.48</v>
      </c>
      <c r="Q43" s="51" t="str">
        <f t="shared" si="3"/>
        <v xml:space="preserve">si </v>
      </c>
      <c r="R43" s="20" t="s">
        <v>86</v>
      </c>
      <c r="S43" s="21" t="s">
        <v>87</v>
      </c>
      <c r="T43" s="53">
        <v>20.2</v>
      </c>
      <c r="U43" s="58">
        <f t="shared" si="4"/>
        <v>-1935.28</v>
      </c>
      <c r="Y43" s="51" t="str">
        <f t="shared" si="5"/>
        <v>si</v>
      </c>
      <c r="Z43" s="339" t="s">
        <v>755</v>
      </c>
      <c r="AA43" s="358" t="s">
        <v>694</v>
      </c>
      <c r="AB43" s="53">
        <v>577.4</v>
      </c>
      <c r="AC43" s="360" t="s">
        <v>87</v>
      </c>
      <c r="AF43" s="51" t="str">
        <f t="shared" si="6"/>
        <v>si</v>
      </c>
      <c r="AG43" s="50" t="s">
        <v>755</v>
      </c>
      <c r="AH43" s="51" t="s">
        <v>87</v>
      </c>
      <c r="AI43" s="53">
        <v>1955.6</v>
      </c>
      <c r="AJ43" s="53">
        <f t="shared" si="7"/>
        <v>-0.11999999999989086</v>
      </c>
    </row>
    <row r="44" spans="1:36" ht="12.75">
      <c r="A44" s="20" t="s">
        <v>88</v>
      </c>
      <c r="B44" s="21" t="s">
        <v>89</v>
      </c>
      <c r="C44" s="52">
        <f>+FACTURACIÓN!G44-'C&amp;A'!L44-'C&amp;A'!J44-'C&amp;A'!H44-'C&amp;A'!G44</f>
        <v>758.1</v>
      </c>
      <c r="D44" s="53">
        <v>0</v>
      </c>
      <c r="E44" s="54">
        <f t="shared" si="0"/>
        <v>758.1</v>
      </c>
      <c r="F44" s="54">
        <f>+FACTURACIÓN!H44</f>
        <v>0</v>
      </c>
      <c r="G44" s="54">
        <f>+FACTURACIÓN!I44</f>
        <v>0</v>
      </c>
      <c r="H44" s="54">
        <f>+FACTURACIÓN!J44</f>
        <v>0</v>
      </c>
      <c r="I44" s="54">
        <f>+FACTURACIÓN!K44</f>
        <v>0</v>
      </c>
      <c r="J44" s="54">
        <f>+FACTURACIÓN!L44</f>
        <v>0</v>
      </c>
      <c r="K44" s="54">
        <f>+FACTURACIÓN!M44</f>
        <v>0</v>
      </c>
      <c r="L44" s="54">
        <f>+FACTURACIÓN!N44</f>
        <v>0</v>
      </c>
      <c r="M44" s="54">
        <f>+FACTURACIÓN!O44</f>
        <v>0</v>
      </c>
      <c r="N44" s="54">
        <f>+FACTURACIÓN!P44</f>
        <v>58.91</v>
      </c>
      <c r="O44" s="53">
        <f t="shared" si="1"/>
        <v>58.91</v>
      </c>
      <c r="P44" s="58">
        <f t="shared" si="2"/>
        <v>699.19</v>
      </c>
      <c r="Q44" s="51" t="str">
        <f t="shared" si="3"/>
        <v xml:space="preserve">si </v>
      </c>
      <c r="R44" s="20" t="s">
        <v>88</v>
      </c>
      <c r="S44" s="21" t="s">
        <v>89</v>
      </c>
      <c r="T44" s="53">
        <v>541.4</v>
      </c>
      <c r="U44" s="58">
        <f t="shared" si="4"/>
        <v>-157.79000000000008</v>
      </c>
      <c r="Y44" s="51" t="str">
        <f t="shared" si="5"/>
        <v>si</v>
      </c>
      <c r="Z44" s="339" t="s">
        <v>503</v>
      </c>
      <c r="AA44" s="358" t="s">
        <v>701</v>
      </c>
      <c r="AB44" s="53">
        <v>577.4</v>
      </c>
      <c r="AC44" s="360" t="s">
        <v>89</v>
      </c>
      <c r="AF44" s="51" t="str">
        <f t="shared" si="6"/>
        <v>si</v>
      </c>
      <c r="AG44" s="50" t="s">
        <v>503</v>
      </c>
      <c r="AH44" s="51" t="s">
        <v>89</v>
      </c>
      <c r="AI44" s="53">
        <v>699.2</v>
      </c>
      <c r="AJ44" s="53">
        <f t="shared" si="7"/>
        <v>-9.9999999999909051E-3</v>
      </c>
    </row>
    <row r="45" spans="1:36" ht="12.75">
      <c r="A45" s="20" t="s">
        <v>90</v>
      </c>
      <c r="B45" s="21" t="s">
        <v>91</v>
      </c>
      <c r="C45" s="52">
        <f>+FACTURACIÓN!G45-'C&amp;A'!L45-'C&amp;A'!J45-'C&amp;A'!H45-'C&amp;A'!G45</f>
        <v>7841.1900000000005</v>
      </c>
      <c r="D45" s="53">
        <v>0</v>
      </c>
      <c r="E45" s="54">
        <f t="shared" si="0"/>
        <v>7841.1900000000005</v>
      </c>
      <c r="F45" s="54">
        <f>+FACTURACIÓN!H45</f>
        <v>0</v>
      </c>
      <c r="G45" s="54">
        <f>+FACTURACIÓN!I45</f>
        <v>0</v>
      </c>
      <c r="H45" s="54">
        <f>+FACTURACIÓN!J45</f>
        <v>0</v>
      </c>
      <c r="I45" s="54">
        <f>+FACTURACIÓN!K45</f>
        <v>0</v>
      </c>
      <c r="J45" s="54">
        <f>+FACTURACIÓN!L45</f>
        <v>0</v>
      </c>
      <c r="K45" s="54">
        <f>+FACTURACIÓN!M45</f>
        <v>0</v>
      </c>
      <c r="L45" s="54">
        <f>+FACTURACIÓN!N45</f>
        <v>208.6</v>
      </c>
      <c r="M45" s="54">
        <f>+FACTURACIÓN!O45</f>
        <v>841.85900000000004</v>
      </c>
      <c r="N45" s="54">
        <f>+FACTURACIÓN!P45</f>
        <v>0</v>
      </c>
      <c r="O45" s="53">
        <f t="shared" si="1"/>
        <v>1050.4590000000001</v>
      </c>
      <c r="P45" s="58">
        <f t="shared" si="2"/>
        <v>6790.7310000000007</v>
      </c>
      <c r="Q45" s="51" t="str">
        <f t="shared" si="3"/>
        <v xml:space="preserve">si </v>
      </c>
      <c r="R45" s="20" t="s">
        <v>90</v>
      </c>
      <c r="S45" s="21" t="s">
        <v>91</v>
      </c>
      <c r="T45" s="53">
        <v>2010.8</v>
      </c>
      <c r="U45" s="58">
        <f t="shared" si="4"/>
        <v>-4779.9310000000005</v>
      </c>
      <c r="Y45" s="51" t="str">
        <f t="shared" si="5"/>
        <v>si</v>
      </c>
      <c r="Z45" s="339" t="s">
        <v>756</v>
      </c>
      <c r="AA45" s="358" t="s">
        <v>676</v>
      </c>
      <c r="AB45" s="53">
        <v>577.4</v>
      </c>
      <c r="AC45" s="360" t="s">
        <v>91</v>
      </c>
      <c r="AF45" s="51" t="str">
        <f t="shared" si="6"/>
        <v>si</v>
      </c>
      <c r="AG45" s="50" t="s">
        <v>756</v>
      </c>
      <c r="AH45" s="51" t="s">
        <v>91</v>
      </c>
      <c r="AI45" s="53">
        <v>6790.6</v>
      </c>
      <c r="AJ45" s="53">
        <f t="shared" si="7"/>
        <v>0.13100000000031287</v>
      </c>
    </row>
    <row r="46" spans="1:36" ht="12.75">
      <c r="A46" s="20" t="s">
        <v>92</v>
      </c>
      <c r="B46" s="21" t="s">
        <v>93</v>
      </c>
      <c r="C46" s="52">
        <f>+FACTURACIÓN!G46-'C&amp;A'!L46-'C&amp;A'!J46-'C&amp;A'!H46-'C&amp;A'!G46</f>
        <v>2603.4299999999998</v>
      </c>
      <c r="D46" s="53">
        <v>0</v>
      </c>
      <c r="E46" s="54">
        <f t="shared" si="0"/>
        <v>2603.4299999999998</v>
      </c>
      <c r="F46" s="54">
        <f>+FACTURACIÓN!H46</f>
        <v>0</v>
      </c>
      <c r="G46" s="54">
        <f>+FACTURACIÓN!I46</f>
        <v>0</v>
      </c>
      <c r="H46" s="54">
        <f>+FACTURACIÓN!J46</f>
        <v>0</v>
      </c>
      <c r="I46" s="54">
        <f>+FACTURACIÓN!K46</f>
        <v>0</v>
      </c>
      <c r="J46" s="54">
        <f>+FACTURACIÓN!L46</f>
        <v>0</v>
      </c>
      <c r="K46" s="54">
        <f>+FACTURACIÓN!M46</f>
        <v>0</v>
      </c>
      <c r="L46" s="54">
        <f>+FACTURACIÓN!N46</f>
        <v>0</v>
      </c>
      <c r="M46" s="54">
        <f>+FACTURACIÓN!O46</f>
        <v>0</v>
      </c>
      <c r="N46" s="54">
        <f>+FACTURACIÓN!P46</f>
        <v>58.91</v>
      </c>
      <c r="O46" s="53">
        <f t="shared" si="1"/>
        <v>58.91</v>
      </c>
      <c r="P46" s="58">
        <f t="shared" si="2"/>
        <v>2544.52</v>
      </c>
      <c r="Q46" s="51" t="str">
        <f t="shared" si="3"/>
        <v xml:space="preserve">si </v>
      </c>
      <c r="R46" s="20" t="s">
        <v>92</v>
      </c>
      <c r="S46" s="21" t="s">
        <v>93</v>
      </c>
      <c r="T46" s="53">
        <v>3044</v>
      </c>
      <c r="U46" s="58">
        <f t="shared" si="4"/>
        <v>499.48</v>
      </c>
      <c r="Y46" s="51" t="str">
        <f t="shared" si="5"/>
        <v>si</v>
      </c>
      <c r="Z46" s="339" t="s">
        <v>757</v>
      </c>
      <c r="AA46" s="358" t="s">
        <v>655</v>
      </c>
      <c r="AB46" s="53">
        <v>577.4</v>
      </c>
      <c r="AC46" s="360" t="s">
        <v>93</v>
      </c>
      <c r="AF46" s="51" t="str">
        <f t="shared" si="6"/>
        <v>si</v>
      </c>
      <c r="AG46" s="50" t="s">
        <v>757</v>
      </c>
      <c r="AH46" s="51" t="s">
        <v>93</v>
      </c>
      <c r="AI46" s="53">
        <v>2544.4</v>
      </c>
      <c r="AJ46" s="53">
        <f t="shared" si="7"/>
        <v>0.11999999999989086</v>
      </c>
    </row>
    <row r="47" spans="1:36" ht="12.75">
      <c r="A47" s="20" t="s">
        <v>94</v>
      </c>
      <c r="B47" s="21" t="s">
        <v>95</v>
      </c>
      <c r="C47" s="52">
        <f>+FACTURACIÓN!G47-'C&amp;A'!L47-'C&amp;A'!J47-'C&amp;A'!H47-'C&amp;A'!G47</f>
        <v>584.39</v>
      </c>
      <c r="D47" s="53">
        <v>0</v>
      </c>
      <c r="E47" s="54">
        <f t="shared" si="0"/>
        <v>584.39</v>
      </c>
      <c r="F47" s="54">
        <f>+FACTURACIÓN!H47</f>
        <v>0</v>
      </c>
      <c r="G47" s="54">
        <f>+FACTURACIÓN!I47</f>
        <v>0</v>
      </c>
      <c r="H47" s="54">
        <f>+FACTURACIÓN!J47</f>
        <v>0</v>
      </c>
      <c r="I47" s="54">
        <f>+FACTURACIÓN!K47</f>
        <v>0</v>
      </c>
      <c r="J47" s="54">
        <f>+FACTURACIÓN!L47</f>
        <v>0</v>
      </c>
      <c r="K47" s="54">
        <f>+FACTURACIÓN!M47</f>
        <v>0</v>
      </c>
      <c r="L47" s="54">
        <f>+FACTURACIÓN!N47</f>
        <v>0</v>
      </c>
      <c r="M47" s="54">
        <f>+FACTURACIÓN!O47</f>
        <v>0</v>
      </c>
      <c r="N47" s="54">
        <f>+FACTURACIÓN!P47</f>
        <v>0</v>
      </c>
      <c r="O47" s="53">
        <f t="shared" si="1"/>
        <v>0</v>
      </c>
      <c r="P47" s="58">
        <f t="shared" si="2"/>
        <v>584.39</v>
      </c>
      <c r="Q47" s="51" t="str">
        <f t="shared" si="3"/>
        <v xml:space="preserve">si </v>
      </c>
      <c r="R47" s="20" t="s">
        <v>94</v>
      </c>
      <c r="S47" s="21" t="s">
        <v>95</v>
      </c>
      <c r="T47" s="53">
        <v>156</v>
      </c>
      <c r="U47" s="58">
        <f t="shared" si="4"/>
        <v>-428.39</v>
      </c>
      <c r="Y47" s="51" t="str">
        <f t="shared" si="5"/>
        <v>si</v>
      </c>
      <c r="Z47" s="339" t="s">
        <v>758</v>
      </c>
      <c r="AA47" s="358" t="s">
        <v>640</v>
      </c>
      <c r="AB47" s="53">
        <v>577.4</v>
      </c>
      <c r="AC47" s="360" t="s">
        <v>95</v>
      </c>
      <c r="AF47" s="51" t="str">
        <f t="shared" si="6"/>
        <v>si</v>
      </c>
      <c r="AG47" s="50" t="s">
        <v>758</v>
      </c>
      <c r="AH47" s="51" t="s">
        <v>95</v>
      </c>
      <c r="AI47" s="53">
        <v>584.4</v>
      </c>
      <c r="AJ47" s="53">
        <f t="shared" si="7"/>
        <v>-9.9999999999909051E-3</v>
      </c>
    </row>
    <row r="48" spans="1:36" ht="12.75">
      <c r="A48" s="20" t="s">
        <v>96</v>
      </c>
      <c r="B48" s="21" t="s">
        <v>97</v>
      </c>
      <c r="C48" s="52">
        <f>+FACTURACIÓN!G48-'C&amp;A'!L48-'C&amp;A'!J48-'C&amp;A'!H48-'C&amp;A'!G48</f>
        <v>1056.1299999999999</v>
      </c>
      <c r="D48" s="53">
        <v>0</v>
      </c>
      <c r="E48" s="54">
        <f t="shared" si="0"/>
        <v>1056.1299999999999</v>
      </c>
      <c r="F48" s="54">
        <f>+FACTURACIÓN!H48</f>
        <v>0</v>
      </c>
      <c r="G48" s="54">
        <f>+FACTURACIÓN!I48</f>
        <v>0</v>
      </c>
      <c r="H48" s="54">
        <f>+FACTURACIÓN!J48</f>
        <v>0</v>
      </c>
      <c r="I48" s="54">
        <f>+FACTURACIÓN!K48</f>
        <v>0</v>
      </c>
      <c r="J48" s="54">
        <f>+FACTURACIÓN!L48</f>
        <v>0</v>
      </c>
      <c r="K48" s="54">
        <f>+FACTURACIÓN!M48</f>
        <v>0</v>
      </c>
      <c r="L48" s="54">
        <f>+FACTURACIÓN!N48</f>
        <v>0</v>
      </c>
      <c r="M48" s="54">
        <f>+FACTURACIÓN!O48</f>
        <v>0</v>
      </c>
      <c r="N48" s="54">
        <f>+FACTURACIÓN!P48</f>
        <v>0</v>
      </c>
      <c r="O48" s="53">
        <f t="shared" si="1"/>
        <v>0</v>
      </c>
      <c r="P48" s="58">
        <f t="shared" si="2"/>
        <v>1056.1299999999999</v>
      </c>
      <c r="Q48" s="51" t="str">
        <f t="shared" si="3"/>
        <v xml:space="preserve">si </v>
      </c>
      <c r="R48" s="20" t="s">
        <v>96</v>
      </c>
      <c r="S48" s="21" t="s">
        <v>97</v>
      </c>
      <c r="T48" s="53">
        <v>2219.1999999999998</v>
      </c>
      <c r="U48" s="58">
        <f t="shared" si="4"/>
        <v>1163.07</v>
      </c>
      <c r="Y48" s="51" t="str">
        <f t="shared" si="5"/>
        <v>si</v>
      </c>
      <c r="Z48" s="339" t="s">
        <v>759</v>
      </c>
      <c r="AA48" s="358" t="s">
        <v>681</v>
      </c>
      <c r="AB48" s="53">
        <v>577.20000000000005</v>
      </c>
      <c r="AC48" s="360" t="s">
        <v>97</v>
      </c>
      <c r="AF48" s="51" t="str">
        <f t="shared" si="6"/>
        <v>si</v>
      </c>
      <c r="AG48" s="50" t="s">
        <v>759</v>
      </c>
      <c r="AH48" s="51" t="s">
        <v>97</v>
      </c>
      <c r="AI48" s="53">
        <v>1056.2</v>
      </c>
      <c r="AJ48" s="53">
        <f t="shared" si="7"/>
        <v>-7.0000000000163709E-2</v>
      </c>
    </row>
    <row r="49" spans="1:36" ht="12.75">
      <c r="A49" s="20" t="s">
        <v>99</v>
      </c>
      <c r="B49" s="21" t="s">
        <v>100</v>
      </c>
      <c r="C49" s="52">
        <f>+FACTURACIÓN!G49-'C&amp;A'!L49-'C&amp;A'!J49-'C&amp;A'!H49-'C&amp;A'!G49</f>
        <v>29.809999999999945</v>
      </c>
      <c r="D49" s="53">
        <v>0</v>
      </c>
      <c r="E49" s="54">
        <f t="shared" si="0"/>
        <v>29.809999999999945</v>
      </c>
      <c r="F49" s="54">
        <f>+FACTURACIÓN!H49</f>
        <v>0</v>
      </c>
      <c r="G49" s="54">
        <f>+FACTURACIÓN!I49</f>
        <v>0</v>
      </c>
      <c r="H49" s="54">
        <f>+FACTURACIÓN!J49</f>
        <v>0</v>
      </c>
      <c r="I49" s="54">
        <f>+FACTURACIÓN!K49</f>
        <v>0</v>
      </c>
      <c r="J49" s="54">
        <f>+FACTURACIÓN!L49</f>
        <v>0</v>
      </c>
      <c r="K49" s="54">
        <f>+FACTURACIÓN!M49</f>
        <v>0</v>
      </c>
      <c r="L49" s="54">
        <f>+FACTURACIÓN!N49</f>
        <v>0</v>
      </c>
      <c r="M49" s="54">
        <f>+FACTURACIÓN!O49</f>
        <v>0</v>
      </c>
      <c r="N49" s="54">
        <f>+FACTURACIÓN!P49</f>
        <v>0</v>
      </c>
      <c r="O49" s="53">
        <f t="shared" si="1"/>
        <v>0</v>
      </c>
      <c r="P49" s="58">
        <f t="shared" si="2"/>
        <v>29.809999999999945</v>
      </c>
      <c r="Q49" s="51" t="str">
        <f t="shared" si="3"/>
        <v xml:space="preserve">si </v>
      </c>
      <c r="R49" s="20" t="s">
        <v>99</v>
      </c>
      <c r="S49" s="21" t="s">
        <v>100</v>
      </c>
      <c r="T49" s="53">
        <v>2424.8000000000002</v>
      </c>
      <c r="U49" s="58">
        <f t="shared" si="4"/>
        <v>2394.9900000000002</v>
      </c>
      <c r="Y49" s="51" t="str">
        <f t="shared" si="5"/>
        <v>si</v>
      </c>
      <c r="Z49" s="339" t="s">
        <v>760</v>
      </c>
      <c r="AA49" s="358" t="s">
        <v>693</v>
      </c>
      <c r="AB49" s="53">
        <v>577.20000000000005</v>
      </c>
      <c r="AC49" s="360" t="s">
        <v>100</v>
      </c>
      <c r="AF49" s="51" t="str">
        <f t="shared" si="6"/>
        <v>si</v>
      </c>
      <c r="AG49" s="50" t="s">
        <v>760</v>
      </c>
      <c r="AH49" s="51" t="s">
        <v>100</v>
      </c>
      <c r="AI49" s="53">
        <v>29.8</v>
      </c>
      <c r="AJ49" s="53">
        <f t="shared" si="7"/>
        <v>9.9999999999447198E-3</v>
      </c>
    </row>
    <row r="50" spans="1:36" ht="12.75">
      <c r="A50" s="20" t="s">
        <v>101</v>
      </c>
      <c r="B50" s="21" t="s">
        <v>102</v>
      </c>
      <c r="C50" s="52">
        <f>+FACTURACIÓN!G50-'C&amp;A'!L50-'C&amp;A'!J50-'C&amp;A'!H50-'C&amp;A'!G50</f>
        <v>229.10000000000002</v>
      </c>
      <c r="D50" s="53">
        <v>0</v>
      </c>
      <c r="E50" s="54">
        <f t="shared" si="0"/>
        <v>229.10000000000002</v>
      </c>
      <c r="F50" s="54">
        <f>+FACTURACIÓN!H50</f>
        <v>100</v>
      </c>
      <c r="G50" s="54">
        <f>+FACTURACIÓN!I50</f>
        <v>39.508700000000005</v>
      </c>
      <c r="H50" s="54">
        <f>+FACTURACIÓN!J50</f>
        <v>8.0630000000000006</v>
      </c>
      <c r="I50" s="54">
        <f>+FACTURACIÓN!K50</f>
        <v>0</v>
      </c>
      <c r="J50" s="54">
        <f>+FACTURACIÓN!L50</f>
        <v>0</v>
      </c>
      <c r="K50" s="54">
        <f>+FACTURACIÓN!M50</f>
        <v>0</v>
      </c>
      <c r="L50" s="54">
        <f>+FACTURACIÓN!N50</f>
        <v>0</v>
      </c>
      <c r="M50" s="54">
        <f>+FACTURACIÓN!O50</f>
        <v>0</v>
      </c>
      <c r="N50" s="54">
        <f>+FACTURACIÓN!P50</f>
        <v>0</v>
      </c>
      <c r="O50" s="53">
        <f t="shared" si="1"/>
        <v>147.57169999999999</v>
      </c>
      <c r="P50" s="58">
        <f t="shared" si="2"/>
        <v>81.52830000000003</v>
      </c>
      <c r="Q50" s="51" t="str">
        <f t="shared" si="3"/>
        <v xml:space="preserve">si </v>
      </c>
      <c r="R50" s="20" t="s">
        <v>101</v>
      </c>
      <c r="S50" s="21" t="s">
        <v>102</v>
      </c>
      <c r="T50" s="53">
        <v>2865</v>
      </c>
      <c r="U50" s="58">
        <f t="shared" si="4"/>
        <v>2783.4717000000001</v>
      </c>
      <c r="Y50" s="51" t="str">
        <f t="shared" si="5"/>
        <v>si</v>
      </c>
      <c r="Z50" s="339" t="s">
        <v>761</v>
      </c>
      <c r="AA50" s="358" t="s">
        <v>672</v>
      </c>
      <c r="AB50" s="53">
        <v>577.20000000000005</v>
      </c>
      <c r="AC50" s="360" t="s">
        <v>102</v>
      </c>
      <c r="AF50" s="51" t="str">
        <f t="shared" si="6"/>
        <v>si</v>
      </c>
      <c r="AG50" s="50" t="s">
        <v>761</v>
      </c>
      <c r="AH50" s="51" t="s">
        <v>102</v>
      </c>
      <c r="AI50" s="53">
        <v>81.599999999999994</v>
      </c>
      <c r="AJ50" s="53">
        <f t="shared" si="7"/>
        <v>-7.1699999999964348E-2</v>
      </c>
    </row>
    <row r="51" spans="1:36" ht="12.75">
      <c r="A51" s="50" t="s">
        <v>762</v>
      </c>
      <c r="B51" s="51" t="s">
        <v>763</v>
      </c>
      <c r="C51" s="52">
        <f>+FACTURACIÓN!G51-'C&amp;A'!L51-'C&amp;A'!J51-'C&amp;A'!H51-'C&amp;A'!G51</f>
        <v>3436.4309999999996</v>
      </c>
      <c r="D51" s="53">
        <v>0</v>
      </c>
      <c r="E51" s="54">
        <f t="shared" si="0"/>
        <v>3436.4309999999996</v>
      </c>
      <c r="F51" s="54">
        <f>+FACTURACIÓN!H51</f>
        <v>0</v>
      </c>
      <c r="G51" s="54">
        <f>+FACTURACIÓN!I51</f>
        <v>196.677719</v>
      </c>
      <c r="H51" s="54">
        <f>+FACTURACIÓN!J51</f>
        <v>40.138309999999997</v>
      </c>
      <c r="I51" s="54">
        <f>+FACTURACIÓN!K51</f>
        <v>0</v>
      </c>
      <c r="J51" s="54">
        <f>+FACTURACIÓN!L51</f>
        <v>0</v>
      </c>
      <c r="K51" s="54">
        <f>+FACTURACIÓN!M51</f>
        <v>0</v>
      </c>
      <c r="L51" s="54">
        <f>+FACTURACIÓN!N51</f>
        <v>0</v>
      </c>
      <c r="M51" s="54">
        <f>+FACTURACIÓN!O51</f>
        <v>401.38310000000001</v>
      </c>
      <c r="N51" s="54">
        <f>+FACTURACIÓN!P51</f>
        <v>0</v>
      </c>
      <c r="O51" s="53">
        <f t="shared" si="1"/>
        <v>638.19912899999997</v>
      </c>
      <c r="P51" s="58">
        <f t="shared" si="2"/>
        <v>2798.2318709999995</v>
      </c>
      <c r="Q51" s="51" t="str">
        <f t="shared" si="3"/>
        <v xml:space="preserve">si </v>
      </c>
      <c r="R51" s="50" t="s">
        <v>762</v>
      </c>
      <c r="S51" s="51" t="s">
        <v>763</v>
      </c>
      <c r="T51" s="53">
        <v>2484.1999999999998</v>
      </c>
      <c r="U51" s="58">
        <f t="shared" si="4"/>
        <v>-314.03187099999968</v>
      </c>
      <c r="Y51" s="51" t="str">
        <f t="shared" si="5"/>
        <v>si</v>
      </c>
      <c r="Z51" s="339" t="s">
        <v>762</v>
      </c>
      <c r="AA51" s="358">
        <v>2948910731</v>
      </c>
      <c r="AB51" s="53">
        <v>577.4</v>
      </c>
      <c r="AC51" s="360" t="s">
        <v>763</v>
      </c>
      <c r="AF51" s="51" t="str">
        <f t="shared" si="6"/>
        <v>si</v>
      </c>
      <c r="AG51" s="50" t="s">
        <v>762</v>
      </c>
      <c r="AH51" s="51" t="s">
        <v>763</v>
      </c>
      <c r="AI51" s="53">
        <v>2798.2</v>
      </c>
      <c r="AJ51" s="53">
        <f t="shared" si="7"/>
        <v>3.1870999999682681E-2</v>
      </c>
    </row>
    <row r="52" spans="1:36" ht="12.75">
      <c r="A52" s="20" t="s">
        <v>103</v>
      </c>
      <c r="B52" s="21" t="s">
        <v>104</v>
      </c>
      <c r="C52" s="52">
        <f>+FACTURACIÓN!G52-'C&amp;A'!L52-'C&amp;A'!J52-'C&amp;A'!H52-'C&amp;A'!G52</f>
        <v>1861.8100000000002</v>
      </c>
      <c r="D52" s="53">
        <v>0</v>
      </c>
      <c r="E52" s="54">
        <f t="shared" si="0"/>
        <v>1861.8100000000002</v>
      </c>
      <c r="F52" s="54">
        <f>+FACTURACIÓN!H52</f>
        <v>0</v>
      </c>
      <c r="G52" s="54">
        <f>+FACTURACIÓN!I52</f>
        <v>119.51149000000001</v>
      </c>
      <c r="H52" s="54">
        <f>+FACTURACIÓN!J52</f>
        <v>24.390100000000004</v>
      </c>
      <c r="I52" s="54">
        <f>+FACTURACIÓN!K52</f>
        <v>0</v>
      </c>
      <c r="J52" s="54">
        <f>+FACTURACIÓN!L52</f>
        <v>0</v>
      </c>
      <c r="K52" s="54">
        <f>+FACTURACIÓN!M52</f>
        <v>0</v>
      </c>
      <c r="L52" s="54">
        <f>+FACTURACIÓN!N52</f>
        <v>0</v>
      </c>
      <c r="M52" s="54">
        <f>+FACTURACIÓN!O52</f>
        <v>0</v>
      </c>
      <c r="N52" s="54">
        <f>+FACTURACIÓN!P52</f>
        <v>0</v>
      </c>
      <c r="O52" s="53">
        <f t="shared" si="1"/>
        <v>143.90159</v>
      </c>
      <c r="P52" s="58">
        <f t="shared" si="2"/>
        <v>1717.9084100000002</v>
      </c>
      <c r="Q52" s="51" t="str">
        <f t="shared" si="3"/>
        <v xml:space="preserve">si </v>
      </c>
      <c r="R52" s="20" t="s">
        <v>103</v>
      </c>
      <c r="S52" s="21" t="s">
        <v>104</v>
      </c>
      <c r="T52" s="53">
        <v>894</v>
      </c>
      <c r="U52" s="58">
        <f t="shared" si="4"/>
        <v>-823.90841000000023</v>
      </c>
      <c r="Y52" s="51" t="str">
        <f t="shared" si="5"/>
        <v>si</v>
      </c>
      <c r="Z52" s="339" t="s">
        <v>764</v>
      </c>
      <c r="AA52" s="358" t="s">
        <v>651</v>
      </c>
      <c r="AB52" s="53">
        <v>577.20000000000005</v>
      </c>
      <c r="AC52" s="360" t="s">
        <v>104</v>
      </c>
      <c r="AF52" s="51" t="str">
        <f t="shared" si="6"/>
        <v>si</v>
      </c>
      <c r="AG52" s="50" t="s">
        <v>764</v>
      </c>
      <c r="AH52" s="51" t="s">
        <v>104</v>
      </c>
      <c r="AI52" s="53">
        <v>1717.8</v>
      </c>
      <c r="AJ52" s="53">
        <f t="shared" si="7"/>
        <v>0.10841000000027634</v>
      </c>
    </row>
    <row r="53" spans="1:36" ht="12.75">
      <c r="A53" s="20" t="s">
        <v>105</v>
      </c>
      <c r="B53" s="21" t="s">
        <v>106</v>
      </c>
      <c r="C53" s="52">
        <f>+FACTURACIÓN!G53-'C&amp;A'!L53-'C&amp;A'!J53-'C&amp;A'!H53-'C&amp;A'!G53</f>
        <v>2601.6</v>
      </c>
      <c r="D53" s="53">
        <v>0</v>
      </c>
      <c r="E53" s="54">
        <f t="shared" si="0"/>
        <v>2601.6</v>
      </c>
      <c r="F53" s="54">
        <f>+FACTURACIÓN!H53</f>
        <v>0</v>
      </c>
      <c r="G53" s="54">
        <f>+FACTURACIÓN!I53</f>
        <v>0</v>
      </c>
      <c r="H53" s="54">
        <f>+FACTURACIÓN!J53</f>
        <v>0</v>
      </c>
      <c r="I53" s="54">
        <f>+FACTURACIÓN!K53</f>
        <v>0</v>
      </c>
      <c r="J53" s="54">
        <f>+FACTURACIÓN!L53</f>
        <v>0</v>
      </c>
      <c r="K53" s="54">
        <f>+FACTURACIÓN!M53</f>
        <v>0</v>
      </c>
      <c r="L53" s="54">
        <f>+FACTURACIÓN!N53</f>
        <v>0</v>
      </c>
      <c r="M53" s="54">
        <f>+FACTURACIÓN!O53</f>
        <v>0</v>
      </c>
      <c r="N53" s="54">
        <f>+FACTURACIÓN!P53</f>
        <v>0</v>
      </c>
      <c r="O53" s="53">
        <f t="shared" si="1"/>
        <v>0</v>
      </c>
      <c r="P53" s="58">
        <f t="shared" si="2"/>
        <v>2601.6</v>
      </c>
      <c r="Q53" s="51" t="str">
        <f t="shared" si="3"/>
        <v xml:space="preserve">si </v>
      </c>
      <c r="R53" s="20" t="s">
        <v>105</v>
      </c>
      <c r="S53" s="21" t="s">
        <v>106</v>
      </c>
      <c r="T53" s="53">
        <v>1269.4000000000001</v>
      </c>
      <c r="U53" s="58">
        <f t="shared" si="4"/>
        <v>-1332.1999999999998</v>
      </c>
      <c r="Y53" s="51" t="str">
        <f t="shared" si="5"/>
        <v>si</v>
      </c>
      <c r="Z53" s="339" t="s">
        <v>765</v>
      </c>
      <c r="AA53" s="358" t="s">
        <v>687</v>
      </c>
      <c r="AB53" s="53">
        <v>577.4</v>
      </c>
      <c r="AC53" s="360" t="s">
        <v>106</v>
      </c>
      <c r="AF53" s="51" t="str">
        <f t="shared" si="6"/>
        <v>si</v>
      </c>
      <c r="AG53" s="50" t="s">
        <v>765</v>
      </c>
      <c r="AH53" s="51" t="s">
        <v>106</v>
      </c>
      <c r="AI53" s="53">
        <v>2601.6</v>
      </c>
      <c r="AJ53" s="53">
        <f t="shared" si="7"/>
        <v>0</v>
      </c>
    </row>
    <row r="54" spans="1:36" ht="12.75">
      <c r="A54" s="50" t="s">
        <v>516</v>
      </c>
      <c r="B54" s="21" t="s">
        <v>515</v>
      </c>
      <c r="C54" s="52">
        <f>+FACTURACIÓN!G54-'C&amp;A'!L54-'C&amp;A'!J54-'C&amp;A'!H54-'C&amp;A'!G54</f>
        <v>2730.8</v>
      </c>
      <c r="D54" s="53">
        <v>0</v>
      </c>
      <c r="E54" s="54">
        <f t="shared" si="0"/>
        <v>2730.8</v>
      </c>
      <c r="F54" s="54">
        <f>+FACTURACIÓN!H54</f>
        <v>0</v>
      </c>
      <c r="G54" s="54">
        <f>+FACTURACIÓN!I54</f>
        <v>0</v>
      </c>
      <c r="H54" s="54">
        <f>+FACTURACIÓN!J54</f>
        <v>33.08</v>
      </c>
      <c r="I54" s="54">
        <f>+FACTURACIÓN!K54</f>
        <v>0</v>
      </c>
      <c r="J54" s="54">
        <f>+FACTURACIÓN!L54</f>
        <v>0</v>
      </c>
      <c r="K54" s="54">
        <f>+FACTURACIÓN!M54</f>
        <v>0</v>
      </c>
      <c r="L54" s="54">
        <f>+FACTURACIÓN!N54</f>
        <v>0</v>
      </c>
      <c r="M54" s="54">
        <f>+FACTURACIÓN!O54</f>
        <v>0</v>
      </c>
      <c r="N54" s="54">
        <f>+FACTURACIÓN!P54</f>
        <v>0</v>
      </c>
      <c r="O54" s="53">
        <f t="shared" si="1"/>
        <v>33.08</v>
      </c>
      <c r="P54" s="58">
        <f t="shared" si="2"/>
        <v>2697.7200000000003</v>
      </c>
      <c r="Q54" s="51" t="str">
        <f t="shared" si="3"/>
        <v xml:space="preserve">si </v>
      </c>
      <c r="R54" s="50" t="s">
        <v>516</v>
      </c>
      <c r="S54" s="21" t="s">
        <v>515</v>
      </c>
      <c r="T54" s="53">
        <v>4421.8</v>
      </c>
      <c r="U54" s="58">
        <f t="shared" si="4"/>
        <v>1724.08</v>
      </c>
      <c r="Y54" s="51" t="str">
        <f t="shared" si="5"/>
        <v>si</v>
      </c>
      <c r="Z54" s="339" t="s">
        <v>516</v>
      </c>
      <c r="AA54" s="358">
        <v>1296641458</v>
      </c>
      <c r="AB54" s="53">
        <v>577.20000000000005</v>
      </c>
      <c r="AC54" s="360" t="s">
        <v>515</v>
      </c>
      <c r="AF54" s="51" t="str">
        <f t="shared" si="6"/>
        <v>si</v>
      </c>
      <c r="AG54" s="50" t="s">
        <v>516</v>
      </c>
      <c r="AH54" s="51" t="s">
        <v>515</v>
      </c>
      <c r="AI54" s="53">
        <v>2697.8</v>
      </c>
      <c r="AJ54" s="53">
        <f t="shared" si="7"/>
        <v>-7.999999999992724E-2</v>
      </c>
    </row>
    <row r="55" spans="1:36" ht="12.75">
      <c r="A55" s="50" t="s">
        <v>504</v>
      </c>
      <c r="B55" s="21" t="s">
        <v>505</v>
      </c>
      <c r="C55" s="52">
        <f>+FACTURACIÓN!G55-'C&amp;A'!L55-'C&amp;A'!J55-'C&amp;A'!H55-'C&amp;A'!G55</f>
        <v>939.2700000000001</v>
      </c>
      <c r="D55" s="53">
        <v>0</v>
      </c>
      <c r="E55" s="54">
        <f t="shared" si="0"/>
        <v>939.2700000000001</v>
      </c>
      <c r="F55" s="54">
        <f>+FACTURACIÓN!H55</f>
        <v>0</v>
      </c>
      <c r="G55" s="54">
        <f>+FACTURACIÓN!I55</f>
        <v>0</v>
      </c>
      <c r="H55" s="54">
        <f>+FACTURACIÓN!J55</f>
        <v>0</v>
      </c>
      <c r="I55" s="54">
        <f>+FACTURACIÓN!K55</f>
        <v>0</v>
      </c>
      <c r="J55" s="54">
        <f>+FACTURACIÓN!L55</f>
        <v>0</v>
      </c>
      <c r="K55" s="54">
        <f>+FACTURACIÓN!M55</f>
        <v>0</v>
      </c>
      <c r="L55" s="54">
        <f>+FACTURACIÓN!N55</f>
        <v>0</v>
      </c>
      <c r="M55" s="54">
        <f>+FACTURACIÓN!O55</f>
        <v>0</v>
      </c>
      <c r="N55" s="54">
        <f>+FACTURACIÓN!P55</f>
        <v>0</v>
      </c>
      <c r="O55" s="53">
        <f t="shared" si="1"/>
        <v>0</v>
      </c>
      <c r="P55" s="58">
        <f t="shared" si="2"/>
        <v>939.2700000000001</v>
      </c>
      <c r="Q55" s="51" t="str">
        <f t="shared" si="3"/>
        <v xml:space="preserve">si </v>
      </c>
      <c r="R55" s="50" t="s">
        <v>504</v>
      </c>
      <c r="S55" s="21" t="s">
        <v>505</v>
      </c>
      <c r="T55" s="53">
        <v>565.20000000000005</v>
      </c>
      <c r="U55" s="58">
        <f>+T55-P55</f>
        <v>-374.07000000000005</v>
      </c>
      <c r="Y55" s="51" t="str">
        <f t="shared" si="5"/>
        <v>si</v>
      </c>
      <c r="Z55" s="339" t="s">
        <v>504</v>
      </c>
      <c r="AA55" s="358">
        <v>2959119167</v>
      </c>
      <c r="AB55" s="53">
        <v>577.4</v>
      </c>
      <c r="AC55" s="360" t="s">
        <v>505</v>
      </c>
      <c r="AF55" s="51" t="str">
        <f t="shared" si="6"/>
        <v>si</v>
      </c>
      <c r="AG55" s="50" t="s">
        <v>504</v>
      </c>
      <c r="AH55" s="51" t="s">
        <v>505</v>
      </c>
      <c r="AI55" s="53">
        <v>939.4</v>
      </c>
      <c r="AJ55" s="53">
        <f t="shared" si="7"/>
        <v>-0.12999999999988177</v>
      </c>
    </row>
    <row r="56" spans="1:36" ht="12.75">
      <c r="A56" s="20" t="s">
        <v>107</v>
      </c>
      <c r="B56" s="21" t="s">
        <v>108</v>
      </c>
      <c r="C56" s="52">
        <f>+FACTURACIÓN!G56-'C&amp;A'!L56-'C&amp;A'!J56-'C&amp;A'!H56-'C&amp;A'!G56</f>
        <v>4149.6100000000006</v>
      </c>
      <c r="D56" s="53">
        <v>0</v>
      </c>
      <c r="E56" s="54">
        <f t="shared" si="0"/>
        <v>4149.6100000000006</v>
      </c>
      <c r="F56" s="54">
        <f>+FACTURACIÓN!H56</f>
        <v>0</v>
      </c>
      <c r="G56" s="54">
        <f>+FACTURACIÓN!I56</f>
        <v>0</v>
      </c>
      <c r="H56" s="54">
        <f>+FACTURACIÓN!J56</f>
        <v>0</v>
      </c>
      <c r="I56" s="54">
        <f>+FACTURACIÓN!K56</f>
        <v>0</v>
      </c>
      <c r="J56" s="54">
        <f>+FACTURACIÓN!L56</f>
        <v>0</v>
      </c>
      <c r="K56" s="54">
        <f>+FACTURACIÓN!M56</f>
        <v>0</v>
      </c>
      <c r="L56" s="54">
        <f>+FACTURACIÓN!N56</f>
        <v>0</v>
      </c>
      <c r="M56" s="54">
        <f>+FACTURACIÓN!O56</f>
        <v>472.70100000000002</v>
      </c>
      <c r="N56" s="54">
        <f>+FACTURACIÓN!P56</f>
        <v>58.91</v>
      </c>
      <c r="O56" s="53">
        <f t="shared" si="1"/>
        <v>531.61099999999999</v>
      </c>
      <c r="P56" s="58">
        <f t="shared" si="2"/>
        <v>3617.9990000000007</v>
      </c>
      <c r="Q56" s="51" t="str">
        <f t="shared" si="3"/>
        <v xml:space="preserve">si </v>
      </c>
      <c r="R56" s="20" t="s">
        <v>107</v>
      </c>
      <c r="S56" s="21" t="s">
        <v>108</v>
      </c>
      <c r="T56" s="53">
        <v>2211.6</v>
      </c>
      <c r="U56" s="58">
        <f t="shared" ref="U56:U92" si="8">+T56-P56</f>
        <v>-1406.3990000000008</v>
      </c>
      <c r="Y56" s="51" t="str">
        <f t="shared" si="5"/>
        <v>si</v>
      </c>
      <c r="Z56" s="339" t="s">
        <v>766</v>
      </c>
      <c r="AA56" s="358" t="s">
        <v>659</v>
      </c>
      <c r="AB56" s="53">
        <v>577.4</v>
      </c>
      <c r="AC56" s="360" t="s">
        <v>108</v>
      </c>
      <c r="AF56" s="51" t="str">
        <f t="shared" si="6"/>
        <v>si</v>
      </c>
      <c r="AG56" s="50" t="s">
        <v>766</v>
      </c>
      <c r="AH56" s="51" t="s">
        <v>108</v>
      </c>
      <c r="AI56" s="53">
        <v>3618</v>
      </c>
      <c r="AJ56" s="53">
        <f t="shared" si="7"/>
        <v>-9.9999999929423211E-4</v>
      </c>
    </row>
    <row r="57" spans="1:36" ht="12.75">
      <c r="A57" s="20" t="s">
        <v>109</v>
      </c>
      <c r="B57" s="21" t="s">
        <v>110</v>
      </c>
      <c r="C57" s="52">
        <f>+FACTURACIÓN!G57-'C&amp;A'!L57-'C&amp;A'!J57-'C&amp;A'!H57-'C&amp;A'!G57</f>
        <v>21129.22</v>
      </c>
      <c r="D57" s="53">
        <v>0</v>
      </c>
      <c r="E57" s="54">
        <f t="shared" si="0"/>
        <v>21129.22</v>
      </c>
      <c r="F57" s="54">
        <f>+FACTURACIÓN!H57</f>
        <v>0</v>
      </c>
      <c r="G57" s="54">
        <f>+FACTURACIÓN!I57</f>
        <v>0</v>
      </c>
      <c r="H57" s="54">
        <f>+FACTURACIÓN!J57</f>
        <v>0</v>
      </c>
      <c r="I57" s="54">
        <f>+FACTURACIÓN!K57</f>
        <v>0</v>
      </c>
      <c r="J57" s="54">
        <f>+FACTURACIÓN!L57</f>
        <v>0</v>
      </c>
      <c r="K57" s="54">
        <f>+FACTURACIÓN!M57</f>
        <v>0</v>
      </c>
      <c r="L57" s="54">
        <f>+FACTURACIÓN!N57</f>
        <v>0</v>
      </c>
      <c r="M57" s="54">
        <f>+FACTURACIÓN!O57</f>
        <v>2170.6420000000003</v>
      </c>
      <c r="N57" s="54">
        <f>+FACTURACIÓN!P57</f>
        <v>0</v>
      </c>
      <c r="O57" s="53">
        <f t="shared" si="1"/>
        <v>2170.6420000000003</v>
      </c>
      <c r="P57" s="58">
        <f t="shared" si="2"/>
        <v>18958.578000000001</v>
      </c>
      <c r="Q57" s="51" t="str">
        <f t="shared" si="3"/>
        <v xml:space="preserve">si </v>
      </c>
      <c r="R57" s="20" t="s">
        <v>109</v>
      </c>
      <c r="S57" s="21" t="s">
        <v>110</v>
      </c>
      <c r="T57" s="53">
        <v>638.79999999999995</v>
      </c>
      <c r="U57" s="58">
        <f t="shared" si="8"/>
        <v>-18319.778000000002</v>
      </c>
      <c r="V57" s="51" t="s">
        <v>803</v>
      </c>
      <c r="W57" s="53">
        <v>23.6</v>
      </c>
      <c r="Y57" s="51" t="str">
        <f t="shared" si="5"/>
        <v>si</v>
      </c>
      <c r="Z57" s="339" t="s">
        <v>506</v>
      </c>
      <c r="AA57" s="358" t="s">
        <v>650</v>
      </c>
      <c r="AB57" s="53">
        <v>577.20000000000005</v>
      </c>
      <c r="AC57" s="360" t="s">
        <v>110</v>
      </c>
      <c r="AF57" s="51" t="str">
        <f t="shared" si="6"/>
        <v>si</v>
      </c>
      <c r="AG57" s="50" t="s">
        <v>506</v>
      </c>
      <c r="AH57" s="51" t="s">
        <v>110</v>
      </c>
      <c r="AI57" s="53">
        <v>18958.599999999999</v>
      </c>
      <c r="AJ57" s="53">
        <f t="shared" si="7"/>
        <v>-2.1999999997206032E-2</v>
      </c>
    </row>
    <row r="58" spans="1:36" ht="12.75">
      <c r="A58" s="20" t="s">
        <v>196</v>
      </c>
      <c r="B58" s="21" t="s">
        <v>296</v>
      </c>
      <c r="C58" s="52">
        <f>+FACTURACIÓN!G58-'C&amp;A'!L58-'C&amp;A'!J58-'C&amp;A'!H58-'C&amp;A'!G58</f>
        <v>4154.09</v>
      </c>
      <c r="D58" s="53">
        <v>0</v>
      </c>
      <c r="E58" s="54">
        <f t="shared" si="0"/>
        <v>4154.09</v>
      </c>
      <c r="F58" s="54">
        <f>+FACTURACIÓN!H58</f>
        <v>0</v>
      </c>
      <c r="G58" s="54">
        <f>+FACTURACIÓN!I58</f>
        <v>0</v>
      </c>
      <c r="H58" s="54">
        <f>+FACTURACIÓN!J58</f>
        <v>0</v>
      </c>
      <c r="I58" s="54">
        <f>+FACTURACIÓN!K58</f>
        <v>0</v>
      </c>
      <c r="J58" s="54">
        <f>+FACTURACIÓN!L58</f>
        <v>0</v>
      </c>
      <c r="K58" s="54">
        <f>+FACTURACIÓN!M58</f>
        <v>0</v>
      </c>
      <c r="L58" s="54">
        <f>+FACTURACIÓN!N58</f>
        <v>875.69</v>
      </c>
      <c r="M58" s="54">
        <f>+FACTURACIÓN!O58</f>
        <v>473.12900000000002</v>
      </c>
      <c r="N58" s="54">
        <f>+FACTURACIÓN!P58</f>
        <v>0</v>
      </c>
      <c r="O58" s="53">
        <f t="shared" si="1"/>
        <v>1348.819</v>
      </c>
      <c r="P58" s="58">
        <f t="shared" si="2"/>
        <v>2805.2710000000002</v>
      </c>
      <c r="Q58" s="51" t="str">
        <f t="shared" si="3"/>
        <v xml:space="preserve">si </v>
      </c>
      <c r="R58" s="20" t="s">
        <v>196</v>
      </c>
      <c r="S58" s="21" t="s">
        <v>296</v>
      </c>
      <c r="T58" s="53">
        <v>23.6</v>
      </c>
      <c r="U58" s="58">
        <f t="shared" si="8"/>
        <v>-2781.6710000000003</v>
      </c>
      <c r="Y58" s="51" t="str">
        <f t="shared" si="5"/>
        <v>si</v>
      </c>
      <c r="Z58" s="339" t="s">
        <v>767</v>
      </c>
      <c r="AA58" s="358">
        <v>2967093632</v>
      </c>
      <c r="AB58" s="53">
        <v>577.20000000000005</v>
      </c>
      <c r="AC58" s="360" t="s">
        <v>296</v>
      </c>
      <c r="AF58" s="51" t="str">
        <f t="shared" si="6"/>
        <v>si</v>
      </c>
      <c r="AG58" s="50" t="s">
        <v>767</v>
      </c>
      <c r="AH58" s="51" t="s">
        <v>296</v>
      </c>
      <c r="AI58" s="53">
        <v>2805.2</v>
      </c>
      <c r="AJ58" s="53">
        <f t="shared" si="7"/>
        <v>7.1000000000367436E-2</v>
      </c>
    </row>
    <row r="59" spans="1:36" ht="12.75">
      <c r="A59" s="20" t="s">
        <v>111</v>
      </c>
      <c r="B59" s="21" t="s">
        <v>112</v>
      </c>
      <c r="C59" s="52">
        <f>+FACTURACIÓN!G59-'C&amp;A'!L59-'C&amp;A'!J59-'C&amp;A'!H59-'C&amp;A'!G59</f>
        <v>5955.9400000000005</v>
      </c>
      <c r="D59" s="53">
        <v>0</v>
      </c>
      <c r="E59" s="54">
        <f t="shared" si="0"/>
        <v>5955.9400000000005</v>
      </c>
      <c r="F59" s="54">
        <f>+FACTURACIÓN!H59</f>
        <v>0</v>
      </c>
      <c r="G59" s="54">
        <f>+FACTURACIÓN!I59</f>
        <v>0</v>
      </c>
      <c r="H59" s="54">
        <f>+FACTURACIÓN!J59</f>
        <v>0</v>
      </c>
      <c r="I59" s="54">
        <f>+FACTURACIÓN!K59</f>
        <v>0</v>
      </c>
      <c r="J59" s="54">
        <f>+FACTURACIÓN!L59</f>
        <v>0</v>
      </c>
      <c r="K59" s="54">
        <f>+FACTURACIÓN!M59</f>
        <v>0</v>
      </c>
      <c r="L59" s="54">
        <f>+FACTURACIÓN!N59</f>
        <v>0</v>
      </c>
      <c r="M59" s="54">
        <f>+FACTURACIÓN!O59</f>
        <v>653.32500000000005</v>
      </c>
      <c r="N59" s="54">
        <f>+FACTURACIÓN!P59</f>
        <v>0</v>
      </c>
      <c r="O59" s="53">
        <f t="shared" si="1"/>
        <v>653.32500000000005</v>
      </c>
      <c r="P59" s="58">
        <f t="shared" si="2"/>
        <v>5302.6150000000007</v>
      </c>
      <c r="Q59" s="51" t="str">
        <f t="shared" si="3"/>
        <v xml:space="preserve">si </v>
      </c>
      <c r="R59" s="20" t="s">
        <v>111</v>
      </c>
      <c r="S59" s="21" t="s">
        <v>112</v>
      </c>
      <c r="T59" s="53">
        <v>1627.4</v>
      </c>
      <c r="U59" s="58">
        <f t="shared" si="8"/>
        <v>-3675.2150000000006</v>
      </c>
      <c r="Y59" s="51" t="str">
        <f t="shared" si="5"/>
        <v>si</v>
      </c>
      <c r="Z59" s="339" t="s">
        <v>111</v>
      </c>
      <c r="AA59" s="358" t="s">
        <v>686</v>
      </c>
      <c r="AB59" s="53">
        <v>45.000000000000057</v>
      </c>
      <c r="AC59" s="360" t="s">
        <v>112</v>
      </c>
      <c r="AF59" s="51" t="str">
        <f t="shared" si="6"/>
        <v>si</v>
      </c>
      <c r="AG59" s="50" t="s">
        <v>111</v>
      </c>
      <c r="AH59" s="51" t="s">
        <v>112</v>
      </c>
      <c r="AI59" s="53">
        <v>5302.6</v>
      </c>
      <c r="AJ59" s="53">
        <f t="shared" si="7"/>
        <v>1.5000000000327418E-2</v>
      </c>
    </row>
    <row r="60" spans="1:36" ht="12.75">
      <c r="A60" s="50" t="s">
        <v>802</v>
      </c>
      <c r="B60" s="51" t="s">
        <v>803</v>
      </c>
      <c r="C60" s="52">
        <f>+FACTURACIÓN!G60-'C&amp;A'!L60-'C&amp;A'!J60-'C&amp;A'!H60-'C&amp;A'!G60</f>
        <v>589.46</v>
      </c>
      <c r="D60" s="53">
        <v>0</v>
      </c>
      <c r="E60" s="54">
        <f t="shared" si="0"/>
        <v>589.46</v>
      </c>
      <c r="F60" s="54">
        <f>+FACTURACIÓN!H60</f>
        <v>0</v>
      </c>
      <c r="G60" s="54">
        <f>+FACTURACIÓN!I60</f>
        <v>0</v>
      </c>
      <c r="H60" s="54">
        <f>+FACTURACIÓN!J60</f>
        <v>0</v>
      </c>
      <c r="I60" s="54">
        <f>+FACTURACIÓN!K60</f>
        <v>0</v>
      </c>
      <c r="J60" s="54">
        <f>+FACTURACIÓN!L60</f>
        <v>0</v>
      </c>
      <c r="K60" s="54">
        <f>+FACTURACIÓN!M60</f>
        <v>0</v>
      </c>
      <c r="L60" s="54">
        <f>+FACTURACIÓN!N60</f>
        <v>0</v>
      </c>
      <c r="M60" s="54">
        <f>+FACTURACIÓN!O60</f>
        <v>0</v>
      </c>
      <c r="N60" s="54">
        <f>+FACTURACIÓN!P60</f>
        <v>0</v>
      </c>
      <c r="O60" s="53">
        <f t="shared" si="1"/>
        <v>0</v>
      </c>
      <c r="P60" s="58">
        <f t="shared" si="2"/>
        <v>589.46</v>
      </c>
      <c r="Q60" s="51" t="str">
        <f t="shared" si="3"/>
        <v xml:space="preserve">si </v>
      </c>
      <c r="R60" s="50" t="s">
        <v>802</v>
      </c>
      <c r="S60" s="51" t="s">
        <v>803</v>
      </c>
      <c r="T60" s="53">
        <v>6629.8</v>
      </c>
      <c r="U60" s="58">
        <f t="shared" si="8"/>
        <v>6040.34</v>
      </c>
      <c r="Y60" s="51" t="str">
        <f t="shared" si="5"/>
        <v>si</v>
      </c>
      <c r="Z60" s="339" t="s">
        <v>802</v>
      </c>
      <c r="AA60" s="358">
        <v>1171363360</v>
      </c>
      <c r="AB60" s="53">
        <v>577.20000000000005</v>
      </c>
      <c r="AC60" s="360" t="s">
        <v>803</v>
      </c>
      <c r="AF60" s="51" t="str">
        <f t="shared" si="6"/>
        <v>si</v>
      </c>
      <c r="AG60" s="50" t="s">
        <v>802</v>
      </c>
      <c r="AH60" s="51" t="s">
        <v>803</v>
      </c>
      <c r="AI60" s="53">
        <v>589.4</v>
      </c>
      <c r="AJ60" s="53">
        <f t="shared" si="7"/>
        <v>6.0000000000059117E-2</v>
      </c>
    </row>
    <row r="61" spans="1:36" ht="12.75">
      <c r="A61" s="50" t="s">
        <v>847</v>
      </c>
      <c r="B61" s="51" t="s">
        <v>769</v>
      </c>
      <c r="C61" s="52">
        <f>+FACTURACIÓN!G61-'C&amp;A'!L61-'C&amp;A'!J61-'C&amp;A'!H61-'C&amp;A'!G61</f>
        <v>505.31000000000006</v>
      </c>
      <c r="D61" s="53">
        <v>0</v>
      </c>
      <c r="E61" s="54">
        <f t="shared" si="0"/>
        <v>505.31000000000006</v>
      </c>
      <c r="F61" s="54">
        <f>+FACTURACIÓN!H61</f>
        <v>0</v>
      </c>
      <c r="G61" s="54">
        <f>+FACTURACIÓN!I61</f>
        <v>0</v>
      </c>
      <c r="H61" s="54">
        <f>+FACTURACIÓN!J61</f>
        <v>0</v>
      </c>
      <c r="I61" s="54">
        <f>+FACTURACIÓN!K61</f>
        <v>0</v>
      </c>
      <c r="J61" s="54">
        <f>+FACTURACIÓN!L61</f>
        <v>0</v>
      </c>
      <c r="K61" s="54">
        <f>+FACTURACIÓN!M61</f>
        <v>0</v>
      </c>
      <c r="L61" s="54">
        <f>+FACTURACIÓN!N61</f>
        <v>0</v>
      </c>
      <c r="M61" s="54">
        <f>+FACTURACIÓN!O61</f>
        <v>0</v>
      </c>
      <c r="N61" s="54">
        <f>+FACTURACIÓN!P61</f>
        <v>0</v>
      </c>
      <c r="O61" s="53">
        <f t="shared" si="1"/>
        <v>0</v>
      </c>
      <c r="P61" s="58">
        <f t="shared" si="2"/>
        <v>505.31000000000006</v>
      </c>
      <c r="Q61" s="51" t="str">
        <f t="shared" si="3"/>
        <v xml:space="preserve">si </v>
      </c>
      <c r="R61" s="50" t="s">
        <v>768</v>
      </c>
      <c r="S61" s="51" t="s">
        <v>769</v>
      </c>
      <c r="T61" s="53">
        <v>770.9</v>
      </c>
      <c r="U61" s="58">
        <f>+T61-P61</f>
        <v>265.58999999999992</v>
      </c>
      <c r="Y61" s="51" t="str">
        <f t="shared" si="5"/>
        <v>si</v>
      </c>
      <c r="Z61" s="339" t="s">
        <v>768</v>
      </c>
      <c r="AA61" s="358">
        <v>1905307865</v>
      </c>
      <c r="AB61" s="53">
        <v>577.4</v>
      </c>
      <c r="AC61" s="360" t="s">
        <v>769</v>
      </c>
      <c r="AF61" s="51" t="str">
        <f t="shared" si="6"/>
        <v>si</v>
      </c>
      <c r="AG61" s="50" t="s">
        <v>847</v>
      </c>
      <c r="AH61" s="51" t="s">
        <v>769</v>
      </c>
      <c r="AI61" s="53">
        <v>505.2</v>
      </c>
      <c r="AJ61" s="53">
        <f t="shared" si="7"/>
        <v>0.11000000000007049</v>
      </c>
    </row>
    <row r="62" spans="1:36" ht="12.75">
      <c r="A62" s="50" t="s">
        <v>830</v>
      </c>
      <c r="B62" s="51" t="s">
        <v>831</v>
      </c>
      <c r="C62" s="52">
        <f>+FACTURACIÓN!G62-'C&amp;A'!L62-'C&amp;A'!J62-'C&amp;A'!H62-'C&amp;A'!G62</f>
        <v>1141.4888888888891</v>
      </c>
      <c r="D62" s="53">
        <v>0</v>
      </c>
      <c r="E62" s="54">
        <f t="shared" si="0"/>
        <v>1141.4888888888891</v>
      </c>
      <c r="F62" s="54">
        <f>+FACTURACIÓN!H62</f>
        <v>0</v>
      </c>
      <c r="G62" s="54">
        <f>+FACTURACIÓN!I62</f>
        <v>0</v>
      </c>
      <c r="H62" s="54">
        <f>+FACTURACIÓN!J62</f>
        <v>0</v>
      </c>
      <c r="I62" s="54">
        <f>+FACTURACIÓN!K62</f>
        <v>0</v>
      </c>
      <c r="J62" s="54">
        <f>+FACTURACIÓN!L62</f>
        <v>0</v>
      </c>
      <c r="K62" s="54">
        <f>+FACTURACIÓN!M62</f>
        <v>0</v>
      </c>
      <c r="L62" s="54">
        <f>+FACTURACIÓN!N62</f>
        <v>0</v>
      </c>
      <c r="M62" s="54">
        <f>+FACTURACIÓN!O62</f>
        <v>0</v>
      </c>
      <c r="N62" s="54">
        <f>+FACTURACIÓN!P62</f>
        <v>0</v>
      </c>
      <c r="O62" s="53">
        <f t="shared" si="1"/>
        <v>0</v>
      </c>
      <c r="P62" s="58">
        <f t="shared" si="2"/>
        <v>1141.4888888888891</v>
      </c>
      <c r="Q62" s="51" t="str">
        <f t="shared" si="3"/>
        <v xml:space="preserve">si </v>
      </c>
      <c r="R62" s="50" t="s">
        <v>830</v>
      </c>
      <c r="S62" s="51" t="s">
        <v>831</v>
      </c>
      <c r="T62" s="53">
        <v>665.86</v>
      </c>
      <c r="U62" s="58">
        <f t="shared" si="8"/>
        <v>-475.62888888888904</v>
      </c>
      <c r="Y62" s="51" t="str">
        <f t="shared" si="5"/>
        <v>si</v>
      </c>
      <c r="Z62" s="339" t="s">
        <v>830</v>
      </c>
      <c r="AA62" s="358">
        <v>2631133012</v>
      </c>
      <c r="AB62" s="53">
        <v>577.4</v>
      </c>
      <c r="AC62" s="360" t="s">
        <v>831</v>
      </c>
      <c r="AF62" s="51" t="str">
        <f t="shared" si="6"/>
        <v>si</v>
      </c>
      <c r="AG62" s="50" t="s">
        <v>830</v>
      </c>
      <c r="AH62" s="51" t="s">
        <v>831</v>
      </c>
      <c r="AI62" s="53">
        <v>1141.4000000000001</v>
      </c>
      <c r="AJ62" s="53">
        <f t="shared" si="7"/>
        <v>8.8888888888959627E-2</v>
      </c>
    </row>
    <row r="63" spans="1:36" ht="12.75">
      <c r="A63" s="50" t="s">
        <v>796</v>
      </c>
      <c r="B63" s="51" t="s">
        <v>797</v>
      </c>
      <c r="C63" s="52">
        <f>+FACTURACIÓN!G63-'C&amp;A'!L63-'C&amp;A'!J63-'C&amp;A'!H63-'C&amp;A'!G63</f>
        <v>1672.8</v>
      </c>
      <c r="D63" s="53">
        <v>0</v>
      </c>
      <c r="E63" s="54">
        <f t="shared" si="0"/>
        <v>1672.8</v>
      </c>
      <c r="F63" s="54">
        <f>+FACTURACIÓN!H63</f>
        <v>0</v>
      </c>
      <c r="G63" s="54">
        <f>+FACTURACIÓN!I63</f>
        <v>0</v>
      </c>
      <c r="H63" s="54">
        <f>+FACTURACIÓN!J63</f>
        <v>0</v>
      </c>
      <c r="I63" s="54">
        <f>+FACTURACIÓN!K63</f>
        <v>0</v>
      </c>
      <c r="J63" s="54">
        <f>+FACTURACIÓN!L63</f>
        <v>0</v>
      </c>
      <c r="K63" s="54">
        <f>+FACTURACIÓN!M63</f>
        <v>0</v>
      </c>
      <c r="L63" s="54">
        <f>+FACTURACIÓN!N63</f>
        <v>0</v>
      </c>
      <c r="M63" s="54">
        <f>+FACTURACIÓN!O63</f>
        <v>0</v>
      </c>
      <c r="N63" s="54">
        <f>+FACTURACIÓN!P63</f>
        <v>0</v>
      </c>
      <c r="O63" s="53">
        <f t="shared" si="1"/>
        <v>0</v>
      </c>
      <c r="P63" s="58">
        <f t="shared" si="2"/>
        <v>1672.8</v>
      </c>
      <c r="Q63" s="51" t="str">
        <f t="shared" si="3"/>
        <v xml:space="preserve">si </v>
      </c>
      <c r="R63" s="50" t="s">
        <v>796</v>
      </c>
      <c r="S63" s="51" t="s">
        <v>797</v>
      </c>
      <c r="T63" s="53">
        <v>2801.4</v>
      </c>
      <c r="U63" s="58">
        <f t="shared" si="8"/>
        <v>1128.6000000000001</v>
      </c>
      <c r="Y63" s="51" t="str">
        <f t="shared" si="5"/>
        <v>si</v>
      </c>
      <c r="Z63" s="339" t="s">
        <v>796</v>
      </c>
      <c r="AA63" s="358">
        <v>2948414130</v>
      </c>
      <c r="AB63" s="53">
        <v>577.20000000000005</v>
      </c>
      <c r="AC63" s="360" t="s">
        <v>797</v>
      </c>
      <c r="AF63" s="51" t="str">
        <f t="shared" si="6"/>
        <v>si</v>
      </c>
      <c r="AG63" s="50" t="s">
        <v>796</v>
      </c>
      <c r="AH63" s="51" t="s">
        <v>797</v>
      </c>
      <c r="AI63" s="53">
        <v>1672.8</v>
      </c>
      <c r="AJ63" s="53">
        <f t="shared" si="7"/>
        <v>0</v>
      </c>
    </row>
    <row r="64" spans="1:36" ht="12.75">
      <c r="A64" s="20" t="s">
        <v>113</v>
      </c>
      <c r="B64" s="21" t="s">
        <v>114</v>
      </c>
      <c r="C64" s="52">
        <f>+FACTURACIÓN!G64-'C&amp;A'!L64-'C&amp;A'!J64-'C&amp;A'!H64-'C&amp;A'!G64</f>
        <v>29.599999999999909</v>
      </c>
      <c r="D64" s="53">
        <v>0</v>
      </c>
      <c r="E64" s="54">
        <f t="shared" si="0"/>
        <v>29.599999999999909</v>
      </c>
      <c r="F64" s="54">
        <f>+FACTURACIÓN!H64</f>
        <v>0</v>
      </c>
      <c r="G64" s="54">
        <f>+FACTURACIÓN!I64</f>
        <v>0</v>
      </c>
      <c r="H64" s="54">
        <f>+FACTURACIÓN!J64</f>
        <v>0</v>
      </c>
      <c r="I64" s="54">
        <f>+FACTURACIÓN!K64</f>
        <v>0</v>
      </c>
      <c r="J64" s="54">
        <f>+FACTURACIÓN!L64</f>
        <v>0</v>
      </c>
      <c r="K64" s="54">
        <f>+FACTURACIÓN!M64</f>
        <v>0</v>
      </c>
      <c r="L64" s="54">
        <v>0</v>
      </c>
      <c r="M64" s="54">
        <f>+FACTURACIÓN!O64</f>
        <v>0</v>
      </c>
      <c r="N64" s="54">
        <f>+FACTURACIÓN!P64</f>
        <v>0</v>
      </c>
      <c r="O64" s="53">
        <f t="shared" si="1"/>
        <v>0</v>
      </c>
      <c r="P64" s="58">
        <f t="shared" si="2"/>
        <v>29.599999999999909</v>
      </c>
      <c r="Q64" s="51" t="str">
        <f t="shared" si="3"/>
        <v xml:space="preserve">si </v>
      </c>
      <c r="R64" s="20" t="s">
        <v>113</v>
      </c>
      <c r="S64" s="21" t="s">
        <v>114</v>
      </c>
      <c r="T64" s="53">
        <v>1944</v>
      </c>
      <c r="U64" s="58">
        <f t="shared" si="8"/>
        <v>1914.4</v>
      </c>
      <c r="Y64" s="51" t="str">
        <f t="shared" si="5"/>
        <v>si</v>
      </c>
      <c r="Z64" s="339" t="s">
        <v>770</v>
      </c>
      <c r="AA64" s="358" t="s">
        <v>699</v>
      </c>
      <c r="AB64" s="53">
        <v>30.240000000000009</v>
      </c>
      <c r="AC64" s="360" t="s">
        <v>114</v>
      </c>
      <c r="AF64" s="51" t="str">
        <f t="shared" si="6"/>
        <v>si</v>
      </c>
      <c r="AG64" s="50" t="s">
        <v>770</v>
      </c>
      <c r="AH64" s="51" t="s">
        <v>114</v>
      </c>
      <c r="AI64" s="53">
        <v>29.6</v>
      </c>
      <c r="AJ64" s="53">
        <f t="shared" si="7"/>
        <v>-9.2370555648813024E-14</v>
      </c>
    </row>
    <row r="65" spans="1:36" ht="12.75">
      <c r="A65" s="20" t="s">
        <v>115</v>
      </c>
      <c r="B65" s="21" t="s">
        <v>116</v>
      </c>
      <c r="C65" s="52">
        <f>+FACTURACIÓN!G65-'C&amp;A'!L65-'C&amp;A'!J65-'C&amp;A'!H65-'C&amp;A'!G65</f>
        <v>913.80000000000007</v>
      </c>
      <c r="D65" s="53">
        <v>0</v>
      </c>
      <c r="E65" s="54">
        <f t="shared" si="0"/>
        <v>913.80000000000007</v>
      </c>
      <c r="F65" s="54">
        <f>+FACTURACIÓN!H65</f>
        <v>14.912000000000001</v>
      </c>
      <c r="G65" s="54">
        <f>+FACTURACIÓN!I65</f>
        <v>73.06880000000001</v>
      </c>
      <c r="H65" s="54">
        <f>+FACTURACIÓN!J65</f>
        <v>0</v>
      </c>
      <c r="I65" s="54">
        <f>+FACTURACIÓN!K65</f>
        <v>0</v>
      </c>
      <c r="J65" s="54">
        <f>+FACTURACIÓN!L65</f>
        <v>0</v>
      </c>
      <c r="K65" s="54">
        <f>+FACTURACIÓN!M65</f>
        <v>0</v>
      </c>
      <c r="L65" s="54">
        <f>+FACTURACIÓN!N65</f>
        <v>0</v>
      </c>
      <c r="M65" s="54">
        <f>+FACTURACIÓN!O65</f>
        <v>0</v>
      </c>
      <c r="N65" s="54">
        <f>+FACTURACIÓN!P65</f>
        <v>0</v>
      </c>
      <c r="O65" s="53">
        <f t="shared" si="1"/>
        <v>87.980800000000016</v>
      </c>
      <c r="P65" s="58">
        <f t="shared" si="2"/>
        <v>825.81920000000002</v>
      </c>
      <c r="Q65" s="51" t="str">
        <f t="shared" si="3"/>
        <v xml:space="preserve">si </v>
      </c>
      <c r="R65" s="20" t="s">
        <v>115</v>
      </c>
      <c r="S65" s="21" t="s">
        <v>116</v>
      </c>
      <c r="T65" s="53">
        <v>100.4</v>
      </c>
      <c r="U65" s="58">
        <f t="shared" si="8"/>
        <v>-725.41920000000005</v>
      </c>
      <c r="Y65" s="51" t="str">
        <f t="shared" si="5"/>
        <v>si</v>
      </c>
      <c r="Z65" s="339" t="s">
        <v>771</v>
      </c>
      <c r="AA65" s="358" t="s">
        <v>646</v>
      </c>
      <c r="AB65" s="53">
        <v>577.4</v>
      </c>
      <c r="AC65" s="360" t="s">
        <v>116</v>
      </c>
      <c r="AF65" s="51" t="str">
        <f t="shared" si="6"/>
        <v>si</v>
      </c>
      <c r="AG65" s="50" t="s">
        <v>771</v>
      </c>
      <c r="AH65" s="51" t="s">
        <v>116</v>
      </c>
      <c r="AI65" s="53">
        <v>825.8</v>
      </c>
      <c r="AJ65" s="53">
        <f t="shared" si="7"/>
        <v>1.920000000006894E-2</v>
      </c>
    </row>
    <row r="66" spans="1:36" ht="12.75">
      <c r="A66" s="20" t="s">
        <v>121</v>
      </c>
      <c r="B66" s="21" t="s">
        <v>122</v>
      </c>
      <c r="C66" s="52">
        <f>+FACTURACIÓN!G66-'C&amp;A'!L66-'C&amp;A'!J66-'C&amp;A'!H66-'C&amp;A'!G66</f>
        <v>2264.2000000000003</v>
      </c>
      <c r="D66" s="53">
        <v>0</v>
      </c>
      <c r="E66" s="54">
        <f t="shared" si="0"/>
        <v>2264.2000000000003</v>
      </c>
      <c r="F66" s="54">
        <f>+FACTURACIÓN!H66</f>
        <v>100</v>
      </c>
      <c r="G66" s="54">
        <f>+FACTURACIÓN!I66</f>
        <v>139.23840000000001</v>
      </c>
      <c r="H66" s="54">
        <f>+FACTURACIÓN!J66</f>
        <v>28.416000000000004</v>
      </c>
      <c r="I66" s="54">
        <f>+FACTURACIÓN!K66</f>
        <v>0</v>
      </c>
      <c r="J66" s="54">
        <f>+FACTURACIÓN!L66</f>
        <v>0</v>
      </c>
      <c r="K66" s="54">
        <f>+FACTURACIÓN!M66</f>
        <v>0</v>
      </c>
      <c r="L66" s="54">
        <f>+FACTURACIÓN!N66</f>
        <v>0</v>
      </c>
      <c r="M66" s="54">
        <f>+FACTURACIÓN!O66</f>
        <v>0</v>
      </c>
      <c r="N66" s="54">
        <f>+FACTURACIÓN!P66</f>
        <v>0</v>
      </c>
      <c r="O66" s="53">
        <f t="shared" si="1"/>
        <v>267.65440000000001</v>
      </c>
      <c r="P66" s="58">
        <f t="shared" si="2"/>
        <v>1996.5456000000004</v>
      </c>
      <c r="Q66" s="51" t="str">
        <f t="shared" si="3"/>
        <v xml:space="preserve">si </v>
      </c>
      <c r="R66" s="20" t="s">
        <v>121</v>
      </c>
      <c r="S66" s="21" t="s">
        <v>122</v>
      </c>
      <c r="T66" s="53">
        <v>3149</v>
      </c>
      <c r="U66" s="58">
        <f t="shared" si="8"/>
        <v>1152.4543999999996</v>
      </c>
      <c r="Y66" s="51" t="str">
        <f t="shared" si="5"/>
        <v>si</v>
      </c>
      <c r="Z66" s="339" t="s">
        <v>772</v>
      </c>
      <c r="AA66" s="358" t="s">
        <v>673</v>
      </c>
      <c r="AB66" s="53">
        <v>577.4</v>
      </c>
      <c r="AC66" s="360" t="s">
        <v>122</v>
      </c>
      <c r="AF66" s="51" t="str">
        <f t="shared" si="6"/>
        <v>si</v>
      </c>
      <c r="AG66" s="50" t="s">
        <v>772</v>
      </c>
      <c r="AH66" s="51" t="s">
        <v>122</v>
      </c>
      <c r="AI66" s="53">
        <v>1996.6</v>
      </c>
      <c r="AJ66" s="53">
        <f t="shared" si="7"/>
        <v>-5.4399999999532156E-2</v>
      </c>
    </row>
    <row r="67" spans="1:36" ht="12.75">
      <c r="A67" s="20" t="s">
        <v>117</v>
      </c>
      <c r="B67" s="21" t="s">
        <v>118</v>
      </c>
      <c r="C67" s="52">
        <f>+FACTURACIÓN!G67-'C&amp;A'!L67-'C&amp;A'!J67-'C&amp;A'!H67-'C&amp;A'!G67</f>
        <v>1944.8399999999997</v>
      </c>
      <c r="D67" s="53">
        <v>0</v>
      </c>
      <c r="E67" s="54">
        <f t="shared" si="0"/>
        <v>1944.8399999999997</v>
      </c>
      <c r="F67" s="54">
        <f>+FACTURACIÓN!H67</f>
        <v>0</v>
      </c>
      <c r="G67" s="54">
        <f>+FACTURACIÓN!I67</f>
        <v>0</v>
      </c>
      <c r="H67" s="54">
        <f>+FACTURACIÓN!J67</f>
        <v>0</v>
      </c>
      <c r="I67" s="54">
        <f>+FACTURACIÓN!K67</f>
        <v>0</v>
      </c>
      <c r="J67" s="54">
        <f>+FACTURACIÓN!L67</f>
        <v>0</v>
      </c>
      <c r="K67" s="54">
        <f>+FACTURACIÓN!M67</f>
        <v>0</v>
      </c>
      <c r="L67" s="54">
        <f>+FACTURACIÓN!N67</f>
        <v>0</v>
      </c>
      <c r="M67" s="54">
        <f>+FACTURACIÓN!O67</f>
        <v>0</v>
      </c>
      <c r="N67" s="54">
        <f>+FACTURACIÓN!P67</f>
        <v>0</v>
      </c>
      <c r="O67" s="53">
        <f t="shared" si="1"/>
        <v>0</v>
      </c>
      <c r="P67" s="58">
        <f t="shared" si="2"/>
        <v>1944.8399999999997</v>
      </c>
      <c r="Q67" s="51" t="str">
        <f t="shared" si="3"/>
        <v xml:space="preserve">si </v>
      </c>
      <c r="R67" s="20" t="s">
        <v>117</v>
      </c>
      <c r="S67" s="21" t="s">
        <v>118</v>
      </c>
      <c r="T67" s="53">
        <v>2753</v>
      </c>
      <c r="U67" s="58">
        <f t="shared" si="8"/>
        <v>808.16000000000031</v>
      </c>
      <c r="Y67" s="51" t="str">
        <f t="shared" si="5"/>
        <v>si</v>
      </c>
      <c r="Z67" s="339" t="s">
        <v>773</v>
      </c>
      <c r="AA67" s="358" t="s">
        <v>642</v>
      </c>
      <c r="AB67" s="53">
        <v>577.4</v>
      </c>
      <c r="AC67" s="360" t="s">
        <v>118</v>
      </c>
      <c r="AF67" s="51" t="str">
        <f t="shared" si="6"/>
        <v>si</v>
      </c>
      <c r="AG67" s="50" t="s">
        <v>773</v>
      </c>
      <c r="AH67" s="51" t="s">
        <v>118</v>
      </c>
      <c r="AI67" s="53">
        <v>1945</v>
      </c>
      <c r="AJ67" s="53">
        <f t="shared" si="7"/>
        <v>-0.16000000000030923</v>
      </c>
    </row>
    <row r="68" spans="1:36" ht="12.75">
      <c r="A68" s="20" t="s">
        <v>119</v>
      </c>
      <c r="B68" s="21" t="s">
        <v>120</v>
      </c>
      <c r="C68" s="52">
        <f>+FACTURACIÓN!G68-'C&amp;A'!L68-'C&amp;A'!J68-'C&amp;A'!H68-'C&amp;A'!G68</f>
        <v>4958.5600000000004</v>
      </c>
      <c r="D68" s="53">
        <v>0</v>
      </c>
      <c r="E68" s="54">
        <f t="shared" si="0"/>
        <v>4958.5600000000004</v>
      </c>
      <c r="F68" s="54">
        <f>+FACTURACIÓN!H68</f>
        <v>0</v>
      </c>
      <c r="G68" s="54">
        <f>+FACTURACIÓN!I68</f>
        <v>271.26204000000001</v>
      </c>
      <c r="H68" s="54">
        <f>+FACTURACIÓN!J68</f>
        <v>55.3596</v>
      </c>
      <c r="I68" s="54">
        <f>+FACTURACIÓN!K68</f>
        <v>0</v>
      </c>
      <c r="J68" s="54">
        <f>+FACTURACIÓN!L68</f>
        <v>0</v>
      </c>
      <c r="K68" s="54">
        <f>+FACTURACIÓN!M68</f>
        <v>0</v>
      </c>
      <c r="L68" s="54">
        <f>+FACTURACIÓN!N68</f>
        <v>0</v>
      </c>
      <c r="M68" s="54">
        <f>+FACTURACIÓN!O68</f>
        <v>553.596</v>
      </c>
      <c r="N68" s="54">
        <f>+FACTURACIÓN!P68</f>
        <v>0</v>
      </c>
      <c r="O68" s="53">
        <f t="shared" si="1"/>
        <v>880.21764000000007</v>
      </c>
      <c r="P68" s="58">
        <f t="shared" si="2"/>
        <v>4078.3423600000006</v>
      </c>
      <c r="Q68" s="51" t="str">
        <f t="shared" si="3"/>
        <v xml:space="preserve">si </v>
      </c>
      <c r="R68" s="20" t="s">
        <v>119</v>
      </c>
      <c r="S68" s="21" t="s">
        <v>120</v>
      </c>
      <c r="T68" s="53">
        <v>640.4</v>
      </c>
      <c r="U68" s="58">
        <f t="shared" si="8"/>
        <v>-3437.9423600000005</v>
      </c>
      <c r="V68" s="51" t="s">
        <v>128</v>
      </c>
      <c r="Y68" s="51" t="str">
        <f t="shared" si="5"/>
        <v>si</v>
      </c>
      <c r="Z68" s="339" t="s">
        <v>507</v>
      </c>
      <c r="AA68" s="358" t="s">
        <v>652</v>
      </c>
      <c r="AB68" s="53">
        <v>577.4</v>
      </c>
      <c r="AC68" s="360" t="s">
        <v>120</v>
      </c>
      <c r="AF68" s="51" t="str">
        <f t="shared" si="6"/>
        <v>si</v>
      </c>
      <c r="AG68" s="50" t="s">
        <v>507</v>
      </c>
      <c r="AH68" s="51" t="s">
        <v>120</v>
      </c>
      <c r="AI68" s="53">
        <v>4078.2</v>
      </c>
      <c r="AJ68" s="53">
        <f t="shared" si="7"/>
        <v>0.14236000000073545</v>
      </c>
    </row>
    <row r="69" spans="1:36" ht="12.75">
      <c r="A69" s="20" t="s">
        <v>123</v>
      </c>
      <c r="B69" s="21" t="s">
        <v>124</v>
      </c>
      <c r="C69" s="52">
        <f>+FACTURACIÓN!G69-'C&amp;A'!L69-'C&amp;A'!J69-'C&amp;A'!H69-'C&amp;A'!G69</f>
        <v>942.53000000000009</v>
      </c>
      <c r="D69" s="53">
        <v>0</v>
      </c>
      <c r="E69" s="54">
        <f t="shared" si="0"/>
        <v>942.53000000000009</v>
      </c>
      <c r="F69" s="54">
        <f>+FACTURACIÓN!H69</f>
        <v>0</v>
      </c>
      <c r="G69" s="54">
        <f>+FACTURACIÓN!I69</f>
        <v>0</v>
      </c>
      <c r="H69" s="54">
        <f>+FACTURACIÓN!J69</f>
        <v>0</v>
      </c>
      <c r="I69" s="54">
        <f>+FACTURACIÓN!K69</f>
        <v>0</v>
      </c>
      <c r="J69" s="54">
        <f>+FACTURACIÓN!L69</f>
        <v>0</v>
      </c>
      <c r="K69" s="54">
        <f>+FACTURACIÓN!M69</f>
        <v>0</v>
      </c>
      <c r="L69" s="54">
        <f>+FACTURACIÓN!N69</f>
        <v>0</v>
      </c>
      <c r="M69" s="54">
        <f>+FACTURACIÓN!O69</f>
        <v>0</v>
      </c>
      <c r="N69" s="54">
        <f>+FACTURACIÓN!P69</f>
        <v>0</v>
      </c>
      <c r="O69" s="53">
        <f t="shared" si="1"/>
        <v>0</v>
      </c>
      <c r="P69" s="58">
        <f t="shared" si="2"/>
        <v>942.53000000000009</v>
      </c>
      <c r="Q69" s="51" t="str">
        <f t="shared" si="3"/>
        <v xml:space="preserve">si </v>
      </c>
      <c r="R69" s="20" t="s">
        <v>123</v>
      </c>
      <c r="S69" s="21" t="s">
        <v>124</v>
      </c>
      <c r="T69" s="53">
        <v>1020.2</v>
      </c>
      <c r="U69" s="58">
        <f t="shared" si="8"/>
        <v>77.669999999999959</v>
      </c>
      <c r="V69" s="51" t="s">
        <v>777</v>
      </c>
      <c r="Y69" s="51" t="str">
        <f t="shared" si="5"/>
        <v>si</v>
      </c>
      <c r="Z69" s="339" t="s">
        <v>774</v>
      </c>
      <c r="AA69" s="358" t="s">
        <v>670</v>
      </c>
      <c r="AB69" s="53">
        <v>577.4</v>
      </c>
      <c r="AC69" s="360" t="s">
        <v>124</v>
      </c>
      <c r="AF69" s="51" t="str">
        <f t="shared" si="6"/>
        <v>si</v>
      </c>
      <c r="AG69" s="50" t="s">
        <v>774</v>
      </c>
      <c r="AH69" s="51" t="s">
        <v>124</v>
      </c>
      <c r="AI69" s="53">
        <v>942.4</v>
      </c>
      <c r="AJ69" s="53">
        <f t="shared" si="7"/>
        <v>0.13000000000010914</v>
      </c>
    </row>
    <row r="70" spans="1:36" s="55" customFormat="1" ht="12.75">
      <c r="A70" s="20" t="s">
        <v>125</v>
      </c>
      <c r="B70" s="21" t="s">
        <v>126</v>
      </c>
      <c r="C70" s="52">
        <f>+FACTURACIÓN!G70-'C&amp;A'!L70-'C&amp;A'!J70-'C&amp;A'!H70-'C&amp;A'!G70</f>
        <v>5264.02</v>
      </c>
      <c r="D70" s="53">
        <v>0</v>
      </c>
      <c r="E70" s="54">
        <f t="shared" si="0"/>
        <v>5264.02</v>
      </c>
      <c r="F70" s="54">
        <f>+FACTURACIÓN!H70</f>
        <v>0</v>
      </c>
      <c r="G70" s="54">
        <f>+FACTURACIÓN!I70</f>
        <v>0</v>
      </c>
      <c r="H70" s="54">
        <f>+FACTURACIÓN!J70</f>
        <v>0</v>
      </c>
      <c r="I70" s="54">
        <f>+FACTURACIÓN!K70</f>
        <v>0</v>
      </c>
      <c r="J70" s="54">
        <f>+FACTURACIÓN!L70</f>
        <v>0</v>
      </c>
      <c r="K70" s="54">
        <f>+FACTURACIÓN!M70</f>
        <v>0</v>
      </c>
      <c r="L70" s="54">
        <f>+FACTURACIÓN!N70</f>
        <v>0</v>
      </c>
      <c r="M70" s="54">
        <f>+FACTURACIÓN!O70</f>
        <v>584.14200000000005</v>
      </c>
      <c r="N70" s="54">
        <f>+FACTURACIÓN!P70</f>
        <v>0</v>
      </c>
      <c r="O70" s="53">
        <f t="shared" si="1"/>
        <v>584.14200000000005</v>
      </c>
      <c r="P70" s="58">
        <f t="shared" si="2"/>
        <v>4679.8780000000006</v>
      </c>
      <c r="Q70" s="51" t="str">
        <f t="shared" si="3"/>
        <v xml:space="preserve">si </v>
      </c>
      <c r="R70" s="20" t="s">
        <v>125</v>
      </c>
      <c r="S70" s="21" t="s">
        <v>126</v>
      </c>
      <c r="T70" s="53">
        <v>1862.6</v>
      </c>
      <c r="U70" s="58">
        <f t="shared" si="8"/>
        <v>-2817.2780000000007</v>
      </c>
      <c r="V70" s="51" t="s">
        <v>136</v>
      </c>
      <c r="Y70" s="51" t="str">
        <f t="shared" si="5"/>
        <v>si</v>
      </c>
      <c r="Z70" s="339" t="s">
        <v>508</v>
      </c>
      <c r="AA70" s="358" t="s">
        <v>680</v>
      </c>
      <c r="AB70" s="53">
        <v>577.4</v>
      </c>
      <c r="AC70" s="360" t="s">
        <v>126</v>
      </c>
      <c r="AF70" s="51" t="str">
        <f t="shared" si="6"/>
        <v>si</v>
      </c>
      <c r="AG70" s="50" t="s">
        <v>508</v>
      </c>
      <c r="AH70" s="51" t="s">
        <v>126</v>
      </c>
      <c r="AI70" s="53">
        <v>4679.8</v>
      </c>
      <c r="AJ70" s="53">
        <f t="shared" si="7"/>
        <v>7.8000000000429281E-2</v>
      </c>
    </row>
    <row r="71" spans="1:36" s="57" customFormat="1" ht="14.25">
      <c r="A71" s="50" t="s">
        <v>832</v>
      </c>
      <c r="B71" s="51" t="s">
        <v>833</v>
      </c>
      <c r="C71" s="52">
        <f>+FACTURACIÓN!G71-'C&amp;A'!L71-'C&amp;A'!J71-'C&amp;A'!H71-'C&amp;A'!G71</f>
        <v>589.2600000000001</v>
      </c>
      <c r="D71" s="53">
        <v>0</v>
      </c>
      <c r="E71" s="54">
        <f t="shared" si="0"/>
        <v>589.2600000000001</v>
      </c>
      <c r="F71" s="54">
        <f>+FACTURACIÓN!H71</f>
        <v>0</v>
      </c>
      <c r="G71" s="54">
        <f>+FACTURACIÓN!I71</f>
        <v>0</v>
      </c>
      <c r="H71" s="54">
        <f>+FACTURACIÓN!J71</f>
        <v>0</v>
      </c>
      <c r="I71" s="54">
        <f>+FACTURACIÓN!K71</f>
        <v>0</v>
      </c>
      <c r="J71" s="54">
        <f>+FACTURACIÓN!L71</f>
        <v>0</v>
      </c>
      <c r="K71" s="54">
        <f>+FACTURACIÓN!M71</f>
        <v>0</v>
      </c>
      <c r="L71" s="54">
        <f>+FACTURACIÓN!N71</f>
        <v>0</v>
      </c>
      <c r="M71" s="54">
        <f>+FACTURACIÓN!O71</f>
        <v>0</v>
      </c>
      <c r="N71" s="54">
        <f>+FACTURACIÓN!P71</f>
        <v>0</v>
      </c>
      <c r="O71" s="53">
        <f t="shared" si="1"/>
        <v>0</v>
      </c>
      <c r="P71" s="58">
        <f t="shared" si="2"/>
        <v>589.2600000000001</v>
      </c>
      <c r="Q71" s="51" t="str">
        <f t="shared" si="3"/>
        <v xml:space="preserve">si </v>
      </c>
      <c r="R71" s="50" t="s">
        <v>832</v>
      </c>
      <c r="S71" s="51" t="s">
        <v>833</v>
      </c>
      <c r="T71" s="53">
        <v>12107.4</v>
      </c>
      <c r="U71" s="58">
        <f t="shared" si="8"/>
        <v>11518.14</v>
      </c>
      <c r="Y71" s="51" t="str">
        <f t="shared" si="5"/>
        <v>si</v>
      </c>
      <c r="Z71" s="339" t="s">
        <v>832</v>
      </c>
      <c r="AA71" s="358">
        <v>2913584305</v>
      </c>
      <c r="AB71" s="53">
        <v>577.4</v>
      </c>
      <c r="AC71" s="360" t="s">
        <v>833</v>
      </c>
      <c r="AF71" s="51" t="str">
        <f t="shared" si="6"/>
        <v>si</v>
      </c>
      <c r="AG71" s="50" t="s">
        <v>832</v>
      </c>
      <c r="AH71" s="51" t="s">
        <v>833</v>
      </c>
      <c r="AI71" s="53">
        <v>589.20000000000005</v>
      </c>
      <c r="AJ71" s="53">
        <f t="shared" si="7"/>
        <v>6.0000000000059117E-2</v>
      </c>
    </row>
    <row r="72" spans="1:36" ht="12.75">
      <c r="A72" s="20" t="s">
        <v>129</v>
      </c>
      <c r="B72" s="21" t="s">
        <v>130</v>
      </c>
      <c r="C72" s="52">
        <f>+FACTURACIÓN!G72-'C&amp;A'!L72-'C&amp;A'!J72-'C&amp;A'!H72-'C&amp;A'!G72</f>
        <v>3073.34</v>
      </c>
      <c r="D72" s="53">
        <v>0</v>
      </c>
      <c r="E72" s="54">
        <f t="shared" si="0"/>
        <v>3073.34</v>
      </c>
      <c r="F72" s="54">
        <f>+FACTURACIÓN!H72</f>
        <v>0</v>
      </c>
      <c r="G72" s="54">
        <f>+FACTURACIÓN!I72</f>
        <v>0</v>
      </c>
      <c r="H72" s="54">
        <f>+FACTURACIÓN!J72</f>
        <v>0</v>
      </c>
      <c r="I72" s="54">
        <f>+FACTURACIÓN!K72</f>
        <v>0</v>
      </c>
      <c r="J72" s="54">
        <f>+FACTURACIÓN!L72</f>
        <v>0</v>
      </c>
      <c r="K72" s="54">
        <f>+FACTURACIÓN!M72</f>
        <v>0</v>
      </c>
      <c r="L72" s="54">
        <f>+FACTURACIÓN!N72</f>
        <v>0</v>
      </c>
      <c r="M72" s="54">
        <f>+FACTURACIÓN!O72</f>
        <v>365.05400000000003</v>
      </c>
      <c r="N72" s="54">
        <f>+FACTURACIÓN!P72</f>
        <v>0</v>
      </c>
      <c r="O72" s="53">
        <f t="shared" si="1"/>
        <v>365.05400000000003</v>
      </c>
      <c r="P72" s="58">
        <f t="shared" si="2"/>
        <v>2708.2860000000001</v>
      </c>
      <c r="Q72" s="51" t="str">
        <f t="shared" si="3"/>
        <v xml:space="preserve">si </v>
      </c>
      <c r="R72" s="20" t="s">
        <v>129</v>
      </c>
      <c r="S72" s="21" t="s">
        <v>130</v>
      </c>
      <c r="T72" s="53">
        <v>303.72000000000003</v>
      </c>
      <c r="U72" s="58">
        <f t="shared" si="8"/>
        <v>-2404.5659999999998</v>
      </c>
      <c r="Y72" s="51" t="str">
        <f t="shared" si="5"/>
        <v>si</v>
      </c>
      <c r="Z72" s="339" t="s">
        <v>775</v>
      </c>
      <c r="AA72" s="358" t="s">
        <v>704</v>
      </c>
      <c r="AB72" s="53">
        <v>577.20000000000005</v>
      </c>
      <c r="AC72" s="360" t="s">
        <v>130</v>
      </c>
      <c r="AF72" s="51" t="str">
        <f t="shared" si="6"/>
        <v>si</v>
      </c>
      <c r="AG72" s="50" t="s">
        <v>775</v>
      </c>
      <c r="AH72" s="51" t="s">
        <v>130</v>
      </c>
      <c r="AI72" s="53">
        <v>2708.4</v>
      </c>
      <c r="AJ72" s="53">
        <f t="shared" si="7"/>
        <v>-0.11400000000003274</v>
      </c>
    </row>
    <row r="73" spans="1:36" ht="12.75">
      <c r="A73" s="50" t="s">
        <v>798</v>
      </c>
      <c r="B73" s="51" t="s">
        <v>799</v>
      </c>
      <c r="C73" s="52">
        <f>+FACTURACIÓN!G73-'C&amp;A'!L73-'C&amp;A'!J73-'C&amp;A'!H73-'C&amp;A'!G73</f>
        <v>3229.0599999999995</v>
      </c>
      <c r="D73" s="53">
        <v>0</v>
      </c>
      <c r="E73" s="54">
        <f t="shared" si="0"/>
        <v>3229.0599999999995</v>
      </c>
      <c r="F73" s="54">
        <f>+FACTURACIÓN!H73</f>
        <v>0</v>
      </c>
      <c r="G73" s="54">
        <f>+FACTURACIÓN!I73</f>
        <v>0</v>
      </c>
      <c r="H73" s="54">
        <f>+FACTURACIÓN!J73</f>
        <v>0</v>
      </c>
      <c r="I73" s="54">
        <f>+FACTURACIÓN!K73</f>
        <v>0</v>
      </c>
      <c r="J73" s="54">
        <f>+FACTURACIÓN!L73</f>
        <v>0</v>
      </c>
      <c r="K73" s="54">
        <f>+FACTURACIÓN!M73</f>
        <v>0</v>
      </c>
      <c r="L73" s="54">
        <f>+FACTURACIÓN!N73</f>
        <v>98.564000000000007</v>
      </c>
      <c r="M73" s="54">
        <f>+FACTURACIÓN!O73</f>
        <v>380.62599999999998</v>
      </c>
      <c r="N73" s="54">
        <f>+FACTURACIÓN!P73</f>
        <v>0</v>
      </c>
      <c r="O73" s="53">
        <f t="shared" si="1"/>
        <v>479.19</v>
      </c>
      <c r="P73" s="58">
        <f t="shared" si="2"/>
        <v>2749.8699999999994</v>
      </c>
      <c r="Q73" s="51" t="str">
        <f t="shared" si="3"/>
        <v xml:space="preserve">si </v>
      </c>
      <c r="R73" s="50" t="s">
        <v>798</v>
      </c>
      <c r="S73" s="51" t="s">
        <v>799</v>
      </c>
      <c r="T73" s="53">
        <v>894.2</v>
      </c>
      <c r="U73" s="58">
        <f t="shared" si="8"/>
        <v>-1855.6699999999994</v>
      </c>
      <c r="Y73" s="51" t="str">
        <f t="shared" si="5"/>
        <v>si</v>
      </c>
      <c r="Z73" s="339" t="s">
        <v>798</v>
      </c>
      <c r="AA73" s="358">
        <v>2857006349</v>
      </c>
      <c r="AB73" s="53">
        <v>577.20000000000005</v>
      </c>
      <c r="AC73" s="360" t="s">
        <v>799</v>
      </c>
      <c r="AF73" s="51" t="str">
        <f t="shared" si="6"/>
        <v>si</v>
      </c>
      <c r="AG73" s="50" t="s">
        <v>798</v>
      </c>
      <c r="AH73" s="51" t="s">
        <v>799</v>
      </c>
      <c r="AI73" s="53">
        <v>2750</v>
      </c>
      <c r="AJ73" s="53">
        <f t="shared" si="7"/>
        <v>-0.13000000000056389</v>
      </c>
    </row>
    <row r="74" spans="1:36" ht="12.75">
      <c r="A74" s="20" t="s">
        <v>131</v>
      </c>
      <c r="B74" s="21" t="s">
        <v>132</v>
      </c>
      <c r="C74" s="52">
        <f>+FACTURACIÓN!G74-'C&amp;A'!L74-'C&amp;A'!J74-'C&amp;A'!H74-'C&amp;A'!G74</f>
        <v>1026.79</v>
      </c>
      <c r="D74" s="53">
        <v>0</v>
      </c>
      <c r="E74" s="54">
        <f t="shared" si="0"/>
        <v>1026.79</v>
      </c>
      <c r="F74" s="54">
        <f>+FACTURACIÓN!H74</f>
        <v>0</v>
      </c>
      <c r="G74" s="54">
        <f>+FACTURACIÓN!I74</f>
        <v>78.595510000000004</v>
      </c>
      <c r="H74" s="54">
        <f>+FACTURACIÓN!J74</f>
        <v>16.039899999999999</v>
      </c>
      <c r="I74" s="54">
        <f>+FACTURACIÓN!K74</f>
        <v>0</v>
      </c>
      <c r="J74" s="54">
        <f>+FACTURACIÓN!L74</f>
        <v>0</v>
      </c>
      <c r="K74" s="54">
        <f>+FACTURACIÓN!M74</f>
        <v>0</v>
      </c>
      <c r="L74" s="54">
        <f>+FACTURACIÓN!N74</f>
        <v>0</v>
      </c>
      <c r="M74" s="54">
        <f>+FACTURACIÓN!O74</f>
        <v>0</v>
      </c>
      <c r="N74" s="54">
        <f>+FACTURACIÓN!P74</f>
        <v>0</v>
      </c>
      <c r="O74" s="53">
        <f t="shared" si="1"/>
        <v>94.635410000000007</v>
      </c>
      <c r="P74" s="58">
        <f t="shared" si="2"/>
        <v>932.15458999999998</v>
      </c>
      <c r="Q74" s="51" t="str">
        <f t="shared" si="3"/>
        <v xml:space="preserve">si </v>
      </c>
      <c r="R74" s="20" t="s">
        <v>131</v>
      </c>
      <c r="S74" s="21" t="s">
        <v>132</v>
      </c>
      <c r="T74" s="53">
        <v>1640.2</v>
      </c>
      <c r="U74" s="58">
        <f t="shared" si="8"/>
        <v>708.04541000000006</v>
      </c>
      <c r="Y74" s="51" t="str">
        <f t="shared" si="5"/>
        <v>si</v>
      </c>
      <c r="Z74" s="339" t="s">
        <v>131</v>
      </c>
      <c r="AA74" s="358" t="s">
        <v>696</v>
      </c>
      <c r="AB74" s="53">
        <v>577.20000000000005</v>
      </c>
      <c r="AC74" s="360" t="s">
        <v>132</v>
      </c>
      <c r="AF74" s="51" t="str">
        <f t="shared" si="6"/>
        <v>si</v>
      </c>
      <c r="AG74" s="50" t="s">
        <v>131</v>
      </c>
      <c r="AH74" s="51" t="s">
        <v>132</v>
      </c>
      <c r="AI74" s="53">
        <v>932.2</v>
      </c>
      <c r="AJ74" s="53">
        <f t="shared" si="7"/>
        <v>-4.5410000000060791E-2</v>
      </c>
    </row>
    <row r="75" spans="1:36" ht="12.75">
      <c r="A75" s="20" t="s">
        <v>133</v>
      </c>
      <c r="B75" s="21" t="s">
        <v>134</v>
      </c>
      <c r="C75" s="52">
        <f>+FACTURACIÓN!G75-'C&amp;A'!L75-'C&amp;A'!J75-'C&amp;A'!H75-'C&amp;A'!G75</f>
        <v>4795.24</v>
      </c>
      <c r="D75" s="53">
        <v>0</v>
      </c>
      <c r="E75" s="54">
        <f t="shared" ref="E75:E97" si="9">SUM(C75:D75)</f>
        <v>4795.24</v>
      </c>
      <c r="F75" s="54">
        <f>+FACTURACIÓN!H75</f>
        <v>200</v>
      </c>
      <c r="G75" s="54">
        <f>+FACTURACIÓN!I75</f>
        <v>263.24955999999997</v>
      </c>
      <c r="H75" s="54">
        <f>+FACTURACIÓN!J75</f>
        <v>53.724399999999996</v>
      </c>
      <c r="I75" s="54">
        <f>+FACTURACIÓN!K75</f>
        <v>321.74</v>
      </c>
      <c r="J75" s="54">
        <f>+FACTURACIÓN!L75</f>
        <v>0</v>
      </c>
      <c r="K75" s="54">
        <f>+FACTURACIÓN!M75</f>
        <v>0</v>
      </c>
      <c r="L75" s="54">
        <f>+FACTURACIÓN!N75</f>
        <v>0</v>
      </c>
      <c r="M75" s="54">
        <f>+FACTURACIÓN!O75</f>
        <v>537.24400000000003</v>
      </c>
      <c r="N75" s="54">
        <f>+FACTURACIÓN!P75</f>
        <v>0</v>
      </c>
      <c r="O75" s="53">
        <f t="shared" ref="O75:O97" si="10">SUM(F75:N75)</f>
        <v>1375.95796</v>
      </c>
      <c r="P75" s="58">
        <f t="shared" ref="P75:P97" si="11">+E75-O75</f>
        <v>3419.2820400000001</v>
      </c>
      <c r="Q75" s="51" t="str">
        <f t="shared" ref="Q75:Q97" si="12">IF(B75=S75,"si ","no")</f>
        <v xml:space="preserve">si </v>
      </c>
      <c r="R75" s="20" t="s">
        <v>133</v>
      </c>
      <c r="S75" s="21" t="s">
        <v>134</v>
      </c>
      <c r="T75" s="53">
        <v>1742.4</v>
      </c>
      <c r="U75" s="58">
        <f t="shared" si="8"/>
        <v>-1676.88204</v>
      </c>
      <c r="Y75" s="51" t="str">
        <f t="shared" ref="Y75:Y97" si="13">IF(AC75=B75,"si","no")</f>
        <v>si</v>
      </c>
      <c r="Z75" s="339" t="s">
        <v>778</v>
      </c>
      <c r="AA75" s="358" t="s">
        <v>658</v>
      </c>
      <c r="AB75" s="53">
        <v>577.20000000000005</v>
      </c>
      <c r="AC75" s="360" t="s">
        <v>134</v>
      </c>
      <c r="AF75" s="51" t="str">
        <f t="shared" ref="AF75:AF97" si="14">IF(B75=AH75,"si","no")</f>
        <v>si</v>
      </c>
      <c r="AG75" s="50" t="s">
        <v>778</v>
      </c>
      <c r="AH75" s="51" t="s">
        <v>134</v>
      </c>
      <c r="AI75" s="53">
        <v>3419.2</v>
      </c>
      <c r="AJ75" s="53">
        <f t="shared" ref="AJ75:AJ97" si="15">+P75-AI75</f>
        <v>8.2040000000233704E-2</v>
      </c>
    </row>
    <row r="76" spans="1:36" ht="12.75">
      <c r="A76" s="20" t="s">
        <v>199</v>
      </c>
      <c r="B76" s="21" t="s">
        <v>309</v>
      </c>
      <c r="C76" s="52">
        <f>+FACTURACIÓN!G76-'C&amp;A'!L76-'C&amp;A'!J76-'C&amp;A'!H76-'C&amp;A'!G76</f>
        <v>4368.7700000000004</v>
      </c>
      <c r="D76" s="53">
        <v>0</v>
      </c>
      <c r="E76" s="54">
        <f t="shared" si="9"/>
        <v>4368.7700000000004</v>
      </c>
      <c r="F76" s="54">
        <f>+FACTURACIÓN!H76</f>
        <v>0</v>
      </c>
      <c r="G76" s="54">
        <f>+FACTURACIÓN!I76</f>
        <v>0</v>
      </c>
      <c r="H76" s="54">
        <f>+FACTURACIÓN!J76</f>
        <v>0</v>
      </c>
      <c r="I76" s="54">
        <f>+FACTURACIÓN!K76</f>
        <v>0</v>
      </c>
      <c r="J76" s="54">
        <f>+FACTURACIÓN!L76</f>
        <v>0</v>
      </c>
      <c r="K76" s="54">
        <f>+FACTURACIÓN!M76</f>
        <v>0</v>
      </c>
      <c r="L76" s="54">
        <f>+FACTURACIÓN!N76</f>
        <v>291.5</v>
      </c>
      <c r="M76" s="54">
        <f>+FACTURACIÓN!O76</f>
        <v>494.59700000000004</v>
      </c>
      <c r="N76" s="54">
        <f>+FACTURACIÓN!P76</f>
        <v>0</v>
      </c>
      <c r="O76" s="53">
        <f t="shared" si="10"/>
        <v>786.09699999999998</v>
      </c>
      <c r="P76" s="58">
        <f t="shared" si="11"/>
        <v>3582.6730000000007</v>
      </c>
      <c r="Q76" s="51" t="str">
        <f t="shared" si="12"/>
        <v xml:space="preserve">si </v>
      </c>
      <c r="R76" s="20" t="s">
        <v>199</v>
      </c>
      <c r="S76" s="21" t="s">
        <v>309</v>
      </c>
      <c r="T76" s="53">
        <v>1661</v>
      </c>
      <c r="U76" s="58">
        <f t="shared" si="8"/>
        <v>-1921.6730000000007</v>
      </c>
      <c r="Y76" s="51" t="str">
        <f t="shared" si="13"/>
        <v>si</v>
      </c>
      <c r="Z76" s="339" t="s">
        <v>780</v>
      </c>
      <c r="AA76" s="358">
        <v>2995318777</v>
      </c>
      <c r="AB76" s="53">
        <v>577.20000000000005</v>
      </c>
      <c r="AC76" s="360" t="s">
        <v>309</v>
      </c>
      <c r="AF76" s="51" t="str">
        <f t="shared" si="14"/>
        <v>si</v>
      </c>
      <c r="AG76" s="50" t="s">
        <v>780</v>
      </c>
      <c r="AH76" s="51" t="s">
        <v>309</v>
      </c>
      <c r="AI76" s="53">
        <v>3582.6</v>
      </c>
      <c r="AJ76" s="53">
        <f t="shared" si="15"/>
        <v>7.3000000000774889E-2</v>
      </c>
    </row>
    <row r="77" spans="1:36" ht="12.75">
      <c r="A77" s="20" t="s">
        <v>137</v>
      </c>
      <c r="B77" s="21" t="s">
        <v>138</v>
      </c>
      <c r="C77" s="52">
        <f>+FACTURACIÓN!G77-'C&amp;A'!L77-'C&amp;A'!J77-'C&amp;A'!H77-'C&amp;A'!G77</f>
        <v>233.95999999999992</v>
      </c>
      <c r="D77" s="53">
        <v>0</v>
      </c>
      <c r="E77" s="54">
        <f t="shared" si="9"/>
        <v>233.95999999999992</v>
      </c>
      <c r="F77" s="54">
        <f>+FACTURACIÓN!H77</f>
        <v>0</v>
      </c>
      <c r="G77" s="54">
        <f>+FACTURACIÓN!I77</f>
        <v>39.756639999999997</v>
      </c>
      <c r="H77" s="54">
        <f>+FACTURACIÓN!J77</f>
        <v>8.1135999999999999</v>
      </c>
      <c r="I77" s="54">
        <f>+FACTURACIÓN!K77</f>
        <v>0</v>
      </c>
      <c r="J77" s="54">
        <f>+FACTURACIÓN!L77</f>
        <v>0</v>
      </c>
      <c r="K77" s="54">
        <f>+FACTURACIÓN!M77</f>
        <v>0</v>
      </c>
      <c r="L77" s="54">
        <f>+FACTURACIÓN!N77</f>
        <v>0</v>
      </c>
      <c r="M77" s="54">
        <f>+FACTURACIÓN!O77</f>
        <v>0</v>
      </c>
      <c r="N77" s="54">
        <f>+FACTURACIÓN!P77</f>
        <v>0</v>
      </c>
      <c r="O77" s="53">
        <f t="shared" si="10"/>
        <v>47.870239999999995</v>
      </c>
      <c r="P77" s="58">
        <f t="shared" si="11"/>
        <v>186.08975999999993</v>
      </c>
      <c r="Q77" s="51" t="str">
        <f t="shared" si="12"/>
        <v xml:space="preserve">si </v>
      </c>
      <c r="R77" s="20" t="s">
        <v>137</v>
      </c>
      <c r="S77" s="21" t="s">
        <v>138</v>
      </c>
      <c r="T77" s="53">
        <v>477.6</v>
      </c>
      <c r="U77" s="58">
        <f t="shared" si="8"/>
        <v>291.51024000000007</v>
      </c>
      <c r="V77" s="51" t="s">
        <v>147</v>
      </c>
      <c r="Y77" s="51" t="str">
        <f t="shared" si="13"/>
        <v>si</v>
      </c>
      <c r="Z77" s="339" t="s">
        <v>137</v>
      </c>
      <c r="AA77" s="358" t="s">
        <v>666</v>
      </c>
      <c r="AB77" s="53">
        <v>577.4</v>
      </c>
      <c r="AC77" s="360" t="s">
        <v>138</v>
      </c>
      <c r="AF77" s="51" t="str">
        <f t="shared" si="14"/>
        <v>si</v>
      </c>
      <c r="AG77" s="50" t="s">
        <v>137</v>
      </c>
      <c r="AH77" s="51" t="s">
        <v>138</v>
      </c>
      <c r="AI77" s="53">
        <v>186.2</v>
      </c>
      <c r="AJ77" s="53">
        <f t="shared" si="15"/>
        <v>-0.1102400000000614</v>
      </c>
    </row>
    <row r="78" spans="1:36" ht="12.75">
      <c r="A78" s="20" t="s">
        <v>139</v>
      </c>
      <c r="B78" s="21" t="s">
        <v>140</v>
      </c>
      <c r="C78" s="52">
        <f>+FACTURACIÓN!G78-'C&amp;A'!L78-'C&amp;A'!J78-'C&amp;A'!H78-'C&amp;A'!G78</f>
        <v>939.47</v>
      </c>
      <c r="D78" s="53">
        <v>0</v>
      </c>
      <c r="E78" s="54">
        <f t="shared" si="9"/>
        <v>939.47</v>
      </c>
      <c r="F78" s="54">
        <f>+FACTURACIÓN!H78</f>
        <v>0</v>
      </c>
      <c r="G78" s="54">
        <f>+FACTURACIÓN!I78</f>
        <v>0</v>
      </c>
      <c r="H78" s="54">
        <f>+FACTURACIÓN!J78</f>
        <v>0</v>
      </c>
      <c r="I78" s="54">
        <f>+FACTURACIÓN!K78</f>
        <v>0</v>
      </c>
      <c r="J78" s="54">
        <f>+FACTURACIÓN!L78</f>
        <v>0</v>
      </c>
      <c r="K78" s="54">
        <f>+FACTURACIÓN!M78</f>
        <v>0</v>
      </c>
      <c r="L78" s="54">
        <f>+FACTURACIÓN!N78</f>
        <v>0</v>
      </c>
      <c r="M78" s="54">
        <f>+FACTURACIÓN!O78</f>
        <v>0</v>
      </c>
      <c r="N78" s="54">
        <f>+FACTURACIÓN!P78</f>
        <v>0</v>
      </c>
      <c r="O78" s="53">
        <f t="shared" si="10"/>
        <v>0</v>
      </c>
      <c r="P78" s="58">
        <f t="shared" si="11"/>
        <v>939.47</v>
      </c>
      <c r="Q78" s="51" t="str">
        <f t="shared" si="12"/>
        <v xml:space="preserve">si </v>
      </c>
      <c r="R78" s="20" t="s">
        <v>139</v>
      </c>
      <c r="S78" s="21" t="s">
        <v>140</v>
      </c>
      <c r="T78" s="53">
        <v>1831.8</v>
      </c>
      <c r="U78" s="58">
        <f t="shared" si="8"/>
        <v>892.32999999999993</v>
      </c>
      <c r="Y78" s="51" t="str">
        <f t="shared" si="13"/>
        <v>si</v>
      </c>
      <c r="Z78" s="339" t="s">
        <v>781</v>
      </c>
      <c r="AA78" s="358" t="s">
        <v>695</v>
      </c>
      <c r="AB78" s="53">
        <v>577.20000000000005</v>
      </c>
      <c r="AC78" s="360" t="s">
        <v>140</v>
      </c>
      <c r="AF78" s="51" t="str">
        <f t="shared" si="14"/>
        <v>si</v>
      </c>
      <c r="AG78" s="50" t="s">
        <v>781</v>
      </c>
      <c r="AH78" s="51" t="s">
        <v>140</v>
      </c>
      <c r="AI78" s="53">
        <v>939.4</v>
      </c>
      <c r="AJ78" s="53">
        <f t="shared" si="15"/>
        <v>7.0000000000050022E-2</v>
      </c>
    </row>
    <row r="79" spans="1:36" ht="12.75">
      <c r="A79" s="50" t="s">
        <v>509</v>
      </c>
      <c r="B79" s="21" t="s">
        <v>510</v>
      </c>
      <c r="C79" s="52">
        <f>+FACTURACIÓN!G79-'C&amp;A'!L79-'C&amp;A'!J79-'C&amp;A'!H79-'C&amp;A'!G79</f>
        <v>2092.71</v>
      </c>
      <c r="D79" s="53">
        <v>0</v>
      </c>
      <c r="E79" s="54">
        <f t="shared" si="9"/>
        <v>2092.71</v>
      </c>
      <c r="F79" s="54">
        <f>+FACTURACIÓN!H79</f>
        <v>0</v>
      </c>
      <c r="G79" s="54">
        <f>+FACTURACIÓN!I79</f>
        <v>0</v>
      </c>
      <c r="H79" s="54">
        <f>+FACTURACIÓN!J79</f>
        <v>0</v>
      </c>
      <c r="I79" s="54">
        <f>+FACTURACIÓN!K79</f>
        <v>0</v>
      </c>
      <c r="J79" s="54">
        <f>+FACTURACIÓN!L79</f>
        <v>0</v>
      </c>
      <c r="K79" s="54">
        <f>+FACTURACIÓN!M79</f>
        <v>0</v>
      </c>
      <c r="L79" s="54">
        <f>+FACTURACIÓN!N79</f>
        <v>0</v>
      </c>
      <c r="M79" s="54">
        <f>+FACTURACIÓN!O79</f>
        <v>0</v>
      </c>
      <c r="N79" s="54">
        <f>+FACTURACIÓN!P79</f>
        <v>0</v>
      </c>
      <c r="O79" s="53">
        <f t="shared" si="10"/>
        <v>0</v>
      </c>
      <c r="P79" s="58">
        <f t="shared" si="11"/>
        <v>2092.71</v>
      </c>
      <c r="Q79" s="51" t="str">
        <f t="shared" si="12"/>
        <v xml:space="preserve">si </v>
      </c>
      <c r="R79" s="50" t="s">
        <v>509</v>
      </c>
      <c r="S79" s="21" t="s">
        <v>510</v>
      </c>
      <c r="T79" s="53">
        <v>821.26</v>
      </c>
      <c r="U79" s="58">
        <f t="shared" si="8"/>
        <v>-1271.45</v>
      </c>
      <c r="Y79" s="51" t="str">
        <f t="shared" si="13"/>
        <v>si</v>
      </c>
      <c r="Z79" s="339" t="s">
        <v>509</v>
      </c>
      <c r="AA79" s="358">
        <v>9589670162</v>
      </c>
      <c r="AB79" s="53">
        <v>577.4</v>
      </c>
      <c r="AC79" s="360" t="s">
        <v>510</v>
      </c>
      <c r="AF79" s="51" t="str">
        <f t="shared" si="14"/>
        <v>si</v>
      </c>
      <c r="AG79" s="50" t="s">
        <v>509</v>
      </c>
      <c r="AH79" s="51" t="s">
        <v>510</v>
      </c>
      <c r="AI79" s="53">
        <v>2092.8000000000002</v>
      </c>
      <c r="AJ79" s="53">
        <f t="shared" si="15"/>
        <v>-9.0000000000145519E-2</v>
      </c>
    </row>
    <row r="80" spans="1:36" ht="12.75">
      <c r="A80" s="20" t="s">
        <v>141</v>
      </c>
      <c r="B80" s="21" t="s">
        <v>142</v>
      </c>
      <c r="C80" s="52">
        <f>+FACTURACIÓN!G80-'C&amp;A'!L80-'C&amp;A'!J80-'C&amp;A'!H80-'C&amp;A'!G80</f>
        <v>2668.5800000000004</v>
      </c>
      <c r="D80" s="53">
        <v>0</v>
      </c>
      <c r="E80" s="54">
        <f t="shared" si="9"/>
        <v>2668.5800000000004</v>
      </c>
      <c r="F80" s="54">
        <f>+FACTURACIÓN!H80</f>
        <v>300</v>
      </c>
      <c r="G80" s="54">
        <f>+FACTURACIÓN!I80</f>
        <v>0</v>
      </c>
      <c r="H80" s="54">
        <f>+FACTURACIÓN!J80</f>
        <v>0</v>
      </c>
      <c r="I80" s="54">
        <f>+FACTURACIÓN!K80</f>
        <v>0</v>
      </c>
      <c r="J80" s="54">
        <f>+FACTURACIÓN!L80</f>
        <v>0</v>
      </c>
      <c r="K80" s="54">
        <f>+FACTURACIÓN!M80</f>
        <v>0</v>
      </c>
      <c r="L80" s="54">
        <f>+FACTURACIÓN!N80</f>
        <v>971.68</v>
      </c>
      <c r="M80" s="54">
        <f>+FACTURACIÓN!O80</f>
        <v>0</v>
      </c>
      <c r="N80" s="54">
        <f>+FACTURACIÓN!P80</f>
        <v>0</v>
      </c>
      <c r="O80" s="53">
        <f t="shared" si="10"/>
        <v>1271.6799999999998</v>
      </c>
      <c r="P80" s="58">
        <f t="shared" si="11"/>
        <v>1396.9000000000005</v>
      </c>
      <c r="Q80" s="51" t="str">
        <f t="shared" si="12"/>
        <v xml:space="preserve">si </v>
      </c>
      <c r="R80" s="20" t="s">
        <v>141</v>
      </c>
      <c r="S80" s="21" t="s">
        <v>142</v>
      </c>
      <c r="T80" s="53">
        <v>1422.4</v>
      </c>
      <c r="U80" s="58">
        <f t="shared" si="8"/>
        <v>25.499999999999545</v>
      </c>
      <c r="Y80" s="51" t="str">
        <f t="shared" si="13"/>
        <v>si</v>
      </c>
      <c r="Z80" s="339" t="s">
        <v>782</v>
      </c>
      <c r="AA80" s="358" t="s">
        <v>645</v>
      </c>
      <c r="AB80" s="53">
        <v>577.4</v>
      </c>
      <c r="AC80" s="360" t="s">
        <v>142</v>
      </c>
      <c r="AF80" s="51" t="str">
        <f t="shared" si="14"/>
        <v>si</v>
      </c>
      <c r="AG80" s="50" t="s">
        <v>782</v>
      </c>
      <c r="AH80" s="51" t="s">
        <v>142</v>
      </c>
      <c r="AI80" s="53">
        <v>1396.8</v>
      </c>
      <c r="AJ80" s="53">
        <f t="shared" si="15"/>
        <v>0.10000000000059117</v>
      </c>
    </row>
    <row r="81" spans="1:36" ht="12.75">
      <c r="A81" s="20" t="s">
        <v>143</v>
      </c>
      <c r="B81" s="21" t="s">
        <v>144</v>
      </c>
      <c r="C81" s="52">
        <f>+FACTURACIÓN!G81-'C&amp;A'!L81-'C&amp;A'!J81-'C&amp;A'!H81-'C&amp;A'!G81</f>
        <v>3473.93</v>
      </c>
      <c r="D81" s="53">
        <v>0</v>
      </c>
      <c r="E81" s="54">
        <f t="shared" si="9"/>
        <v>3473.93</v>
      </c>
      <c r="F81" s="54">
        <f>+FACTURACIÓN!H81</f>
        <v>0</v>
      </c>
      <c r="G81" s="54">
        <f>+FACTURACIÓN!I81</f>
        <v>0</v>
      </c>
      <c r="H81" s="54">
        <f>+FACTURACIÓN!J81</f>
        <v>0</v>
      </c>
      <c r="I81" s="54">
        <f>+FACTURACIÓN!K81</f>
        <v>0</v>
      </c>
      <c r="J81" s="54">
        <f>+FACTURACIÓN!L81</f>
        <v>0</v>
      </c>
      <c r="K81" s="54">
        <f>+FACTURACIÓN!M81</f>
        <v>0</v>
      </c>
      <c r="L81" s="54">
        <f>+FACTURACIÓN!N81</f>
        <v>0</v>
      </c>
      <c r="M81" s="54">
        <f>+FACTURACIÓN!O81</f>
        <v>405.13300000000004</v>
      </c>
      <c r="N81" s="54">
        <f>+FACTURACIÓN!P81</f>
        <v>0</v>
      </c>
      <c r="O81" s="53">
        <f t="shared" si="10"/>
        <v>405.13300000000004</v>
      </c>
      <c r="P81" s="58">
        <f t="shared" si="11"/>
        <v>3068.7969999999996</v>
      </c>
      <c r="Q81" s="51" t="str">
        <f t="shared" si="12"/>
        <v xml:space="preserve">si </v>
      </c>
      <c r="R81" s="20" t="s">
        <v>143</v>
      </c>
      <c r="S81" s="21" t="s">
        <v>144</v>
      </c>
      <c r="T81" s="53">
        <v>2200</v>
      </c>
      <c r="U81" s="58">
        <f t="shared" si="8"/>
        <v>-868.79699999999957</v>
      </c>
      <c r="Y81" s="51" t="str">
        <f t="shared" si="13"/>
        <v>si</v>
      </c>
      <c r="Z81" s="339" t="s">
        <v>783</v>
      </c>
      <c r="AA81" s="358" t="s">
        <v>674</v>
      </c>
      <c r="AB81" s="53">
        <v>577.4</v>
      </c>
      <c r="AC81" s="360" t="s">
        <v>144</v>
      </c>
      <c r="AF81" s="51" t="str">
        <f t="shared" si="14"/>
        <v>si</v>
      </c>
      <c r="AG81" s="50" t="s">
        <v>783</v>
      </c>
      <c r="AH81" s="51" t="s">
        <v>144</v>
      </c>
      <c r="AI81" s="53">
        <v>3068.8</v>
      </c>
      <c r="AJ81" s="53">
        <f t="shared" si="15"/>
        <v>-3.0000000006111804E-3</v>
      </c>
    </row>
    <row r="82" spans="1:36" ht="12.75">
      <c r="A82" s="20" t="s">
        <v>188</v>
      </c>
      <c r="B82" s="21" t="s">
        <v>314</v>
      </c>
      <c r="C82" s="52">
        <f>+FACTURACIÓN!G82-'C&amp;A'!L82-'C&amp;A'!J82-'C&amp;A'!H82-'C&amp;A'!G82</f>
        <v>522.79999999999995</v>
      </c>
      <c r="D82" s="53">
        <v>0</v>
      </c>
      <c r="E82" s="54">
        <f t="shared" si="9"/>
        <v>522.79999999999995</v>
      </c>
      <c r="F82" s="54">
        <f>+FACTURACIÓN!H82</f>
        <v>0</v>
      </c>
      <c r="G82" s="54">
        <f>+FACTURACIÓN!I82</f>
        <v>0</v>
      </c>
      <c r="H82" s="54">
        <f>+FACTURACIÓN!J82</f>
        <v>0</v>
      </c>
      <c r="I82" s="54">
        <f>+FACTURACIÓN!K82</f>
        <v>0</v>
      </c>
      <c r="J82" s="54">
        <f>+FACTURACIÓN!L82</f>
        <v>0</v>
      </c>
      <c r="K82" s="54">
        <f>+FACTURACIÓN!M82</f>
        <v>0</v>
      </c>
      <c r="L82" s="54">
        <f>+FACTURACIÓN!N82</f>
        <v>0</v>
      </c>
      <c r="M82" s="54">
        <f>+FACTURACIÓN!O82</f>
        <v>0</v>
      </c>
      <c r="N82" s="54">
        <f>+FACTURACIÓN!P82</f>
        <v>0</v>
      </c>
      <c r="O82" s="53">
        <f t="shared" si="10"/>
        <v>0</v>
      </c>
      <c r="P82" s="58">
        <f t="shared" si="11"/>
        <v>522.79999999999995</v>
      </c>
      <c r="Q82" s="51" t="str">
        <f t="shared" si="12"/>
        <v>no</v>
      </c>
      <c r="R82" s="20" t="s">
        <v>188</v>
      </c>
      <c r="S82" s="21" t="s">
        <v>726</v>
      </c>
      <c r="T82" s="53">
        <v>467.2</v>
      </c>
      <c r="U82" s="58">
        <f t="shared" si="8"/>
        <v>-55.599999999999966</v>
      </c>
      <c r="Y82" s="51" t="str">
        <f t="shared" si="13"/>
        <v>si</v>
      </c>
      <c r="Z82" s="339" t="s">
        <v>784</v>
      </c>
      <c r="AA82" s="358">
        <v>2969627642</v>
      </c>
      <c r="AB82" s="53">
        <v>577.20000000000005</v>
      </c>
      <c r="AC82" s="360" t="s">
        <v>314</v>
      </c>
      <c r="AF82" s="51" t="str">
        <f t="shared" si="14"/>
        <v>si</v>
      </c>
      <c r="AG82" s="50" t="s">
        <v>784</v>
      </c>
      <c r="AH82" s="51" t="s">
        <v>314</v>
      </c>
      <c r="AI82" s="53">
        <v>522.79999999999995</v>
      </c>
      <c r="AJ82" s="53">
        <f t="shared" si="15"/>
        <v>0</v>
      </c>
    </row>
    <row r="83" spans="1:36" ht="12.75">
      <c r="A83" s="20" t="s">
        <v>148</v>
      </c>
      <c r="B83" s="21" t="s">
        <v>149</v>
      </c>
      <c r="C83" s="52">
        <f>+FACTURACIÓN!G83-'C&amp;A'!L83-'C&amp;A'!J83-'C&amp;A'!H83-'C&amp;A'!G83</f>
        <v>2981.84</v>
      </c>
      <c r="D83" s="53">
        <v>0</v>
      </c>
      <c r="E83" s="54">
        <f t="shared" si="9"/>
        <v>2981.84</v>
      </c>
      <c r="F83" s="54">
        <f>+FACTURACIÓN!H83</f>
        <v>0</v>
      </c>
      <c r="G83" s="54">
        <f>+FACTURACIÓN!I83</f>
        <v>0</v>
      </c>
      <c r="H83" s="54">
        <f>+FACTURACIÓN!J83</f>
        <v>0</v>
      </c>
      <c r="I83" s="54">
        <f>+FACTURACIÓN!K83</f>
        <v>0</v>
      </c>
      <c r="J83" s="54">
        <f>+FACTURACIÓN!L83</f>
        <v>0</v>
      </c>
      <c r="K83" s="54">
        <f>+FACTURACIÓN!M83</f>
        <v>0</v>
      </c>
      <c r="L83" s="54">
        <f>+FACTURACIÓN!N83</f>
        <v>0</v>
      </c>
      <c r="M83" s="54">
        <f>+FACTURACIÓN!O83</f>
        <v>355.904</v>
      </c>
      <c r="N83" s="54">
        <f>+FACTURACIÓN!P83</f>
        <v>58.91</v>
      </c>
      <c r="O83" s="53">
        <f t="shared" si="10"/>
        <v>414.81399999999996</v>
      </c>
      <c r="P83" s="58">
        <f t="shared" si="11"/>
        <v>2567.0260000000003</v>
      </c>
      <c r="Q83" s="51" t="str">
        <f t="shared" si="12"/>
        <v xml:space="preserve">si </v>
      </c>
      <c r="R83" s="20" t="s">
        <v>148</v>
      </c>
      <c r="S83" s="21" t="s">
        <v>149</v>
      </c>
      <c r="T83" s="53">
        <v>894</v>
      </c>
      <c r="U83" s="58">
        <f t="shared" si="8"/>
        <v>-1673.0260000000003</v>
      </c>
      <c r="Y83" s="51" t="str">
        <f t="shared" si="13"/>
        <v>si</v>
      </c>
      <c r="Z83" s="339" t="s">
        <v>785</v>
      </c>
      <c r="AA83" s="358" t="s">
        <v>692</v>
      </c>
      <c r="AB83" s="53">
        <v>577.20000000000005</v>
      </c>
      <c r="AC83" s="360" t="s">
        <v>149</v>
      </c>
      <c r="AF83" s="51" t="str">
        <f t="shared" si="14"/>
        <v>si</v>
      </c>
      <c r="AG83" s="50" t="s">
        <v>785</v>
      </c>
      <c r="AH83" s="51" t="s">
        <v>149</v>
      </c>
      <c r="AI83" s="53">
        <v>2567.1999999999998</v>
      </c>
      <c r="AJ83" s="53">
        <f t="shared" si="15"/>
        <v>-0.17399999999952342</v>
      </c>
    </row>
    <row r="84" spans="1:36" ht="12.75">
      <c r="A84" s="20" t="s">
        <v>150</v>
      </c>
      <c r="B84" s="21" t="s">
        <v>151</v>
      </c>
      <c r="C84" s="52">
        <f>+FACTURACIÓN!G84-'C&amp;A'!L84-'C&amp;A'!J84-'C&amp;A'!H84-'C&amp;A'!G84</f>
        <v>997.90000000000009</v>
      </c>
      <c r="D84" s="53">
        <v>0</v>
      </c>
      <c r="E84" s="54">
        <f t="shared" si="9"/>
        <v>997.90000000000009</v>
      </c>
      <c r="F84" s="54">
        <f>+FACTURACIÓN!H84</f>
        <v>0</v>
      </c>
      <c r="G84" s="54">
        <f>+FACTURACIÓN!I84</f>
        <v>77.179900000000004</v>
      </c>
      <c r="H84" s="54">
        <f>+FACTURACIÓN!J84</f>
        <v>15.751000000000001</v>
      </c>
      <c r="I84" s="54">
        <f>+FACTURACIÓN!K84</f>
        <v>0</v>
      </c>
      <c r="J84" s="54">
        <f>+FACTURACIÓN!L84</f>
        <v>0</v>
      </c>
      <c r="K84" s="54">
        <f>+FACTURACIÓN!M84</f>
        <v>0</v>
      </c>
      <c r="L84" s="54">
        <f>+FACTURACIÓN!N84</f>
        <v>0</v>
      </c>
      <c r="M84" s="54">
        <f>+FACTURACIÓN!O84</f>
        <v>0</v>
      </c>
      <c r="N84" s="54">
        <f>+FACTURACIÓN!P84</f>
        <v>0</v>
      </c>
      <c r="O84" s="53">
        <f t="shared" si="10"/>
        <v>92.930900000000008</v>
      </c>
      <c r="P84" s="58">
        <f t="shared" si="11"/>
        <v>904.96910000000003</v>
      </c>
      <c r="Q84" s="51" t="str">
        <f t="shared" si="12"/>
        <v xml:space="preserve">si </v>
      </c>
      <c r="R84" s="20" t="s">
        <v>150</v>
      </c>
      <c r="S84" s="21" t="s">
        <v>151</v>
      </c>
      <c r="T84" s="53">
        <v>1536</v>
      </c>
      <c r="U84" s="58">
        <f t="shared" si="8"/>
        <v>631.03089999999997</v>
      </c>
      <c r="Y84" s="51" t="str">
        <f t="shared" si="13"/>
        <v>si</v>
      </c>
      <c r="Z84" s="339" t="s">
        <v>150</v>
      </c>
      <c r="AA84" s="358" t="s">
        <v>665</v>
      </c>
      <c r="AB84" s="53">
        <v>577.20000000000005</v>
      </c>
      <c r="AC84" s="360" t="s">
        <v>151</v>
      </c>
      <c r="AF84" s="51" t="str">
        <f t="shared" si="14"/>
        <v>si</v>
      </c>
      <c r="AG84" s="50" t="s">
        <v>150</v>
      </c>
      <c r="AH84" s="51" t="s">
        <v>151</v>
      </c>
      <c r="AI84" s="53">
        <v>904.8</v>
      </c>
      <c r="AJ84" s="53">
        <f t="shared" si="15"/>
        <v>0.1691000000000713</v>
      </c>
    </row>
    <row r="85" spans="1:36" ht="12.75">
      <c r="A85" s="20" t="s">
        <v>152</v>
      </c>
      <c r="B85" s="21" t="s">
        <v>153</v>
      </c>
      <c r="C85" s="52">
        <f>+FACTURACIÓN!G85-'C&amp;A'!L85-'C&amp;A'!J85-'C&amp;A'!H85-'C&amp;A'!G85</f>
        <v>2384.96</v>
      </c>
      <c r="D85" s="53">
        <v>0</v>
      </c>
      <c r="E85" s="54">
        <f t="shared" si="9"/>
        <v>2384.96</v>
      </c>
      <c r="F85" s="54">
        <f>+FACTURACIÓN!H85</f>
        <v>200</v>
      </c>
      <c r="G85" s="54">
        <f>+FACTURACIÓN!I85</f>
        <v>145.15564000000001</v>
      </c>
      <c r="H85" s="54">
        <f>+FACTURACIÓN!J85</f>
        <v>29.623600000000003</v>
      </c>
      <c r="I85" s="54">
        <f>+FACTURACIÓN!K85</f>
        <v>257.64</v>
      </c>
      <c r="J85" s="54">
        <f>+FACTURACIÓN!L85</f>
        <v>0</v>
      </c>
      <c r="K85" s="54">
        <f>+FACTURACIÓN!M85</f>
        <v>201.24</v>
      </c>
      <c r="L85" s="54">
        <f>+FACTURACIÓN!N85</f>
        <v>0</v>
      </c>
      <c r="M85" s="54">
        <f>+FACTURACIÓN!O85</f>
        <v>0</v>
      </c>
      <c r="N85" s="54">
        <f>+FACTURACIÓN!P85</f>
        <v>0</v>
      </c>
      <c r="O85" s="53">
        <f t="shared" si="10"/>
        <v>833.65923999999995</v>
      </c>
      <c r="P85" s="58">
        <f t="shared" si="11"/>
        <v>1551.3007600000001</v>
      </c>
      <c r="Q85" s="51" t="str">
        <f t="shared" si="12"/>
        <v xml:space="preserve">si </v>
      </c>
      <c r="R85" s="20" t="s">
        <v>152</v>
      </c>
      <c r="S85" s="21" t="s">
        <v>153</v>
      </c>
      <c r="T85" s="53">
        <v>2430</v>
      </c>
      <c r="U85" s="58">
        <f t="shared" si="8"/>
        <v>878.69923999999992</v>
      </c>
      <c r="Y85" s="51" t="str">
        <f t="shared" si="13"/>
        <v>si</v>
      </c>
      <c r="Z85" s="339" t="s">
        <v>786</v>
      </c>
      <c r="AA85" s="358" t="s">
        <v>662</v>
      </c>
      <c r="AB85" s="53">
        <v>577.4</v>
      </c>
      <c r="AC85" s="360" t="s">
        <v>153</v>
      </c>
      <c r="AF85" s="51" t="str">
        <f t="shared" si="14"/>
        <v>si</v>
      </c>
      <c r="AG85" s="50" t="s">
        <v>786</v>
      </c>
      <c r="AH85" s="51" t="s">
        <v>153</v>
      </c>
      <c r="AI85" s="53">
        <v>1551.2</v>
      </c>
      <c r="AJ85" s="53">
        <f t="shared" si="15"/>
        <v>0.1007600000000366</v>
      </c>
    </row>
    <row r="86" spans="1:36" ht="12.75">
      <c r="A86" s="20" t="s">
        <v>317</v>
      </c>
      <c r="B86" s="21" t="s">
        <v>154</v>
      </c>
      <c r="C86" s="52">
        <f>+FACTURACIÓN!G86-'C&amp;A'!L86-'C&amp;A'!J86-'C&amp;A'!H86-'C&amp;A'!G86</f>
        <v>2742.06</v>
      </c>
      <c r="D86" s="53">
        <v>0</v>
      </c>
      <c r="E86" s="54">
        <f t="shared" si="9"/>
        <v>2742.06</v>
      </c>
      <c r="F86" s="54">
        <f>+FACTURACIÓN!H86</f>
        <v>150</v>
      </c>
      <c r="G86" s="54">
        <f>+FACTURACIÓN!I86</f>
        <v>0</v>
      </c>
      <c r="H86" s="54">
        <f>+FACTURACIÓN!J86</f>
        <v>0</v>
      </c>
      <c r="I86" s="54">
        <f>+FACTURACIÓN!K86</f>
        <v>0</v>
      </c>
      <c r="J86" s="54">
        <f>+FACTURACIÓN!L86</f>
        <v>0</v>
      </c>
      <c r="K86" s="54">
        <f>+FACTURACIÓN!M86</f>
        <v>0</v>
      </c>
      <c r="L86" s="54">
        <f>+FACTURACIÓN!N86</f>
        <v>0</v>
      </c>
      <c r="M86" s="54">
        <f>+FACTURACIÓN!O86</f>
        <v>0</v>
      </c>
      <c r="N86" s="54">
        <f>+FACTURACIÓN!P86</f>
        <v>0</v>
      </c>
      <c r="O86" s="53">
        <f t="shared" si="10"/>
        <v>150</v>
      </c>
      <c r="P86" s="58">
        <f t="shared" si="11"/>
        <v>2592.06</v>
      </c>
      <c r="Q86" s="51" t="str">
        <f t="shared" si="12"/>
        <v xml:space="preserve">si </v>
      </c>
      <c r="R86" s="20" t="s">
        <v>317</v>
      </c>
      <c r="S86" s="21" t="s">
        <v>154</v>
      </c>
      <c r="T86" s="53">
        <v>1949</v>
      </c>
      <c r="U86" s="58">
        <f t="shared" si="8"/>
        <v>-643.05999999999995</v>
      </c>
      <c r="Y86" s="51" t="str">
        <f t="shared" si="13"/>
        <v>si</v>
      </c>
      <c r="Z86" s="339" t="s">
        <v>317</v>
      </c>
      <c r="AA86" s="358" t="s">
        <v>707</v>
      </c>
      <c r="AB86" s="53">
        <v>577.4</v>
      </c>
      <c r="AC86" s="360" t="s">
        <v>154</v>
      </c>
      <c r="AF86" s="51" t="str">
        <f t="shared" si="14"/>
        <v>si</v>
      </c>
      <c r="AG86" s="50" t="s">
        <v>317</v>
      </c>
      <c r="AH86" s="51" t="s">
        <v>154</v>
      </c>
      <c r="AI86" s="53">
        <v>2592</v>
      </c>
      <c r="AJ86" s="53">
        <f t="shared" si="15"/>
        <v>5.999999999994543E-2</v>
      </c>
    </row>
    <row r="87" spans="1:36" ht="12.75">
      <c r="A87" s="20" t="s">
        <v>155</v>
      </c>
      <c r="B87" s="21" t="s">
        <v>156</v>
      </c>
      <c r="C87" s="52">
        <f>+FACTURACIÓN!G87-'C&amp;A'!L87-'C&amp;A'!J87-'C&amp;A'!H87-'C&amp;A'!G87</f>
        <v>939.2700000000001</v>
      </c>
      <c r="D87" s="53">
        <v>0</v>
      </c>
      <c r="E87" s="54">
        <f t="shared" si="9"/>
        <v>939.2700000000001</v>
      </c>
      <c r="F87" s="54">
        <f>+FACTURACIÓN!H87</f>
        <v>0</v>
      </c>
      <c r="G87" s="54">
        <f>+FACTURACIÓN!I87</f>
        <v>0</v>
      </c>
      <c r="H87" s="54">
        <f>+FACTURACIÓN!J87</f>
        <v>0</v>
      </c>
      <c r="I87" s="54">
        <f>+FACTURACIÓN!K87</f>
        <v>0</v>
      </c>
      <c r="J87" s="54">
        <f>+FACTURACIÓN!L87</f>
        <v>0</v>
      </c>
      <c r="K87" s="54">
        <f>+FACTURACIÓN!M87</f>
        <v>0</v>
      </c>
      <c r="L87" s="54">
        <f>+FACTURACIÓN!N87</f>
        <v>355.65</v>
      </c>
      <c r="M87" s="54">
        <f>+FACTURACIÓN!O87</f>
        <v>0</v>
      </c>
      <c r="N87" s="54">
        <f>+FACTURACIÓN!P87</f>
        <v>0</v>
      </c>
      <c r="O87" s="53">
        <f t="shared" si="10"/>
        <v>355.65</v>
      </c>
      <c r="P87" s="58">
        <f t="shared" si="11"/>
        <v>583.62000000000012</v>
      </c>
      <c r="Q87" s="51" t="str">
        <f t="shared" si="12"/>
        <v xml:space="preserve">si </v>
      </c>
      <c r="R87" s="20" t="s">
        <v>155</v>
      </c>
      <c r="S87" s="21" t="s">
        <v>156</v>
      </c>
      <c r="T87" s="53">
        <v>78.400000000000006</v>
      </c>
      <c r="U87" s="58">
        <f t="shared" si="8"/>
        <v>-505.22000000000014</v>
      </c>
      <c r="Y87" s="51" t="str">
        <f t="shared" si="13"/>
        <v>si</v>
      </c>
      <c r="Z87" s="339" t="s">
        <v>787</v>
      </c>
      <c r="AA87" s="358" t="s">
        <v>689</v>
      </c>
      <c r="AB87" s="53">
        <v>577.4</v>
      </c>
      <c r="AC87" s="360" t="s">
        <v>156</v>
      </c>
      <c r="AF87" s="51" t="str">
        <f t="shared" si="14"/>
        <v>si</v>
      </c>
      <c r="AG87" s="50" t="s">
        <v>787</v>
      </c>
      <c r="AH87" s="51" t="s">
        <v>156</v>
      </c>
      <c r="AI87" s="53">
        <v>583.6</v>
      </c>
      <c r="AJ87" s="53">
        <f t="shared" si="15"/>
        <v>2.0000000000095497E-2</v>
      </c>
    </row>
    <row r="88" spans="1:36" ht="12.75">
      <c r="A88" s="50" t="s">
        <v>511</v>
      </c>
      <c r="B88" s="21" t="s">
        <v>512</v>
      </c>
      <c r="C88" s="52">
        <f>+FACTURACIÓN!G88-'C&amp;A'!L88-'C&amp;A'!J88-'C&amp;A'!H88-'C&amp;A'!G88</f>
        <v>939.2700000000001</v>
      </c>
      <c r="D88" s="53">
        <v>0</v>
      </c>
      <c r="E88" s="54">
        <f t="shared" si="9"/>
        <v>939.2700000000001</v>
      </c>
      <c r="F88" s="54">
        <f>+FACTURACIÓN!H88</f>
        <v>0</v>
      </c>
      <c r="G88" s="54">
        <f>+FACTURACIÓN!I88</f>
        <v>0</v>
      </c>
      <c r="H88" s="54">
        <f>+FACTURACIÓN!J88</f>
        <v>0</v>
      </c>
      <c r="I88" s="54">
        <f>+FACTURACIÓN!K88</f>
        <v>0</v>
      </c>
      <c r="J88" s="54">
        <f>+FACTURACIÓN!L88</f>
        <v>0</v>
      </c>
      <c r="K88" s="54">
        <f>+FACTURACIÓN!M88</f>
        <v>0</v>
      </c>
      <c r="L88" s="54">
        <f>+FACTURACIÓN!N88</f>
        <v>0</v>
      </c>
      <c r="M88" s="54">
        <f>+FACTURACIÓN!O88</f>
        <v>0</v>
      </c>
      <c r="N88" s="54">
        <f>+FACTURACIÓN!P88</f>
        <v>0</v>
      </c>
      <c r="O88" s="53">
        <f t="shared" si="10"/>
        <v>0</v>
      </c>
      <c r="P88" s="58">
        <f t="shared" si="11"/>
        <v>939.2700000000001</v>
      </c>
      <c r="Q88" s="51" t="str">
        <f t="shared" si="12"/>
        <v xml:space="preserve">si </v>
      </c>
      <c r="R88" s="50" t="s">
        <v>511</v>
      </c>
      <c r="S88" s="21" t="s">
        <v>512</v>
      </c>
      <c r="T88" s="53">
        <v>4530.8</v>
      </c>
      <c r="U88" s="58">
        <f t="shared" si="8"/>
        <v>3591.53</v>
      </c>
      <c r="Y88" s="51" t="str">
        <f t="shared" si="13"/>
        <v>si</v>
      </c>
      <c r="Z88" s="339" t="s">
        <v>511</v>
      </c>
      <c r="AA88" s="358">
        <v>2959934200</v>
      </c>
      <c r="AB88" s="53">
        <v>577.4</v>
      </c>
      <c r="AC88" s="360" t="s">
        <v>512</v>
      </c>
      <c r="AF88" s="51" t="str">
        <f t="shared" si="14"/>
        <v>si</v>
      </c>
      <c r="AG88" s="50" t="s">
        <v>511</v>
      </c>
      <c r="AH88" s="51" t="s">
        <v>512</v>
      </c>
      <c r="AI88" s="53">
        <v>939.4</v>
      </c>
      <c r="AJ88" s="53">
        <f t="shared" si="15"/>
        <v>-0.12999999999988177</v>
      </c>
    </row>
    <row r="89" spans="1:36" ht="12.75">
      <c r="A89" s="20" t="s">
        <v>157</v>
      </c>
      <c r="B89" s="21" t="s">
        <v>158</v>
      </c>
      <c r="C89" s="52">
        <f>+FACTURACIÓN!G89-'C&amp;A'!L89-'C&amp;A'!J89-'C&amp;A'!H89-'C&amp;A'!G89</f>
        <v>1669.99</v>
      </c>
      <c r="D89" s="53">
        <v>0</v>
      </c>
      <c r="E89" s="54">
        <f t="shared" si="9"/>
        <v>1669.99</v>
      </c>
      <c r="F89" s="54">
        <f>+FACTURACIÓN!H89</f>
        <v>0</v>
      </c>
      <c r="G89" s="54">
        <f>+FACTURACIÓN!I89</f>
        <v>0</v>
      </c>
      <c r="H89" s="54">
        <f>+FACTURACIÓN!J89</f>
        <v>0</v>
      </c>
      <c r="I89" s="54">
        <f>+FACTURACIÓN!K89</f>
        <v>0</v>
      </c>
      <c r="J89" s="54">
        <f>+FACTURACIÓN!L89</f>
        <v>0</v>
      </c>
      <c r="K89" s="54">
        <f>+FACTURACIÓN!M89</f>
        <v>0</v>
      </c>
      <c r="L89" s="54">
        <f>+FACTURACIÓN!N89</f>
        <v>0</v>
      </c>
      <c r="M89" s="54">
        <f>+FACTURACIÓN!O89</f>
        <v>0</v>
      </c>
      <c r="N89" s="54">
        <f>+FACTURACIÓN!P89</f>
        <v>0</v>
      </c>
      <c r="O89" s="53">
        <f t="shared" si="10"/>
        <v>0</v>
      </c>
      <c r="P89" s="58">
        <f t="shared" si="11"/>
        <v>1669.99</v>
      </c>
      <c r="Q89" s="51" t="str">
        <f t="shared" si="12"/>
        <v xml:space="preserve">si </v>
      </c>
      <c r="R89" s="20" t="s">
        <v>157</v>
      </c>
      <c r="S89" s="21" t="s">
        <v>158</v>
      </c>
      <c r="T89" s="53">
        <v>2318.6</v>
      </c>
      <c r="U89" s="58">
        <f t="shared" si="8"/>
        <v>648.6099999999999</v>
      </c>
      <c r="Y89" s="51" t="str">
        <f t="shared" si="13"/>
        <v>si</v>
      </c>
      <c r="Z89" s="339" t="s">
        <v>788</v>
      </c>
      <c r="AA89" s="358" t="s">
        <v>685</v>
      </c>
      <c r="AB89" s="53">
        <v>577.20000000000005</v>
      </c>
      <c r="AC89" s="360" t="s">
        <v>158</v>
      </c>
      <c r="AF89" s="51" t="str">
        <f t="shared" si="14"/>
        <v>si</v>
      </c>
      <c r="AG89" s="50" t="s">
        <v>788</v>
      </c>
      <c r="AH89" s="51" t="s">
        <v>158</v>
      </c>
      <c r="AI89" s="53">
        <v>1670</v>
      </c>
      <c r="AJ89" s="53">
        <f t="shared" si="15"/>
        <v>-9.9999999999909051E-3</v>
      </c>
    </row>
    <row r="90" spans="1:36" ht="12.75">
      <c r="A90" s="20" t="s">
        <v>159</v>
      </c>
      <c r="B90" s="21" t="s">
        <v>160</v>
      </c>
      <c r="C90" s="52">
        <f>+FACTURACIÓN!G90-'C&amp;A'!L90-'C&amp;A'!J90-'C&amp;A'!H90-'C&amp;A'!G90</f>
        <v>2629.11</v>
      </c>
      <c r="D90" s="53">
        <v>0</v>
      </c>
      <c r="E90" s="54">
        <f t="shared" si="9"/>
        <v>2629.11</v>
      </c>
      <c r="F90" s="54">
        <f>+FACTURACIÓN!H90</f>
        <v>0</v>
      </c>
      <c r="G90" s="54">
        <f>+FACTURACIÓN!I90</f>
        <v>0</v>
      </c>
      <c r="H90" s="54">
        <f>+FACTURACIÓN!J90</f>
        <v>0</v>
      </c>
      <c r="I90" s="54">
        <f>+FACTURACIÓN!K90</f>
        <v>0</v>
      </c>
      <c r="J90" s="54">
        <f>+FACTURACIÓN!L90</f>
        <v>0</v>
      </c>
      <c r="K90" s="54">
        <f>+FACTURACIÓN!M90</f>
        <v>0</v>
      </c>
      <c r="L90" s="54">
        <f>+FACTURACIÓN!N90</f>
        <v>0</v>
      </c>
      <c r="M90" s="54">
        <f>+FACTURACIÓN!O90</f>
        <v>0</v>
      </c>
      <c r="N90" s="54">
        <f>+FACTURACIÓN!P90</f>
        <v>0</v>
      </c>
      <c r="O90" s="53">
        <f t="shared" si="10"/>
        <v>0</v>
      </c>
      <c r="P90" s="58">
        <f t="shared" si="11"/>
        <v>2629.11</v>
      </c>
      <c r="Q90" s="51" t="str">
        <f t="shared" si="12"/>
        <v xml:space="preserve">si </v>
      </c>
      <c r="R90" s="20" t="s">
        <v>159</v>
      </c>
      <c r="S90" s="21" t="s">
        <v>160</v>
      </c>
      <c r="T90" s="53">
        <v>477.4</v>
      </c>
      <c r="U90" s="58">
        <f t="shared" si="8"/>
        <v>-2151.71</v>
      </c>
      <c r="Y90" s="51" t="str">
        <f t="shared" si="13"/>
        <v>si</v>
      </c>
      <c r="Z90" s="339" t="s">
        <v>789</v>
      </c>
      <c r="AA90" s="358" t="s">
        <v>677</v>
      </c>
      <c r="AB90" s="53">
        <v>577.4</v>
      </c>
      <c r="AC90" s="360" t="s">
        <v>160</v>
      </c>
      <c r="AF90" s="51" t="str">
        <f t="shared" si="14"/>
        <v>si</v>
      </c>
      <c r="AG90" s="50" t="s">
        <v>789</v>
      </c>
      <c r="AH90" s="51" t="s">
        <v>160</v>
      </c>
      <c r="AI90" s="53">
        <v>2629.2</v>
      </c>
      <c r="AJ90" s="53">
        <f t="shared" si="15"/>
        <v>-8.9999999999690772E-2</v>
      </c>
    </row>
    <row r="91" spans="1:36" ht="12.75">
      <c r="A91" s="20" t="s">
        <v>161</v>
      </c>
      <c r="B91" s="21" t="s">
        <v>162</v>
      </c>
      <c r="C91" s="52">
        <f>+FACTURACIÓN!G91-'C&amp;A'!L91-'C&amp;A'!J91-'C&amp;A'!H91-'C&amp;A'!G91</f>
        <v>2368.9800000000005</v>
      </c>
      <c r="D91" s="53">
        <v>0</v>
      </c>
      <c r="E91" s="54">
        <f t="shared" si="9"/>
        <v>2368.9800000000005</v>
      </c>
      <c r="F91" s="54">
        <f>+FACTURACIÓN!H91</f>
        <v>0</v>
      </c>
      <c r="G91" s="54">
        <f>+FACTURACIÓN!I91</f>
        <v>0</v>
      </c>
      <c r="H91" s="54">
        <f>+FACTURACIÓN!J91</f>
        <v>0</v>
      </c>
      <c r="I91" s="54">
        <f>+FACTURACIÓN!K91</f>
        <v>0</v>
      </c>
      <c r="J91" s="54">
        <f>+FACTURACIÓN!L91</f>
        <v>0</v>
      </c>
      <c r="K91" s="54">
        <f>+FACTURACIÓN!M91</f>
        <v>0</v>
      </c>
      <c r="L91" s="54">
        <f>+FACTURACIÓN!N91</f>
        <v>0</v>
      </c>
      <c r="M91" s="54">
        <f>+FACTURACIÓN!O91</f>
        <v>0</v>
      </c>
      <c r="N91" s="54">
        <f>+FACTURACIÓN!P91</f>
        <v>0</v>
      </c>
      <c r="O91" s="53">
        <f t="shared" si="10"/>
        <v>0</v>
      </c>
      <c r="P91" s="58">
        <f t="shared" si="11"/>
        <v>2368.9800000000005</v>
      </c>
      <c r="Q91" s="51" t="str">
        <f t="shared" si="12"/>
        <v xml:space="preserve">si </v>
      </c>
      <c r="R91" s="20" t="s">
        <v>161</v>
      </c>
      <c r="S91" s="21" t="s">
        <v>162</v>
      </c>
      <c r="T91" s="53">
        <v>79</v>
      </c>
      <c r="U91" s="58">
        <f t="shared" si="8"/>
        <v>-2289.9800000000005</v>
      </c>
      <c r="Y91" s="51" t="str">
        <f t="shared" si="13"/>
        <v>si</v>
      </c>
      <c r="Z91" s="339" t="s">
        <v>790</v>
      </c>
      <c r="AA91" s="358" t="s">
        <v>691</v>
      </c>
      <c r="AB91" s="53">
        <v>577.20000000000005</v>
      </c>
      <c r="AC91" s="360" t="s">
        <v>162</v>
      </c>
      <c r="AF91" s="51" t="str">
        <f t="shared" si="14"/>
        <v>si</v>
      </c>
      <c r="AG91" s="50" t="s">
        <v>790</v>
      </c>
      <c r="AH91" s="51" t="s">
        <v>162</v>
      </c>
      <c r="AI91" s="53">
        <v>2369</v>
      </c>
      <c r="AJ91" s="53">
        <f t="shared" si="15"/>
        <v>-1.9999999999527063E-2</v>
      </c>
    </row>
    <row r="92" spans="1:36" ht="12.75">
      <c r="A92" s="20" t="s">
        <v>163</v>
      </c>
      <c r="B92" s="21" t="s">
        <v>164</v>
      </c>
      <c r="C92" s="52">
        <f>+FACTURACIÓN!G92-'C&amp;A'!L92-'C&amp;A'!J92-'C&amp;A'!H92-'C&amp;A'!G92</f>
        <v>3805.59</v>
      </c>
      <c r="D92" s="53">
        <v>0</v>
      </c>
      <c r="E92" s="54">
        <f t="shared" si="9"/>
        <v>3805.59</v>
      </c>
      <c r="F92" s="54">
        <f>+FACTURACIÓN!H92</f>
        <v>0</v>
      </c>
      <c r="G92" s="54">
        <f>+FACTURACIÓN!I92</f>
        <v>0</v>
      </c>
      <c r="H92" s="54">
        <f>+FACTURACIÓN!J92</f>
        <v>0</v>
      </c>
      <c r="I92" s="54">
        <f>+FACTURACIÓN!K92</f>
        <v>0</v>
      </c>
      <c r="J92" s="54">
        <f>+FACTURACIÓN!L92</f>
        <v>0</v>
      </c>
      <c r="K92" s="54">
        <f>+FACTURACIÓN!M92</f>
        <v>0</v>
      </c>
      <c r="L92" s="54">
        <f>+FACTURACIÓN!N92</f>
        <v>1095.7650000000001</v>
      </c>
      <c r="M92" s="54">
        <f>+FACTURACIÓN!O92</f>
        <v>438.30600000000004</v>
      </c>
      <c r="N92" s="54">
        <f>+FACTURACIÓN!P92</f>
        <v>0</v>
      </c>
      <c r="O92" s="53">
        <f t="shared" si="10"/>
        <v>1534.0710000000001</v>
      </c>
      <c r="P92" s="58">
        <f t="shared" si="11"/>
        <v>2271.5190000000002</v>
      </c>
      <c r="Q92" s="51" t="str">
        <f t="shared" si="12"/>
        <v xml:space="preserve">si </v>
      </c>
      <c r="R92" s="20" t="s">
        <v>163</v>
      </c>
      <c r="S92" s="21" t="s">
        <v>164</v>
      </c>
      <c r="T92" s="53">
        <v>2488</v>
      </c>
      <c r="U92" s="58">
        <f t="shared" si="8"/>
        <v>216.48099999999977</v>
      </c>
      <c r="V92" s="50" t="s">
        <v>514</v>
      </c>
      <c r="W92" s="51" t="s">
        <v>176</v>
      </c>
      <c r="Y92" s="51" t="str">
        <f t="shared" si="13"/>
        <v>si</v>
      </c>
      <c r="Z92" s="339" t="s">
        <v>513</v>
      </c>
      <c r="AA92" s="358" t="s">
        <v>697</v>
      </c>
      <c r="AB92" s="53">
        <v>39.600000000000023</v>
      </c>
      <c r="AC92" s="360" t="s">
        <v>164</v>
      </c>
      <c r="AF92" s="51" t="str">
        <f t="shared" si="14"/>
        <v>si</v>
      </c>
      <c r="AG92" s="50" t="s">
        <v>513</v>
      </c>
      <c r="AH92" s="51" t="s">
        <v>164</v>
      </c>
      <c r="AI92" s="53">
        <v>2271.6</v>
      </c>
      <c r="AJ92" s="53">
        <f t="shared" si="15"/>
        <v>-8.099999999967622E-2</v>
      </c>
    </row>
    <row r="93" spans="1:36" ht="12.75">
      <c r="A93" s="20" t="s">
        <v>165</v>
      </c>
      <c r="B93" s="21" t="s">
        <v>166</v>
      </c>
      <c r="C93" s="52">
        <f>+FACTURACIÓN!G93-'C&amp;A'!L93-'C&amp;A'!J93-'C&amp;A'!H93-'C&amp;A'!G93</f>
        <v>3383.42</v>
      </c>
      <c r="D93" s="53">
        <v>0</v>
      </c>
      <c r="E93" s="54">
        <f t="shared" si="9"/>
        <v>3383.42</v>
      </c>
      <c r="F93" s="54">
        <f>+FACTURACIÓN!H93</f>
        <v>0</v>
      </c>
      <c r="G93" s="54">
        <f>+FACTURACIÓN!I93</f>
        <v>0</v>
      </c>
      <c r="H93" s="54">
        <f>+FACTURACIÓN!J93</f>
        <v>0</v>
      </c>
      <c r="I93" s="54">
        <f>+FACTURACIÓN!K93</f>
        <v>0</v>
      </c>
      <c r="J93" s="54">
        <f>+FACTURACIÓN!L93</f>
        <v>0</v>
      </c>
      <c r="K93" s="54">
        <f>+FACTURACIÓN!M93</f>
        <v>0</v>
      </c>
      <c r="L93" s="54">
        <f>+FACTURACIÓN!N93</f>
        <v>0</v>
      </c>
      <c r="M93" s="54">
        <f>+FACTURACIÓN!O93</f>
        <v>396.06200000000001</v>
      </c>
      <c r="N93" s="54">
        <f>+FACTURACIÓN!P93</f>
        <v>58.91</v>
      </c>
      <c r="O93" s="53">
        <f t="shared" si="10"/>
        <v>454.97199999999998</v>
      </c>
      <c r="P93" s="58">
        <f t="shared" si="11"/>
        <v>2928.4480000000003</v>
      </c>
      <c r="Q93" s="51" t="str">
        <f t="shared" si="12"/>
        <v xml:space="preserve">si </v>
      </c>
      <c r="R93" s="20" t="s">
        <v>165</v>
      </c>
      <c r="S93" s="21" t="s">
        <v>166</v>
      </c>
      <c r="V93" s="334" t="s">
        <v>806</v>
      </c>
      <c r="W93" s="55"/>
      <c r="Y93" s="51" t="str">
        <f t="shared" si="13"/>
        <v>si</v>
      </c>
      <c r="Z93" s="339" t="s">
        <v>165</v>
      </c>
      <c r="AA93" s="358" t="s">
        <v>643</v>
      </c>
      <c r="AB93" s="53">
        <v>577.20000000000005</v>
      </c>
      <c r="AC93" s="360" t="s">
        <v>166</v>
      </c>
      <c r="AF93" s="51" t="str">
        <f t="shared" si="14"/>
        <v>si</v>
      </c>
      <c r="AG93" s="50" t="s">
        <v>165</v>
      </c>
      <c r="AH93" s="51" t="s">
        <v>166</v>
      </c>
      <c r="AI93" s="53">
        <v>2928.4</v>
      </c>
      <c r="AJ93" s="53">
        <f t="shared" si="15"/>
        <v>4.8000000000229193E-2</v>
      </c>
    </row>
    <row r="94" spans="1:36" ht="11.25" customHeight="1">
      <c r="A94" s="20" t="s">
        <v>167</v>
      </c>
      <c r="B94" s="21" t="s">
        <v>168</v>
      </c>
      <c r="C94" s="52">
        <f>+FACTURACIÓN!G94-'C&amp;A'!L94-'C&amp;A'!J94-'C&amp;A'!H94-'C&amp;A'!G94</f>
        <v>1772.2999999999997</v>
      </c>
      <c r="D94" s="53">
        <v>0</v>
      </c>
      <c r="E94" s="54">
        <f t="shared" si="9"/>
        <v>1772.2999999999997</v>
      </c>
      <c r="F94" s="54">
        <f>+FACTURACIÓN!H94</f>
        <v>200</v>
      </c>
      <c r="G94" s="54">
        <f>+FACTURACIÓN!I94</f>
        <v>115.1353</v>
      </c>
      <c r="H94" s="54">
        <f>+FACTURACIÓN!J94</f>
        <v>23.497</v>
      </c>
      <c r="I94" s="54">
        <f>+FACTURACIÓN!K94</f>
        <v>0</v>
      </c>
      <c r="J94" s="54">
        <f>+FACTURACIÓN!L94</f>
        <v>0</v>
      </c>
      <c r="K94" s="54">
        <f>+FACTURACIÓN!M94</f>
        <v>0</v>
      </c>
      <c r="L94" s="54">
        <f>+FACTURACIÓN!N94</f>
        <v>0</v>
      </c>
      <c r="M94" s="54">
        <f>+FACTURACIÓN!O94</f>
        <v>0</v>
      </c>
      <c r="N94" s="54">
        <f>+FACTURACIÓN!P94</f>
        <v>0</v>
      </c>
      <c r="O94" s="53">
        <f t="shared" si="10"/>
        <v>338.63230000000004</v>
      </c>
      <c r="P94" s="58">
        <f t="shared" si="11"/>
        <v>1433.6676999999997</v>
      </c>
      <c r="Q94" s="51" t="str">
        <f t="shared" si="12"/>
        <v xml:space="preserve">si </v>
      </c>
      <c r="R94" s="20" t="s">
        <v>167</v>
      </c>
      <c r="S94" s="21" t="s">
        <v>168</v>
      </c>
      <c r="Y94" s="51" t="str">
        <f t="shared" si="13"/>
        <v>si</v>
      </c>
      <c r="Z94" s="339" t="s">
        <v>791</v>
      </c>
      <c r="AA94" s="358" t="s">
        <v>653</v>
      </c>
      <c r="AB94" s="53">
        <v>577.4</v>
      </c>
      <c r="AC94" s="360" t="s">
        <v>168</v>
      </c>
      <c r="AF94" s="51" t="str">
        <f t="shared" si="14"/>
        <v>si</v>
      </c>
      <c r="AG94" s="50" t="s">
        <v>791</v>
      </c>
      <c r="AH94" s="51" t="s">
        <v>168</v>
      </c>
      <c r="AI94" s="53">
        <v>1433.8</v>
      </c>
      <c r="AJ94" s="53">
        <f t="shared" si="15"/>
        <v>-0.13230000000021391</v>
      </c>
    </row>
    <row r="95" spans="1:36" ht="12.75">
      <c r="A95" s="20" t="s">
        <v>169</v>
      </c>
      <c r="B95" s="21" t="s">
        <v>170</v>
      </c>
      <c r="C95" s="52">
        <f>+FACTURACIÓN!G95-'C&amp;A'!L95-'C&amp;A'!J95-'C&amp;A'!H95-'C&amp;A'!G95</f>
        <v>522.6</v>
      </c>
      <c r="D95" s="53">
        <v>0</v>
      </c>
      <c r="E95" s="54">
        <f t="shared" si="9"/>
        <v>522.6</v>
      </c>
      <c r="F95" s="54">
        <f>+FACTURACIÓN!H95</f>
        <v>0</v>
      </c>
      <c r="G95" s="54">
        <f>+FACTURACIÓN!I95</f>
        <v>0</v>
      </c>
      <c r="H95" s="54">
        <f>+FACTURACIÓN!J95</f>
        <v>0</v>
      </c>
      <c r="I95" s="54">
        <f>+FACTURACIÓN!K95</f>
        <v>0</v>
      </c>
      <c r="J95" s="54">
        <f>+FACTURACIÓN!L95</f>
        <v>0</v>
      </c>
      <c r="K95" s="54">
        <f>+FACTURACIÓN!M95</f>
        <v>0</v>
      </c>
      <c r="L95" s="54">
        <f>+FACTURACIÓN!N95</f>
        <v>0</v>
      </c>
      <c r="M95" s="54">
        <f>+FACTURACIÓN!O95</f>
        <v>0</v>
      </c>
      <c r="N95" s="54">
        <f>+FACTURACIÓN!P95</f>
        <v>0</v>
      </c>
      <c r="O95" s="53">
        <f t="shared" si="10"/>
        <v>0</v>
      </c>
      <c r="P95" s="58">
        <f t="shared" si="11"/>
        <v>522.6</v>
      </c>
      <c r="Q95" s="51" t="str">
        <f t="shared" si="12"/>
        <v xml:space="preserve">si </v>
      </c>
      <c r="R95" s="20" t="s">
        <v>169</v>
      </c>
      <c r="S95" s="21" t="s">
        <v>170</v>
      </c>
      <c r="Y95" s="51" t="str">
        <f t="shared" si="13"/>
        <v>si</v>
      </c>
      <c r="Z95" s="339" t="s">
        <v>792</v>
      </c>
      <c r="AA95" s="358" t="s">
        <v>663</v>
      </c>
      <c r="AB95" s="53">
        <v>577.4</v>
      </c>
      <c r="AC95" s="360" t="s">
        <v>170</v>
      </c>
      <c r="AF95" s="51" t="str">
        <f t="shared" si="14"/>
        <v>si</v>
      </c>
      <c r="AG95" s="50" t="s">
        <v>792</v>
      </c>
      <c r="AH95" s="51" t="s">
        <v>170</v>
      </c>
      <c r="AI95" s="53">
        <v>522.6</v>
      </c>
      <c r="AJ95" s="53">
        <f t="shared" si="15"/>
        <v>0</v>
      </c>
    </row>
    <row r="96" spans="1:36" ht="12.75">
      <c r="A96" s="20" t="s">
        <v>171</v>
      </c>
      <c r="B96" s="21" t="s">
        <v>172</v>
      </c>
      <c r="C96" s="52">
        <f>+FACTURACIÓN!G96-'C&amp;A'!L96-'C&amp;A'!J96-'C&amp;A'!H96-'C&amp;A'!G96</f>
        <v>29.605398729432295</v>
      </c>
      <c r="D96" s="53">
        <v>0</v>
      </c>
      <c r="E96" s="54">
        <f t="shared" si="9"/>
        <v>29.605398729432295</v>
      </c>
      <c r="F96" s="54">
        <f>+FACTURACIÓN!H96</f>
        <v>0</v>
      </c>
      <c r="G96" s="54">
        <f>+FACTURACIÓN!I96</f>
        <v>0</v>
      </c>
      <c r="H96" s="54">
        <f>+FACTURACIÓN!J96</f>
        <v>0</v>
      </c>
      <c r="I96" s="54">
        <f>+FACTURACIÓN!K96</f>
        <v>0</v>
      </c>
      <c r="J96" s="54">
        <f>+FACTURACIÓN!L96</f>
        <v>0</v>
      </c>
      <c r="K96" s="54">
        <f>+FACTURACIÓN!M96</f>
        <v>0</v>
      </c>
      <c r="L96" s="54">
        <f>+FACTURACIÓN!N96</f>
        <v>0</v>
      </c>
      <c r="M96" s="54">
        <f>+FACTURACIÓN!O96</f>
        <v>0</v>
      </c>
      <c r="N96" s="54">
        <f>+FACTURACIÓN!P96</f>
        <v>0</v>
      </c>
      <c r="O96" s="53">
        <f t="shared" si="10"/>
        <v>0</v>
      </c>
      <c r="P96" s="58">
        <f t="shared" si="11"/>
        <v>29.605398729432295</v>
      </c>
      <c r="Q96" s="51" t="str">
        <f t="shared" si="12"/>
        <v xml:space="preserve">si </v>
      </c>
      <c r="R96" s="20" t="s">
        <v>171</v>
      </c>
      <c r="S96" s="21" t="s">
        <v>172</v>
      </c>
      <c r="Y96" s="51" t="str">
        <f t="shared" si="13"/>
        <v>si</v>
      </c>
      <c r="Z96" s="339" t="s">
        <v>793</v>
      </c>
      <c r="AA96" s="358" t="s">
        <v>703</v>
      </c>
      <c r="AB96" s="53">
        <v>577.4</v>
      </c>
      <c r="AC96" s="360" t="s">
        <v>172</v>
      </c>
      <c r="AF96" s="51" t="str">
        <f t="shared" si="14"/>
        <v>si</v>
      </c>
      <c r="AG96" s="50" t="s">
        <v>793</v>
      </c>
      <c r="AH96" s="51" t="s">
        <v>172</v>
      </c>
      <c r="AI96" s="53">
        <v>29.6</v>
      </c>
      <c r="AJ96" s="53">
        <f t="shared" si="15"/>
        <v>5.3987294322936918E-3</v>
      </c>
    </row>
    <row r="97" spans="1:36" ht="12.75">
      <c r="A97" s="20" t="s">
        <v>173</v>
      </c>
      <c r="B97" s="21" t="s">
        <v>174</v>
      </c>
      <c r="C97" s="52">
        <f>+FACTURACIÓN!G97-'C&amp;A'!L97-'C&amp;A'!J97-'C&amp;A'!H97-'C&amp;A'!G97</f>
        <v>2650.91</v>
      </c>
      <c r="D97" s="53">
        <v>0</v>
      </c>
      <c r="E97" s="54">
        <f t="shared" si="9"/>
        <v>2650.91</v>
      </c>
      <c r="F97" s="54">
        <f>+FACTURACIÓN!H97</f>
        <v>500</v>
      </c>
      <c r="G97" s="54">
        <f>+FACTURACIÓN!I97</f>
        <v>0</v>
      </c>
      <c r="H97" s="54">
        <f>+FACTURACIÓN!J97</f>
        <v>0</v>
      </c>
      <c r="I97" s="54">
        <f>+FACTURACIÓN!K97</f>
        <v>0</v>
      </c>
      <c r="J97" s="54">
        <f>+FACTURACIÓN!L97</f>
        <v>0</v>
      </c>
      <c r="K97" s="54">
        <f>+FACTURACIÓN!M97</f>
        <v>0</v>
      </c>
      <c r="L97" s="54">
        <f>+FACTURACIÓN!N97</f>
        <v>0</v>
      </c>
      <c r="M97" s="54">
        <f>+FACTURACIÓN!O97</f>
        <v>0</v>
      </c>
      <c r="N97" s="54">
        <f>+FACTURACIÓN!P97</f>
        <v>0</v>
      </c>
      <c r="O97" s="53">
        <f t="shared" si="10"/>
        <v>500</v>
      </c>
      <c r="P97" s="58">
        <f t="shared" si="11"/>
        <v>2150.91</v>
      </c>
      <c r="Q97" s="51" t="str">
        <f t="shared" si="12"/>
        <v xml:space="preserve">si </v>
      </c>
      <c r="R97" s="20" t="s">
        <v>173</v>
      </c>
      <c r="S97" s="21" t="s">
        <v>174</v>
      </c>
      <c r="Y97" s="51" t="str">
        <f t="shared" si="13"/>
        <v>si</v>
      </c>
      <c r="Z97" s="339" t="s">
        <v>794</v>
      </c>
      <c r="AA97" s="358" t="s">
        <v>698</v>
      </c>
      <c r="AB97" s="53">
        <v>577.20000000000005</v>
      </c>
      <c r="AC97" s="360" t="s">
        <v>174</v>
      </c>
      <c r="AF97" s="51" t="str">
        <f t="shared" si="14"/>
        <v>si</v>
      </c>
      <c r="AG97" s="50" t="s">
        <v>794</v>
      </c>
      <c r="AH97" s="51" t="s">
        <v>174</v>
      </c>
      <c r="AI97" s="53">
        <v>2150.8000000000002</v>
      </c>
      <c r="AJ97" s="53">
        <f t="shared" si="15"/>
        <v>0.10999999999967258</v>
      </c>
    </row>
    <row r="98" spans="1:36">
      <c r="A98" s="50"/>
      <c r="B98" s="51"/>
      <c r="C98" s="52"/>
      <c r="D98" s="53"/>
      <c r="E98" s="54"/>
      <c r="F98" s="54"/>
      <c r="G98" s="54"/>
      <c r="H98" s="54"/>
      <c r="I98" s="54"/>
      <c r="J98" s="53"/>
      <c r="K98" s="53"/>
      <c r="L98" s="53"/>
      <c r="M98" s="53"/>
      <c r="N98" s="53"/>
      <c r="O98" s="53"/>
      <c r="P98" s="58"/>
    </row>
    <row r="99" spans="1:36">
      <c r="A99" s="50"/>
      <c r="B99" s="51"/>
      <c r="C99" s="55" t="s">
        <v>16</v>
      </c>
      <c r="D99" s="55" t="s">
        <v>16</v>
      </c>
      <c r="E99" s="55" t="s">
        <v>16</v>
      </c>
      <c r="F99" s="55" t="s">
        <v>16</v>
      </c>
      <c r="G99" s="55" t="s">
        <v>16</v>
      </c>
      <c r="H99" s="55" t="s">
        <v>16</v>
      </c>
      <c r="I99" s="55" t="s">
        <v>16</v>
      </c>
      <c r="J99" s="55" t="s">
        <v>16</v>
      </c>
      <c r="K99" s="55" t="s">
        <v>16</v>
      </c>
      <c r="L99" s="55" t="s">
        <v>16</v>
      </c>
      <c r="M99" s="55" t="s">
        <v>16</v>
      </c>
      <c r="N99" s="55" t="s">
        <v>16</v>
      </c>
      <c r="O99" s="55" t="s">
        <v>16</v>
      </c>
      <c r="P99" s="55" t="s">
        <v>16</v>
      </c>
    </row>
    <row r="100" spans="1:36" ht="15">
      <c r="A100" s="50"/>
      <c r="B100" s="51"/>
      <c r="C100" s="56">
        <f t="shared" ref="C100:O100" si="16">SUM(C10:C97)</f>
        <v>215519.84671618964</v>
      </c>
      <c r="D100" s="56">
        <f t="shared" si="16"/>
        <v>0</v>
      </c>
      <c r="E100" s="56">
        <f t="shared" si="16"/>
        <v>215519.84671618964</v>
      </c>
      <c r="F100" s="56">
        <f t="shared" si="16"/>
        <v>4332.3909999999996</v>
      </c>
      <c r="G100" s="56">
        <f t="shared" si="16"/>
        <v>2631.9615490000001</v>
      </c>
      <c r="H100" s="56">
        <f t="shared" si="16"/>
        <v>537.82400999999982</v>
      </c>
      <c r="I100" s="56">
        <f t="shared" si="16"/>
        <v>879.38</v>
      </c>
      <c r="J100" s="56">
        <f t="shared" si="16"/>
        <v>0</v>
      </c>
      <c r="K100" s="56">
        <f t="shared" si="16"/>
        <v>406.94</v>
      </c>
      <c r="L100" s="56">
        <f t="shared" si="16"/>
        <v>6420.2714999999998</v>
      </c>
      <c r="M100" s="56">
        <f t="shared" si="16"/>
        <v>15245.556100000002</v>
      </c>
      <c r="N100" s="56">
        <f t="shared" si="16"/>
        <v>648.00999999999976</v>
      </c>
      <c r="O100" s="56">
        <f t="shared" si="16"/>
        <v>31102.334159000005</v>
      </c>
      <c r="P100" s="56">
        <f>SUM(P10:P97)</f>
        <v>184417.51255718974</v>
      </c>
    </row>
    <row r="101" spans="1:36">
      <c r="A101" s="50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</row>
    <row r="102" spans="1:36">
      <c r="A102" s="50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3"/>
    </row>
    <row r="103" spans="1:36">
      <c r="A103" s="50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3"/>
    </row>
    <row r="104" spans="1:36">
      <c r="A104" s="50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</row>
    <row r="105" spans="1:36">
      <c r="A105" s="50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</row>
    <row r="106" spans="1:36">
      <c r="A106" s="50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</row>
    <row r="107" spans="1:36">
      <c r="A107" s="50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</row>
    <row r="108" spans="1:36">
      <c r="A108" s="50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</row>
    <row r="109" spans="1:36">
      <c r="A109" s="50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</row>
    <row r="110" spans="1:36">
      <c r="A110" s="50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</row>
    <row r="111" spans="1:36">
      <c r="A111" s="50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</row>
    <row r="112" spans="1:36">
      <c r="A112" s="50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</row>
    <row r="113" spans="1:4" s="51" customFormat="1" ht="12.75">
      <c r="A113" s="339" t="s">
        <v>824</v>
      </c>
      <c r="B113" s="349" t="s">
        <v>846</v>
      </c>
      <c r="C113" s="353">
        <v>0</v>
      </c>
      <c r="D113" s="349" t="s">
        <v>846</v>
      </c>
    </row>
    <row r="114" spans="1:4" s="51" customFormat="1" ht="12.75">
      <c r="A114" s="339" t="s">
        <v>835</v>
      </c>
      <c r="B114" s="349" t="s">
        <v>846</v>
      </c>
      <c r="C114" s="353">
        <v>0</v>
      </c>
      <c r="D114" s="349" t="s">
        <v>846</v>
      </c>
    </row>
    <row r="115" spans="1:4" s="65" customFormat="1" ht="12.75">
      <c r="A115" s="331" t="s">
        <v>826</v>
      </c>
      <c r="B115" s="359" t="s">
        <v>846</v>
      </c>
      <c r="C115" s="357">
        <v>0</v>
      </c>
      <c r="D115" s="359" t="s">
        <v>846</v>
      </c>
    </row>
    <row r="116" spans="1:4" s="37" customFormat="1" ht="12.75">
      <c r="A116" s="322" t="s">
        <v>828</v>
      </c>
      <c r="B116" s="354" t="s">
        <v>846</v>
      </c>
      <c r="C116" s="324">
        <v>0</v>
      </c>
      <c r="D116" s="354" t="s">
        <v>846</v>
      </c>
    </row>
    <row r="117" spans="1:4" s="37" customFormat="1" ht="12.75">
      <c r="A117" s="322" t="s">
        <v>516</v>
      </c>
      <c r="B117" s="354" t="s">
        <v>846</v>
      </c>
      <c r="C117" s="324">
        <v>0</v>
      </c>
      <c r="D117" s="354" t="s">
        <v>846</v>
      </c>
    </row>
    <row r="118" spans="1:4" s="37" customFormat="1" ht="12.75">
      <c r="A118" s="322" t="s">
        <v>768</v>
      </c>
      <c r="B118" s="354" t="s">
        <v>846</v>
      </c>
      <c r="C118" s="324">
        <v>0</v>
      </c>
      <c r="D118" s="354" t="s">
        <v>846</v>
      </c>
    </row>
    <row r="119" spans="1:4" s="37" customFormat="1" ht="12.75">
      <c r="A119" s="322" t="s">
        <v>830</v>
      </c>
      <c r="B119" s="354" t="s">
        <v>846</v>
      </c>
      <c r="C119" s="324">
        <v>0</v>
      </c>
      <c r="D119" s="354" t="s">
        <v>846</v>
      </c>
    </row>
    <row r="120" spans="1:4" s="37" customFormat="1" ht="12.75">
      <c r="A120" s="322" t="s">
        <v>832</v>
      </c>
      <c r="B120" s="354" t="s">
        <v>846</v>
      </c>
      <c r="C120" s="324">
        <v>0</v>
      </c>
      <c r="D120" s="354" t="s">
        <v>846</v>
      </c>
    </row>
  </sheetData>
  <sortState ref="R10:S106">
    <sortCondition ref="S10:S106"/>
  </sortState>
  <mergeCells count="2">
    <mergeCell ref="B1:C1"/>
    <mergeCell ref="B3:C3"/>
  </mergeCells>
  <pageMargins left="0.35433070866141736" right="0.31496062992125984" top="0.28000000000000003" bottom="0.27" header="0.2" footer="0.2"/>
  <pageSetup scale="44" orientation="landscape" verticalDpi="0" r:id="rId1"/>
  <colBreaks count="1" manualBreakCount="1">
    <brk id="5" max="99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3"/>
  <sheetViews>
    <sheetView workbookViewId="0">
      <pane xSplit="2" ySplit="8" topLeftCell="C86" activePane="bottomRight" state="frozen"/>
      <selection pane="topRight" activeCell="C1" sqref="C1"/>
      <selection pane="bottomLeft" activeCell="A9" sqref="A9"/>
      <selection pane="bottomRight" activeCell="B97" sqref="B97"/>
    </sheetView>
  </sheetViews>
  <sheetFormatPr baseColWidth="10" defaultRowHeight="11.25"/>
  <cols>
    <col min="1" max="1" width="12.28515625" style="171" customWidth="1"/>
    <col min="2" max="2" width="30.7109375" style="170" customWidth="1"/>
    <col min="3" max="3" width="14.28515625" style="170" customWidth="1"/>
    <col min="4" max="4" width="13.42578125" style="209" bestFit="1" customWidth="1"/>
    <col min="5" max="16384" width="11.42578125" style="170"/>
  </cols>
  <sheetData>
    <row r="1" spans="1:4" ht="18" customHeight="1">
      <c r="A1" s="3" t="s">
        <v>0</v>
      </c>
      <c r="B1" s="210" t="s">
        <v>18</v>
      </c>
    </row>
    <row r="2" spans="1:4" ht="24.95" customHeight="1">
      <c r="A2" s="4" t="s">
        <v>1</v>
      </c>
      <c r="B2" s="211" t="s">
        <v>328</v>
      </c>
    </row>
    <row r="3" spans="1:4" ht="15">
      <c r="B3" s="212" t="s">
        <v>2</v>
      </c>
    </row>
    <row r="4" spans="1:4" ht="12.75">
      <c r="B4" s="11" t="s">
        <v>711</v>
      </c>
    </row>
    <row r="5" spans="1:4">
      <c r="B5" s="42" t="s">
        <v>329</v>
      </c>
    </row>
    <row r="6" spans="1:4">
      <c r="B6" s="42" t="s">
        <v>4</v>
      </c>
    </row>
    <row r="8" spans="1:4" s="46" customFormat="1" ht="12" thickBot="1">
      <c r="A8" s="44" t="s">
        <v>5</v>
      </c>
      <c r="B8" s="14" t="s">
        <v>6</v>
      </c>
      <c r="C8" s="208" t="s">
        <v>12</v>
      </c>
      <c r="D8" s="209"/>
    </row>
    <row r="9" spans="1:4" ht="12" thickTop="1">
      <c r="A9" s="8" t="s">
        <v>13</v>
      </c>
    </row>
    <row r="10" spans="1:4" s="51" customFormat="1" ht="15">
      <c r="A10" s="50"/>
      <c r="B10" s="103" t="s">
        <v>619</v>
      </c>
      <c r="C10" s="53">
        <v>0</v>
      </c>
      <c r="D10" s="209">
        <v>1182316935</v>
      </c>
    </row>
    <row r="11" spans="1:4" s="51" customFormat="1">
      <c r="A11" s="50" t="s">
        <v>516</v>
      </c>
      <c r="B11" s="51" t="s">
        <v>515</v>
      </c>
      <c r="C11" s="53">
        <v>82.600000000000009</v>
      </c>
      <c r="D11" s="209">
        <v>1296641458</v>
      </c>
    </row>
    <row r="12" spans="1:4" s="51" customFormat="1" ht="15">
      <c r="A12" s="50"/>
      <c r="B12" s="103" t="s">
        <v>609</v>
      </c>
      <c r="C12" s="53">
        <v>0</v>
      </c>
      <c r="D12" s="209">
        <v>1456104819</v>
      </c>
    </row>
    <row r="13" spans="1:4" s="51" customFormat="1" ht="15">
      <c r="A13" s="50"/>
      <c r="B13" s="103" t="s">
        <v>625</v>
      </c>
      <c r="C13" s="53">
        <v>577.4</v>
      </c>
      <c r="D13" s="209">
        <v>1905307865</v>
      </c>
    </row>
    <row r="14" spans="1:4" s="51" customFormat="1" ht="15">
      <c r="A14" s="50"/>
      <c r="B14" s="103" t="s">
        <v>629</v>
      </c>
      <c r="C14" s="53">
        <v>0</v>
      </c>
      <c r="D14" s="209">
        <v>2857006349</v>
      </c>
    </row>
    <row r="15" spans="1:4" s="51" customFormat="1">
      <c r="A15" s="50" t="s">
        <v>500</v>
      </c>
      <c r="B15" s="51" t="s">
        <v>501</v>
      </c>
      <c r="C15" s="53">
        <v>338.20000000000005</v>
      </c>
      <c r="D15" s="209">
        <v>2861674129</v>
      </c>
    </row>
    <row r="16" spans="1:4" s="51" customFormat="1" ht="15">
      <c r="A16" s="50"/>
      <c r="B16" s="123" t="s">
        <v>621</v>
      </c>
      <c r="C16" s="53">
        <v>577.4</v>
      </c>
      <c r="D16" s="209">
        <v>2948910731</v>
      </c>
    </row>
    <row r="17" spans="1:4" s="51" customFormat="1">
      <c r="A17" s="50" t="s">
        <v>504</v>
      </c>
      <c r="B17" s="51" t="s">
        <v>505</v>
      </c>
      <c r="C17" s="53">
        <v>338.20000000000005</v>
      </c>
      <c r="D17" s="209">
        <v>2959119167</v>
      </c>
    </row>
    <row r="18" spans="1:4" s="51" customFormat="1">
      <c r="A18" s="50" t="s">
        <v>518</v>
      </c>
      <c r="B18" s="51" t="s">
        <v>517</v>
      </c>
      <c r="C18" s="53">
        <v>82.600000000000009</v>
      </c>
      <c r="D18" s="209">
        <v>2959161945</v>
      </c>
    </row>
    <row r="19" spans="1:4" s="51" customFormat="1">
      <c r="A19" s="50" t="s">
        <v>511</v>
      </c>
      <c r="B19" s="51" t="s">
        <v>512</v>
      </c>
      <c r="C19" s="53">
        <v>577.4</v>
      </c>
      <c r="D19" s="209">
        <v>2959934200</v>
      </c>
    </row>
    <row r="20" spans="1:4" s="51" customFormat="1">
      <c r="A20" s="21" t="s">
        <v>199</v>
      </c>
      <c r="B20" s="21" t="s">
        <v>309</v>
      </c>
      <c r="C20" s="53">
        <v>577.20000000000005</v>
      </c>
      <c r="D20" s="209">
        <v>2995318777</v>
      </c>
    </row>
    <row r="21" spans="1:4" s="51" customFormat="1">
      <c r="A21" s="50" t="s">
        <v>509</v>
      </c>
      <c r="B21" s="51" t="s">
        <v>510</v>
      </c>
      <c r="C21" s="53">
        <v>338.20000000000005</v>
      </c>
      <c r="D21" s="209">
        <v>9589670162</v>
      </c>
    </row>
    <row r="22" spans="1:4" s="51" customFormat="1">
      <c r="A22" s="50" t="s">
        <v>70</v>
      </c>
      <c r="B22" s="51" t="s">
        <v>71</v>
      </c>
      <c r="C22" s="53">
        <v>409.40000000000003</v>
      </c>
      <c r="D22" s="209" t="s">
        <v>641</v>
      </c>
    </row>
    <row r="23" spans="1:4" s="51" customFormat="1">
      <c r="A23" s="50" t="s">
        <v>117</v>
      </c>
      <c r="B23" s="51" t="s">
        <v>118</v>
      </c>
      <c r="C23" s="53">
        <v>577.4</v>
      </c>
      <c r="D23" s="209" t="s">
        <v>642</v>
      </c>
    </row>
    <row r="24" spans="1:4" s="51" customFormat="1">
      <c r="A24" s="50" t="s">
        <v>165</v>
      </c>
      <c r="B24" s="51" t="s">
        <v>166</v>
      </c>
      <c r="C24" s="53">
        <v>577.4</v>
      </c>
      <c r="D24" s="209" t="s">
        <v>643</v>
      </c>
    </row>
    <row r="25" spans="1:4" s="51" customFormat="1">
      <c r="A25" s="50" t="s">
        <v>82</v>
      </c>
      <c r="B25" s="51" t="s">
        <v>83</v>
      </c>
      <c r="C25" s="53">
        <v>577.4</v>
      </c>
      <c r="D25" s="209" t="s">
        <v>644</v>
      </c>
    </row>
    <row r="26" spans="1:4" s="51" customFormat="1">
      <c r="A26" s="50" t="s">
        <v>141</v>
      </c>
      <c r="B26" s="51" t="s">
        <v>142</v>
      </c>
      <c r="C26" s="53">
        <v>577.20000000000005</v>
      </c>
      <c r="D26" s="209" t="s">
        <v>645</v>
      </c>
    </row>
    <row r="27" spans="1:4" s="51" customFormat="1">
      <c r="A27" s="50" t="s">
        <v>115</v>
      </c>
      <c r="B27" s="51" t="s">
        <v>116</v>
      </c>
      <c r="C27" s="53">
        <v>577.4</v>
      </c>
      <c r="D27" s="209" t="s">
        <v>646</v>
      </c>
    </row>
    <row r="28" spans="1:4" s="51" customFormat="1">
      <c r="A28" s="50" t="s">
        <v>56</v>
      </c>
      <c r="B28" s="51" t="s">
        <v>57</v>
      </c>
      <c r="C28" s="53">
        <v>577.4</v>
      </c>
      <c r="D28" s="209" t="s">
        <v>647</v>
      </c>
    </row>
    <row r="29" spans="1:4" s="51" customFormat="1">
      <c r="A29" s="50" t="s">
        <v>42</v>
      </c>
      <c r="B29" s="51" t="s">
        <v>43</v>
      </c>
      <c r="C29" s="53">
        <v>577.4</v>
      </c>
      <c r="D29" s="209" t="s">
        <v>648</v>
      </c>
    </row>
    <row r="30" spans="1:4" s="51" customFormat="1">
      <c r="A30" s="50" t="s">
        <v>15</v>
      </c>
      <c r="B30" s="51" t="s">
        <v>55</v>
      </c>
      <c r="C30" s="53">
        <v>577.4</v>
      </c>
      <c r="D30" s="209" t="s">
        <v>649</v>
      </c>
    </row>
    <row r="31" spans="1:4" s="51" customFormat="1">
      <c r="A31" s="50" t="s">
        <v>109</v>
      </c>
      <c r="B31" s="51" t="s">
        <v>110</v>
      </c>
      <c r="C31" s="53">
        <v>577.4</v>
      </c>
      <c r="D31" s="209" t="s">
        <v>650</v>
      </c>
    </row>
    <row r="32" spans="1:4" s="51" customFormat="1">
      <c r="A32" s="50" t="s">
        <v>103</v>
      </c>
      <c r="B32" s="51" t="s">
        <v>104</v>
      </c>
      <c r="C32" s="53">
        <v>577.4</v>
      </c>
      <c r="D32" s="209" t="s">
        <v>651</v>
      </c>
    </row>
    <row r="33" spans="1:4" s="51" customFormat="1">
      <c r="A33" s="50" t="s">
        <v>119</v>
      </c>
      <c r="B33" s="51" t="s">
        <v>120</v>
      </c>
      <c r="C33" s="53">
        <v>547.6</v>
      </c>
      <c r="D33" s="209" t="s">
        <v>652</v>
      </c>
    </row>
    <row r="34" spans="1:4" s="51" customFormat="1">
      <c r="A34" s="50" t="s">
        <v>167</v>
      </c>
      <c r="B34" s="51" t="s">
        <v>168</v>
      </c>
      <c r="C34" s="53">
        <v>577.20000000000005</v>
      </c>
      <c r="D34" s="209" t="s">
        <v>653</v>
      </c>
    </row>
    <row r="35" spans="1:4" s="51" customFormat="1">
      <c r="A35" s="50" t="s">
        <v>53</v>
      </c>
      <c r="B35" s="51" t="s">
        <v>54</v>
      </c>
      <c r="C35" s="53">
        <v>577.20000000000005</v>
      </c>
      <c r="D35" s="209" t="s">
        <v>654</v>
      </c>
    </row>
    <row r="36" spans="1:4" s="51" customFormat="1">
      <c r="A36" s="50" t="s">
        <v>92</v>
      </c>
      <c r="B36" s="51" t="s">
        <v>93</v>
      </c>
      <c r="C36" s="53">
        <v>482.60142857142853</v>
      </c>
      <c r="D36" s="209" t="s">
        <v>655</v>
      </c>
    </row>
    <row r="37" spans="1:4" s="51" customFormat="1">
      <c r="A37" s="50" t="s">
        <v>76</v>
      </c>
      <c r="B37" s="206" t="s">
        <v>77</v>
      </c>
      <c r="C37" s="53">
        <v>577.4</v>
      </c>
      <c r="D37" s="209" t="s">
        <v>656</v>
      </c>
    </row>
    <row r="38" spans="1:4" s="51" customFormat="1">
      <c r="A38" s="50" t="s">
        <v>62</v>
      </c>
      <c r="B38" s="51" t="s">
        <v>63</v>
      </c>
      <c r="C38" s="53">
        <v>577.4</v>
      </c>
      <c r="D38" s="209" t="s">
        <v>657</v>
      </c>
    </row>
    <row r="39" spans="1:4" s="51" customFormat="1">
      <c r="A39" s="50" t="s">
        <v>133</v>
      </c>
      <c r="B39" s="51" t="s">
        <v>134</v>
      </c>
      <c r="C39" s="53">
        <v>577.4</v>
      </c>
      <c r="D39" s="209" t="s">
        <v>658</v>
      </c>
    </row>
    <row r="40" spans="1:4" s="51" customFormat="1">
      <c r="A40" s="50" t="s">
        <v>107</v>
      </c>
      <c r="B40" s="51" t="s">
        <v>108</v>
      </c>
      <c r="C40" s="53">
        <v>577.4</v>
      </c>
      <c r="D40" s="209" t="s">
        <v>659</v>
      </c>
    </row>
    <row r="41" spans="1:4" s="51" customFormat="1">
      <c r="A41" s="50" t="s">
        <v>72</v>
      </c>
      <c r="B41" s="51" t="s">
        <v>73</v>
      </c>
      <c r="C41" s="53">
        <v>577.4</v>
      </c>
      <c r="D41" s="209" t="s">
        <v>660</v>
      </c>
    </row>
    <row r="42" spans="1:4" s="51" customFormat="1">
      <c r="A42" s="50" t="s">
        <v>58</v>
      </c>
      <c r="B42" s="51" t="s">
        <v>59</v>
      </c>
      <c r="C42" s="53">
        <v>577.4</v>
      </c>
      <c r="D42" s="209" t="s">
        <v>661</v>
      </c>
    </row>
    <row r="43" spans="1:4" s="51" customFormat="1">
      <c r="A43" s="50" t="s">
        <v>152</v>
      </c>
      <c r="B43" s="51" t="s">
        <v>153</v>
      </c>
      <c r="C43" s="53">
        <v>577.4</v>
      </c>
      <c r="D43" s="209" t="s">
        <v>662</v>
      </c>
    </row>
    <row r="44" spans="1:4" s="51" customFormat="1">
      <c r="A44" s="50" t="s">
        <v>169</v>
      </c>
      <c r="B44" s="51" t="s">
        <v>170</v>
      </c>
      <c r="C44" s="53">
        <v>577.4</v>
      </c>
      <c r="D44" s="209" t="s">
        <v>663</v>
      </c>
    </row>
    <row r="45" spans="1:4" s="51" customFormat="1">
      <c r="A45" s="50" t="s">
        <v>135</v>
      </c>
      <c r="B45" s="51" t="s">
        <v>136</v>
      </c>
      <c r="C45" s="53">
        <v>577.20000000000005</v>
      </c>
      <c r="D45" s="209" t="s">
        <v>664</v>
      </c>
    </row>
    <row r="46" spans="1:4" s="51" customFormat="1">
      <c r="A46" s="50" t="s">
        <v>150</v>
      </c>
      <c r="B46" s="51" t="s">
        <v>151</v>
      </c>
      <c r="C46" s="53">
        <v>577.4</v>
      </c>
      <c r="D46" s="209" t="s">
        <v>665</v>
      </c>
    </row>
    <row r="47" spans="1:4" s="51" customFormat="1">
      <c r="A47" s="50" t="s">
        <v>137</v>
      </c>
      <c r="B47" s="51" t="s">
        <v>138</v>
      </c>
      <c r="C47" s="53">
        <v>577.4</v>
      </c>
      <c r="D47" s="209" t="s">
        <v>666</v>
      </c>
    </row>
    <row r="48" spans="1:4" s="51" customFormat="1">
      <c r="A48" s="50" t="s">
        <v>290</v>
      </c>
      <c r="B48" s="51" t="s">
        <v>46</v>
      </c>
      <c r="C48" s="53">
        <v>388.00285714285718</v>
      </c>
      <c r="D48" s="209" t="s">
        <v>667</v>
      </c>
    </row>
    <row r="49" spans="1:4" s="51" customFormat="1">
      <c r="A49" s="50" t="s">
        <v>36</v>
      </c>
      <c r="B49" s="51" t="s">
        <v>37</v>
      </c>
      <c r="C49" s="53">
        <v>577.4</v>
      </c>
      <c r="D49" s="209" t="s">
        <v>668</v>
      </c>
    </row>
    <row r="50" spans="1:4" s="51" customFormat="1">
      <c r="A50" s="50" t="s">
        <v>50</v>
      </c>
      <c r="B50" s="206" t="s">
        <v>51</v>
      </c>
      <c r="C50" s="53">
        <v>410</v>
      </c>
      <c r="D50" s="209" t="s">
        <v>669</v>
      </c>
    </row>
    <row r="51" spans="1:4" s="51" customFormat="1">
      <c r="A51" s="50" t="s">
        <v>123</v>
      </c>
      <c r="B51" s="51" t="s">
        <v>124</v>
      </c>
      <c r="C51" s="53">
        <v>577.4</v>
      </c>
      <c r="D51" s="209" t="s">
        <v>670</v>
      </c>
    </row>
    <row r="52" spans="1:4" s="51" customFormat="1">
      <c r="A52" s="50" t="s">
        <v>80</v>
      </c>
      <c r="B52" s="51" t="s">
        <v>81</v>
      </c>
      <c r="C52" s="53">
        <v>577.4</v>
      </c>
      <c r="D52" s="209" t="s">
        <v>671</v>
      </c>
    </row>
    <row r="53" spans="1:4" s="51" customFormat="1">
      <c r="A53" s="50" t="s">
        <v>101</v>
      </c>
      <c r="B53" s="51" t="s">
        <v>102</v>
      </c>
      <c r="C53" s="53">
        <v>577.4</v>
      </c>
      <c r="D53" s="209" t="s">
        <v>672</v>
      </c>
    </row>
    <row r="54" spans="1:4" s="51" customFormat="1">
      <c r="A54" s="50" t="s">
        <v>121</v>
      </c>
      <c r="B54" s="51" t="s">
        <v>122</v>
      </c>
      <c r="C54" s="53">
        <v>577.4</v>
      </c>
      <c r="D54" s="209" t="s">
        <v>673</v>
      </c>
    </row>
    <row r="55" spans="1:4" s="51" customFormat="1">
      <c r="A55" s="50" t="s">
        <v>143</v>
      </c>
      <c r="B55" s="51" t="s">
        <v>144</v>
      </c>
      <c r="C55" s="53">
        <v>577.4</v>
      </c>
      <c r="D55" s="209" t="s">
        <v>674</v>
      </c>
    </row>
    <row r="56" spans="1:4" s="51" customFormat="1" ht="12.75" customHeight="1">
      <c r="A56" s="50" t="s">
        <v>34</v>
      </c>
      <c r="B56" s="51" t="s">
        <v>35</v>
      </c>
      <c r="C56" s="53">
        <v>577.4</v>
      </c>
      <c r="D56" s="209" t="s">
        <v>675</v>
      </c>
    </row>
    <row r="57" spans="1:4" s="51" customFormat="1">
      <c r="A57" s="50" t="s">
        <v>90</v>
      </c>
      <c r="B57" s="51" t="s">
        <v>91</v>
      </c>
      <c r="C57" s="53">
        <v>577.38</v>
      </c>
      <c r="D57" s="209" t="s">
        <v>676</v>
      </c>
    </row>
    <row r="58" spans="1:4" s="51" customFormat="1">
      <c r="A58" s="50" t="s">
        <v>159</v>
      </c>
      <c r="B58" s="51" t="s">
        <v>160</v>
      </c>
      <c r="C58" s="53">
        <v>577.20000000000005</v>
      </c>
      <c r="D58" s="209" t="s">
        <v>677</v>
      </c>
    </row>
    <row r="59" spans="1:4" s="51" customFormat="1">
      <c r="A59" s="50" t="s">
        <v>68</v>
      </c>
      <c r="B59" s="206" t="s">
        <v>69</v>
      </c>
      <c r="C59" s="53">
        <v>577.20000000000005</v>
      </c>
      <c r="D59" s="209" t="s">
        <v>678</v>
      </c>
    </row>
    <row r="60" spans="1:4" s="51" customFormat="1">
      <c r="A60" s="50" t="s">
        <v>48</v>
      </c>
      <c r="B60" s="51" t="s">
        <v>49</v>
      </c>
      <c r="C60" s="53">
        <v>577.4</v>
      </c>
      <c r="D60" s="209" t="s">
        <v>679</v>
      </c>
    </row>
    <row r="61" spans="1:4" s="51" customFormat="1">
      <c r="A61" s="50" t="s">
        <v>125</v>
      </c>
      <c r="B61" s="51" t="s">
        <v>126</v>
      </c>
      <c r="C61" s="53">
        <v>577.20000000000005</v>
      </c>
      <c r="D61" s="209" t="s">
        <v>680</v>
      </c>
    </row>
    <row r="62" spans="1:4" s="51" customFormat="1">
      <c r="A62" s="50" t="s">
        <v>96</v>
      </c>
      <c r="B62" s="51" t="s">
        <v>97</v>
      </c>
      <c r="C62" s="53">
        <v>577.4</v>
      </c>
      <c r="D62" s="209" t="s">
        <v>681</v>
      </c>
    </row>
    <row r="63" spans="1:4" s="51" customFormat="1">
      <c r="A63" s="50" t="s">
        <v>64</v>
      </c>
      <c r="B63" s="51" t="s">
        <v>65</v>
      </c>
      <c r="C63" s="53">
        <v>577.20000000000005</v>
      </c>
      <c r="D63" s="209" t="s">
        <v>682</v>
      </c>
    </row>
    <row r="64" spans="1:4" s="51" customFormat="1">
      <c r="A64" s="50" t="s">
        <v>78</v>
      </c>
      <c r="B64" s="51" t="s">
        <v>79</v>
      </c>
      <c r="C64" s="53">
        <v>577.4</v>
      </c>
      <c r="D64" s="209" t="s">
        <v>683</v>
      </c>
    </row>
    <row r="65" spans="1:4" s="51" customFormat="1">
      <c r="A65" s="50" t="s">
        <v>44</v>
      </c>
      <c r="B65" s="51" t="s">
        <v>45</v>
      </c>
      <c r="C65" s="53">
        <v>577.20000000000005</v>
      </c>
      <c r="D65" s="209" t="s">
        <v>684</v>
      </c>
    </row>
    <row r="66" spans="1:4" s="51" customFormat="1">
      <c r="A66" s="50" t="s">
        <v>157</v>
      </c>
      <c r="B66" s="51" t="s">
        <v>158</v>
      </c>
      <c r="C66" s="53">
        <v>577.4</v>
      </c>
      <c r="D66" s="209" t="s">
        <v>685</v>
      </c>
    </row>
    <row r="67" spans="1:4" s="55" customFormat="1">
      <c r="A67" s="50" t="s">
        <v>111</v>
      </c>
      <c r="B67" s="51" t="s">
        <v>112</v>
      </c>
      <c r="C67" s="53">
        <v>577.4</v>
      </c>
      <c r="D67" s="209" t="s">
        <v>686</v>
      </c>
    </row>
    <row r="68" spans="1:4" s="57" customFormat="1" ht="14.25">
      <c r="A68" s="50" t="s">
        <v>105</v>
      </c>
      <c r="B68" s="206" t="s">
        <v>106</v>
      </c>
      <c r="C68" s="53">
        <v>577.4</v>
      </c>
      <c r="D68" s="209" t="s">
        <v>687</v>
      </c>
    </row>
    <row r="69" spans="1:4" s="51" customFormat="1">
      <c r="A69" s="50" t="s">
        <v>66</v>
      </c>
      <c r="B69" s="51" t="s">
        <v>67</v>
      </c>
      <c r="C69" s="53">
        <v>577.20000000000005</v>
      </c>
      <c r="D69" s="209" t="s">
        <v>688</v>
      </c>
    </row>
    <row r="70" spans="1:4" s="51" customFormat="1">
      <c r="A70" s="50" t="s">
        <v>155</v>
      </c>
      <c r="B70" s="51" t="s">
        <v>156</v>
      </c>
      <c r="C70" s="53">
        <v>577.20000000000005</v>
      </c>
      <c r="D70" s="209" t="s">
        <v>689</v>
      </c>
    </row>
    <row r="71" spans="1:4" s="51" customFormat="1">
      <c r="A71" s="50" t="s">
        <v>60</v>
      </c>
      <c r="B71" s="51" t="s">
        <v>61</v>
      </c>
      <c r="C71" s="53">
        <v>577.4</v>
      </c>
      <c r="D71" s="209" t="s">
        <v>690</v>
      </c>
    </row>
    <row r="72" spans="1:4" s="51" customFormat="1">
      <c r="A72" s="50" t="s">
        <v>161</v>
      </c>
      <c r="B72" s="51" t="s">
        <v>162</v>
      </c>
      <c r="C72" s="53">
        <v>577.4</v>
      </c>
      <c r="D72" s="209" t="s">
        <v>691</v>
      </c>
    </row>
    <row r="73" spans="1:4" s="51" customFormat="1">
      <c r="A73" s="50" t="s">
        <v>148</v>
      </c>
      <c r="B73" s="51" t="s">
        <v>149</v>
      </c>
      <c r="C73" s="53">
        <v>577.4</v>
      </c>
      <c r="D73" s="209" t="s">
        <v>692</v>
      </c>
    </row>
    <row r="74" spans="1:4" s="51" customFormat="1">
      <c r="A74" s="50" t="s">
        <v>99</v>
      </c>
      <c r="B74" s="51" t="s">
        <v>100</v>
      </c>
      <c r="C74" s="53">
        <v>577.4</v>
      </c>
      <c r="D74" s="209" t="s">
        <v>693</v>
      </c>
    </row>
    <row r="75" spans="1:4" s="51" customFormat="1">
      <c r="A75" s="50" t="s">
        <v>86</v>
      </c>
      <c r="B75" s="51" t="s">
        <v>87</v>
      </c>
      <c r="C75" s="53">
        <v>577.20000000000005</v>
      </c>
      <c r="D75" s="209" t="s">
        <v>694</v>
      </c>
    </row>
    <row r="76" spans="1:4" s="51" customFormat="1">
      <c r="A76" s="50" t="s">
        <v>139</v>
      </c>
      <c r="B76" s="51" t="s">
        <v>140</v>
      </c>
      <c r="C76" s="53">
        <v>577.4</v>
      </c>
      <c r="D76" s="209" t="s">
        <v>695</v>
      </c>
    </row>
    <row r="77" spans="1:4" s="51" customFormat="1">
      <c r="A77" s="50" t="s">
        <v>131</v>
      </c>
      <c r="B77" s="51" t="s">
        <v>132</v>
      </c>
      <c r="C77" s="53">
        <v>577.4</v>
      </c>
      <c r="D77" s="209" t="s">
        <v>696</v>
      </c>
    </row>
    <row r="78" spans="1:4" s="51" customFormat="1">
      <c r="A78" s="50" t="s">
        <v>163</v>
      </c>
      <c r="B78" s="51" t="s">
        <v>164</v>
      </c>
      <c r="C78" s="53">
        <v>577.4</v>
      </c>
      <c r="D78" s="209" t="s">
        <v>697</v>
      </c>
    </row>
    <row r="79" spans="1:4" s="51" customFormat="1">
      <c r="A79" s="50" t="s">
        <v>173</v>
      </c>
      <c r="B79" s="51" t="s">
        <v>174</v>
      </c>
      <c r="C79" s="53">
        <v>577.4</v>
      </c>
      <c r="D79" s="209" t="s">
        <v>698</v>
      </c>
    </row>
    <row r="80" spans="1:4" s="51" customFormat="1">
      <c r="A80" s="50" t="s">
        <v>113</v>
      </c>
      <c r="B80" s="51" t="s">
        <v>114</v>
      </c>
      <c r="C80" s="53">
        <v>577.4</v>
      </c>
      <c r="D80" s="209" t="s">
        <v>699</v>
      </c>
    </row>
    <row r="81" spans="1:4" s="51" customFormat="1">
      <c r="A81" s="50" t="s">
        <v>38</v>
      </c>
      <c r="B81" s="51" t="s">
        <v>39</v>
      </c>
      <c r="C81" s="53">
        <v>577.4</v>
      </c>
      <c r="D81" s="209" t="s">
        <v>700</v>
      </c>
    </row>
    <row r="82" spans="1:4" s="51" customFormat="1">
      <c r="A82" s="50" t="s">
        <v>88</v>
      </c>
      <c r="B82" s="51" t="s">
        <v>89</v>
      </c>
      <c r="C82" s="53">
        <v>577.4</v>
      </c>
      <c r="D82" s="209" t="s">
        <v>701</v>
      </c>
    </row>
    <row r="83" spans="1:4" s="51" customFormat="1">
      <c r="A83" s="50" t="s">
        <v>291</v>
      </c>
      <c r="B83" s="51" t="s">
        <v>52</v>
      </c>
      <c r="C83" s="53">
        <v>577.4</v>
      </c>
      <c r="D83" s="209" t="s">
        <v>702</v>
      </c>
    </row>
    <row r="84" spans="1:4" s="51" customFormat="1">
      <c r="A84" s="50" t="s">
        <v>171</v>
      </c>
      <c r="B84" s="51" t="s">
        <v>172</v>
      </c>
      <c r="C84" s="53">
        <v>577.4</v>
      </c>
      <c r="D84" s="209" t="s">
        <v>703</v>
      </c>
    </row>
    <row r="85" spans="1:4" s="51" customFormat="1">
      <c r="A85" s="50" t="s">
        <v>129</v>
      </c>
      <c r="B85" s="51" t="s">
        <v>130</v>
      </c>
      <c r="C85" s="53">
        <v>577.4</v>
      </c>
      <c r="D85" s="209" t="s">
        <v>704</v>
      </c>
    </row>
    <row r="86" spans="1:4" s="51" customFormat="1">
      <c r="A86" s="50" t="s">
        <v>40</v>
      </c>
      <c r="B86" s="51" t="s">
        <v>41</v>
      </c>
      <c r="C86" s="53">
        <v>577.4</v>
      </c>
      <c r="D86" s="209" t="s">
        <v>705</v>
      </c>
    </row>
    <row r="87" spans="1:4" s="51" customFormat="1">
      <c r="A87" s="50" t="s">
        <v>197</v>
      </c>
      <c r="B87" s="51" t="s">
        <v>198</v>
      </c>
      <c r="C87" s="53">
        <v>577.4</v>
      </c>
      <c r="D87" s="209" t="s">
        <v>706</v>
      </c>
    </row>
    <row r="88" spans="1:4" s="51" customFormat="1">
      <c r="A88" s="50" t="s">
        <v>317</v>
      </c>
      <c r="B88" s="51" t="s">
        <v>154</v>
      </c>
      <c r="C88" s="53">
        <v>577.20000000000005</v>
      </c>
      <c r="D88" s="209" t="s">
        <v>707</v>
      </c>
    </row>
    <row r="89" spans="1:4" s="51" customFormat="1" ht="12.75" thickBot="1">
      <c r="A89" s="50"/>
      <c r="C89" s="207">
        <f>SUM(C10:C88)</f>
        <v>41522.984285714323</v>
      </c>
      <c r="D89" s="209"/>
    </row>
    <row r="90" spans="1:4" s="51" customFormat="1">
      <c r="A90" s="50"/>
      <c r="C90" s="53"/>
      <c r="D90" s="209"/>
    </row>
    <row r="91" spans="1:4" s="51" customFormat="1">
      <c r="A91" s="50" t="s">
        <v>14</v>
      </c>
      <c r="B91" s="51" t="s">
        <v>47</v>
      </c>
      <c r="C91" s="53">
        <v>577.4</v>
      </c>
      <c r="D91" s="209" t="s">
        <v>640</v>
      </c>
    </row>
    <row r="92" spans="1:4" s="51" customFormat="1">
      <c r="A92" s="50" t="s">
        <v>94</v>
      </c>
      <c r="B92" s="51" t="s">
        <v>95</v>
      </c>
      <c r="C92" s="53">
        <v>577.20000000000005</v>
      </c>
      <c r="D92" s="209" t="s">
        <v>640</v>
      </c>
    </row>
    <row r="93" spans="1:4" s="51" customFormat="1" ht="12.75" thickBot="1">
      <c r="A93" s="50"/>
      <c r="C93" s="207">
        <f>SUM(C91:C92)</f>
        <v>1154.5999999999999</v>
      </c>
      <c r="D93" s="209"/>
    </row>
    <row r="94" spans="1:4" s="51" customFormat="1">
      <c r="A94" s="50"/>
      <c r="C94" s="53"/>
      <c r="D94" s="209"/>
    </row>
    <row r="95" spans="1:4" s="51" customFormat="1">
      <c r="A95" s="50" t="s">
        <v>289</v>
      </c>
      <c r="B95" s="51" t="s">
        <v>178</v>
      </c>
      <c r="C95" s="53">
        <v>577.4</v>
      </c>
      <c r="D95" s="209" t="s">
        <v>708</v>
      </c>
    </row>
    <row r="96" spans="1:4" s="51" customFormat="1">
      <c r="A96" s="50" t="s">
        <v>196</v>
      </c>
      <c r="B96" s="51" t="s">
        <v>296</v>
      </c>
      <c r="C96" s="53">
        <v>577.4</v>
      </c>
      <c r="D96" s="209" t="s">
        <v>708</v>
      </c>
    </row>
    <row r="97" spans="1:4" s="51" customFormat="1">
      <c r="A97" s="50" t="s">
        <v>188</v>
      </c>
      <c r="B97" s="51" t="s">
        <v>314</v>
      </c>
      <c r="C97" s="53">
        <v>577.4</v>
      </c>
      <c r="D97" s="209" t="s">
        <v>708</v>
      </c>
    </row>
    <row r="98" spans="1:4" s="51" customFormat="1" ht="12.75" thickBot="1">
      <c r="A98" s="50"/>
      <c r="C98" s="207">
        <f>SUM(C95:C97)</f>
        <v>1732.1999999999998</v>
      </c>
      <c r="D98" s="209"/>
    </row>
    <row r="100" spans="1:4">
      <c r="B100" s="204" t="s">
        <v>709</v>
      </c>
      <c r="C100" s="173">
        <f>+C89</f>
        <v>41522.984285714323</v>
      </c>
    </row>
    <row r="101" spans="1:4">
      <c r="B101" s="204" t="s">
        <v>710</v>
      </c>
      <c r="C101" s="173">
        <f>+C93</f>
        <v>1154.5999999999999</v>
      </c>
    </row>
    <row r="102" spans="1:4">
      <c r="B102" s="204" t="s">
        <v>708</v>
      </c>
      <c r="C102" s="173">
        <f>+C98</f>
        <v>1732.1999999999998</v>
      </c>
    </row>
    <row r="103" spans="1:4" ht="12.75" thickBot="1">
      <c r="C103" s="203">
        <f>SUM(C100:C102)</f>
        <v>44409.784285714319</v>
      </c>
    </row>
  </sheetData>
  <sortState ref="A10:D93">
    <sortCondition ref="D10:D93"/>
  </sortState>
  <pageMargins left="0.70866141732283472" right="0.70866141732283472" top="0.35433070866141736" bottom="0.36" header="0.19685039370078741" footer="0.31496062992125984"/>
  <pageSetup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3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F30" sqref="F30"/>
    </sheetView>
  </sheetViews>
  <sheetFormatPr baseColWidth="10" defaultRowHeight="11.25"/>
  <cols>
    <col min="1" max="1" width="9.7109375" style="171" bestFit="1" customWidth="1"/>
    <col min="2" max="2" width="26.42578125" style="170" customWidth="1"/>
    <col min="3" max="3" width="14" style="170" bestFit="1" customWidth="1"/>
    <col min="4" max="4" width="12.28515625" style="170" bestFit="1" customWidth="1"/>
    <col min="5" max="7" width="11.42578125" style="170"/>
    <col min="8" max="8" width="26.7109375" style="170" bestFit="1" customWidth="1"/>
    <col min="9" max="9" width="20.28515625" style="170" bestFit="1" customWidth="1"/>
    <col min="10" max="16384" width="11.42578125" style="170"/>
  </cols>
  <sheetData>
    <row r="1" spans="1:6" ht="12.75">
      <c r="A1" s="3" t="s">
        <v>0</v>
      </c>
      <c r="B1" s="201" t="s">
        <v>18</v>
      </c>
    </row>
    <row r="2" spans="1:6" ht="18">
      <c r="A2" s="4" t="s">
        <v>1</v>
      </c>
      <c r="B2" s="9" t="str">
        <f>+'C&amp;A'!B2:F2</f>
        <v>11 CONSULTORES &amp; ASESORES INTEGRALES SC</v>
      </c>
    </row>
    <row r="3" spans="1:6" ht="15">
      <c r="B3" s="200" t="s">
        <v>2</v>
      </c>
    </row>
    <row r="4" spans="1:6" ht="12.75">
      <c r="B4" s="11" t="s">
        <v>711</v>
      </c>
    </row>
    <row r="5" spans="1:6">
      <c r="B5" s="42" t="s">
        <v>3</v>
      </c>
    </row>
    <row r="6" spans="1:6">
      <c r="B6" s="42" t="s">
        <v>4</v>
      </c>
    </row>
    <row r="8" spans="1:6" s="172" customFormat="1" ht="12" thickBot="1">
      <c r="A8" s="6" t="s">
        <v>5</v>
      </c>
      <c r="B8" s="7" t="s">
        <v>6</v>
      </c>
      <c r="C8" s="28" t="s">
        <v>12</v>
      </c>
    </row>
    <row r="9" spans="1:6" s="51" customFormat="1" ht="12" thickTop="1">
      <c r="A9" s="50"/>
    </row>
    <row r="10" spans="1:6" s="51" customFormat="1" ht="15">
      <c r="A10" s="50"/>
      <c r="B10" s="51" t="s">
        <v>619</v>
      </c>
      <c r="C10" s="58">
        <v>475.39</v>
      </c>
      <c r="D10" s="205">
        <v>1182316935</v>
      </c>
    </row>
    <row r="11" spans="1:6" s="51" customFormat="1" ht="15">
      <c r="A11" s="50" t="s">
        <v>516</v>
      </c>
      <c r="B11" s="51" t="s">
        <v>515</v>
      </c>
      <c r="C11" s="58">
        <v>3063.3329000000003</v>
      </c>
      <c r="D11" s="205">
        <v>1296641458</v>
      </c>
    </row>
    <row r="12" spans="1:6" s="51" customFormat="1" ht="15">
      <c r="A12" s="50"/>
      <c r="B12" s="51" t="s">
        <v>609</v>
      </c>
      <c r="C12" s="58">
        <v>483.75</v>
      </c>
      <c r="D12" s="205">
        <v>1456104819</v>
      </c>
    </row>
    <row r="13" spans="1:6" s="51" customFormat="1" ht="15">
      <c r="A13" s="50"/>
      <c r="B13" s="51" t="s">
        <v>625</v>
      </c>
      <c r="C13" s="58">
        <v>589.2600000000001</v>
      </c>
      <c r="D13" s="205">
        <v>1905307865</v>
      </c>
      <c r="E13" s="51">
        <v>1190530786</v>
      </c>
      <c r="F13" s="243">
        <v>1190530786</v>
      </c>
    </row>
    <row r="14" spans="1:6" s="51" customFormat="1" ht="15">
      <c r="A14" s="50"/>
      <c r="B14" s="51" t="s">
        <v>629</v>
      </c>
      <c r="C14" s="58">
        <v>1136.73</v>
      </c>
      <c r="D14" s="205">
        <v>2857006349</v>
      </c>
    </row>
    <row r="15" spans="1:6" s="51" customFormat="1" ht="15">
      <c r="A15" s="50" t="s">
        <v>500</v>
      </c>
      <c r="B15" s="51" t="s">
        <v>501</v>
      </c>
      <c r="C15" s="58">
        <v>828.46</v>
      </c>
      <c r="D15" s="205">
        <v>2861674129</v>
      </c>
    </row>
    <row r="16" spans="1:6" s="51" customFormat="1" ht="15">
      <c r="A16" s="50"/>
      <c r="B16" s="51" t="s">
        <v>621</v>
      </c>
      <c r="C16" s="58">
        <v>831.79000000000008</v>
      </c>
      <c r="D16" s="205">
        <v>2948910731</v>
      </c>
    </row>
    <row r="17" spans="1:10" s="51" customFormat="1" ht="15">
      <c r="A17" s="50" t="s">
        <v>504</v>
      </c>
      <c r="B17" s="51" t="s">
        <v>505</v>
      </c>
      <c r="C17" s="58">
        <v>1061.8</v>
      </c>
      <c r="D17" s="205">
        <v>2959119167</v>
      </c>
      <c r="H17" s="51" t="s">
        <v>625</v>
      </c>
      <c r="I17" s="205">
        <v>1905307865</v>
      </c>
      <c r="J17" s="51" t="s">
        <v>733</v>
      </c>
    </row>
    <row r="18" spans="1:10" s="51" customFormat="1" ht="15">
      <c r="A18" s="50" t="s">
        <v>518</v>
      </c>
      <c r="B18" s="51" t="s">
        <v>517</v>
      </c>
      <c r="C18" s="58">
        <v>1248.0600000000002</v>
      </c>
      <c r="D18" s="205">
        <v>2959161945</v>
      </c>
      <c r="H18" s="151" t="s">
        <v>716</v>
      </c>
      <c r="I18" s="156" t="s">
        <v>717</v>
      </c>
      <c r="J18" s="51" t="s">
        <v>734</v>
      </c>
    </row>
    <row r="19" spans="1:10" s="51" customFormat="1" ht="15">
      <c r="A19" s="50" t="s">
        <v>511</v>
      </c>
      <c r="B19" s="51" t="s">
        <v>512</v>
      </c>
      <c r="C19" s="58">
        <v>822.6</v>
      </c>
      <c r="D19" s="205">
        <v>2959934200</v>
      </c>
    </row>
    <row r="20" spans="1:10" s="51" customFormat="1" ht="15">
      <c r="A20" s="50" t="s">
        <v>199</v>
      </c>
      <c r="B20" s="51" t="s">
        <v>309</v>
      </c>
      <c r="C20" s="58">
        <v>297.96000000000004</v>
      </c>
      <c r="D20" s="205">
        <v>2995318777</v>
      </c>
    </row>
    <row r="21" spans="1:10" s="51" customFormat="1" ht="15">
      <c r="A21" s="50" t="s">
        <v>509</v>
      </c>
      <c r="B21" s="51" t="s">
        <v>510</v>
      </c>
      <c r="C21" s="58">
        <v>2093.8100000000004</v>
      </c>
      <c r="D21" s="205">
        <v>9589670162</v>
      </c>
    </row>
    <row r="22" spans="1:10" s="51" customFormat="1" ht="15">
      <c r="A22" s="50" t="s">
        <v>70</v>
      </c>
      <c r="B22" s="51" t="s">
        <v>71</v>
      </c>
      <c r="C22" s="58">
        <v>2039.2128571428575</v>
      </c>
      <c r="D22" s="205" t="s">
        <v>641</v>
      </c>
    </row>
    <row r="23" spans="1:10" s="51" customFormat="1" ht="15">
      <c r="A23" s="50" t="s">
        <v>117</v>
      </c>
      <c r="B23" s="51" t="s">
        <v>118</v>
      </c>
      <c r="C23" s="58">
        <v>161.83000000000004</v>
      </c>
      <c r="D23" s="205" t="s">
        <v>642</v>
      </c>
    </row>
    <row r="24" spans="1:10" s="51" customFormat="1" ht="15">
      <c r="A24" s="50" t="s">
        <v>165</v>
      </c>
      <c r="B24" s="51" t="s">
        <v>166</v>
      </c>
      <c r="C24" s="58">
        <v>3030.36</v>
      </c>
      <c r="D24" s="205" t="s">
        <v>643</v>
      </c>
    </row>
    <row r="25" spans="1:10" s="51" customFormat="1" ht="15">
      <c r="A25" s="50" t="s">
        <v>82</v>
      </c>
      <c r="B25" s="51" t="s">
        <v>83</v>
      </c>
      <c r="C25" s="58">
        <v>659.65000000000009</v>
      </c>
      <c r="D25" s="205" t="s">
        <v>644</v>
      </c>
    </row>
    <row r="26" spans="1:10" s="51" customFormat="1" ht="15">
      <c r="A26" s="50" t="s">
        <v>141</v>
      </c>
      <c r="B26" s="51" t="s">
        <v>142</v>
      </c>
      <c r="C26" s="58">
        <v>938.67999999999984</v>
      </c>
      <c r="D26" s="205" t="s">
        <v>645</v>
      </c>
    </row>
    <row r="27" spans="1:10" s="51" customFormat="1" ht="15">
      <c r="A27" s="50" t="s">
        <v>115</v>
      </c>
      <c r="B27" s="51" t="s">
        <v>116</v>
      </c>
      <c r="C27" s="58">
        <v>746.96340000000009</v>
      </c>
      <c r="D27" s="205" t="s">
        <v>646</v>
      </c>
    </row>
    <row r="28" spans="1:10" s="51" customFormat="1" ht="15">
      <c r="A28" s="50" t="s">
        <v>56</v>
      </c>
      <c r="B28" s="51" t="s">
        <v>57</v>
      </c>
      <c r="C28" s="58">
        <v>753.45629999999994</v>
      </c>
      <c r="D28" s="205" t="s">
        <v>647</v>
      </c>
    </row>
    <row r="29" spans="1:10" s="51" customFormat="1" ht="15">
      <c r="A29" s="50" t="s">
        <v>42</v>
      </c>
      <c r="B29" s="51" t="s">
        <v>43</v>
      </c>
      <c r="C29" s="58">
        <v>13161.288999999999</v>
      </c>
      <c r="D29" s="205" t="s">
        <v>648</v>
      </c>
    </row>
    <row r="30" spans="1:10" s="51" customFormat="1" ht="15">
      <c r="A30" s="50" t="s">
        <v>15</v>
      </c>
      <c r="B30" s="51" t="s">
        <v>55</v>
      </c>
      <c r="C30" s="58">
        <v>12560.815000000001</v>
      </c>
      <c r="D30" s="205" t="s">
        <v>649</v>
      </c>
    </row>
    <row r="31" spans="1:10" s="51" customFormat="1" ht="15">
      <c r="A31" s="50" t="s">
        <v>109</v>
      </c>
      <c r="B31" s="51" t="s">
        <v>110</v>
      </c>
      <c r="C31" s="58">
        <v>8232.3580000000002</v>
      </c>
      <c r="D31" s="205" t="s">
        <v>650</v>
      </c>
    </row>
    <row r="32" spans="1:10" s="51" customFormat="1" ht="15">
      <c r="A32" s="50" t="s">
        <v>103</v>
      </c>
      <c r="B32" s="51" t="s">
        <v>104</v>
      </c>
      <c r="C32" s="58">
        <v>1770.1879799999997</v>
      </c>
      <c r="D32" s="205" t="s">
        <v>651</v>
      </c>
    </row>
    <row r="33" spans="1:4" s="51" customFormat="1" ht="15">
      <c r="A33" s="50" t="s">
        <v>119</v>
      </c>
      <c r="B33" s="51" t="s">
        <v>120</v>
      </c>
      <c r="C33" s="58">
        <v>24.678559999999948</v>
      </c>
      <c r="D33" s="205" t="s">
        <v>652</v>
      </c>
    </row>
    <row r="34" spans="1:4" s="51" customFormat="1" ht="15">
      <c r="A34" s="50" t="s">
        <v>167</v>
      </c>
      <c r="B34" s="51" t="s">
        <v>168</v>
      </c>
      <c r="C34" s="58">
        <v>3325.71056</v>
      </c>
      <c r="D34" s="205" t="s">
        <v>653</v>
      </c>
    </row>
    <row r="35" spans="1:4" s="51" customFormat="1" ht="15">
      <c r="A35" s="50" t="s">
        <v>53</v>
      </c>
      <c r="B35" s="51" t="s">
        <v>54</v>
      </c>
      <c r="C35" s="58">
        <v>2014.8880099999999</v>
      </c>
      <c r="D35" s="205" t="s">
        <v>654</v>
      </c>
    </row>
    <row r="36" spans="1:4" s="51" customFormat="1" ht="15">
      <c r="A36" s="50" t="s">
        <v>92</v>
      </c>
      <c r="B36" s="51" t="s">
        <v>93</v>
      </c>
      <c r="C36" s="58">
        <v>28.450000000000017</v>
      </c>
      <c r="D36" s="205" t="s">
        <v>655</v>
      </c>
    </row>
    <row r="37" spans="1:4" s="51" customFormat="1" ht="15">
      <c r="A37" s="50" t="s">
        <v>76</v>
      </c>
      <c r="B37" s="51" t="s">
        <v>77</v>
      </c>
      <c r="C37" s="58">
        <v>1516.8810999999998</v>
      </c>
      <c r="D37" s="205" t="s">
        <v>656</v>
      </c>
    </row>
    <row r="38" spans="1:4" s="51" customFormat="1" ht="15">
      <c r="A38" s="50" t="s">
        <v>62</v>
      </c>
      <c r="B38" s="51" t="s">
        <v>63</v>
      </c>
      <c r="C38" s="58">
        <v>2669.71</v>
      </c>
      <c r="D38" s="205" t="s">
        <v>657</v>
      </c>
    </row>
    <row r="39" spans="1:4" s="51" customFormat="1" ht="15">
      <c r="A39" s="50" t="s">
        <v>133</v>
      </c>
      <c r="B39" s="51" t="s">
        <v>134</v>
      </c>
      <c r="C39" s="58">
        <v>2518.0922299999997</v>
      </c>
      <c r="D39" s="205" t="s">
        <v>658</v>
      </c>
    </row>
    <row r="40" spans="1:4" s="51" customFormat="1" ht="15">
      <c r="A40" s="50" t="s">
        <v>107</v>
      </c>
      <c r="B40" s="51" t="s">
        <v>108</v>
      </c>
      <c r="C40" s="58">
        <v>18366.596000000001</v>
      </c>
      <c r="D40" s="205" t="s">
        <v>659</v>
      </c>
    </row>
    <row r="41" spans="1:4" s="51" customFormat="1" ht="15">
      <c r="A41" s="50" t="s">
        <v>72</v>
      </c>
      <c r="B41" s="51" t="s">
        <v>73</v>
      </c>
      <c r="C41" s="58">
        <v>2877.9805799999999</v>
      </c>
      <c r="D41" s="205" t="s">
        <v>660</v>
      </c>
    </row>
    <row r="42" spans="1:4" s="51" customFormat="1" ht="15">
      <c r="A42" s="50" t="s">
        <v>58</v>
      </c>
      <c r="B42" s="51" t="s">
        <v>59</v>
      </c>
      <c r="C42" s="58">
        <v>228.11714285714277</v>
      </c>
      <c r="D42" s="205" t="s">
        <v>661</v>
      </c>
    </row>
    <row r="43" spans="1:4" s="51" customFormat="1" ht="15">
      <c r="A43" s="50" t="s">
        <v>152</v>
      </c>
      <c r="B43" s="51" t="s">
        <v>153</v>
      </c>
      <c r="C43" s="58">
        <v>583.29405999999983</v>
      </c>
      <c r="D43" s="205" t="s">
        <v>662</v>
      </c>
    </row>
    <row r="44" spans="1:4" s="51" customFormat="1" ht="15">
      <c r="A44" s="50" t="s">
        <v>169</v>
      </c>
      <c r="B44" s="51" t="s">
        <v>170</v>
      </c>
      <c r="C44" s="58">
        <v>522.6</v>
      </c>
      <c r="D44" s="205" t="s">
        <v>663</v>
      </c>
    </row>
    <row r="45" spans="1:4" s="51" customFormat="1" ht="15">
      <c r="A45" s="50" t="s">
        <v>135</v>
      </c>
      <c r="B45" s="51" t="s">
        <v>136</v>
      </c>
      <c r="C45" s="58">
        <v>1318.45</v>
      </c>
      <c r="D45" s="205" t="s">
        <v>664</v>
      </c>
    </row>
    <row r="46" spans="1:4" s="51" customFormat="1" ht="15">
      <c r="A46" s="50" t="s">
        <v>150</v>
      </c>
      <c r="B46" s="51" t="s">
        <v>151</v>
      </c>
      <c r="C46" s="58">
        <v>930.64660000000026</v>
      </c>
      <c r="D46" s="205" t="s">
        <v>665</v>
      </c>
    </row>
    <row r="47" spans="1:4" s="51" customFormat="1" ht="15">
      <c r="A47" s="50" t="s">
        <v>137</v>
      </c>
      <c r="B47" s="51" t="s">
        <v>138</v>
      </c>
      <c r="C47" s="58">
        <v>491.53836000000007</v>
      </c>
      <c r="D47" s="205" t="s">
        <v>666</v>
      </c>
    </row>
    <row r="48" spans="1:4" s="51" customFormat="1" ht="15">
      <c r="A48" s="50" t="s">
        <v>290</v>
      </c>
      <c r="B48" s="51" t="s">
        <v>46</v>
      </c>
      <c r="C48" s="58">
        <v>34.27570285714279</v>
      </c>
      <c r="D48" s="205" t="s">
        <v>667</v>
      </c>
    </row>
    <row r="49" spans="1:4" s="51" customFormat="1" ht="15">
      <c r="A49" s="50" t="s">
        <v>36</v>
      </c>
      <c r="B49" s="51" t="s">
        <v>37</v>
      </c>
      <c r="C49" s="58">
        <v>55528.401999999995</v>
      </c>
      <c r="D49" s="205" t="s">
        <v>668</v>
      </c>
    </row>
    <row r="50" spans="1:4" s="51" customFormat="1" ht="15">
      <c r="A50" s="50" t="s">
        <v>50</v>
      </c>
      <c r="B50" s="51" t="s">
        <v>51</v>
      </c>
      <c r="C50" s="58">
        <v>7473.5249999999996</v>
      </c>
      <c r="D50" s="205" t="s">
        <v>669</v>
      </c>
    </row>
    <row r="51" spans="1:4" s="51" customFormat="1" ht="15">
      <c r="A51" s="50" t="s">
        <v>123</v>
      </c>
      <c r="B51" s="51" t="s">
        <v>124</v>
      </c>
      <c r="C51" s="58">
        <v>2.0000000000001137</v>
      </c>
      <c r="D51" s="205" t="s">
        <v>670</v>
      </c>
    </row>
    <row r="52" spans="1:4" s="51" customFormat="1" ht="15">
      <c r="A52" s="50" t="s">
        <v>80</v>
      </c>
      <c r="B52" s="51" t="s">
        <v>81</v>
      </c>
      <c r="C52" s="58">
        <v>9995.3760000000002</v>
      </c>
      <c r="D52" s="205" t="s">
        <v>671</v>
      </c>
    </row>
    <row r="53" spans="1:4" s="51" customFormat="1" ht="15">
      <c r="A53" s="50" t="s">
        <v>101</v>
      </c>
      <c r="B53" s="51" t="s">
        <v>102</v>
      </c>
      <c r="C53" s="58">
        <v>186.21216000000001</v>
      </c>
      <c r="D53" s="205" t="s">
        <v>672</v>
      </c>
    </row>
    <row r="54" spans="1:4" s="51" customFormat="1" ht="15">
      <c r="A54" s="50" t="s">
        <v>121</v>
      </c>
      <c r="B54" s="51" t="s">
        <v>122</v>
      </c>
      <c r="C54" s="58">
        <v>1160.4482799999998</v>
      </c>
      <c r="D54" s="205" t="s">
        <v>673</v>
      </c>
    </row>
    <row r="55" spans="1:4" s="51" customFormat="1" ht="15">
      <c r="A55" s="50" t="s">
        <v>143</v>
      </c>
      <c r="B55" s="51" t="s">
        <v>144</v>
      </c>
      <c r="C55" s="58">
        <v>1373.1799999999998</v>
      </c>
      <c r="D55" s="205" t="s">
        <v>674</v>
      </c>
    </row>
    <row r="56" spans="1:4" s="51" customFormat="1" ht="15">
      <c r="A56" s="50" t="s">
        <v>34</v>
      </c>
      <c r="B56" s="51" t="s">
        <v>35</v>
      </c>
      <c r="C56" s="58">
        <v>4030.9870000000005</v>
      </c>
      <c r="D56" s="205" t="s">
        <v>675</v>
      </c>
    </row>
    <row r="57" spans="1:4" s="51" customFormat="1" ht="15">
      <c r="A57" s="50" t="s">
        <v>90</v>
      </c>
      <c r="B57" s="51" t="s">
        <v>91</v>
      </c>
      <c r="C57" s="58">
        <v>7531.1180000000004</v>
      </c>
      <c r="D57" s="205" t="s">
        <v>676</v>
      </c>
    </row>
    <row r="58" spans="1:4" s="51" customFormat="1" ht="15">
      <c r="A58" s="50" t="s">
        <v>159</v>
      </c>
      <c r="B58" s="51" t="s">
        <v>160</v>
      </c>
      <c r="C58" s="58">
        <v>2101.5500000000002</v>
      </c>
      <c r="D58" s="205" t="s">
        <v>677</v>
      </c>
    </row>
    <row r="59" spans="1:4" s="51" customFormat="1" ht="15">
      <c r="A59" s="50" t="s">
        <v>68</v>
      </c>
      <c r="B59" s="51" t="s">
        <v>69</v>
      </c>
      <c r="C59" s="58">
        <v>713.88714285714275</v>
      </c>
      <c r="D59" s="205" t="s">
        <v>678</v>
      </c>
    </row>
    <row r="60" spans="1:4" s="51" customFormat="1" ht="15">
      <c r="A60" s="50" t="s">
        <v>48</v>
      </c>
      <c r="B60" s="51" t="s">
        <v>49</v>
      </c>
      <c r="C60" s="58">
        <v>713.68714285714282</v>
      </c>
      <c r="D60" s="205" t="s">
        <v>679</v>
      </c>
    </row>
    <row r="61" spans="1:4" s="51" customFormat="1" ht="15">
      <c r="A61" s="50" t="s">
        <v>125</v>
      </c>
      <c r="B61" s="51" t="s">
        <v>126</v>
      </c>
      <c r="C61" s="58">
        <v>3693.57</v>
      </c>
      <c r="D61" s="205" t="s">
        <v>680</v>
      </c>
    </row>
    <row r="62" spans="1:4" s="51" customFormat="1" ht="15">
      <c r="A62" s="50" t="s">
        <v>96</v>
      </c>
      <c r="B62" s="51" t="s">
        <v>97</v>
      </c>
      <c r="C62" s="58">
        <v>1055.9299999999998</v>
      </c>
      <c r="D62" s="205" t="s">
        <v>681</v>
      </c>
    </row>
    <row r="63" spans="1:4" s="51" customFormat="1" ht="15">
      <c r="A63" s="50" t="s">
        <v>64</v>
      </c>
      <c r="B63" s="51" t="s">
        <v>65</v>
      </c>
      <c r="C63" s="58">
        <v>515.53</v>
      </c>
      <c r="D63" s="205" t="s">
        <v>682</v>
      </c>
    </row>
    <row r="64" spans="1:4" s="51" customFormat="1" ht="15">
      <c r="A64" s="50" t="s">
        <v>78</v>
      </c>
      <c r="B64" s="51" t="s">
        <v>79</v>
      </c>
      <c r="C64" s="58">
        <v>1806.8899999999999</v>
      </c>
      <c r="D64" s="205" t="s">
        <v>683</v>
      </c>
    </row>
    <row r="65" spans="1:4" s="51" customFormat="1" ht="15">
      <c r="A65" s="50" t="s">
        <v>44</v>
      </c>
      <c r="B65" s="51" t="s">
        <v>45</v>
      </c>
      <c r="C65" s="58">
        <v>1729.6</v>
      </c>
      <c r="D65" s="205" t="s">
        <v>684</v>
      </c>
    </row>
    <row r="66" spans="1:4" s="51" customFormat="1" ht="15">
      <c r="A66" s="50" t="s">
        <v>157</v>
      </c>
      <c r="B66" s="51" t="s">
        <v>158</v>
      </c>
      <c r="C66" s="58">
        <v>936.13</v>
      </c>
      <c r="D66" s="205" t="s">
        <v>685</v>
      </c>
    </row>
    <row r="67" spans="1:4" s="51" customFormat="1" ht="15">
      <c r="A67" s="50" t="s">
        <v>111</v>
      </c>
      <c r="B67" s="51" t="s">
        <v>112</v>
      </c>
      <c r="C67" s="58">
        <v>589.2600000000001</v>
      </c>
      <c r="D67" s="205" t="s">
        <v>686</v>
      </c>
    </row>
    <row r="68" spans="1:4" s="51" customFormat="1" ht="15">
      <c r="A68" s="50" t="s">
        <v>105</v>
      </c>
      <c r="B68" s="51" t="s">
        <v>106</v>
      </c>
      <c r="C68" s="58">
        <v>3027.89</v>
      </c>
      <c r="D68" s="205" t="s">
        <v>687</v>
      </c>
    </row>
    <row r="69" spans="1:4" s="51" customFormat="1" ht="15">
      <c r="A69" s="50" t="s">
        <v>66</v>
      </c>
      <c r="B69" s="51" t="s">
        <v>67</v>
      </c>
      <c r="C69" s="58">
        <v>1575.7700000000002</v>
      </c>
      <c r="D69" s="205" t="s">
        <v>688</v>
      </c>
    </row>
    <row r="70" spans="1:4" s="51" customFormat="1" ht="15">
      <c r="A70" s="50" t="s">
        <v>155</v>
      </c>
      <c r="B70" s="51" t="s">
        <v>156</v>
      </c>
      <c r="C70" s="58">
        <v>395.77</v>
      </c>
      <c r="D70" s="205" t="s">
        <v>689</v>
      </c>
    </row>
    <row r="71" spans="1:4" s="51" customFormat="1" ht="15">
      <c r="A71" s="50" t="s">
        <v>60</v>
      </c>
      <c r="B71" s="51" t="s">
        <v>61</v>
      </c>
      <c r="C71" s="58">
        <v>3538.1700000000005</v>
      </c>
      <c r="D71" s="205" t="s">
        <v>690</v>
      </c>
    </row>
    <row r="72" spans="1:4" s="51" customFormat="1" ht="15">
      <c r="A72" s="50" t="s">
        <v>161</v>
      </c>
      <c r="B72" s="51" t="s">
        <v>162</v>
      </c>
      <c r="C72" s="58">
        <v>2869.32</v>
      </c>
      <c r="D72" s="205" t="s">
        <v>691</v>
      </c>
    </row>
    <row r="73" spans="1:4" s="51" customFormat="1" ht="15">
      <c r="A73" s="50" t="s">
        <v>148</v>
      </c>
      <c r="B73" s="51" t="s">
        <v>149</v>
      </c>
      <c r="C73" s="58">
        <v>3937.2740000000003</v>
      </c>
      <c r="D73" s="205" t="s">
        <v>692</v>
      </c>
    </row>
    <row r="74" spans="1:4" s="51" customFormat="1" ht="15">
      <c r="A74" s="50" t="s">
        <v>99</v>
      </c>
      <c r="B74" s="51" t="s">
        <v>100</v>
      </c>
      <c r="C74" s="58">
        <v>13234.36</v>
      </c>
      <c r="D74" s="205" t="s">
        <v>693</v>
      </c>
    </row>
    <row r="75" spans="1:4" s="51" customFormat="1" ht="15">
      <c r="A75" s="50" t="s">
        <v>86</v>
      </c>
      <c r="B75" s="51" t="s">
        <v>87</v>
      </c>
      <c r="C75" s="58">
        <v>2055.59</v>
      </c>
      <c r="D75" s="205" t="s">
        <v>694</v>
      </c>
    </row>
    <row r="76" spans="1:4" s="51" customFormat="1" ht="15">
      <c r="A76" s="50" t="s">
        <v>139</v>
      </c>
      <c r="B76" s="51" t="s">
        <v>140</v>
      </c>
      <c r="C76" s="58">
        <v>1522.6</v>
      </c>
      <c r="D76" s="205" t="s">
        <v>695</v>
      </c>
    </row>
    <row r="77" spans="1:4" s="51" customFormat="1" ht="15">
      <c r="A77" s="50" t="s">
        <v>131</v>
      </c>
      <c r="B77" s="51" t="s">
        <v>132</v>
      </c>
      <c r="C77" s="58">
        <v>1195.8486299999997</v>
      </c>
      <c r="D77" s="205" t="s">
        <v>696</v>
      </c>
    </row>
    <row r="78" spans="1:4" s="51" customFormat="1" ht="15">
      <c r="A78" s="50" t="s">
        <v>163</v>
      </c>
      <c r="B78" s="51" t="s">
        <v>164</v>
      </c>
      <c r="C78" s="58">
        <v>179.7800000000002</v>
      </c>
      <c r="D78" s="205" t="s">
        <v>697</v>
      </c>
    </row>
    <row r="79" spans="1:4" s="51" customFormat="1" ht="15">
      <c r="A79" s="50" t="s">
        <v>173</v>
      </c>
      <c r="B79" s="51" t="s">
        <v>174</v>
      </c>
      <c r="C79" s="58">
        <v>2512.83</v>
      </c>
      <c r="D79" s="205" t="s">
        <v>698</v>
      </c>
    </row>
    <row r="80" spans="1:4" s="51" customFormat="1" ht="15">
      <c r="A80" s="50" t="s">
        <v>113</v>
      </c>
      <c r="B80" s="51" t="s">
        <v>114</v>
      </c>
      <c r="C80" s="58">
        <v>428.71000000000009</v>
      </c>
      <c r="D80" s="205" t="s">
        <v>699</v>
      </c>
    </row>
    <row r="81" spans="1:4" s="51" customFormat="1" ht="15">
      <c r="A81" s="50" t="s">
        <v>38</v>
      </c>
      <c r="B81" s="51" t="s">
        <v>39</v>
      </c>
      <c r="C81" s="58">
        <v>4133.3521700000001</v>
      </c>
      <c r="D81" s="205" t="s">
        <v>700</v>
      </c>
    </row>
    <row r="82" spans="1:4" s="51" customFormat="1" ht="15">
      <c r="A82" s="50" t="s">
        <v>88</v>
      </c>
      <c r="B82" s="51" t="s">
        <v>89</v>
      </c>
      <c r="C82" s="58">
        <v>5012.9540000000006</v>
      </c>
      <c r="D82" s="205" t="s">
        <v>701</v>
      </c>
    </row>
    <row r="83" spans="1:4" s="51" customFormat="1" ht="15">
      <c r="A83" s="50" t="s">
        <v>291</v>
      </c>
      <c r="B83" s="51" t="s">
        <v>52</v>
      </c>
      <c r="C83" s="58">
        <v>588.86</v>
      </c>
      <c r="D83" s="205" t="s">
        <v>702</v>
      </c>
    </row>
    <row r="84" spans="1:4" s="51" customFormat="1" ht="15">
      <c r="A84" s="50" t="s">
        <v>171</v>
      </c>
      <c r="B84" s="51" t="s">
        <v>172</v>
      </c>
      <c r="C84" s="58">
        <v>589.2600000000001</v>
      </c>
      <c r="D84" s="205" t="s">
        <v>703</v>
      </c>
    </row>
    <row r="85" spans="1:4" s="51" customFormat="1" ht="15">
      <c r="A85" s="50" t="s">
        <v>129</v>
      </c>
      <c r="B85" s="51" t="s">
        <v>130</v>
      </c>
      <c r="C85" s="58">
        <v>3198.15</v>
      </c>
      <c r="D85" s="205" t="s">
        <v>704</v>
      </c>
    </row>
    <row r="86" spans="1:4" s="51" customFormat="1" ht="15">
      <c r="A86" s="50" t="s">
        <v>40</v>
      </c>
      <c r="B86" s="51" t="s">
        <v>41</v>
      </c>
      <c r="C86" s="58">
        <v>2022.9</v>
      </c>
      <c r="D86" s="205" t="s">
        <v>705</v>
      </c>
    </row>
    <row r="87" spans="1:4" s="51" customFormat="1" ht="15">
      <c r="A87" s="50" t="s">
        <v>197</v>
      </c>
      <c r="B87" s="51" t="s">
        <v>198</v>
      </c>
      <c r="C87" s="58">
        <v>529.95000000000005</v>
      </c>
      <c r="D87" s="205" t="s">
        <v>706</v>
      </c>
    </row>
    <row r="88" spans="1:4" s="51" customFormat="1" ht="15">
      <c r="A88" s="50" t="s">
        <v>317</v>
      </c>
      <c r="B88" s="51" t="s">
        <v>154</v>
      </c>
      <c r="C88" s="58">
        <v>2010.2600000000002</v>
      </c>
      <c r="D88" s="205" t="s">
        <v>707</v>
      </c>
    </row>
    <row r="89" spans="1:4" s="51" customFormat="1" ht="15.75" thickBot="1">
      <c r="A89" s="50"/>
      <c r="C89" s="213">
        <f>SUM(C10:C88)</f>
        <v>250136.53586857143</v>
      </c>
      <c r="D89" s="205"/>
    </row>
    <row r="90" spans="1:4" s="51" customFormat="1" ht="15">
      <c r="A90" s="50"/>
      <c r="C90" s="58"/>
      <c r="D90" s="205"/>
    </row>
    <row r="91" spans="1:4" s="51" customFormat="1" ht="15">
      <c r="A91" s="50" t="s">
        <v>14</v>
      </c>
      <c r="B91" s="51" t="s">
        <v>47</v>
      </c>
      <c r="C91" s="58">
        <v>117.15000000000003</v>
      </c>
      <c r="D91" s="205" t="s">
        <v>640</v>
      </c>
    </row>
    <row r="92" spans="1:4" s="51" customFormat="1" ht="15">
      <c r="A92" s="50" t="s">
        <v>94</v>
      </c>
      <c r="B92" s="51" t="s">
        <v>95</v>
      </c>
      <c r="C92" s="58">
        <v>4360.3530000000001</v>
      </c>
      <c r="D92" s="205" t="s">
        <v>640</v>
      </c>
    </row>
    <row r="93" spans="1:4" s="51" customFormat="1" ht="15.75" thickBot="1">
      <c r="A93" s="50"/>
      <c r="C93" s="213">
        <f>SUM(C91:C92)</f>
        <v>4477.5029999999997</v>
      </c>
      <c r="D93" s="205"/>
    </row>
    <row r="94" spans="1:4" s="51" customFormat="1" ht="15">
      <c r="A94" s="50"/>
      <c r="C94" s="58"/>
      <c r="D94" s="205"/>
    </row>
    <row r="95" spans="1:4" s="51" customFormat="1" ht="15">
      <c r="A95" s="50" t="s">
        <v>289</v>
      </c>
      <c r="B95" s="51" t="s">
        <v>178</v>
      </c>
      <c r="C95" s="58">
        <v>161.83000000000004</v>
      </c>
      <c r="D95" s="205" t="s">
        <v>708</v>
      </c>
    </row>
    <row r="96" spans="1:4" s="51" customFormat="1" ht="15">
      <c r="A96" s="50" t="s">
        <v>196</v>
      </c>
      <c r="B96" s="51" t="s">
        <v>296</v>
      </c>
      <c r="C96" s="58">
        <v>1114.2575000000002</v>
      </c>
      <c r="D96" s="205" t="s">
        <v>708</v>
      </c>
    </row>
    <row r="97" spans="1:4" s="51" customFormat="1" ht="15">
      <c r="A97" s="50" t="s">
        <v>188</v>
      </c>
      <c r="B97" s="51" t="s">
        <v>314</v>
      </c>
      <c r="C97" s="58">
        <v>522.6</v>
      </c>
      <c r="D97" s="205" t="s">
        <v>708</v>
      </c>
    </row>
    <row r="98" spans="1:4" s="51" customFormat="1" ht="12.75" thickBot="1">
      <c r="A98" s="50"/>
      <c r="C98" s="213">
        <f>SUM(C95:C97)</f>
        <v>1798.6875</v>
      </c>
    </row>
    <row r="99" spans="1:4">
      <c r="C99" s="173"/>
    </row>
    <row r="100" spans="1:4">
      <c r="B100" s="204" t="s">
        <v>709</v>
      </c>
      <c r="C100" s="173">
        <f>+C89</f>
        <v>250136.53586857143</v>
      </c>
    </row>
    <row r="101" spans="1:4">
      <c r="B101" s="204" t="s">
        <v>710</v>
      </c>
      <c r="C101" s="173">
        <f>+C93</f>
        <v>4477.5029999999997</v>
      </c>
    </row>
    <row r="102" spans="1:4">
      <c r="B102" s="204" t="s">
        <v>708</v>
      </c>
      <c r="C102" s="173">
        <f>+C98</f>
        <v>1798.6875</v>
      </c>
    </row>
    <row r="103" spans="1:4" ht="12.75" thickBot="1">
      <c r="C103" s="203">
        <f>SUM(C100:C102)</f>
        <v>256412.72636857143</v>
      </c>
    </row>
  </sheetData>
  <sortState ref="A10:E93">
    <sortCondition ref="D10:D93"/>
  </sortState>
  <pageMargins left="0.70866141732283472" right="0.70866141732283472" top="0.43307086614173229" bottom="0.39370078740157483" header="0.31496062992125984" footer="0.31496062992125984"/>
  <pageSetup scale="4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90"/>
  <sheetViews>
    <sheetView workbookViewId="0">
      <selection activeCell="D34" sqref="D34"/>
    </sheetView>
  </sheetViews>
  <sheetFormatPr baseColWidth="10" defaultRowHeight="15"/>
  <cols>
    <col min="2" max="2" width="25" bestFit="1" customWidth="1"/>
    <col min="10" max="17" width="0" style="16" hidden="1" customWidth="1"/>
  </cols>
  <sheetData>
    <row r="1" spans="1:17">
      <c r="A1" t="s">
        <v>200</v>
      </c>
    </row>
    <row r="7" spans="1:17">
      <c r="C7" t="s">
        <v>201</v>
      </c>
    </row>
    <row r="8" spans="1:17">
      <c r="A8" t="s">
        <v>202</v>
      </c>
      <c r="B8" t="s">
        <v>203</v>
      </c>
      <c r="C8" t="s">
        <v>204</v>
      </c>
      <c r="J8" s="30"/>
      <c r="K8" s="30"/>
      <c r="L8" s="30"/>
      <c r="M8" s="30"/>
      <c r="N8" s="30"/>
      <c r="O8" s="30"/>
      <c r="P8" s="30"/>
      <c r="Q8" s="30"/>
    </row>
    <row r="9" spans="1:17">
      <c r="A9" t="s">
        <v>34</v>
      </c>
      <c r="B9" t="s">
        <v>205</v>
      </c>
      <c r="C9">
        <v>0</v>
      </c>
    </row>
    <row r="10" spans="1:17">
      <c r="A10" t="s">
        <v>36</v>
      </c>
      <c r="B10" t="s">
        <v>270</v>
      </c>
      <c r="C10">
        <v>0</v>
      </c>
      <c r="J10" s="35"/>
      <c r="K10" s="35"/>
      <c r="L10" s="35"/>
      <c r="M10" s="35"/>
      <c r="N10" s="35"/>
      <c r="O10" s="35"/>
      <c r="P10" s="35"/>
      <c r="Q10" s="35"/>
    </row>
    <row r="11" spans="1:17">
      <c r="A11" t="s">
        <v>38</v>
      </c>
      <c r="B11" t="s">
        <v>245</v>
      </c>
      <c r="C11">
        <v>0</v>
      </c>
      <c r="J11" s="35"/>
      <c r="K11" s="35"/>
      <c r="L11" s="35"/>
      <c r="M11" s="35"/>
      <c r="N11" s="35"/>
      <c r="O11" s="35"/>
      <c r="P11" s="35"/>
      <c r="Q11" s="35"/>
    </row>
    <row r="12" spans="1:17">
      <c r="A12" t="s">
        <v>40</v>
      </c>
      <c r="B12" t="s">
        <v>206</v>
      </c>
      <c r="C12">
        <v>0</v>
      </c>
      <c r="J12" s="35"/>
      <c r="K12" s="35"/>
      <c r="L12" s="35"/>
      <c r="M12" s="35"/>
      <c r="N12" s="35"/>
      <c r="O12" s="35"/>
      <c r="P12" s="35"/>
      <c r="Q12" s="35"/>
    </row>
    <row r="13" spans="1:17">
      <c r="A13">
        <v>16</v>
      </c>
      <c r="B13" t="s">
        <v>265</v>
      </c>
      <c r="C13">
        <v>0</v>
      </c>
      <c r="J13" s="35"/>
      <c r="K13" s="35"/>
      <c r="L13" s="35"/>
      <c r="M13" s="35"/>
      <c r="N13" s="35"/>
      <c r="O13" s="35"/>
      <c r="P13" s="35"/>
      <c r="Q13" s="35"/>
    </row>
    <row r="14" spans="1:17">
      <c r="A14" t="s">
        <v>191</v>
      </c>
      <c r="B14" t="s">
        <v>246</v>
      </c>
      <c r="C14">
        <v>0</v>
      </c>
      <c r="J14" s="35"/>
      <c r="K14" s="35"/>
      <c r="L14" s="35"/>
      <c r="M14" s="35"/>
      <c r="N14" s="35"/>
      <c r="O14" s="35"/>
      <c r="P14" s="35"/>
      <c r="Q14" s="35"/>
    </row>
    <row r="15" spans="1:17">
      <c r="A15" t="s">
        <v>236</v>
      </c>
      <c r="B15" t="s">
        <v>237</v>
      </c>
      <c r="C15">
        <v>0</v>
      </c>
      <c r="J15" s="35"/>
      <c r="K15" s="35"/>
      <c r="L15" s="35"/>
      <c r="M15" s="35"/>
      <c r="N15" s="35"/>
      <c r="O15" s="35"/>
      <c r="P15" s="35"/>
      <c r="Q15" s="35"/>
    </row>
    <row r="16" spans="1:17">
      <c r="A16" t="s">
        <v>14</v>
      </c>
      <c r="B16" t="s">
        <v>269</v>
      </c>
      <c r="C16">
        <v>879.45</v>
      </c>
      <c r="J16" s="35"/>
      <c r="K16" s="35"/>
      <c r="L16" s="35"/>
      <c r="M16" s="35"/>
      <c r="N16" s="35"/>
      <c r="O16" s="35"/>
      <c r="P16" s="35"/>
      <c r="Q16" s="35"/>
    </row>
    <row r="17" spans="1:17">
      <c r="A17" t="s">
        <v>48</v>
      </c>
      <c r="B17" t="s">
        <v>227</v>
      </c>
      <c r="C17">
        <v>0</v>
      </c>
      <c r="J17" s="35"/>
      <c r="K17" s="35"/>
      <c r="L17" s="35"/>
      <c r="M17" s="35"/>
      <c r="N17" s="35"/>
      <c r="O17" s="35"/>
      <c r="P17" s="35"/>
      <c r="Q17" s="35"/>
    </row>
    <row r="18" spans="1:17">
      <c r="A18" t="s">
        <v>50</v>
      </c>
      <c r="B18" t="s">
        <v>271</v>
      </c>
      <c r="C18">
        <v>3257.47</v>
      </c>
      <c r="J18" s="35"/>
      <c r="K18" s="35"/>
      <c r="L18" s="35"/>
      <c r="M18" s="35"/>
      <c r="N18" s="35"/>
      <c r="O18" s="35"/>
      <c r="P18" s="35"/>
      <c r="Q18" s="35"/>
    </row>
    <row r="19" spans="1:17">
      <c r="A19" t="s">
        <v>180</v>
      </c>
      <c r="B19" t="s">
        <v>207</v>
      </c>
      <c r="C19">
        <v>0</v>
      </c>
      <c r="J19" s="35"/>
      <c r="K19" s="35"/>
      <c r="L19" s="35"/>
      <c r="M19" s="35"/>
      <c r="N19" s="35"/>
      <c r="O19" s="35"/>
      <c r="P19" s="35"/>
      <c r="Q19" s="35"/>
    </row>
    <row r="20" spans="1:17">
      <c r="A20" t="s">
        <v>53</v>
      </c>
      <c r="B20" t="s">
        <v>247</v>
      </c>
      <c r="C20">
        <v>0</v>
      </c>
      <c r="J20" s="35"/>
      <c r="K20" s="35"/>
      <c r="L20" s="35"/>
      <c r="M20" s="35"/>
      <c r="N20" s="35"/>
      <c r="O20" s="35"/>
      <c r="P20" s="35"/>
      <c r="Q20" s="35"/>
    </row>
    <row r="21" spans="1:17">
      <c r="A21">
        <v>18</v>
      </c>
      <c r="B21" t="s">
        <v>266</v>
      </c>
      <c r="C21">
        <v>0</v>
      </c>
      <c r="J21" s="35"/>
      <c r="K21" s="35"/>
      <c r="L21" s="35"/>
      <c r="M21" s="35"/>
      <c r="N21" s="35"/>
      <c r="O21" s="35"/>
      <c r="P21" s="35"/>
      <c r="Q21" s="35"/>
    </row>
    <row r="22" spans="1:17">
      <c r="A22" t="s">
        <v>56</v>
      </c>
      <c r="B22" t="s">
        <v>248</v>
      </c>
      <c r="C22">
        <v>0</v>
      </c>
      <c r="J22" s="35"/>
      <c r="K22" s="35"/>
      <c r="L22" s="35"/>
      <c r="M22" s="35"/>
      <c r="N22" s="35"/>
      <c r="O22" s="35"/>
      <c r="P22" s="35"/>
      <c r="Q22" s="35"/>
    </row>
    <row r="23" spans="1:17">
      <c r="A23" t="s">
        <v>58</v>
      </c>
      <c r="B23" t="s">
        <v>229</v>
      </c>
      <c r="C23">
        <v>357.73</v>
      </c>
      <c r="J23" s="35"/>
      <c r="K23" s="35"/>
      <c r="L23" s="35"/>
      <c r="M23" s="35"/>
      <c r="N23" s="35"/>
      <c r="O23" s="35"/>
      <c r="P23" s="35"/>
      <c r="Q23" s="35"/>
    </row>
    <row r="24" spans="1:17">
      <c r="A24" t="s">
        <v>60</v>
      </c>
      <c r="B24" t="s">
        <v>239</v>
      </c>
      <c r="C24">
        <v>797.62</v>
      </c>
      <c r="J24" s="35"/>
      <c r="K24" s="35"/>
      <c r="L24" s="35"/>
      <c r="M24" s="35"/>
      <c r="N24" s="35"/>
      <c r="O24" s="35"/>
      <c r="P24" s="35"/>
      <c r="Q24" s="35"/>
    </row>
    <row r="25" spans="1:17">
      <c r="A25" t="s">
        <v>62</v>
      </c>
      <c r="B25" t="s">
        <v>213</v>
      </c>
      <c r="C25">
        <v>0</v>
      </c>
      <c r="J25" s="35"/>
      <c r="K25" s="35"/>
      <c r="L25" s="35"/>
      <c r="M25" s="35"/>
      <c r="N25" s="35"/>
      <c r="O25" s="35"/>
      <c r="P25" s="35"/>
      <c r="Q25" s="35"/>
    </row>
    <row r="26" spans="1:17">
      <c r="A26" t="s">
        <v>64</v>
      </c>
      <c r="B26" t="s">
        <v>238</v>
      </c>
      <c r="C26">
        <v>0</v>
      </c>
      <c r="J26" s="35"/>
      <c r="K26" s="35"/>
      <c r="L26" s="35"/>
      <c r="M26" s="35"/>
      <c r="N26" s="35"/>
      <c r="O26" s="35"/>
      <c r="P26" s="35"/>
      <c r="Q26" s="35"/>
    </row>
    <row r="27" spans="1:17">
      <c r="A27" t="s">
        <v>66</v>
      </c>
      <c r="B27" t="s">
        <v>230</v>
      </c>
      <c r="C27">
        <v>0</v>
      </c>
      <c r="J27" s="35"/>
      <c r="K27" s="35"/>
      <c r="L27" s="35"/>
      <c r="M27" s="35"/>
      <c r="N27" s="35"/>
      <c r="O27" s="35"/>
      <c r="P27" s="35"/>
      <c r="Q27" s="35"/>
    </row>
    <row r="28" spans="1:17">
      <c r="A28" t="s">
        <v>68</v>
      </c>
      <c r="B28" t="s">
        <v>228</v>
      </c>
      <c r="C28">
        <v>0</v>
      </c>
      <c r="J28" s="35"/>
      <c r="K28" s="35"/>
      <c r="L28" s="35"/>
      <c r="M28" s="35"/>
      <c r="N28" s="35"/>
      <c r="O28" s="35"/>
      <c r="P28" s="35"/>
      <c r="Q28" s="35"/>
    </row>
    <row r="29" spans="1:17">
      <c r="A29" t="s">
        <v>70</v>
      </c>
      <c r="B29" t="s">
        <v>231</v>
      </c>
      <c r="C29">
        <v>0</v>
      </c>
      <c r="J29" s="35"/>
      <c r="K29" s="35"/>
      <c r="L29" s="35"/>
      <c r="M29" s="35"/>
      <c r="N29" s="35"/>
      <c r="O29" s="35"/>
      <c r="P29" s="35"/>
      <c r="Q29" s="35"/>
    </row>
    <row r="30" spans="1:17">
      <c r="A30" t="s">
        <v>72</v>
      </c>
      <c r="B30" t="s">
        <v>249</v>
      </c>
      <c r="C30">
        <v>0</v>
      </c>
      <c r="J30" s="35"/>
      <c r="K30" s="35"/>
      <c r="L30" s="35"/>
      <c r="M30" s="35"/>
      <c r="N30" s="35"/>
      <c r="O30" s="35"/>
      <c r="P30" s="35"/>
      <c r="Q30" s="35"/>
    </row>
    <row r="31" spans="1:17">
      <c r="A31" t="s">
        <v>74</v>
      </c>
      <c r="B31" t="s">
        <v>272</v>
      </c>
      <c r="C31">
        <v>530.28</v>
      </c>
      <c r="J31" s="35"/>
      <c r="K31" s="35"/>
      <c r="L31" s="35"/>
      <c r="M31" s="35"/>
      <c r="N31" s="35"/>
      <c r="O31" s="35"/>
      <c r="P31" s="35"/>
      <c r="Q31" s="35"/>
    </row>
    <row r="32" spans="1:17">
      <c r="A32" t="s">
        <v>76</v>
      </c>
      <c r="B32" t="s">
        <v>250</v>
      </c>
      <c r="C32">
        <v>0</v>
      </c>
      <c r="J32" s="35"/>
      <c r="K32" s="35"/>
      <c r="L32" s="35"/>
      <c r="M32" s="35"/>
      <c r="N32" s="35"/>
      <c r="O32" s="35"/>
      <c r="P32" s="35"/>
      <c r="Q32" s="35"/>
    </row>
    <row r="33" spans="1:17">
      <c r="A33" t="s">
        <v>78</v>
      </c>
      <c r="B33" t="s">
        <v>208</v>
      </c>
      <c r="C33">
        <v>0</v>
      </c>
      <c r="J33" s="35"/>
      <c r="K33" s="35"/>
      <c r="L33" s="35"/>
      <c r="M33" s="35"/>
      <c r="N33" s="35"/>
      <c r="O33" s="35"/>
      <c r="P33" s="35"/>
      <c r="Q33" s="35"/>
    </row>
    <row r="34" spans="1:17">
      <c r="A34" t="s">
        <v>273</v>
      </c>
      <c r="B34" t="s">
        <v>274</v>
      </c>
      <c r="C34">
        <v>349.07</v>
      </c>
      <c r="J34" s="35"/>
      <c r="K34" s="35"/>
      <c r="L34" s="35"/>
      <c r="M34" s="35"/>
      <c r="N34" s="35"/>
      <c r="O34" s="35"/>
      <c r="P34" s="35"/>
      <c r="Q34" s="35"/>
    </row>
    <row r="35" spans="1:17">
      <c r="A35" t="s">
        <v>82</v>
      </c>
      <c r="B35" t="s">
        <v>276</v>
      </c>
      <c r="C35">
        <v>0</v>
      </c>
      <c r="J35" s="35"/>
      <c r="K35" s="35"/>
      <c r="L35" s="35"/>
      <c r="M35" s="35"/>
      <c r="N35" s="35"/>
      <c r="O35" s="35"/>
      <c r="P35" s="35"/>
      <c r="Q35" s="35"/>
    </row>
    <row r="36" spans="1:17">
      <c r="A36" t="s">
        <v>197</v>
      </c>
      <c r="B36" t="s">
        <v>275</v>
      </c>
      <c r="C36">
        <v>0</v>
      </c>
      <c r="J36" s="35"/>
      <c r="K36" s="35"/>
      <c r="L36" s="35"/>
      <c r="M36" s="35"/>
      <c r="N36" s="35"/>
      <c r="O36" s="35"/>
      <c r="P36" s="35"/>
      <c r="Q36" s="35"/>
    </row>
    <row r="37" spans="1:17">
      <c r="A37" t="s">
        <v>84</v>
      </c>
      <c r="B37" t="s">
        <v>240</v>
      </c>
      <c r="C37">
        <v>0</v>
      </c>
      <c r="J37" s="35"/>
      <c r="K37" s="35"/>
      <c r="L37" s="35"/>
      <c r="M37" s="35"/>
      <c r="N37" s="35"/>
      <c r="O37" s="35"/>
      <c r="P37" s="35"/>
      <c r="Q37" s="35"/>
    </row>
    <row r="38" spans="1:17">
      <c r="A38" t="s">
        <v>86</v>
      </c>
      <c r="B38" t="s">
        <v>214</v>
      </c>
      <c r="C38">
        <v>0</v>
      </c>
      <c r="J38" s="35"/>
      <c r="K38" s="35"/>
      <c r="L38" s="35"/>
      <c r="M38" s="35"/>
      <c r="N38" s="35"/>
      <c r="O38" s="35"/>
      <c r="P38" s="35"/>
      <c r="Q38" s="35"/>
    </row>
    <row r="39" spans="1:17">
      <c r="A39" t="s">
        <v>88</v>
      </c>
      <c r="B39" t="s">
        <v>277</v>
      </c>
      <c r="C39">
        <v>0</v>
      </c>
      <c r="J39" s="35"/>
      <c r="K39" s="35"/>
      <c r="L39" s="35"/>
      <c r="M39" s="35"/>
      <c r="N39" s="35"/>
      <c r="O39" s="35"/>
      <c r="P39" s="35"/>
      <c r="Q39" s="35"/>
    </row>
    <row r="40" spans="1:17">
      <c r="A40" t="s">
        <v>90</v>
      </c>
      <c r="B40" t="s">
        <v>278</v>
      </c>
      <c r="C40">
        <v>771.61</v>
      </c>
      <c r="J40" s="36" t="s">
        <v>292</v>
      </c>
      <c r="K40" s="37" t="s">
        <v>293</v>
      </c>
      <c r="L40" s="35"/>
      <c r="M40" s="35"/>
      <c r="N40" s="35"/>
      <c r="O40" s="35"/>
      <c r="P40" s="35"/>
      <c r="Q40" s="35"/>
    </row>
    <row r="41" spans="1:17">
      <c r="A41" t="s">
        <v>92</v>
      </c>
      <c r="B41" t="s">
        <v>241</v>
      </c>
      <c r="C41">
        <v>0</v>
      </c>
      <c r="J41" s="36" t="s">
        <v>294</v>
      </c>
      <c r="K41" s="37" t="s">
        <v>295</v>
      </c>
      <c r="L41" s="35"/>
      <c r="M41" s="35"/>
      <c r="N41" s="35"/>
      <c r="O41" s="35"/>
      <c r="P41" s="35"/>
      <c r="Q41" s="35"/>
    </row>
    <row r="42" spans="1:17">
      <c r="A42" t="s">
        <v>94</v>
      </c>
      <c r="B42" t="s">
        <v>279</v>
      </c>
      <c r="C42">
        <v>0</v>
      </c>
      <c r="J42" s="34" t="s">
        <v>297</v>
      </c>
      <c r="K42" s="33" t="s">
        <v>298</v>
      </c>
      <c r="L42" s="35"/>
      <c r="M42" s="35"/>
      <c r="N42" s="35"/>
      <c r="O42" s="35"/>
      <c r="P42" s="35"/>
      <c r="Q42" s="35"/>
    </row>
    <row r="43" spans="1:17">
      <c r="A43" t="s">
        <v>96</v>
      </c>
      <c r="B43" t="s">
        <v>232</v>
      </c>
      <c r="C43">
        <v>0</v>
      </c>
      <c r="J43" s="34" t="s">
        <v>299</v>
      </c>
      <c r="K43" s="33" t="s">
        <v>300</v>
      </c>
      <c r="L43" s="35"/>
      <c r="M43" s="35"/>
      <c r="N43" s="35"/>
      <c r="O43" s="35"/>
      <c r="P43" s="35"/>
      <c r="Q43" s="35"/>
    </row>
    <row r="44" spans="1:17">
      <c r="A44" t="s">
        <v>98</v>
      </c>
      <c r="B44" t="s">
        <v>280</v>
      </c>
      <c r="C44">
        <v>697.64</v>
      </c>
      <c r="J44" s="34" t="s">
        <v>301</v>
      </c>
      <c r="K44" s="33" t="s">
        <v>302</v>
      </c>
      <c r="L44" s="35"/>
      <c r="M44" s="35"/>
      <c r="N44" s="35"/>
      <c r="O44" s="35"/>
      <c r="P44" s="35"/>
      <c r="Q44" s="35"/>
    </row>
    <row r="45" spans="1:17">
      <c r="A45" t="s">
        <v>99</v>
      </c>
      <c r="B45" t="s">
        <v>282</v>
      </c>
      <c r="C45">
        <v>284.61</v>
      </c>
      <c r="J45" s="34" t="s">
        <v>303</v>
      </c>
      <c r="K45" s="33" t="s">
        <v>304</v>
      </c>
      <c r="L45" s="35"/>
      <c r="M45" s="35"/>
      <c r="N45" s="35"/>
      <c r="O45" s="35"/>
      <c r="P45" s="35"/>
      <c r="Q45" s="35"/>
    </row>
    <row r="46" spans="1:17">
      <c r="A46" t="s">
        <v>101</v>
      </c>
      <c r="B46" t="s">
        <v>251</v>
      </c>
      <c r="C46">
        <v>0</v>
      </c>
      <c r="J46" s="34" t="s">
        <v>305</v>
      </c>
      <c r="K46" s="33" t="s">
        <v>306</v>
      </c>
      <c r="L46" s="35"/>
      <c r="M46" s="35"/>
      <c r="N46" s="35"/>
      <c r="O46" s="35"/>
      <c r="P46" s="35"/>
      <c r="Q46" s="35"/>
    </row>
    <row r="47" spans="1:17">
      <c r="A47" t="s">
        <v>103</v>
      </c>
      <c r="B47" t="s">
        <v>252</v>
      </c>
      <c r="C47">
        <v>0</v>
      </c>
      <c r="J47" s="34" t="s">
        <v>307</v>
      </c>
      <c r="K47" s="33" t="s">
        <v>308</v>
      </c>
      <c r="L47" s="35"/>
      <c r="M47" s="35"/>
      <c r="N47" s="35"/>
      <c r="O47" s="35"/>
      <c r="P47" s="35"/>
      <c r="Q47" s="35"/>
    </row>
    <row r="48" spans="1:17">
      <c r="A48" t="s">
        <v>105</v>
      </c>
      <c r="B48" t="s">
        <v>215</v>
      </c>
      <c r="C48">
        <v>0</v>
      </c>
      <c r="J48" s="34" t="s">
        <v>199</v>
      </c>
      <c r="K48" s="33" t="s">
        <v>309</v>
      </c>
      <c r="L48" s="35"/>
      <c r="M48" s="35"/>
      <c r="N48" s="35"/>
      <c r="O48" s="35"/>
      <c r="P48" s="35"/>
      <c r="Q48" s="35"/>
    </row>
    <row r="49" spans="1:17">
      <c r="A49" t="s">
        <v>107</v>
      </c>
      <c r="B49" t="s">
        <v>281</v>
      </c>
      <c r="C49">
        <v>0</v>
      </c>
      <c r="J49" s="34" t="s">
        <v>310</v>
      </c>
      <c r="K49" s="33" t="s">
        <v>311</v>
      </c>
      <c r="L49" s="35"/>
      <c r="M49" s="35"/>
      <c r="N49" s="35"/>
      <c r="O49" s="35"/>
      <c r="P49" s="35"/>
      <c r="Q49" s="35"/>
    </row>
    <row r="50" spans="1:17">
      <c r="A50">
        <v>30</v>
      </c>
      <c r="B50" t="s">
        <v>268</v>
      </c>
      <c r="C50">
        <v>0</v>
      </c>
      <c r="J50" s="34" t="s">
        <v>312</v>
      </c>
      <c r="K50" s="33" t="s">
        <v>313</v>
      </c>
      <c r="L50" s="35"/>
      <c r="M50" s="35"/>
      <c r="N50" s="35"/>
      <c r="O50" s="35"/>
      <c r="P50" s="35"/>
      <c r="Q50" s="35"/>
    </row>
    <row r="51" spans="1:17">
      <c r="A51" t="s">
        <v>111</v>
      </c>
      <c r="B51" t="s">
        <v>242</v>
      </c>
      <c r="C51">
        <v>0</v>
      </c>
      <c r="J51" s="34" t="s">
        <v>315</v>
      </c>
      <c r="K51" s="33" t="s">
        <v>316</v>
      </c>
      <c r="L51" s="35"/>
      <c r="M51" s="35"/>
      <c r="N51" s="35"/>
      <c r="O51" s="35"/>
      <c r="P51" s="35"/>
      <c r="Q51" s="35"/>
    </row>
    <row r="52" spans="1:17">
      <c r="A52" t="s">
        <v>209</v>
      </c>
      <c r="B52" t="s">
        <v>210</v>
      </c>
      <c r="C52">
        <v>0</v>
      </c>
      <c r="J52" s="34" t="s">
        <v>318</v>
      </c>
      <c r="K52" s="33" t="s">
        <v>319</v>
      </c>
      <c r="L52" s="35"/>
      <c r="M52" s="35"/>
      <c r="N52" s="35"/>
      <c r="O52" s="35"/>
      <c r="P52" s="35"/>
      <c r="Q52" s="35"/>
    </row>
    <row r="53" spans="1:17">
      <c r="A53" t="s">
        <v>113</v>
      </c>
      <c r="B53" t="s">
        <v>283</v>
      </c>
      <c r="C53">
        <v>523.01</v>
      </c>
      <c r="J53" s="34" t="s">
        <v>320</v>
      </c>
      <c r="K53" s="33" t="s">
        <v>321</v>
      </c>
      <c r="L53" s="35"/>
      <c r="M53" s="35"/>
      <c r="N53" s="35"/>
      <c r="O53" s="35"/>
      <c r="P53" s="35"/>
      <c r="Q53" s="35"/>
    </row>
    <row r="54" spans="1:17">
      <c r="A54" t="s">
        <v>115</v>
      </c>
      <c r="B54" t="s">
        <v>253</v>
      </c>
      <c r="C54">
        <v>0</v>
      </c>
      <c r="J54" s="34" t="s">
        <v>322</v>
      </c>
      <c r="K54" s="33" t="s">
        <v>323</v>
      </c>
      <c r="L54" s="35"/>
      <c r="M54" s="35"/>
      <c r="N54" s="35"/>
      <c r="O54" s="35"/>
      <c r="P54" s="35"/>
      <c r="Q54" s="35"/>
    </row>
    <row r="55" spans="1:17">
      <c r="A55" t="s">
        <v>216</v>
      </c>
      <c r="B55" t="s">
        <v>217</v>
      </c>
      <c r="C55">
        <v>0</v>
      </c>
      <c r="J55" s="34" t="s">
        <v>324</v>
      </c>
      <c r="K55" s="33" t="s">
        <v>325</v>
      </c>
      <c r="L55" s="35"/>
      <c r="M55" s="35"/>
      <c r="N55" s="35"/>
      <c r="O55" s="35"/>
      <c r="P55" s="35"/>
      <c r="Q55" s="35"/>
    </row>
    <row r="56" spans="1:17">
      <c r="A56" t="s">
        <v>117</v>
      </c>
      <c r="B56" t="s">
        <v>218</v>
      </c>
      <c r="C56">
        <v>0</v>
      </c>
      <c r="J56" s="34" t="s">
        <v>326</v>
      </c>
      <c r="K56" s="33" t="s">
        <v>327</v>
      </c>
      <c r="L56" s="35"/>
      <c r="M56" s="35"/>
      <c r="N56" s="35"/>
      <c r="O56" s="35"/>
      <c r="P56" s="35"/>
      <c r="Q56" s="35"/>
    </row>
    <row r="57" spans="1:17">
      <c r="A57" t="s">
        <v>119</v>
      </c>
      <c r="B57" t="s">
        <v>254</v>
      </c>
      <c r="C57">
        <v>0</v>
      </c>
      <c r="J57" s="35"/>
      <c r="K57" s="35"/>
      <c r="L57" s="35"/>
      <c r="M57" s="35"/>
      <c r="N57" s="35"/>
      <c r="O57" s="35"/>
      <c r="P57" s="35"/>
      <c r="Q57" s="35"/>
    </row>
    <row r="58" spans="1:17">
      <c r="A58" t="s">
        <v>121</v>
      </c>
      <c r="B58" t="s">
        <v>255</v>
      </c>
      <c r="C58">
        <v>0</v>
      </c>
      <c r="J58" s="35"/>
      <c r="K58" s="35"/>
      <c r="L58" s="35"/>
      <c r="M58" s="35"/>
      <c r="N58" s="35"/>
      <c r="O58" s="35"/>
      <c r="P58" s="35"/>
      <c r="Q58" s="35"/>
    </row>
    <row r="59" spans="1:17">
      <c r="A59" t="s">
        <v>123</v>
      </c>
      <c r="B59" t="s">
        <v>284</v>
      </c>
      <c r="C59">
        <v>0</v>
      </c>
      <c r="J59" s="35"/>
      <c r="K59" s="35"/>
      <c r="L59" s="35"/>
      <c r="M59" s="35"/>
      <c r="N59" s="35"/>
      <c r="O59" s="35"/>
      <c r="P59" s="35"/>
      <c r="Q59" s="35"/>
    </row>
    <row r="60" spans="1:17">
      <c r="A60" t="s">
        <v>125</v>
      </c>
      <c r="B60" t="s">
        <v>219</v>
      </c>
      <c r="C60">
        <v>0</v>
      </c>
      <c r="J60" s="35"/>
      <c r="K60" s="35"/>
      <c r="L60" s="35"/>
      <c r="M60" s="35"/>
      <c r="N60" s="35"/>
      <c r="O60" s="35"/>
      <c r="P60" s="35"/>
      <c r="Q60" s="35"/>
    </row>
    <row r="61" spans="1:17">
      <c r="A61" t="s">
        <v>127</v>
      </c>
      <c r="B61" t="s">
        <v>243</v>
      </c>
      <c r="C61">
        <v>955.1</v>
      </c>
      <c r="J61" s="35"/>
      <c r="K61" s="35"/>
      <c r="L61" s="35"/>
      <c r="M61" s="35"/>
      <c r="N61" s="35"/>
      <c r="O61" s="35"/>
      <c r="P61" s="35"/>
      <c r="Q61" s="35"/>
    </row>
    <row r="62" spans="1:17">
      <c r="A62" t="s">
        <v>129</v>
      </c>
      <c r="B62" t="s">
        <v>220</v>
      </c>
      <c r="C62">
        <v>0</v>
      </c>
      <c r="J62" s="35"/>
      <c r="K62" s="35"/>
      <c r="L62" s="35"/>
      <c r="M62" s="35"/>
      <c r="N62" s="35"/>
      <c r="O62" s="35"/>
      <c r="P62" s="35"/>
      <c r="Q62" s="35"/>
    </row>
    <row r="63" spans="1:17">
      <c r="A63" t="s">
        <v>131</v>
      </c>
      <c r="B63" t="s">
        <v>256</v>
      </c>
      <c r="C63">
        <v>0</v>
      </c>
      <c r="J63" s="38"/>
      <c r="K63" s="38"/>
      <c r="L63" s="38"/>
      <c r="M63" s="38"/>
      <c r="N63" s="38"/>
      <c r="O63" s="38"/>
      <c r="P63" s="38"/>
      <c r="Q63" s="38"/>
    </row>
    <row r="64" spans="1:17">
      <c r="A64" t="s">
        <v>133</v>
      </c>
      <c r="B64" t="s">
        <v>257</v>
      </c>
      <c r="C64">
        <v>0</v>
      </c>
      <c r="J64" s="39"/>
      <c r="K64" s="39"/>
      <c r="L64" s="39"/>
      <c r="M64" s="39"/>
      <c r="N64" s="39"/>
      <c r="O64" s="39"/>
      <c r="P64" s="39"/>
      <c r="Q64" s="39"/>
    </row>
    <row r="65" spans="1:17">
      <c r="A65" t="s">
        <v>135</v>
      </c>
      <c r="B65" t="s">
        <v>234</v>
      </c>
      <c r="C65">
        <v>0</v>
      </c>
      <c r="J65" s="35"/>
      <c r="K65" s="35"/>
      <c r="L65" s="35"/>
      <c r="M65" s="35"/>
      <c r="N65" s="35"/>
      <c r="O65" s="35"/>
      <c r="P65" s="35"/>
      <c r="Q65" s="35"/>
    </row>
    <row r="66" spans="1:17">
      <c r="A66" t="s">
        <v>259</v>
      </c>
      <c r="B66" t="s">
        <v>260</v>
      </c>
      <c r="C66">
        <v>0</v>
      </c>
      <c r="J66" s="35"/>
      <c r="K66" s="35"/>
      <c r="L66" s="35"/>
      <c r="M66" s="35"/>
      <c r="N66" s="35"/>
      <c r="O66" s="35"/>
      <c r="P66" s="35"/>
      <c r="Q66" s="35"/>
    </row>
    <row r="67" spans="1:17">
      <c r="A67" t="s">
        <v>139</v>
      </c>
      <c r="B67" t="s">
        <v>233</v>
      </c>
      <c r="C67">
        <v>0</v>
      </c>
      <c r="J67" s="21"/>
      <c r="K67" s="21"/>
      <c r="L67" s="21"/>
      <c r="M67" s="21"/>
      <c r="N67" s="21"/>
      <c r="O67" s="21"/>
      <c r="P67" s="21"/>
      <c r="Q67" s="21"/>
    </row>
    <row r="68" spans="1:17">
      <c r="A68" t="s">
        <v>141</v>
      </c>
      <c r="B68" t="s">
        <v>258</v>
      </c>
      <c r="C68">
        <v>831.77</v>
      </c>
      <c r="J68" s="35"/>
      <c r="K68" s="35"/>
      <c r="L68" s="35"/>
      <c r="M68" s="35"/>
      <c r="N68" s="35"/>
      <c r="O68" s="35"/>
      <c r="P68" s="35"/>
      <c r="Q68" s="35"/>
    </row>
    <row r="69" spans="1:17">
      <c r="A69" t="s">
        <v>143</v>
      </c>
      <c r="B69" t="s">
        <v>211</v>
      </c>
      <c r="C69">
        <v>0</v>
      </c>
      <c r="J69" s="35"/>
      <c r="K69" s="35"/>
      <c r="L69" s="35"/>
      <c r="M69" s="35"/>
      <c r="N69" s="35"/>
      <c r="O69" s="35"/>
      <c r="P69" s="35"/>
      <c r="Q69" s="35"/>
    </row>
    <row r="70" spans="1:17">
      <c r="A70" t="s">
        <v>145</v>
      </c>
      <c r="B70" t="s">
        <v>221</v>
      </c>
      <c r="C70">
        <v>0</v>
      </c>
      <c r="J70" s="35"/>
      <c r="K70" s="35"/>
      <c r="L70" s="35"/>
      <c r="M70" s="35"/>
      <c r="N70" s="35"/>
      <c r="O70" s="35"/>
      <c r="P70" s="35"/>
      <c r="Q70" s="35"/>
    </row>
    <row r="71" spans="1:17">
      <c r="A71">
        <v>21</v>
      </c>
      <c r="B71" t="s">
        <v>267</v>
      </c>
      <c r="C71">
        <v>163.91</v>
      </c>
      <c r="J71" s="35"/>
      <c r="K71" s="35"/>
      <c r="L71" s="35"/>
      <c r="M71" s="35"/>
      <c r="N71" s="35"/>
      <c r="O71" s="35"/>
      <c r="P71" s="35"/>
      <c r="Q71" s="35"/>
    </row>
    <row r="72" spans="1:17">
      <c r="A72" t="s">
        <v>148</v>
      </c>
      <c r="B72" t="s">
        <v>285</v>
      </c>
      <c r="C72">
        <v>0</v>
      </c>
      <c r="J72" s="35"/>
      <c r="K72" s="35"/>
      <c r="L72" s="35"/>
      <c r="M72" s="35"/>
      <c r="N72" s="35"/>
      <c r="O72" s="35"/>
      <c r="P72" s="35"/>
      <c r="Q72" s="35"/>
    </row>
    <row r="73" spans="1:17">
      <c r="A73" t="s">
        <v>261</v>
      </c>
      <c r="B73" t="s">
        <v>262</v>
      </c>
      <c r="C73">
        <v>0</v>
      </c>
      <c r="J73" s="35"/>
      <c r="K73" s="35"/>
      <c r="L73" s="35"/>
      <c r="M73" s="35"/>
      <c r="N73" s="35"/>
      <c r="O73" s="35"/>
      <c r="P73" s="35"/>
      <c r="Q73" s="35"/>
    </row>
    <row r="74" spans="1:17">
      <c r="A74" t="s">
        <v>152</v>
      </c>
      <c r="B74" t="s">
        <v>263</v>
      </c>
      <c r="C74">
        <v>0</v>
      </c>
      <c r="J74" s="35"/>
      <c r="K74" s="35"/>
      <c r="L74" s="35"/>
      <c r="M74" s="35"/>
      <c r="N74" s="35"/>
      <c r="O74" s="35"/>
      <c r="P74" s="35"/>
      <c r="Q74" s="35"/>
    </row>
    <row r="75" spans="1:17">
      <c r="A75" t="s">
        <v>182</v>
      </c>
      <c r="B75" t="s">
        <v>223</v>
      </c>
      <c r="C75">
        <v>0</v>
      </c>
      <c r="J75" s="35"/>
      <c r="K75" s="35"/>
      <c r="L75" s="35"/>
      <c r="M75" s="35"/>
      <c r="N75" s="35"/>
      <c r="O75" s="35"/>
      <c r="P75" s="35"/>
      <c r="Q75" s="35"/>
    </row>
    <row r="76" spans="1:17">
      <c r="A76" t="s">
        <v>155</v>
      </c>
      <c r="B76" t="s">
        <v>235</v>
      </c>
      <c r="C76">
        <v>355.65</v>
      </c>
      <c r="J76" s="35"/>
      <c r="K76" s="35"/>
      <c r="L76" s="35"/>
      <c r="M76" s="35"/>
      <c r="N76" s="35"/>
      <c r="O76" s="35"/>
      <c r="P76" s="35"/>
      <c r="Q76" s="35"/>
    </row>
    <row r="77" spans="1:17">
      <c r="A77" t="s">
        <v>157</v>
      </c>
      <c r="B77" t="s">
        <v>222</v>
      </c>
      <c r="C77">
        <v>0</v>
      </c>
      <c r="J77" s="35"/>
      <c r="K77" s="35"/>
      <c r="L77" s="35"/>
      <c r="M77" s="35"/>
      <c r="N77" s="35"/>
      <c r="O77" s="35"/>
      <c r="P77" s="35"/>
      <c r="Q77" s="35"/>
    </row>
    <row r="78" spans="1:17">
      <c r="A78" t="s">
        <v>159</v>
      </c>
      <c r="B78" t="s">
        <v>224</v>
      </c>
      <c r="C78">
        <v>0</v>
      </c>
      <c r="J78" s="35"/>
      <c r="K78" s="35"/>
      <c r="L78" s="35"/>
      <c r="M78" s="35"/>
      <c r="N78" s="35"/>
      <c r="O78" s="35"/>
      <c r="P78" s="35"/>
      <c r="Q78" s="35"/>
    </row>
    <row r="79" spans="1:17">
      <c r="A79" t="s">
        <v>161</v>
      </c>
      <c r="B79" t="s">
        <v>212</v>
      </c>
      <c r="C79">
        <v>0</v>
      </c>
      <c r="J79" s="35"/>
      <c r="K79" s="35"/>
      <c r="L79" s="35"/>
      <c r="M79" s="35"/>
      <c r="N79" s="35"/>
      <c r="O79" s="35"/>
      <c r="P79" s="35"/>
      <c r="Q79" s="35"/>
    </row>
    <row r="80" spans="1:17">
      <c r="A80" t="s">
        <v>163</v>
      </c>
      <c r="B80" t="s">
        <v>286</v>
      </c>
      <c r="C80">
        <v>488.83</v>
      </c>
      <c r="J80" s="21"/>
      <c r="K80" s="21"/>
      <c r="L80" s="21"/>
      <c r="M80" s="21"/>
      <c r="N80" s="21"/>
      <c r="O80" s="21"/>
      <c r="P80" s="21"/>
      <c r="Q80" s="21"/>
    </row>
    <row r="81" spans="1:17">
      <c r="A81" t="s">
        <v>165</v>
      </c>
      <c r="B81" t="s">
        <v>244</v>
      </c>
      <c r="C81">
        <v>0</v>
      </c>
      <c r="J81" s="35"/>
      <c r="K81" s="35"/>
      <c r="L81" s="35"/>
      <c r="M81" s="35"/>
      <c r="N81" s="35"/>
      <c r="O81" s="35"/>
      <c r="P81" s="35"/>
      <c r="Q81" s="35"/>
    </row>
    <row r="82" spans="1:17">
      <c r="A82" t="s">
        <v>167</v>
      </c>
      <c r="B82" t="s">
        <v>264</v>
      </c>
      <c r="C82">
        <v>0</v>
      </c>
      <c r="J82" s="35"/>
      <c r="K82" s="35"/>
      <c r="L82" s="35"/>
      <c r="M82" s="35"/>
      <c r="N82" s="35"/>
      <c r="O82" s="35"/>
      <c r="P82" s="35"/>
      <c r="Q82" s="35"/>
    </row>
    <row r="83" spans="1:17">
      <c r="A83" t="s">
        <v>169</v>
      </c>
      <c r="B83" t="s">
        <v>226</v>
      </c>
      <c r="C83">
        <v>0</v>
      </c>
      <c r="J83" s="35"/>
      <c r="K83" s="35"/>
      <c r="L83" s="35"/>
      <c r="M83" s="35"/>
      <c r="N83" s="35"/>
      <c r="O83" s="35"/>
      <c r="P83" s="35"/>
      <c r="Q83" s="35"/>
    </row>
    <row r="84" spans="1:17">
      <c r="A84" t="s">
        <v>171</v>
      </c>
      <c r="B84" t="s">
        <v>287</v>
      </c>
      <c r="C84">
        <v>0</v>
      </c>
      <c r="J84" s="35"/>
      <c r="K84" s="35"/>
      <c r="L84" s="35"/>
      <c r="M84" s="35"/>
      <c r="N84" s="35"/>
      <c r="O84" s="35"/>
      <c r="P84" s="35"/>
      <c r="Q84" s="35"/>
    </row>
    <row r="85" spans="1:17">
      <c r="A85" t="s">
        <v>173</v>
      </c>
      <c r="B85" t="s">
        <v>225</v>
      </c>
      <c r="C85">
        <v>0</v>
      </c>
      <c r="J85" s="35"/>
      <c r="K85" s="35"/>
      <c r="L85" s="35"/>
      <c r="M85" s="35"/>
      <c r="N85" s="35"/>
      <c r="O85" s="35"/>
      <c r="P85" s="35"/>
      <c r="Q85" s="35"/>
    </row>
    <row r="86" spans="1:17">
      <c r="A86" t="s">
        <v>175</v>
      </c>
      <c r="B86" t="s">
        <v>288</v>
      </c>
      <c r="C86">
        <v>0</v>
      </c>
      <c r="J86" s="35"/>
      <c r="K86" s="35"/>
      <c r="L86" s="35"/>
      <c r="M86" s="35"/>
      <c r="N86" s="35"/>
      <c r="O86" s="35"/>
      <c r="P86" s="35"/>
      <c r="Q86" s="35"/>
    </row>
    <row r="87" spans="1:17">
      <c r="J87" s="35"/>
      <c r="K87" s="35"/>
      <c r="L87" s="35"/>
      <c r="M87" s="35"/>
      <c r="N87" s="35"/>
      <c r="O87" s="35"/>
      <c r="P87" s="35"/>
      <c r="Q87" s="35"/>
    </row>
    <row r="88" spans="1:17">
      <c r="J88" s="35"/>
      <c r="K88" s="35"/>
      <c r="L88" s="35"/>
      <c r="M88" s="35"/>
      <c r="N88" s="35"/>
      <c r="O88" s="35"/>
      <c r="P88" s="35"/>
      <c r="Q88" s="35"/>
    </row>
    <row r="89" spans="1:17">
      <c r="J89" s="35"/>
      <c r="K89" s="35"/>
      <c r="L89" s="35"/>
      <c r="M89" s="35"/>
      <c r="N89" s="35"/>
      <c r="O89" s="35"/>
      <c r="P89" s="35"/>
      <c r="Q89" s="35"/>
    </row>
    <row r="90" spans="1:17">
      <c r="J90" s="35"/>
      <c r="K90" s="35"/>
      <c r="L90" s="35"/>
      <c r="M90" s="35"/>
      <c r="N90" s="35"/>
      <c r="O90" s="35"/>
      <c r="P90" s="35"/>
      <c r="Q90" s="35"/>
    </row>
  </sheetData>
  <sortState ref="A9:D307">
    <sortCondition ref="B9:B30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Z123"/>
  <sheetViews>
    <sheetView topLeftCell="Z1" workbookViewId="0">
      <selection activeCell="H21" sqref="H21"/>
    </sheetView>
  </sheetViews>
  <sheetFormatPr baseColWidth="10" defaultColWidth="11.5703125" defaultRowHeight="15"/>
  <cols>
    <col min="1" max="1" width="28.7109375" style="107" customWidth="1"/>
    <col min="2" max="2" width="39.140625" style="107" customWidth="1"/>
    <col min="3" max="3" width="8.140625" style="107" bestFit="1" customWidth="1"/>
    <col min="4" max="4" width="8.85546875" style="107" customWidth="1"/>
    <col min="5" max="5" width="31.5703125" style="107" customWidth="1"/>
    <col min="6" max="6" width="13.5703125" style="107" customWidth="1"/>
    <col min="7" max="7" width="13" style="107" bestFit="1" customWidth="1"/>
    <col min="8" max="8" width="11.7109375" style="107" customWidth="1"/>
    <col min="9" max="9" width="17.140625" style="107" customWidth="1"/>
    <col min="10" max="10" width="11.7109375" style="107" customWidth="1"/>
    <col min="11" max="12" width="13.85546875" style="80" customWidth="1"/>
    <col min="13" max="15" width="13.5703125" style="80" customWidth="1"/>
    <col min="16" max="16" width="17" style="81" customWidth="1"/>
    <col min="17" max="17" width="13.5703125" style="80" customWidth="1"/>
    <col min="18" max="18" width="13.5703125" style="82" customWidth="1"/>
    <col min="19" max="19" width="19.28515625" style="82" customWidth="1"/>
    <col min="20" max="20" width="16.85546875" style="82" customWidth="1"/>
    <col min="21" max="21" width="16.140625" style="82" customWidth="1"/>
    <col min="22" max="25" width="13.5703125" style="80" customWidth="1"/>
    <col min="26" max="26" width="16.7109375" style="81" customWidth="1"/>
    <col min="27" max="27" width="16.7109375" style="80" customWidth="1"/>
    <col min="28" max="28" width="15.42578125" style="81" customWidth="1"/>
    <col min="29" max="30" width="13.5703125" style="80" customWidth="1"/>
    <col min="31" max="31" width="15.42578125" style="81" customWidth="1"/>
    <col min="32" max="33" width="11.5703125" style="107"/>
    <col min="34" max="34" width="15.28515625" style="107" customWidth="1"/>
    <col min="35" max="16384" width="11.5703125" style="107"/>
  </cols>
  <sheetData>
    <row r="1" spans="1:52" s="74" customFormat="1">
      <c r="A1" s="69" t="s">
        <v>337</v>
      </c>
      <c r="B1" s="69"/>
      <c r="C1" s="69"/>
      <c r="D1" s="69"/>
      <c r="E1" s="70"/>
      <c r="F1" s="70"/>
      <c r="G1" s="70"/>
      <c r="H1" s="70"/>
      <c r="I1" s="70"/>
      <c r="J1" s="70"/>
      <c r="K1" s="71"/>
      <c r="L1" s="71"/>
      <c r="M1" s="71"/>
      <c r="N1" s="71"/>
      <c r="O1" s="71"/>
      <c r="P1" s="72"/>
      <c r="Q1" s="71"/>
      <c r="R1" s="71"/>
      <c r="S1" s="71"/>
      <c r="T1" s="71"/>
      <c r="U1" s="71"/>
      <c r="V1" s="71"/>
      <c r="W1" s="71"/>
      <c r="X1" s="71"/>
      <c r="Y1" s="71"/>
      <c r="Z1" s="72"/>
      <c r="AA1" s="71"/>
      <c r="AB1" s="72"/>
      <c r="AC1" s="71"/>
      <c r="AD1" s="71"/>
      <c r="AE1" s="72"/>
      <c r="AF1" s="73"/>
    </row>
    <row r="2" spans="1:52" s="74" customFormat="1">
      <c r="A2" s="75" t="s">
        <v>338</v>
      </c>
      <c r="B2" s="75"/>
      <c r="C2" s="75"/>
      <c r="D2" s="75"/>
      <c r="E2" s="76"/>
      <c r="F2" s="76"/>
      <c r="G2" s="76"/>
      <c r="H2" s="76"/>
      <c r="I2" s="76"/>
      <c r="J2" s="76"/>
      <c r="K2" s="71"/>
      <c r="L2" s="71"/>
      <c r="M2" s="71"/>
      <c r="N2" s="71"/>
      <c r="O2" s="71"/>
      <c r="P2" s="72"/>
      <c r="Q2" s="71"/>
      <c r="R2" s="71"/>
      <c r="S2" s="71"/>
      <c r="T2" s="71"/>
      <c r="U2" s="71"/>
      <c r="V2" s="71"/>
      <c r="W2" s="71"/>
      <c r="X2" s="71"/>
      <c r="Y2" s="71"/>
      <c r="Z2" s="72"/>
      <c r="AA2" s="71"/>
      <c r="AB2" s="72"/>
      <c r="AC2" s="71"/>
      <c r="AD2" s="71"/>
      <c r="AE2" s="72"/>
      <c r="AF2" s="73"/>
    </row>
    <row r="3" spans="1:52" s="74" customFormat="1">
      <c r="A3" s="77" t="s">
        <v>339</v>
      </c>
      <c r="B3" s="77"/>
      <c r="C3" s="77"/>
      <c r="D3" s="77"/>
      <c r="E3" s="78"/>
      <c r="F3" s="78"/>
      <c r="G3" s="78"/>
      <c r="H3" s="78"/>
      <c r="I3" s="78"/>
      <c r="J3" s="78"/>
      <c r="K3" s="71"/>
      <c r="L3" s="71"/>
      <c r="M3" s="71"/>
      <c r="N3" s="71"/>
      <c r="O3" s="71"/>
      <c r="P3" s="72"/>
      <c r="Q3" s="71"/>
      <c r="R3" s="71"/>
      <c r="S3" s="71"/>
      <c r="T3" s="71"/>
      <c r="U3" s="71"/>
      <c r="V3" s="71"/>
      <c r="W3" s="71"/>
      <c r="X3" s="71"/>
      <c r="Y3" s="71"/>
      <c r="Z3" s="72"/>
      <c r="AA3" s="71"/>
      <c r="AB3" s="72"/>
      <c r="AC3" s="71"/>
      <c r="AD3" s="71"/>
      <c r="AE3" s="72"/>
      <c r="AF3" s="73"/>
    </row>
    <row r="4" spans="1:52" s="79" customFormat="1">
      <c r="A4" s="79" t="s">
        <v>340</v>
      </c>
      <c r="K4" s="80"/>
      <c r="L4" s="80"/>
      <c r="M4" s="80"/>
      <c r="N4" s="80"/>
      <c r="O4" s="80"/>
      <c r="P4" s="81"/>
      <c r="Q4" s="80"/>
      <c r="R4" s="82"/>
      <c r="S4" s="82"/>
      <c r="T4" s="82"/>
      <c r="U4" s="82"/>
      <c r="V4" s="80"/>
      <c r="W4" s="80"/>
      <c r="X4" s="80"/>
      <c r="Y4" s="80"/>
      <c r="Z4" s="81"/>
      <c r="AA4" s="80"/>
      <c r="AB4" s="81"/>
      <c r="AC4" s="80"/>
      <c r="AD4" s="80"/>
      <c r="AE4" s="81"/>
    </row>
    <row r="5" spans="1:52" s="79" customFormat="1" ht="28.5" customHeight="1">
      <c r="A5" s="400" t="s">
        <v>341</v>
      </c>
      <c r="B5" s="406" t="s">
        <v>342</v>
      </c>
      <c r="C5" s="83"/>
      <c r="D5" s="406" t="s">
        <v>343</v>
      </c>
      <c r="E5" s="406" t="s">
        <v>344</v>
      </c>
      <c r="F5" s="83" t="s">
        <v>345</v>
      </c>
      <c r="G5" s="393" t="s">
        <v>346</v>
      </c>
      <c r="H5" s="393" t="s">
        <v>347</v>
      </c>
      <c r="I5" s="404" t="s">
        <v>348</v>
      </c>
      <c r="J5" s="404" t="s">
        <v>349</v>
      </c>
      <c r="K5" s="393" t="s">
        <v>350</v>
      </c>
      <c r="L5" s="404" t="s">
        <v>351</v>
      </c>
      <c r="M5" s="393" t="s">
        <v>352</v>
      </c>
      <c r="N5" s="393" t="s">
        <v>353</v>
      </c>
      <c r="O5" s="393" t="s">
        <v>354</v>
      </c>
      <c r="P5" s="393" t="s">
        <v>355</v>
      </c>
      <c r="Q5" s="393" t="s">
        <v>356</v>
      </c>
      <c r="R5" s="394" t="s">
        <v>357</v>
      </c>
      <c r="S5" s="394" t="s">
        <v>358</v>
      </c>
      <c r="T5" s="394" t="s">
        <v>359</v>
      </c>
      <c r="U5" s="394" t="s">
        <v>360</v>
      </c>
      <c r="V5" s="393" t="s">
        <v>361</v>
      </c>
      <c r="W5" s="393" t="s">
        <v>362</v>
      </c>
      <c r="X5" s="393" t="s">
        <v>363</v>
      </c>
      <c r="Y5" s="393" t="s">
        <v>364</v>
      </c>
      <c r="Z5" s="393" t="s">
        <v>365</v>
      </c>
      <c r="AA5" s="393" t="s">
        <v>366</v>
      </c>
      <c r="AB5" s="393" t="s">
        <v>367</v>
      </c>
      <c r="AC5" s="393" t="s">
        <v>368</v>
      </c>
      <c r="AD5" s="393" t="s">
        <v>369</v>
      </c>
      <c r="AE5" s="393" t="s">
        <v>370</v>
      </c>
      <c r="AF5" s="393" t="s">
        <v>371</v>
      </c>
      <c r="AG5" s="393" t="s">
        <v>372</v>
      </c>
      <c r="AH5" s="416" t="s">
        <v>373</v>
      </c>
      <c r="AI5" s="417"/>
      <c r="AJ5" s="396" t="s">
        <v>374</v>
      </c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</row>
    <row r="6" spans="1:52" s="87" customFormat="1" ht="39" customHeight="1">
      <c r="A6" s="401"/>
      <c r="B6" s="406"/>
      <c r="C6" s="83"/>
      <c r="D6" s="406"/>
      <c r="E6" s="406"/>
      <c r="F6" s="83"/>
      <c r="G6" s="393"/>
      <c r="H6" s="393"/>
      <c r="I6" s="405"/>
      <c r="J6" s="405"/>
      <c r="K6" s="393"/>
      <c r="L6" s="405"/>
      <c r="M6" s="393"/>
      <c r="N6" s="393"/>
      <c r="O6" s="393"/>
      <c r="P6" s="393"/>
      <c r="Q6" s="393"/>
      <c r="R6" s="395"/>
      <c r="S6" s="395"/>
      <c r="T6" s="395"/>
      <c r="U6" s="395"/>
      <c r="V6" s="393"/>
      <c r="W6" s="393"/>
      <c r="X6" s="393"/>
      <c r="Y6" s="393"/>
      <c r="Z6" s="393"/>
      <c r="AA6" s="393"/>
      <c r="AB6" s="393"/>
      <c r="AC6" s="393"/>
      <c r="AD6" s="393"/>
      <c r="AE6" s="393"/>
      <c r="AF6" s="393"/>
      <c r="AG6" s="393"/>
      <c r="AH6" s="85" t="s">
        <v>348</v>
      </c>
      <c r="AI6" s="85" t="s">
        <v>349</v>
      </c>
      <c r="AJ6" s="39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</row>
    <row r="7" spans="1:52" s="105" customFormat="1">
      <c r="A7" s="88" t="s">
        <v>375</v>
      </c>
      <c r="B7" s="88" t="s">
        <v>376</v>
      </c>
      <c r="C7" s="88"/>
      <c r="D7" s="88" t="s">
        <v>34</v>
      </c>
      <c r="E7" s="88" t="s">
        <v>179</v>
      </c>
      <c r="F7" s="88"/>
      <c r="G7" s="89"/>
      <c r="H7" s="89"/>
      <c r="I7" s="90">
        <v>1166.26</v>
      </c>
      <c r="J7" s="90"/>
      <c r="K7" s="91">
        <f t="shared" ref="K7:K70" si="0">+I7+J7</f>
        <v>1166.26</v>
      </c>
      <c r="L7" s="91">
        <v>1454.84</v>
      </c>
      <c r="M7" s="92"/>
      <c r="N7" s="92"/>
      <c r="O7" s="93"/>
      <c r="P7" s="94">
        <f t="shared" ref="P7:P38" si="1">SUM(K7:N7)-O7</f>
        <v>2621.1</v>
      </c>
      <c r="Q7" s="95"/>
      <c r="R7" s="96">
        <v>0</v>
      </c>
      <c r="S7" s="96"/>
      <c r="T7" s="96"/>
      <c r="U7" s="96"/>
      <c r="V7" s="97"/>
      <c r="W7" s="97"/>
      <c r="X7" s="98"/>
      <c r="Y7" s="99">
        <v>0</v>
      </c>
      <c r="Z7" s="94">
        <f t="shared" ref="Z7:Z12" si="2">+P7-SUM(Q7:Y7)</f>
        <v>2621.1</v>
      </c>
      <c r="AA7" s="100">
        <f>IF(P7&gt;4500,P7*0.1,0)</f>
        <v>0</v>
      </c>
      <c r="AB7" s="94">
        <f t="shared" ref="AB7:AB12" si="3">+Z7-AA7</f>
        <v>2621.1</v>
      </c>
      <c r="AC7" s="101">
        <f t="shared" ref="AC7:AC70" si="4">IF(P7&lt;4500,P7*0.1,0)</f>
        <v>262.11</v>
      </c>
      <c r="AD7" s="100">
        <f t="shared" ref="AD7:AD70" si="5">I7*0.02</f>
        <v>23.325199999999999</v>
      </c>
      <c r="AE7" s="102">
        <f t="shared" ref="AE7:AE70" si="6">+P7+AC7+AD7</f>
        <v>2906.5352000000003</v>
      </c>
      <c r="AF7" s="103"/>
      <c r="AG7" s="104">
        <f>+AB7-AF7</f>
        <v>2621.1</v>
      </c>
      <c r="AH7" s="103"/>
      <c r="AI7" s="103"/>
      <c r="AJ7" s="104">
        <f>+AG7-AH7-AI7</f>
        <v>2621.1</v>
      </c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</row>
    <row r="8" spans="1:52">
      <c r="A8" s="88" t="s">
        <v>377</v>
      </c>
      <c r="B8" s="88" t="s">
        <v>378</v>
      </c>
      <c r="C8" s="88" t="s">
        <v>379</v>
      </c>
      <c r="D8" s="88" t="s">
        <v>36</v>
      </c>
      <c r="E8" s="88" t="s">
        <v>380</v>
      </c>
      <c r="F8" s="88"/>
      <c r="G8" s="89"/>
      <c r="H8" s="89"/>
      <c r="I8" s="90">
        <v>1633.33</v>
      </c>
      <c r="J8" s="89"/>
      <c r="K8" s="91">
        <f t="shared" si="0"/>
        <v>1633.33</v>
      </c>
      <c r="L8" s="91">
        <v>8970.69</v>
      </c>
      <c r="M8" s="92"/>
      <c r="N8" s="92"/>
      <c r="O8" s="93"/>
      <c r="P8" s="94">
        <f t="shared" si="1"/>
        <v>10604.02</v>
      </c>
      <c r="Q8" s="95"/>
      <c r="R8" s="96">
        <v>0</v>
      </c>
      <c r="S8" s="96"/>
      <c r="T8" s="96"/>
      <c r="U8" s="96"/>
      <c r="V8" s="97"/>
      <c r="W8" s="97"/>
      <c r="X8" s="98"/>
      <c r="Y8" s="106">
        <v>0</v>
      </c>
      <c r="Z8" s="94">
        <f t="shared" si="2"/>
        <v>10604.02</v>
      </c>
      <c r="AA8" s="100">
        <f>IF(P8&gt;4500,P8*0.1,0)</f>
        <v>1060.402</v>
      </c>
      <c r="AB8" s="94">
        <f t="shared" si="3"/>
        <v>9543.6180000000004</v>
      </c>
      <c r="AC8" s="101">
        <f t="shared" si="4"/>
        <v>0</v>
      </c>
      <c r="AD8" s="100">
        <f t="shared" si="5"/>
        <v>32.666600000000003</v>
      </c>
      <c r="AE8" s="102">
        <f t="shared" si="6"/>
        <v>10636.686600000001</v>
      </c>
      <c r="AF8" s="103"/>
      <c r="AG8" s="104">
        <f>+AB8-AF8</f>
        <v>9543.6180000000004</v>
      </c>
      <c r="AH8" s="103"/>
      <c r="AI8" s="103"/>
      <c r="AJ8" s="104">
        <f>+AG8-AH8-AI8</f>
        <v>9543.6180000000004</v>
      </c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</row>
    <row r="9" spans="1:52">
      <c r="A9" s="108" t="s">
        <v>381</v>
      </c>
      <c r="B9" s="88" t="s">
        <v>382</v>
      </c>
      <c r="C9" s="88"/>
      <c r="D9" s="88" t="s">
        <v>38</v>
      </c>
      <c r="E9" s="88" t="s">
        <v>190</v>
      </c>
      <c r="F9" s="88"/>
      <c r="G9" s="89"/>
      <c r="H9" s="89"/>
      <c r="I9" s="109">
        <v>608.16</v>
      </c>
      <c r="J9" s="89"/>
      <c r="K9" s="91">
        <f t="shared" si="0"/>
        <v>608.16</v>
      </c>
      <c r="L9" s="91">
        <v>6205.93</v>
      </c>
      <c r="M9" s="92"/>
      <c r="N9" s="92"/>
      <c r="O9" s="93"/>
      <c r="P9" s="94">
        <f t="shared" si="1"/>
        <v>6814.09</v>
      </c>
      <c r="Q9" s="95"/>
      <c r="R9" s="96"/>
      <c r="S9" s="110">
        <f>P9*1%</f>
        <v>68.140900000000002</v>
      </c>
      <c r="T9" s="110">
        <f>P9*4.9%</f>
        <v>333.89041000000003</v>
      </c>
      <c r="U9" s="96"/>
      <c r="V9" s="97"/>
      <c r="W9" s="97"/>
      <c r="X9" s="98"/>
      <c r="Y9" s="99">
        <v>0</v>
      </c>
      <c r="Z9" s="94">
        <f t="shared" si="2"/>
        <v>6412.0586899999998</v>
      </c>
      <c r="AA9" s="100">
        <f>IF(P9&gt;4500,P9*0.1,0)</f>
        <v>681.40900000000011</v>
      </c>
      <c r="AB9" s="94">
        <f t="shared" si="3"/>
        <v>5730.6496900000002</v>
      </c>
      <c r="AC9" s="101">
        <f t="shared" si="4"/>
        <v>0</v>
      </c>
      <c r="AD9" s="100">
        <f t="shared" si="5"/>
        <v>12.1632</v>
      </c>
      <c r="AE9" s="102">
        <f t="shared" si="6"/>
        <v>6826.2532000000001</v>
      </c>
      <c r="AF9" s="103"/>
      <c r="AG9" s="104">
        <f>+AB9-AF9</f>
        <v>5730.6496900000002</v>
      </c>
      <c r="AH9" s="103"/>
      <c r="AI9" s="103"/>
      <c r="AJ9" s="104">
        <f>+AG9-AH9-AI9</f>
        <v>5730.6496900000002</v>
      </c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</row>
    <row r="10" spans="1:52">
      <c r="A10" s="108" t="s">
        <v>383</v>
      </c>
      <c r="B10" s="88" t="s">
        <v>384</v>
      </c>
      <c r="C10" s="88"/>
      <c r="D10" s="88" t="s">
        <v>289</v>
      </c>
      <c r="E10" s="88" t="s">
        <v>385</v>
      </c>
      <c r="F10" s="88"/>
      <c r="G10" s="89"/>
      <c r="H10" s="89"/>
      <c r="I10" s="88">
        <v>739.23</v>
      </c>
      <c r="J10" s="89"/>
      <c r="K10" s="91">
        <f t="shared" si="0"/>
        <v>739.23</v>
      </c>
      <c r="L10" s="91">
        <v>2240.0700000000002</v>
      </c>
      <c r="M10" s="92"/>
      <c r="N10" s="92"/>
      <c r="O10" s="93"/>
      <c r="P10" s="94">
        <f t="shared" si="1"/>
        <v>2979.3</v>
      </c>
      <c r="Q10" s="95"/>
      <c r="R10" s="96"/>
      <c r="S10" s="96"/>
      <c r="T10" s="96"/>
      <c r="U10" s="96"/>
      <c r="V10" s="97"/>
      <c r="W10" s="97"/>
      <c r="X10" s="98"/>
      <c r="Y10" s="99"/>
      <c r="Z10" s="94">
        <f t="shared" si="2"/>
        <v>2979.3</v>
      </c>
      <c r="AA10" s="100"/>
      <c r="AB10" s="94">
        <f t="shared" si="3"/>
        <v>2979.3</v>
      </c>
      <c r="AC10" s="101">
        <f t="shared" si="4"/>
        <v>297.93</v>
      </c>
      <c r="AD10" s="100">
        <f t="shared" si="5"/>
        <v>14.784600000000001</v>
      </c>
      <c r="AE10" s="102">
        <f t="shared" si="6"/>
        <v>3292.0146</v>
      </c>
      <c r="AF10" s="103"/>
      <c r="AG10" s="104"/>
      <c r="AH10" s="103"/>
      <c r="AI10" s="103"/>
      <c r="AJ10" s="104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</row>
    <row r="11" spans="1:52">
      <c r="A11" s="88" t="s">
        <v>375</v>
      </c>
      <c r="B11" s="88" t="s">
        <v>386</v>
      </c>
      <c r="C11" s="88"/>
      <c r="D11" s="88" t="s">
        <v>40</v>
      </c>
      <c r="E11" s="88" t="s">
        <v>179</v>
      </c>
      <c r="F11" s="88"/>
      <c r="G11" s="88"/>
      <c r="H11" s="88"/>
      <c r="I11" s="90">
        <v>1166.6600000000001</v>
      </c>
      <c r="J11" s="90"/>
      <c r="K11" s="91">
        <f t="shared" si="0"/>
        <v>1166.6600000000001</v>
      </c>
      <c r="L11" s="91">
        <v>669.68</v>
      </c>
      <c r="M11" s="91"/>
      <c r="N11" s="91"/>
      <c r="O11" s="93"/>
      <c r="P11" s="94">
        <f t="shared" si="1"/>
        <v>1836.3400000000001</v>
      </c>
      <c r="Q11" s="95"/>
      <c r="R11" s="96">
        <v>0</v>
      </c>
      <c r="S11" s="96"/>
      <c r="T11" s="96"/>
      <c r="U11" s="96"/>
      <c r="V11" s="97"/>
      <c r="W11" s="97"/>
      <c r="X11" s="98"/>
      <c r="Y11" s="99">
        <v>0</v>
      </c>
      <c r="Z11" s="94">
        <f t="shared" si="2"/>
        <v>1836.3400000000001</v>
      </c>
      <c r="AA11" s="100">
        <f t="shared" ref="AA11:AA74" si="7">IF(P11&gt;4500,P11*0.1,0)</f>
        <v>0</v>
      </c>
      <c r="AB11" s="94">
        <f t="shared" si="3"/>
        <v>1836.3400000000001</v>
      </c>
      <c r="AC11" s="101">
        <f t="shared" si="4"/>
        <v>183.63400000000001</v>
      </c>
      <c r="AD11" s="100">
        <f t="shared" si="5"/>
        <v>23.333200000000001</v>
      </c>
      <c r="AE11" s="102">
        <f t="shared" si="6"/>
        <v>2043.3072000000002</v>
      </c>
      <c r="AF11" s="103"/>
      <c r="AG11" s="104">
        <f>+AB11-AF11</f>
        <v>1836.3400000000001</v>
      </c>
      <c r="AH11" s="103"/>
      <c r="AI11" s="103"/>
      <c r="AJ11" s="104">
        <f>+AG11-AH11-AI11</f>
        <v>1836.3400000000001</v>
      </c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</row>
    <row r="12" spans="1:52">
      <c r="A12" s="88" t="s">
        <v>377</v>
      </c>
      <c r="B12" s="88" t="s">
        <v>387</v>
      </c>
      <c r="C12" s="88" t="s">
        <v>379</v>
      </c>
      <c r="D12" s="88">
        <v>16</v>
      </c>
      <c r="E12" s="88" t="s">
        <v>388</v>
      </c>
      <c r="F12" s="88"/>
      <c r="G12" s="89"/>
      <c r="H12" s="89"/>
      <c r="I12" s="90">
        <v>1633.33</v>
      </c>
      <c r="J12" s="89"/>
      <c r="K12" s="91">
        <f t="shared" si="0"/>
        <v>1633.33</v>
      </c>
      <c r="L12" s="91">
        <v>806.29</v>
      </c>
      <c r="M12" s="92"/>
      <c r="N12" s="92"/>
      <c r="O12" s="93"/>
      <c r="P12" s="94">
        <f t="shared" si="1"/>
        <v>2439.62</v>
      </c>
      <c r="Q12" s="95"/>
      <c r="R12" s="96">
        <v>0</v>
      </c>
      <c r="S12" s="96"/>
      <c r="T12" s="96"/>
      <c r="U12" s="96"/>
      <c r="V12" s="97"/>
      <c r="W12" s="97"/>
      <c r="X12" s="98"/>
      <c r="Y12" s="106">
        <v>0</v>
      </c>
      <c r="Z12" s="94">
        <f t="shared" si="2"/>
        <v>2439.62</v>
      </c>
      <c r="AA12" s="100">
        <f t="shared" si="7"/>
        <v>0</v>
      </c>
      <c r="AB12" s="94">
        <f t="shared" si="3"/>
        <v>2439.62</v>
      </c>
      <c r="AC12" s="101">
        <f t="shared" si="4"/>
        <v>243.96199999999999</v>
      </c>
      <c r="AD12" s="100">
        <f t="shared" si="5"/>
        <v>32.666600000000003</v>
      </c>
      <c r="AE12" s="102">
        <f t="shared" si="6"/>
        <v>2716.2485999999999</v>
      </c>
      <c r="AF12" s="103"/>
      <c r="AG12" s="104">
        <f>+AB12-AF12</f>
        <v>2439.62</v>
      </c>
      <c r="AH12" s="103"/>
      <c r="AI12" s="103"/>
      <c r="AJ12" s="104">
        <f>+AG12-AH12-AI12</f>
        <v>2439.62</v>
      </c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</row>
    <row r="13" spans="1:52" s="121" customFormat="1">
      <c r="A13" s="111" t="s">
        <v>389</v>
      </c>
      <c r="B13" s="111" t="s">
        <v>390</v>
      </c>
      <c r="C13" s="111" t="s">
        <v>391</v>
      </c>
      <c r="D13" s="111"/>
      <c r="E13" s="111" t="s">
        <v>392</v>
      </c>
      <c r="F13" s="112">
        <v>42052</v>
      </c>
      <c r="G13" s="111"/>
      <c r="H13" s="111"/>
      <c r="I13" s="113">
        <v>513.33000000000004</v>
      </c>
      <c r="J13" s="111">
        <v>653.33000000000004</v>
      </c>
      <c r="K13" s="114">
        <f t="shared" si="0"/>
        <v>1166.6600000000001</v>
      </c>
      <c r="L13" s="114"/>
      <c r="M13" s="114"/>
      <c r="N13" s="114"/>
      <c r="O13" s="115"/>
      <c r="P13" s="116">
        <f t="shared" si="1"/>
        <v>1166.6600000000001</v>
      </c>
      <c r="Q13" s="117"/>
      <c r="R13" s="117"/>
      <c r="S13" s="117"/>
      <c r="T13" s="117"/>
      <c r="U13" s="117"/>
      <c r="V13" s="118"/>
      <c r="W13" s="118"/>
      <c r="X13" s="111"/>
      <c r="Y13" s="119"/>
      <c r="Z13" s="116"/>
      <c r="AA13" s="120">
        <f t="shared" si="7"/>
        <v>0</v>
      </c>
      <c r="AB13" s="116"/>
      <c r="AC13" s="120">
        <f t="shared" si="4"/>
        <v>116.66600000000001</v>
      </c>
      <c r="AD13" s="120">
        <f t="shared" si="5"/>
        <v>10.2666</v>
      </c>
      <c r="AE13" s="102">
        <f t="shared" si="6"/>
        <v>1293.5925999999999</v>
      </c>
      <c r="AG13" s="122"/>
      <c r="AJ13" s="122"/>
    </row>
    <row r="14" spans="1:52">
      <c r="A14" s="88" t="s">
        <v>377</v>
      </c>
      <c r="B14" s="88" t="s">
        <v>393</v>
      </c>
      <c r="C14" s="88" t="s">
        <v>30</v>
      </c>
      <c r="D14" s="88" t="s">
        <v>44</v>
      </c>
      <c r="E14" s="88" t="s">
        <v>189</v>
      </c>
      <c r="F14" s="88"/>
      <c r="G14" s="89"/>
      <c r="H14" s="89"/>
      <c r="I14" s="88">
        <v>513.33000000000004</v>
      </c>
      <c r="J14" s="89">
        <v>653.33000000000004</v>
      </c>
      <c r="K14" s="91">
        <f t="shared" si="0"/>
        <v>1166.6600000000001</v>
      </c>
      <c r="L14" s="91">
        <f>2713.86+3277.12</f>
        <v>5990.98</v>
      </c>
      <c r="M14" s="92"/>
      <c r="N14" s="92"/>
      <c r="O14" s="93"/>
      <c r="P14" s="94">
        <f t="shared" si="1"/>
        <v>7157.6399999999994</v>
      </c>
      <c r="Q14" s="95"/>
      <c r="R14" s="96">
        <v>0</v>
      </c>
      <c r="S14" s="96"/>
      <c r="T14" s="96"/>
      <c r="U14" s="96"/>
      <c r="V14" s="97"/>
      <c r="W14" s="97"/>
      <c r="X14" s="98"/>
      <c r="Y14" s="106">
        <v>368.35</v>
      </c>
      <c r="Z14" s="94">
        <f t="shared" ref="Z14:Z77" si="8">+P14-SUM(Q14:Y14)</f>
        <v>6789.2899999999991</v>
      </c>
      <c r="AA14" s="100">
        <f t="shared" si="7"/>
        <v>715.76400000000001</v>
      </c>
      <c r="AB14" s="94">
        <f t="shared" ref="AB14:AB77" si="9">+Z14-AA14</f>
        <v>6073.5259999999989</v>
      </c>
      <c r="AC14" s="101">
        <f t="shared" si="4"/>
        <v>0</v>
      </c>
      <c r="AD14" s="100">
        <f t="shared" si="5"/>
        <v>10.2666</v>
      </c>
      <c r="AE14" s="102">
        <f t="shared" si="6"/>
        <v>7167.9065999999993</v>
      </c>
      <c r="AF14" s="103"/>
      <c r="AG14" s="104">
        <f t="shared" ref="AG14:AG33" si="10">+AB14-AF14</f>
        <v>6073.5259999999989</v>
      </c>
      <c r="AH14" s="103"/>
      <c r="AI14" s="103"/>
      <c r="AJ14" s="104">
        <f t="shared" ref="AJ14:AJ33" si="11">+AG14-AH14-AI14</f>
        <v>6073.5259999999989</v>
      </c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</row>
    <row r="15" spans="1:52">
      <c r="A15" s="108" t="s">
        <v>381</v>
      </c>
      <c r="B15" s="123" t="s">
        <v>394</v>
      </c>
      <c r="C15" s="123"/>
      <c r="D15" s="88" t="s">
        <v>191</v>
      </c>
      <c r="E15" s="88" t="s">
        <v>190</v>
      </c>
      <c r="F15" s="88"/>
      <c r="G15" s="89"/>
      <c r="H15" s="89"/>
      <c r="I15" s="109">
        <v>608.16</v>
      </c>
      <c r="J15" s="89"/>
      <c r="K15" s="91">
        <f t="shared" si="0"/>
        <v>608.16</v>
      </c>
      <c r="L15" s="91">
        <v>1021.3</v>
      </c>
      <c r="M15" s="92"/>
      <c r="N15" s="92"/>
      <c r="O15" s="93"/>
      <c r="P15" s="94">
        <f t="shared" si="1"/>
        <v>1629.46</v>
      </c>
      <c r="Q15" s="95"/>
      <c r="R15" s="110">
        <v>150</v>
      </c>
      <c r="S15" s="110">
        <f>P15*1%</f>
        <v>16.294599999999999</v>
      </c>
      <c r="T15" s="110">
        <f>P15*4.9%</f>
        <v>79.843540000000004</v>
      </c>
      <c r="U15" s="96"/>
      <c r="V15" s="97"/>
      <c r="W15" s="97"/>
      <c r="X15" s="98"/>
      <c r="Y15" s="99">
        <v>0</v>
      </c>
      <c r="Z15" s="94">
        <f t="shared" si="8"/>
        <v>1383.32186</v>
      </c>
      <c r="AA15" s="100">
        <f t="shared" si="7"/>
        <v>0</v>
      </c>
      <c r="AB15" s="94">
        <f t="shared" si="9"/>
        <v>1383.32186</v>
      </c>
      <c r="AC15" s="101">
        <f t="shared" si="4"/>
        <v>162.94600000000003</v>
      </c>
      <c r="AD15" s="100">
        <f t="shared" si="5"/>
        <v>12.1632</v>
      </c>
      <c r="AE15" s="102">
        <f t="shared" si="6"/>
        <v>1804.5691999999999</v>
      </c>
      <c r="AF15" s="103"/>
      <c r="AG15" s="104">
        <f t="shared" si="10"/>
        <v>1383.32186</v>
      </c>
      <c r="AH15" s="103"/>
      <c r="AI15" s="103"/>
      <c r="AJ15" s="104">
        <f t="shared" si="11"/>
        <v>1383.32186</v>
      </c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</row>
    <row r="16" spans="1:52">
      <c r="A16" s="88" t="s">
        <v>389</v>
      </c>
      <c r="B16" s="88" t="s">
        <v>395</v>
      </c>
      <c r="C16" s="88" t="s">
        <v>391</v>
      </c>
      <c r="D16" s="88" t="s">
        <v>14</v>
      </c>
      <c r="E16" s="88" t="s">
        <v>189</v>
      </c>
      <c r="F16" s="124">
        <v>42326</v>
      </c>
      <c r="G16" s="89"/>
      <c r="H16" s="89"/>
      <c r="I16" s="88">
        <v>513.33000000000004</v>
      </c>
      <c r="J16" s="89">
        <v>653.33000000000004</v>
      </c>
      <c r="K16" s="91">
        <f t="shared" si="0"/>
        <v>1166.6600000000001</v>
      </c>
      <c r="L16" s="91">
        <f>1500+653.33</f>
        <v>2153.33</v>
      </c>
      <c r="M16" s="92"/>
      <c r="N16" s="92"/>
      <c r="O16" s="93"/>
      <c r="P16" s="94">
        <f t="shared" si="1"/>
        <v>3319.99</v>
      </c>
      <c r="Q16" s="95"/>
      <c r="R16" s="96">
        <v>0</v>
      </c>
      <c r="S16" s="96"/>
      <c r="T16" s="96"/>
      <c r="U16" s="96"/>
      <c r="V16" s="97"/>
      <c r="W16" s="97"/>
      <c r="X16" s="98"/>
      <c r="Y16" s="99">
        <f>879.45+287.21</f>
        <v>1166.6600000000001</v>
      </c>
      <c r="Z16" s="94">
        <f t="shared" si="8"/>
        <v>2153.33</v>
      </c>
      <c r="AA16" s="100">
        <f t="shared" si="7"/>
        <v>0</v>
      </c>
      <c r="AB16" s="94">
        <f t="shared" si="9"/>
        <v>2153.33</v>
      </c>
      <c r="AC16" s="101">
        <f t="shared" si="4"/>
        <v>331.99900000000002</v>
      </c>
      <c r="AD16" s="100">
        <f t="shared" si="5"/>
        <v>10.2666</v>
      </c>
      <c r="AE16" s="102">
        <f t="shared" si="6"/>
        <v>3662.2555999999995</v>
      </c>
      <c r="AF16" s="103"/>
      <c r="AG16" s="104">
        <f t="shared" si="10"/>
        <v>2153.33</v>
      </c>
      <c r="AH16" s="103"/>
      <c r="AI16" s="103"/>
      <c r="AJ16" s="104">
        <f t="shared" si="11"/>
        <v>2153.33</v>
      </c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</row>
    <row r="17" spans="1:52">
      <c r="A17" s="88" t="s">
        <v>396</v>
      </c>
      <c r="B17" s="88" t="s">
        <v>397</v>
      </c>
      <c r="C17" s="88"/>
      <c r="D17" s="88" t="s">
        <v>48</v>
      </c>
      <c r="E17" s="88" t="s">
        <v>398</v>
      </c>
      <c r="F17" s="88"/>
      <c r="G17" s="89"/>
      <c r="H17" s="89"/>
      <c r="I17" s="88">
        <v>933.33</v>
      </c>
      <c r="J17" s="89"/>
      <c r="K17" s="91">
        <f t="shared" si="0"/>
        <v>933.33</v>
      </c>
      <c r="L17" s="91">
        <v>550</v>
      </c>
      <c r="M17" s="92"/>
      <c r="N17" s="92"/>
      <c r="O17" s="93"/>
      <c r="P17" s="94">
        <f t="shared" si="1"/>
        <v>1483.33</v>
      </c>
      <c r="Q17" s="95"/>
      <c r="R17" s="96">
        <v>0</v>
      </c>
      <c r="S17" s="96"/>
      <c r="T17" s="96"/>
      <c r="U17" s="96"/>
      <c r="V17" s="97"/>
      <c r="W17" s="97"/>
      <c r="X17" s="98"/>
      <c r="Y17" s="99">
        <v>0</v>
      </c>
      <c r="Z17" s="94">
        <f t="shared" si="8"/>
        <v>1483.33</v>
      </c>
      <c r="AA17" s="100">
        <f t="shared" si="7"/>
        <v>0</v>
      </c>
      <c r="AB17" s="94">
        <f t="shared" si="9"/>
        <v>1483.33</v>
      </c>
      <c r="AC17" s="101">
        <f t="shared" si="4"/>
        <v>148.333</v>
      </c>
      <c r="AD17" s="100">
        <f t="shared" si="5"/>
        <v>18.666600000000003</v>
      </c>
      <c r="AE17" s="102">
        <f t="shared" si="6"/>
        <v>1650.3296</v>
      </c>
      <c r="AF17" s="103"/>
      <c r="AG17" s="104">
        <f t="shared" si="10"/>
        <v>1483.33</v>
      </c>
      <c r="AH17" s="103"/>
      <c r="AI17" s="103"/>
      <c r="AJ17" s="104">
        <f t="shared" si="11"/>
        <v>1483.33</v>
      </c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</row>
    <row r="18" spans="1:52">
      <c r="A18" s="88" t="s">
        <v>377</v>
      </c>
      <c r="B18" s="88" t="s">
        <v>399</v>
      </c>
      <c r="C18" s="88" t="s">
        <v>32</v>
      </c>
      <c r="D18" s="88" t="s">
        <v>50</v>
      </c>
      <c r="E18" s="88" t="s">
        <v>189</v>
      </c>
      <c r="F18" s="88"/>
      <c r="G18" s="89"/>
      <c r="H18" s="89"/>
      <c r="I18" s="88">
        <v>513.33000000000004</v>
      </c>
      <c r="J18" s="89"/>
      <c r="K18" s="91">
        <f t="shared" si="0"/>
        <v>513.33000000000004</v>
      </c>
      <c r="L18" s="91">
        <v>2855.65</v>
      </c>
      <c r="M18" s="92"/>
      <c r="N18" s="92"/>
      <c r="O18" s="93"/>
      <c r="P18" s="94">
        <f t="shared" si="1"/>
        <v>3368.98</v>
      </c>
      <c r="Q18" s="95"/>
      <c r="R18" s="96">
        <v>500</v>
      </c>
      <c r="S18" s="96"/>
      <c r="T18" s="96"/>
      <c r="U18" s="96"/>
      <c r="V18" s="97"/>
      <c r="W18" s="97"/>
      <c r="X18" s="98"/>
      <c r="Y18" s="125">
        <v>1697.06</v>
      </c>
      <c r="Z18" s="94">
        <f t="shared" si="8"/>
        <v>1171.92</v>
      </c>
      <c r="AA18" s="100">
        <f t="shared" si="7"/>
        <v>0</v>
      </c>
      <c r="AB18" s="94">
        <f t="shared" si="9"/>
        <v>1171.92</v>
      </c>
      <c r="AC18" s="101">
        <f t="shared" si="4"/>
        <v>336.89800000000002</v>
      </c>
      <c r="AD18" s="100">
        <f t="shared" si="5"/>
        <v>10.2666</v>
      </c>
      <c r="AE18" s="102">
        <f t="shared" si="6"/>
        <v>3716.1446000000001</v>
      </c>
      <c r="AF18" s="103"/>
      <c r="AG18" s="104">
        <f t="shared" si="10"/>
        <v>1171.92</v>
      </c>
      <c r="AH18" s="103"/>
      <c r="AI18" s="103"/>
      <c r="AJ18" s="104">
        <f t="shared" si="11"/>
        <v>1171.92</v>
      </c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</row>
    <row r="19" spans="1:52">
      <c r="A19" s="88" t="s">
        <v>375</v>
      </c>
      <c r="B19" s="88" t="s">
        <v>400</v>
      </c>
      <c r="C19" s="88"/>
      <c r="D19" s="88" t="s">
        <v>180</v>
      </c>
      <c r="E19" s="88" t="s">
        <v>179</v>
      </c>
      <c r="F19" s="88"/>
      <c r="G19" s="88"/>
      <c r="H19" s="88"/>
      <c r="I19" s="90">
        <v>1166.26</v>
      </c>
      <c r="J19" s="90"/>
      <c r="K19" s="91">
        <f t="shared" si="0"/>
        <v>1166.26</v>
      </c>
      <c r="L19" s="91">
        <v>1045.71</v>
      </c>
      <c r="M19" s="91"/>
      <c r="N19" s="91"/>
      <c r="O19" s="93"/>
      <c r="P19" s="94">
        <f t="shared" si="1"/>
        <v>2211.9700000000003</v>
      </c>
      <c r="Q19" s="95"/>
      <c r="R19" s="96">
        <v>0</v>
      </c>
      <c r="S19" s="96"/>
      <c r="T19" s="96"/>
      <c r="U19" s="96"/>
      <c r="V19" s="97"/>
      <c r="W19" s="97"/>
      <c r="X19" s="98"/>
      <c r="Y19" s="99">
        <v>0</v>
      </c>
      <c r="Z19" s="94">
        <f t="shared" si="8"/>
        <v>2211.9700000000003</v>
      </c>
      <c r="AA19" s="100">
        <f t="shared" si="7"/>
        <v>0</v>
      </c>
      <c r="AB19" s="94">
        <f t="shared" si="9"/>
        <v>2211.9700000000003</v>
      </c>
      <c r="AC19" s="101">
        <f t="shared" si="4"/>
        <v>221.19700000000003</v>
      </c>
      <c r="AD19" s="100">
        <f t="shared" si="5"/>
        <v>23.325199999999999</v>
      </c>
      <c r="AE19" s="102">
        <f t="shared" si="6"/>
        <v>2456.4922000000006</v>
      </c>
      <c r="AF19" s="103"/>
      <c r="AG19" s="104">
        <f t="shared" si="10"/>
        <v>2211.9700000000003</v>
      </c>
      <c r="AH19" s="103"/>
      <c r="AI19" s="103"/>
      <c r="AJ19" s="104">
        <f t="shared" si="11"/>
        <v>2211.9700000000003</v>
      </c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</row>
    <row r="20" spans="1:52">
      <c r="A20" s="108" t="s">
        <v>381</v>
      </c>
      <c r="B20" s="88" t="s">
        <v>401</v>
      </c>
      <c r="C20" s="88"/>
      <c r="D20" s="88" t="s">
        <v>53</v>
      </c>
      <c r="E20" s="88" t="s">
        <v>181</v>
      </c>
      <c r="F20" s="88"/>
      <c r="G20" s="89"/>
      <c r="H20" s="89"/>
      <c r="I20" s="109">
        <v>511.28</v>
      </c>
      <c r="J20" s="89"/>
      <c r="K20" s="91">
        <f t="shared" si="0"/>
        <v>511.28</v>
      </c>
      <c r="L20" s="91">
        <v>1388.4</v>
      </c>
      <c r="M20" s="92"/>
      <c r="N20" s="92"/>
      <c r="O20" s="93"/>
      <c r="P20" s="94">
        <f t="shared" si="1"/>
        <v>1899.68</v>
      </c>
      <c r="Q20" s="95"/>
      <c r="R20" s="110">
        <v>0</v>
      </c>
      <c r="S20" s="110">
        <f>P20*1%</f>
        <v>18.9968</v>
      </c>
      <c r="T20" s="110">
        <f>P20*4.9%</f>
        <v>93.084320000000005</v>
      </c>
      <c r="U20" s="96"/>
      <c r="V20" s="97"/>
      <c r="W20" s="97"/>
      <c r="X20" s="98"/>
      <c r="Y20" s="99">
        <v>0</v>
      </c>
      <c r="Z20" s="94">
        <f t="shared" si="8"/>
        <v>1787.59888</v>
      </c>
      <c r="AA20" s="100">
        <f t="shared" si="7"/>
        <v>0</v>
      </c>
      <c r="AB20" s="94">
        <f t="shared" si="9"/>
        <v>1787.59888</v>
      </c>
      <c r="AC20" s="101">
        <f t="shared" si="4"/>
        <v>189.96800000000002</v>
      </c>
      <c r="AD20" s="100">
        <f t="shared" si="5"/>
        <v>10.2256</v>
      </c>
      <c r="AE20" s="102">
        <f t="shared" si="6"/>
        <v>2099.8736000000004</v>
      </c>
      <c r="AF20" s="103"/>
      <c r="AG20" s="104">
        <f t="shared" si="10"/>
        <v>1787.59888</v>
      </c>
      <c r="AH20" s="103"/>
      <c r="AI20" s="103"/>
      <c r="AJ20" s="104">
        <f t="shared" si="11"/>
        <v>1787.59888</v>
      </c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</row>
    <row r="21" spans="1:52">
      <c r="A21" s="88" t="s">
        <v>377</v>
      </c>
      <c r="B21" s="88" t="s">
        <v>402</v>
      </c>
      <c r="C21" s="88" t="s">
        <v>379</v>
      </c>
      <c r="D21" s="88">
        <v>18</v>
      </c>
      <c r="E21" s="88" t="s">
        <v>403</v>
      </c>
      <c r="F21" s="88"/>
      <c r="G21" s="89"/>
      <c r="H21" s="89"/>
      <c r="I21" s="90">
        <v>1633.33</v>
      </c>
      <c r="J21" s="89"/>
      <c r="K21" s="91">
        <f t="shared" si="0"/>
        <v>1633.33</v>
      </c>
      <c r="L21" s="91">
        <v>6279.03</v>
      </c>
      <c r="M21" s="92"/>
      <c r="N21" s="92"/>
      <c r="O21" s="93"/>
      <c r="P21" s="94">
        <f t="shared" si="1"/>
        <v>7912.36</v>
      </c>
      <c r="Q21" s="95"/>
      <c r="R21" s="110">
        <v>700</v>
      </c>
      <c r="S21" s="96"/>
      <c r="T21" s="96"/>
      <c r="U21" s="96"/>
      <c r="V21" s="97"/>
      <c r="W21" s="97"/>
      <c r="X21" s="98">
        <v>205.7</v>
      </c>
      <c r="Y21" s="106">
        <v>0</v>
      </c>
      <c r="Z21" s="94">
        <f t="shared" si="8"/>
        <v>7006.66</v>
      </c>
      <c r="AA21" s="100">
        <f t="shared" si="7"/>
        <v>791.23599999999999</v>
      </c>
      <c r="AB21" s="94">
        <f t="shared" si="9"/>
        <v>6215.424</v>
      </c>
      <c r="AC21" s="101">
        <f t="shared" si="4"/>
        <v>0</v>
      </c>
      <c r="AD21" s="100">
        <f t="shared" si="5"/>
        <v>32.666600000000003</v>
      </c>
      <c r="AE21" s="102">
        <f t="shared" si="6"/>
        <v>7945.0265999999992</v>
      </c>
      <c r="AF21" s="103"/>
      <c r="AG21" s="104">
        <f t="shared" si="10"/>
        <v>6215.424</v>
      </c>
      <c r="AH21" s="103"/>
      <c r="AI21" s="103"/>
      <c r="AJ21" s="104">
        <f t="shared" si="11"/>
        <v>6215.424</v>
      </c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</row>
    <row r="22" spans="1:52">
      <c r="A22" s="88" t="s">
        <v>381</v>
      </c>
      <c r="B22" s="88" t="s">
        <v>404</v>
      </c>
      <c r="C22" s="88"/>
      <c r="D22" s="88" t="s">
        <v>56</v>
      </c>
      <c r="E22" s="88" t="s">
        <v>405</v>
      </c>
      <c r="F22" s="88"/>
      <c r="G22" s="89"/>
      <c r="H22" s="89"/>
      <c r="I22" s="109">
        <v>1100</v>
      </c>
      <c r="J22" s="89"/>
      <c r="K22" s="91">
        <f t="shared" si="0"/>
        <v>1100</v>
      </c>
      <c r="L22" s="91"/>
      <c r="M22" s="92"/>
      <c r="N22" s="92"/>
      <c r="O22" s="93"/>
      <c r="P22" s="94">
        <f t="shared" si="1"/>
        <v>1100</v>
      </c>
      <c r="Q22" s="95"/>
      <c r="R22" s="96">
        <v>0</v>
      </c>
      <c r="S22" s="96"/>
      <c r="T22" s="96"/>
      <c r="U22" s="96"/>
      <c r="V22" s="97"/>
      <c r="W22" s="97"/>
      <c r="X22" s="98"/>
      <c r="Y22" s="99">
        <v>0</v>
      </c>
      <c r="Z22" s="94">
        <f t="shared" si="8"/>
        <v>1100</v>
      </c>
      <c r="AA22" s="100">
        <f t="shared" si="7"/>
        <v>0</v>
      </c>
      <c r="AB22" s="94">
        <f t="shared" si="9"/>
        <v>1100</v>
      </c>
      <c r="AC22" s="101">
        <f t="shared" si="4"/>
        <v>110</v>
      </c>
      <c r="AD22" s="100">
        <f t="shared" si="5"/>
        <v>22</v>
      </c>
      <c r="AE22" s="102">
        <f t="shared" si="6"/>
        <v>1232</v>
      </c>
      <c r="AF22" s="103"/>
      <c r="AG22" s="104">
        <f t="shared" si="10"/>
        <v>1100</v>
      </c>
      <c r="AH22" s="103"/>
      <c r="AI22" s="103"/>
      <c r="AJ22" s="104">
        <f t="shared" si="11"/>
        <v>1100</v>
      </c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</row>
    <row r="23" spans="1:52">
      <c r="A23" s="88" t="s">
        <v>396</v>
      </c>
      <c r="B23" s="88" t="s">
        <v>406</v>
      </c>
      <c r="C23" s="88"/>
      <c r="D23" s="88" t="s">
        <v>58</v>
      </c>
      <c r="E23" s="88" t="s">
        <v>398</v>
      </c>
      <c r="F23" s="88"/>
      <c r="G23" s="89"/>
      <c r="H23" s="89"/>
      <c r="I23" s="88">
        <v>933.33</v>
      </c>
      <c r="J23" s="89"/>
      <c r="K23" s="91">
        <f t="shared" si="0"/>
        <v>933.33</v>
      </c>
      <c r="L23" s="91">
        <v>550</v>
      </c>
      <c r="M23" s="92"/>
      <c r="N23" s="92"/>
      <c r="O23" s="93"/>
      <c r="P23" s="94">
        <f t="shared" si="1"/>
        <v>1483.33</v>
      </c>
      <c r="Q23" s="95"/>
      <c r="R23" s="96">
        <v>0</v>
      </c>
      <c r="S23" s="96"/>
      <c r="T23" s="96"/>
      <c r="U23" s="96"/>
      <c r="V23" s="97"/>
      <c r="W23" s="97"/>
      <c r="X23" s="98"/>
      <c r="Y23" s="99">
        <v>357.73</v>
      </c>
      <c r="Z23" s="94">
        <f t="shared" si="8"/>
        <v>1125.5999999999999</v>
      </c>
      <c r="AA23" s="100">
        <f t="shared" si="7"/>
        <v>0</v>
      </c>
      <c r="AB23" s="94">
        <f t="shared" si="9"/>
        <v>1125.5999999999999</v>
      </c>
      <c r="AC23" s="101">
        <f t="shared" si="4"/>
        <v>148.333</v>
      </c>
      <c r="AD23" s="100">
        <f t="shared" si="5"/>
        <v>18.666600000000003</v>
      </c>
      <c r="AE23" s="102">
        <f t="shared" si="6"/>
        <v>1650.3296</v>
      </c>
      <c r="AF23" s="103"/>
      <c r="AG23" s="104">
        <f t="shared" si="10"/>
        <v>1125.5999999999999</v>
      </c>
      <c r="AH23" s="103"/>
      <c r="AI23" s="103"/>
      <c r="AJ23" s="104">
        <f t="shared" si="11"/>
        <v>1125.5999999999999</v>
      </c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</row>
    <row r="24" spans="1:52">
      <c r="A24" s="88" t="s">
        <v>389</v>
      </c>
      <c r="B24" s="88" t="s">
        <v>407</v>
      </c>
      <c r="C24" s="88" t="s">
        <v>391</v>
      </c>
      <c r="D24" s="88" t="s">
        <v>60</v>
      </c>
      <c r="E24" s="88" t="s">
        <v>189</v>
      </c>
      <c r="F24" s="124">
        <v>42066</v>
      </c>
      <c r="G24" s="89"/>
      <c r="H24" s="89"/>
      <c r="I24" s="88">
        <v>513.33000000000004</v>
      </c>
      <c r="J24" s="89">
        <v>653.33000000000004</v>
      </c>
      <c r="K24" s="91">
        <f t="shared" si="0"/>
        <v>1166.6600000000001</v>
      </c>
      <c r="L24" s="91">
        <f>583.83+653.33</f>
        <v>1237.1600000000001</v>
      </c>
      <c r="M24" s="92"/>
      <c r="N24" s="92"/>
      <c r="O24" s="93"/>
      <c r="P24" s="94">
        <f t="shared" si="1"/>
        <v>2403.8200000000002</v>
      </c>
      <c r="Q24" s="95"/>
      <c r="R24" s="96">
        <v>0</v>
      </c>
      <c r="S24" s="96"/>
      <c r="T24" s="96"/>
      <c r="U24" s="96"/>
      <c r="V24" s="97"/>
      <c r="W24" s="97"/>
      <c r="X24" s="98"/>
      <c r="Y24" s="99">
        <f>797.62+284.29</f>
        <v>1081.9100000000001</v>
      </c>
      <c r="Z24" s="94">
        <f t="shared" si="8"/>
        <v>1321.91</v>
      </c>
      <c r="AA24" s="100">
        <f t="shared" si="7"/>
        <v>0</v>
      </c>
      <c r="AB24" s="94">
        <f t="shared" si="9"/>
        <v>1321.91</v>
      </c>
      <c r="AC24" s="101">
        <f t="shared" si="4"/>
        <v>240.38200000000003</v>
      </c>
      <c r="AD24" s="100">
        <f t="shared" si="5"/>
        <v>10.2666</v>
      </c>
      <c r="AE24" s="102">
        <f t="shared" si="6"/>
        <v>2654.4686000000002</v>
      </c>
      <c r="AF24" s="103"/>
      <c r="AG24" s="104">
        <f t="shared" si="10"/>
        <v>1321.91</v>
      </c>
      <c r="AH24" s="103"/>
      <c r="AI24" s="103"/>
      <c r="AJ24" s="104">
        <f t="shared" si="11"/>
        <v>1321.91</v>
      </c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</row>
    <row r="25" spans="1:52">
      <c r="A25" s="108" t="s">
        <v>383</v>
      </c>
      <c r="B25" s="88" t="s">
        <v>408</v>
      </c>
      <c r="C25" s="88"/>
      <c r="D25" s="88" t="s">
        <v>62</v>
      </c>
      <c r="E25" s="88" t="s">
        <v>409</v>
      </c>
      <c r="F25" s="88"/>
      <c r="G25" s="88"/>
      <c r="H25" s="88"/>
      <c r="I25" s="126">
        <v>739.23</v>
      </c>
      <c r="J25" s="88"/>
      <c r="K25" s="91">
        <f t="shared" si="0"/>
        <v>739.23</v>
      </c>
      <c r="L25" s="91">
        <v>2990.4720000000002</v>
      </c>
      <c r="M25" s="91"/>
      <c r="N25" s="91"/>
      <c r="O25" s="93"/>
      <c r="P25" s="94">
        <f t="shared" si="1"/>
        <v>3729.7020000000002</v>
      </c>
      <c r="Q25" s="95"/>
      <c r="R25" s="96">
        <v>0</v>
      </c>
      <c r="S25" s="96"/>
      <c r="T25" s="96"/>
      <c r="U25" s="96"/>
      <c r="V25" s="97"/>
      <c r="W25" s="97"/>
      <c r="X25" s="98"/>
      <c r="Y25" s="99">
        <v>0</v>
      </c>
      <c r="Z25" s="94">
        <f t="shared" si="8"/>
        <v>3729.7020000000002</v>
      </c>
      <c r="AA25" s="100">
        <f t="shared" si="7"/>
        <v>0</v>
      </c>
      <c r="AB25" s="94">
        <f t="shared" si="9"/>
        <v>3729.7020000000002</v>
      </c>
      <c r="AC25" s="101">
        <f t="shared" si="4"/>
        <v>372.97020000000003</v>
      </c>
      <c r="AD25" s="100">
        <f t="shared" si="5"/>
        <v>14.784600000000001</v>
      </c>
      <c r="AE25" s="102">
        <f t="shared" si="6"/>
        <v>4117.4567999999999</v>
      </c>
      <c r="AF25" s="103"/>
      <c r="AG25" s="104">
        <f t="shared" si="10"/>
        <v>3729.7020000000002</v>
      </c>
      <c r="AH25" s="103"/>
      <c r="AI25" s="103"/>
      <c r="AJ25" s="104">
        <f t="shared" si="11"/>
        <v>3729.7020000000002</v>
      </c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</row>
    <row r="26" spans="1:52">
      <c r="A26" s="88" t="s">
        <v>389</v>
      </c>
      <c r="B26" s="88" t="s">
        <v>410</v>
      </c>
      <c r="C26" s="88" t="s">
        <v>391</v>
      </c>
      <c r="D26" s="88" t="s">
        <v>64</v>
      </c>
      <c r="E26" s="88" t="s">
        <v>392</v>
      </c>
      <c r="F26" s="124">
        <v>42304</v>
      </c>
      <c r="G26" s="89"/>
      <c r="H26" s="89"/>
      <c r="I26" s="88">
        <v>513.33000000000004</v>
      </c>
      <c r="J26" s="89"/>
      <c r="K26" s="91">
        <f t="shared" si="0"/>
        <v>513.33000000000004</v>
      </c>
      <c r="L26" s="91">
        <v>1000</v>
      </c>
      <c r="M26" s="92"/>
      <c r="N26" s="92"/>
      <c r="O26" s="93"/>
      <c r="P26" s="94">
        <f t="shared" si="1"/>
        <v>1513.33</v>
      </c>
      <c r="Q26" s="95"/>
      <c r="R26" s="96">
        <v>0</v>
      </c>
      <c r="S26" s="96"/>
      <c r="T26" s="96"/>
      <c r="U26" s="96"/>
      <c r="V26" s="97"/>
      <c r="W26" s="97"/>
      <c r="X26" s="98"/>
      <c r="Y26" s="99">
        <v>0</v>
      </c>
      <c r="Z26" s="94">
        <f t="shared" si="8"/>
        <v>1513.33</v>
      </c>
      <c r="AA26" s="100">
        <f t="shared" si="7"/>
        <v>0</v>
      </c>
      <c r="AB26" s="94">
        <f t="shared" si="9"/>
        <v>1513.33</v>
      </c>
      <c r="AC26" s="101">
        <f t="shared" si="4"/>
        <v>151.333</v>
      </c>
      <c r="AD26" s="100">
        <f t="shared" si="5"/>
        <v>10.2666</v>
      </c>
      <c r="AE26" s="102">
        <f t="shared" si="6"/>
        <v>1674.9295999999999</v>
      </c>
      <c r="AF26" s="103"/>
      <c r="AG26" s="104">
        <f t="shared" si="10"/>
        <v>1513.33</v>
      </c>
      <c r="AH26" s="103"/>
      <c r="AI26" s="103"/>
      <c r="AJ26" s="104">
        <f t="shared" si="11"/>
        <v>1513.33</v>
      </c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</row>
    <row r="27" spans="1:52" s="105" customFormat="1">
      <c r="A27" s="88" t="s">
        <v>383</v>
      </c>
      <c r="B27" s="88" t="s">
        <v>411</v>
      </c>
      <c r="C27" s="88"/>
      <c r="D27" s="88" t="s">
        <v>66</v>
      </c>
      <c r="E27" s="88" t="s">
        <v>385</v>
      </c>
      <c r="F27" s="88"/>
      <c r="G27" s="88"/>
      <c r="H27" s="88"/>
      <c r="I27" s="90">
        <v>1100</v>
      </c>
      <c r="J27" s="88"/>
      <c r="K27" s="91">
        <f t="shared" si="0"/>
        <v>1100</v>
      </c>
      <c r="L27" s="91"/>
      <c r="M27" s="91"/>
      <c r="N27" s="91"/>
      <c r="O27" s="93"/>
      <c r="P27" s="94">
        <f t="shared" si="1"/>
        <v>1100</v>
      </c>
      <c r="Q27" s="95"/>
      <c r="R27" s="96">
        <v>0</v>
      </c>
      <c r="S27" s="96"/>
      <c r="T27" s="96"/>
      <c r="U27" s="96"/>
      <c r="V27" s="97"/>
      <c r="W27" s="97"/>
      <c r="X27" s="98"/>
      <c r="Y27" s="99">
        <v>0</v>
      </c>
      <c r="Z27" s="94">
        <f t="shared" si="8"/>
        <v>1100</v>
      </c>
      <c r="AA27" s="100">
        <f t="shared" si="7"/>
        <v>0</v>
      </c>
      <c r="AB27" s="94">
        <f t="shared" si="9"/>
        <v>1100</v>
      </c>
      <c r="AC27" s="101">
        <f t="shared" si="4"/>
        <v>110</v>
      </c>
      <c r="AD27" s="100">
        <f t="shared" si="5"/>
        <v>22</v>
      </c>
      <c r="AE27" s="102">
        <f t="shared" si="6"/>
        <v>1232</v>
      </c>
      <c r="AF27" s="103"/>
      <c r="AG27" s="104">
        <f t="shared" si="10"/>
        <v>1100</v>
      </c>
      <c r="AH27" s="103"/>
      <c r="AI27" s="103"/>
      <c r="AJ27" s="104">
        <f t="shared" si="11"/>
        <v>1100</v>
      </c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</row>
    <row r="28" spans="1:52">
      <c r="A28" s="88" t="s">
        <v>396</v>
      </c>
      <c r="B28" s="88" t="s">
        <v>412</v>
      </c>
      <c r="C28" s="88"/>
      <c r="D28" s="88" t="s">
        <v>68</v>
      </c>
      <c r="E28" s="88" t="s">
        <v>413</v>
      </c>
      <c r="F28" s="88"/>
      <c r="G28" s="88"/>
      <c r="H28" s="88"/>
      <c r="I28" s="88">
        <v>933.33</v>
      </c>
      <c r="J28" s="88"/>
      <c r="K28" s="91">
        <f t="shared" si="0"/>
        <v>933.33</v>
      </c>
      <c r="L28" s="91">
        <v>550</v>
      </c>
      <c r="M28" s="91"/>
      <c r="N28" s="91"/>
      <c r="O28" s="93"/>
      <c r="P28" s="94">
        <f t="shared" si="1"/>
        <v>1483.33</v>
      </c>
      <c r="Q28" s="95"/>
      <c r="R28" s="96">
        <v>0</v>
      </c>
      <c r="S28" s="96"/>
      <c r="T28" s="96"/>
      <c r="U28" s="96"/>
      <c r="V28" s="97"/>
      <c r="W28" s="97"/>
      <c r="X28" s="98"/>
      <c r="Y28" s="99">
        <v>0</v>
      </c>
      <c r="Z28" s="94">
        <f t="shared" si="8"/>
        <v>1483.33</v>
      </c>
      <c r="AA28" s="100">
        <f t="shared" si="7"/>
        <v>0</v>
      </c>
      <c r="AB28" s="94">
        <f t="shared" si="9"/>
        <v>1483.33</v>
      </c>
      <c r="AC28" s="101">
        <f t="shared" si="4"/>
        <v>148.333</v>
      </c>
      <c r="AD28" s="100">
        <f t="shared" si="5"/>
        <v>18.666600000000003</v>
      </c>
      <c r="AE28" s="102">
        <f t="shared" si="6"/>
        <v>1650.3296</v>
      </c>
      <c r="AF28" s="103"/>
      <c r="AG28" s="104">
        <f t="shared" si="10"/>
        <v>1483.33</v>
      </c>
      <c r="AH28" s="103"/>
      <c r="AI28" s="103"/>
      <c r="AJ28" s="104">
        <f t="shared" si="11"/>
        <v>1483.33</v>
      </c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</row>
    <row r="29" spans="1:52">
      <c r="A29" s="88" t="s">
        <v>414</v>
      </c>
      <c r="B29" s="88" t="s">
        <v>415</v>
      </c>
      <c r="C29" s="88"/>
      <c r="D29" s="88" t="s">
        <v>70</v>
      </c>
      <c r="E29" s="88" t="s">
        <v>186</v>
      </c>
      <c r="F29" s="88"/>
      <c r="G29" s="88"/>
      <c r="H29" s="88"/>
      <c r="I29" s="90">
        <v>1516.67</v>
      </c>
      <c r="J29" s="88"/>
      <c r="K29" s="91">
        <f t="shared" si="0"/>
        <v>1516.67</v>
      </c>
      <c r="L29" s="91"/>
      <c r="M29" s="91"/>
      <c r="N29" s="91"/>
      <c r="O29" s="93"/>
      <c r="P29" s="94">
        <f t="shared" si="1"/>
        <v>1516.67</v>
      </c>
      <c r="Q29" s="95"/>
      <c r="R29" s="110">
        <v>200</v>
      </c>
      <c r="S29" s="96"/>
      <c r="T29" s="96"/>
      <c r="U29" s="96"/>
      <c r="V29" s="97"/>
      <c r="W29" s="97"/>
      <c r="X29" s="98"/>
      <c r="Y29" s="106">
        <v>0</v>
      </c>
      <c r="Z29" s="94">
        <f t="shared" si="8"/>
        <v>1316.67</v>
      </c>
      <c r="AA29" s="100">
        <f t="shared" si="7"/>
        <v>0</v>
      </c>
      <c r="AB29" s="94">
        <f t="shared" si="9"/>
        <v>1316.67</v>
      </c>
      <c r="AC29" s="101">
        <f t="shared" si="4"/>
        <v>151.667</v>
      </c>
      <c r="AD29" s="100">
        <f t="shared" si="5"/>
        <v>30.333400000000001</v>
      </c>
      <c r="AE29" s="102">
        <f t="shared" si="6"/>
        <v>1698.6704</v>
      </c>
      <c r="AF29" s="103"/>
      <c r="AG29" s="104">
        <f t="shared" si="10"/>
        <v>1316.67</v>
      </c>
      <c r="AH29" s="103"/>
      <c r="AI29" s="103"/>
      <c r="AJ29" s="104">
        <f t="shared" si="11"/>
        <v>1316.67</v>
      </c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</row>
    <row r="30" spans="1:52" s="105" customFormat="1">
      <c r="A30" s="108" t="s">
        <v>381</v>
      </c>
      <c r="B30" s="88" t="s">
        <v>416</v>
      </c>
      <c r="C30" s="88"/>
      <c r="D30" s="88" t="s">
        <v>72</v>
      </c>
      <c r="E30" s="88" t="s">
        <v>190</v>
      </c>
      <c r="F30" s="88"/>
      <c r="G30" s="89"/>
      <c r="H30" s="89"/>
      <c r="I30" s="109">
        <v>608.16</v>
      </c>
      <c r="J30" s="89"/>
      <c r="K30" s="91">
        <f t="shared" si="0"/>
        <v>608.16</v>
      </c>
      <c r="L30" s="91">
        <v>4825.84</v>
      </c>
      <c r="M30" s="92"/>
      <c r="N30" s="92"/>
      <c r="O30" s="93"/>
      <c r="P30" s="94">
        <f t="shared" si="1"/>
        <v>5434</v>
      </c>
      <c r="Q30" s="95"/>
      <c r="R30" s="110">
        <v>500</v>
      </c>
      <c r="S30" s="110">
        <f>P30*1%</f>
        <v>54.34</v>
      </c>
      <c r="T30" s="110">
        <f>P30*4.9%</f>
        <v>266.26600000000002</v>
      </c>
      <c r="U30" s="96"/>
      <c r="V30" s="97"/>
      <c r="W30" s="97"/>
      <c r="X30" s="98"/>
      <c r="Y30" s="99">
        <v>0</v>
      </c>
      <c r="Z30" s="94">
        <f t="shared" si="8"/>
        <v>4613.3940000000002</v>
      </c>
      <c r="AA30" s="100">
        <f t="shared" si="7"/>
        <v>543.4</v>
      </c>
      <c r="AB30" s="94">
        <f t="shared" si="9"/>
        <v>4069.9940000000001</v>
      </c>
      <c r="AC30" s="101">
        <f t="shared" si="4"/>
        <v>0</v>
      </c>
      <c r="AD30" s="100">
        <f t="shared" si="5"/>
        <v>12.1632</v>
      </c>
      <c r="AE30" s="102">
        <f t="shared" si="6"/>
        <v>5446.1632</v>
      </c>
      <c r="AF30" s="103"/>
      <c r="AG30" s="104">
        <f t="shared" si="10"/>
        <v>4069.9940000000001</v>
      </c>
      <c r="AH30" s="103"/>
      <c r="AI30" s="103"/>
      <c r="AJ30" s="104">
        <f t="shared" si="11"/>
        <v>4069.9940000000001</v>
      </c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</row>
    <row r="31" spans="1:52" s="105" customFormat="1">
      <c r="A31" s="88" t="s">
        <v>377</v>
      </c>
      <c r="B31" s="88" t="s">
        <v>417</v>
      </c>
      <c r="C31" s="88" t="s">
        <v>30</v>
      </c>
      <c r="D31" s="88" t="s">
        <v>74</v>
      </c>
      <c r="E31" s="88" t="s">
        <v>189</v>
      </c>
      <c r="F31" s="88"/>
      <c r="G31" s="89"/>
      <c r="H31" s="89"/>
      <c r="I31" s="88">
        <v>513.33000000000004</v>
      </c>
      <c r="J31" s="89"/>
      <c r="K31" s="91">
        <f t="shared" si="0"/>
        <v>513.33000000000004</v>
      </c>
      <c r="L31" s="91">
        <v>8777.2199999999993</v>
      </c>
      <c r="M31" s="92"/>
      <c r="N31" s="92"/>
      <c r="O31" s="93"/>
      <c r="P31" s="94">
        <f t="shared" si="1"/>
        <v>9290.5499999999993</v>
      </c>
      <c r="Q31" s="95"/>
      <c r="R31" s="96">
        <v>0</v>
      </c>
      <c r="S31" s="96"/>
      <c r="T31" s="96"/>
      <c r="U31" s="96"/>
      <c r="V31" s="97"/>
      <c r="W31" s="97"/>
      <c r="X31" s="98"/>
      <c r="Y31" s="106">
        <v>530.28</v>
      </c>
      <c r="Z31" s="94">
        <f t="shared" si="8"/>
        <v>8760.2699999999986</v>
      </c>
      <c r="AA31" s="100">
        <f t="shared" si="7"/>
        <v>929.05499999999995</v>
      </c>
      <c r="AB31" s="94">
        <f t="shared" si="9"/>
        <v>7831.2149999999983</v>
      </c>
      <c r="AC31" s="101">
        <f t="shared" si="4"/>
        <v>0</v>
      </c>
      <c r="AD31" s="100">
        <f t="shared" si="5"/>
        <v>10.2666</v>
      </c>
      <c r="AE31" s="102">
        <f t="shared" si="6"/>
        <v>9300.8166000000001</v>
      </c>
      <c r="AF31" s="103"/>
      <c r="AG31" s="104">
        <f t="shared" si="10"/>
        <v>7831.2149999999983</v>
      </c>
      <c r="AH31" s="103"/>
      <c r="AI31" s="103"/>
      <c r="AJ31" s="104">
        <f t="shared" si="11"/>
        <v>7831.2149999999983</v>
      </c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</row>
    <row r="32" spans="1:52" s="105" customFormat="1">
      <c r="A32" s="108" t="s">
        <v>381</v>
      </c>
      <c r="B32" s="88" t="s">
        <v>418</v>
      </c>
      <c r="C32" s="88"/>
      <c r="D32" s="88" t="s">
        <v>76</v>
      </c>
      <c r="E32" s="88" t="s">
        <v>419</v>
      </c>
      <c r="F32" s="88"/>
      <c r="G32" s="89"/>
      <c r="H32" s="89"/>
      <c r="I32" s="109">
        <v>608.16</v>
      </c>
      <c r="J32" s="89"/>
      <c r="K32" s="91">
        <f t="shared" si="0"/>
        <v>608.16</v>
      </c>
      <c r="L32" s="91">
        <v>3017.1</v>
      </c>
      <c r="M32" s="92"/>
      <c r="N32" s="92"/>
      <c r="O32" s="93"/>
      <c r="P32" s="94">
        <f t="shared" si="1"/>
        <v>3625.2599999999998</v>
      </c>
      <c r="Q32" s="95"/>
      <c r="R32" s="110">
        <v>1000</v>
      </c>
      <c r="S32" s="110">
        <f>P32*1%</f>
        <v>36.252600000000001</v>
      </c>
      <c r="T32" s="110">
        <f>P32*4.9%</f>
        <v>177.63774000000001</v>
      </c>
      <c r="U32" s="96"/>
      <c r="V32" s="97"/>
      <c r="W32" s="97"/>
      <c r="X32" s="98"/>
      <c r="Y32" s="99">
        <v>0</v>
      </c>
      <c r="Z32" s="94">
        <f t="shared" si="8"/>
        <v>2411.3696599999998</v>
      </c>
      <c r="AA32" s="100">
        <f t="shared" si="7"/>
        <v>0</v>
      </c>
      <c r="AB32" s="94">
        <f t="shared" si="9"/>
        <v>2411.3696599999998</v>
      </c>
      <c r="AC32" s="101">
        <f t="shared" si="4"/>
        <v>362.52600000000001</v>
      </c>
      <c r="AD32" s="100">
        <f t="shared" si="5"/>
        <v>12.1632</v>
      </c>
      <c r="AE32" s="102">
        <f t="shared" si="6"/>
        <v>3999.9491999999996</v>
      </c>
      <c r="AF32" s="103"/>
      <c r="AG32" s="104">
        <f t="shared" si="10"/>
        <v>2411.3696599999998</v>
      </c>
      <c r="AH32" s="103"/>
      <c r="AI32" s="103"/>
      <c r="AJ32" s="104">
        <f t="shared" si="11"/>
        <v>2411.3696599999998</v>
      </c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</row>
    <row r="33" spans="1:52" s="105" customFormat="1">
      <c r="A33" s="88" t="s">
        <v>375</v>
      </c>
      <c r="B33" s="88" t="s">
        <v>420</v>
      </c>
      <c r="C33" s="88"/>
      <c r="D33" s="88" t="s">
        <v>78</v>
      </c>
      <c r="E33" s="88" t="s">
        <v>179</v>
      </c>
      <c r="F33" s="88"/>
      <c r="G33" s="88"/>
      <c r="H33" s="88"/>
      <c r="I33" s="90">
        <v>1166.26</v>
      </c>
      <c r="J33" s="90"/>
      <c r="K33" s="91">
        <f t="shared" si="0"/>
        <v>1166.26</v>
      </c>
      <c r="L33" s="91">
        <v>1509.29</v>
      </c>
      <c r="M33" s="91"/>
      <c r="N33" s="91"/>
      <c r="O33" s="93"/>
      <c r="P33" s="94">
        <f t="shared" si="1"/>
        <v>2675.55</v>
      </c>
      <c r="Q33" s="95"/>
      <c r="R33" s="96">
        <v>0</v>
      </c>
      <c r="S33" s="96"/>
      <c r="T33" s="96"/>
      <c r="U33" s="96"/>
      <c r="V33" s="97"/>
      <c r="W33" s="97"/>
      <c r="X33" s="98"/>
      <c r="Y33" s="99">
        <v>0</v>
      </c>
      <c r="Z33" s="94">
        <f t="shared" si="8"/>
        <v>2675.55</v>
      </c>
      <c r="AA33" s="100">
        <f t="shared" si="7"/>
        <v>0</v>
      </c>
      <c r="AB33" s="94">
        <f t="shared" si="9"/>
        <v>2675.55</v>
      </c>
      <c r="AC33" s="101">
        <f t="shared" si="4"/>
        <v>267.55500000000001</v>
      </c>
      <c r="AD33" s="100">
        <f t="shared" si="5"/>
        <v>23.325199999999999</v>
      </c>
      <c r="AE33" s="102">
        <f t="shared" si="6"/>
        <v>2966.4302000000002</v>
      </c>
      <c r="AF33" s="103"/>
      <c r="AG33" s="104">
        <f t="shared" si="10"/>
        <v>2675.55</v>
      </c>
      <c r="AH33" s="103"/>
      <c r="AI33" s="103"/>
      <c r="AJ33" s="104">
        <f t="shared" si="11"/>
        <v>2675.55</v>
      </c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</row>
    <row r="34" spans="1:52" s="121" customFormat="1">
      <c r="A34" s="111" t="s">
        <v>377</v>
      </c>
      <c r="B34" s="111" t="s">
        <v>421</v>
      </c>
      <c r="C34" s="111" t="s">
        <v>30</v>
      </c>
      <c r="D34" s="111"/>
      <c r="E34" s="111" t="s">
        <v>189</v>
      </c>
      <c r="F34" s="112">
        <v>42415</v>
      </c>
      <c r="G34" s="111"/>
      <c r="H34" s="111"/>
      <c r="I34" s="113">
        <v>513.33000000000004</v>
      </c>
      <c r="J34" s="113">
        <v>653.33000000000004</v>
      </c>
      <c r="K34" s="114">
        <f t="shared" si="0"/>
        <v>1166.6600000000001</v>
      </c>
      <c r="L34" s="114"/>
      <c r="M34" s="114"/>
      <c r="N34" s="114"/>
      <c r="O34" s="115"/>
      <c r="P34" s="116">
        <f t="shared" si="1"/>
        <v>1166.6600000000001</v>
      </c>
      <c r="Q34" s="117"/>
      <c r="R34" s="117"/>
      <c r="S34" s="117"/>
      <c r="T34" s="117"/>
      <c r="U34" s="117"/>
      <c r="V34" s="118"/>
      <c r="W34" s="118"/>
      <c r="X34" s="111"/>
      <c r="Y34" s="127"/>
      <c r="Z34" s="116">
        <f t="shared" si="8"/>
        <v>1166.6600000000001</v>
      </c>
      <c r="AA34" s="120">
        <f t="shared" si="7"/>
        <v>0</v>
      </c>
      <c r="AB34" s="116">
        <f t="shared" si="9"/>
        <v>1166.6600000000001</v>
      </c>
      <c r="AC34" s="120">
        <f t="shared" si="4"/>
        <v>116.66600000000001</v>
      </c>
      <c r="AD34" s="120">
        <f t="shared" si="5"/>
        <v>10.2666</v>
      </c>
      <c r="AE34" s="102">
        <f t="shared" si="6"/>
        <v>1293.5925999999999</v>
      </c>
      <c r="AG34" s="122"/>
      <c r="AJ34" s="122"/>
    </row>
    <row r="35" spans="1:52">
      <c r="A35" s="88" t="s">
        <v>377</v>
      </c>
      <c r="B35" s="88" t="s">
        <v>422</v>
      </c>
      <c r="C35" s="88" t="s">
        <v>30</v>
      </c>
      <c r="D35" s="88" t="s">
        <v>273</v>
      </c>
      <c r="E35" s="88" t="s">
        <v>189</v>
      </c>
      <c r="F35" s="88"/>
      <c r="G35" s="89"/>
      <c r="H35" s="89"/>
      <c r="I35" s="88">
        <v>513.33000000000004</v>
      </c>
      <c r="J35" s="89"/>
      <c r="K35" s="91">
        <f t="shared" si="0"/>
        <v>513.33000000000004</v>
      </c>
      <c r="L35" s="91">
        <v>8461.1</v>
      </c>
      <c r="M35" s="92"/>
      <c r="N35" s="92"/>
      <c r="O35" s="93"/>
      <c r="P35" s="94">
        <f t="shared" si="1"/>
        <v>8974.43</v>
      </c>
      <c r="Q35" s="95"/>
      <c r="R35" s="96">
        <v>0</v>
      </c>
      <c r="S35" s="96"/>
      <c r="T35" s="96"/>
      <c r="U35" s="96"/>
      <c r="V35" s="97"/>
      <c r="W35" s="97"/>
      <c r="X35" s="98"/>
      <c r="Y35" s="106">
        <v>349.07</v>
      </c>
      <c r="Z35" s="94">
        <f t="shared" si="8"/>
        <v>8625.36</v>
      </c>
      <c r="AA35" s="100">
        <f t="shared" si="7"/>
        <v>897.4430000000001</v>
      </c>
      <c r="AB35" s="94">
        <f t="shared" si="9"/>
        <v>7727.9170000000004</v>
      </c>
      <c r="AC35" s="101">
        <f t="shared" si="4"/>
        <v>0</v>
      </c>
      <c r="AD35" s="100">
        <f t="shared" si="5"/>
        <v>10.2666</v>
      </c>
      <c r="AE35" s="102">
        <f t="shared" si="6"/>
        <v>8984.6966000000011</v>
      </c>
      <c r="AF35" s="103"/>
      <c r="AG35" s="104">
        <f t="shared" ref="AG35:AG44" si="12">+AB35-AF35</f>
        <v>7727.9170000000004</v>
      </c>
      <c r="AH35" s="103"/>
      <c r="AI35" s="103"/>
      <c r="AJ35" s="104">
        <f t="shared" ref="AJ35:AJ44" si="13">+AG35-AH35-AI35</f>
        <v>7727.9170000000004</v>
      </c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</row>
    <row r="36" spans="1:52">
      <c r="A36" s="88" t="s">
        <v>377</v>
      </c>
      <c r="B36" s="88" t="s">
        <v>423</v>
      </c>
      <c r="C36" s="88" t="s">
        <v>30</v>
      </c>
      <c r="D36" s="88" t="s">
        <v>82</v>
      </c>
      <c r="E36" s="88" t="s">
        <v>189</v>
      </c>
      <c r="F36" s="88"/>
      <c r="G36" s="89"/>
      <c r="H36" s="89"/>
      <c r="I36" s="88">
        <v>513.33000000000004</v>
      </c>
      <c r="J36" s="89"/>
      <c r="K36" s="91">
        <f t="shared" si="0"/>
        <v>513.33000000000004</v>
      </c>
      <c r="L36" s="91">
        <v>11221.46</v>
      </c>
      <c r="M36" s="92"/>
      <c r="N36" s="92"/>
      <c r="O36" s="93"/>
      <c r="P36" s="94">
        <f t="shared" si="1"/>
        <v>11734.789999999999</v>
      </c>
      <c r="Q36" s="95"/>
      <c r="R36" s="96">
        <v>0</v>
      </c>
      <c r="S36" s="96"/>
      <c r="T36" s="96"/>
      <c r="U36" s="96"/>
      <c r="V36" s="97"/>
      <c r="W36" s="97"/>
      <c r="X36" s="98"/>
      <c r="Y36" s="106">
        <v>0</v>
      </c>
      <c r="Z36" s="94">
        <f t="shared" si="8"/>
        <v>11734.789999999999</v>
      </c>
      <c r="AA36" s="100">
        <f t="shared" si="7"/>
        <v>1173.479</v>
      </c>
      <c r="AB36" s="94">
        <f t="shared" si="9"/>
        <v>10561.311</v>
      </c>
      <c r="AC36" s="101">
        <f t="shared" si="4"/>
        <v>0</v>
      </c>
      <c r="AD36" s="100">
        <f t="shared" si="5"/>
        <v>10.2666</v>
      </c>
      <c r="AE36" s="102">
        <f t="shared" si="6"/>
        <v>11745.0566</v>
      </c>
      <c r="AF36" s="103"/>
      <c r="AG36" s="104">
        <f t="shared" si="12"/>
        <v>10561.311</v>
      </c>
      <c r="AH36" s="103"/>
      <c r="AI36" s="103"/>
      <c r="AJ36" s="104">
        <f t="shared" si="13"/>
        <v>10561.311</v>
      </c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</row>
    <row r="37" spans="1:52">
      <c r="A37" s="88" t="s">
        <v>377</v>
      </c>
      <c r="B37" s="88" t="s">
        <v>424</v>
      </c>
      <c r="C37" s="88" t="s">
        <v>31</v>
      </c>
      <c r="D37" s="88" t="s">
        <v>84</v>
      </c>
      <c r="E37" s="88" t="s">
        <v>189</v>
      </c>
      <c r="F37" s="88"/>
      <c r="G37" s="89"/>
      <c r="H37" s="89"/>
      <c r="I37" s="88">
        <v>513.33000000000004</v>
      </c>
      <c r="J37" s="89"/>
      <c r="K37" s="91">
        <f t="shared" si="0"/>
        <v>513.33000000000004</v>
      </c>
      <c r="L37" s="91">
        <v>4867.3599999999997</v>
      </c>
      <c r="M37" s="92"/>
      <c r="N37" s="92"/>
      <c r="O37" s="93"/>
      <c r="P37" s="94">
        <f t="shared" si="1"/>
        <v>5380.69</v>
      </c>
      <c r="Q37" s="95"/>
      <c r="R37" s="96">
        <v>0</v>
      </c>
      <c r="S37" s="96"/>
      <c r="T37" s="96"/>
      <c r="U37" s="96"/>
      <c r="V37" s="97"/>
      <c r="W37" s="97"/>
      <c r="X37" s="98"/>
      <c r="Y37" s="106">
        <v>0</v>
      </c>
      <c r="Z37" s="94">
        <f t="shared" si="8"/>
        <v>5380.69</v>
      </c>
      <c r="AA37" s="100">
        <f t="shared" si="7"/>
        <v>538.06899999999996</v>
      </c>
      <c r="AB37" s="94">
        <f t="shared" si="9"/>
        <v>4842.6209999999992</v>
      </c>
      <c r="AC37" s="101">
        <f t="shared" si="4"/>
        <v>0</v>
      </c>
      <c r="AD37" s="100">
        <f t="shared" si="5"/>
        <v>10.2666</v>
      </c>
      <c r="AE37" s="102">
        <f t="shared" si="6"/>
        <v>5390.9565999999995</v>
      </c>
      <c r="AF37" s="103"/>
      <c r="AG37" s="104">
        <f t="shared" si="12"/>
        <v>4842.6209999999992</v>
      </c>
      <c r="AH37" s="103"/>
      <c r="AI37" s="103"/>
      <c r="AJ37" s="104">
        <f t="shared" si="13"/>
        <v>4842.6209999999992</v>
      </c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</row>
    <row r="38" spans="1:52">
      <c r="A38" s="108" t="s">
        <v>383</v>
      </c>
      <c r="B38" s="88" t="s">
        <v>425</v>
      </c>
      <c r="C38" s="88"/>
      <c r="D38" s="88" t="s">
        <v>86</v>
      </c>
      <c r="E38" s="88" t="s">
        <v>181</v>
      </c>
      <c r="F38" s="88"/>
      <c r="G38" s="88"/>
      <c r="H38" s="88"/>
      <c r="I38" s="88">
        <v>739.23</v>
      </c>
      <c r="J38" s="88"/>
      <c r="K38" s="91">
        <f t="shared" si="0"/>
        <v>739.23</v>
      </c>
      <c r="L38" s="91">
        <v>2095.4160000000002</v>
      </c>
      <c r="M38" s="91"/>
      <c r="N38" s="91"/>
      <c r="O38" s="93"/>
      <c r="P38" s="94">
        <f t="shared" si="1"/>
        <v>2834.6460000000002</v>
      </c>
      <c r="Q38" s="95"/>
      <c r="R38" s="96">
        <v>0</v>
      </c>
      <c r="S38" s="96"/>
      <c r="T38" s="96"/>
      <c r="U38" s="96"/>
      <c r="V38" s="97"/>
      <c r="W38" s="97"/>
      <c r="X38" s="98"/>
      <c r="Y38" s="99">
        <v>0</v>
      </c>
      <c r="Z38" s="94">
        <f t="shared" si="8"/>
        <v>2834.6460000000002</v>
      </c>
      <c r="AA38" s="100">
        <f t="shared" si="7"/>
        <v>0</v>
      </c>
      <c r="AB38" s="94">
        <f t="shared" si="9"/>
        <v>2834.6460000000002</v>
      </c>
      <c r="AC38" s="101">
        <f t="shared" si="4"/>
        <v>283.46460000000002</v>
      </c>
      <c r="AD38" s="100">
        <f t="shared" si="5"/>
        <v>14.784600000000001</v>
      </c>
      <c r="AE38" s="102">
        <f t="shared" si="6"/>
        <v>3132.8951999999999</v>
      </c>
      <c r="AF38" s="103"/>
      <c r="AG38" s="104">
        <f t="shared" si="12"/>
        <v>2834.6460000000002</v>
      </c>
      <c r="AH38" s="103"/>
      <c r="AI38" s="103"/>
      <c r="AJ38" s="104">
        <f t="shared" si="13"/>
        <v>2834.6460000000002</v>
      </c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</row>
    <row r="39" spans="1:52">
      <c r="A39" s="88" t="s">
        <v>377</v>
      </c>
      <c r="B39" s="88" t="s">
        <v>426</v>
      </c>
      <c r="C39" s="88" t="s">
        <v>32</v>
      </c>
      <c r="D39" s="88" t="s">
        <v>88</v>
      </c>
      <c r="E39" s="88" t="s">
        <v>189</v>
      </c>
      <c r="F39" s="88"/>
      <c r="G39" s="89"/>
      <c r="H39" s="89"/>
      <c r="I39" s="88">
        <v>513.33000000000004</v>
      </c>
      <c r="J39" s="89"/>
      <c r="K39" s="91">
        <f t="shared" si="0"/>
        <v>513.33000000000004</v>
      </c>
      <c r="L39" s="91">
        <v>5764.25</v>
      </c>
      <c r="M39" s="92"/>
      <c r="N39" s="92"/>
      <c r="O39" s="93"/>
      <c r="P39" s="94">
        <f t="shared" ref="P39:P69" si="14">SUM(K39:N39)-O39</f>
        <v>6277.58</v>
      </c>
      <c r="Q39" s="95"/>
      <c r="R39" s="96">
        <v>0</v>
      </c>
      <c r="S39" s="96"/>
      <c r="T39" s="96"/>
      <c r="U39" s="96"/>
      <c r="V39" s="97"/>
      <c r="W39" s="97"/>
      <c r="X39" s="98"/>
      <c r="Y39" s="106">
        <v>0</v>
      </c>
      <c r="Z39" s="94">
        <f t="shared" si="8"/>
        <v>6277.58</v>
      </c>
      <c r="AA39" s="100">
        <f t="shared" si="7"/>
        <v>627.75800000000004</v>
      </c>
      <c r="AB39" s="94">
        <f t="shared" si="9"/>
        <v>5649.8220000000001</v>
      </c>
      <c r="AC39" s="101">
        <f t="shared" si="4"/>
        <v>0</v>
      </c>
      <c r="AD39" s="100">
        <f t="shared" si="5"/>
        <v>10.2666</v>
      </c>
      <c r="AE39" s="102">
        <f t="shared" si="6"/>
        <v>6287.8465999999999</v>
      </c>
      <c r="AF39" s="103"/>
      <c r="AG39" s="104">
        <f t="shared" si="12"/>
        <v>5649.8220000000001</v>
      </c>
      <c r="AH39" s="103"/>
      <c r="AI39" s="103"/>
      <c r="AJ39" s="104">
        <f t="shared" si="13"/>
        <v>5649.8220000000001</v>
      </c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</row>
    <row r="40" spans="1:52">
      <c r="A40" s="88" t="s">
        <v>377</v>
      </c>
      <c r="B40" s="88" t="s">
        <v>427</v>
      </c>
      <c r="C40" s="88" t="s">
        <v>31</v>
      </c>
      <c r="D40" s="88" t="s">
        <v>90</v>
      </c>
      <c r="E40" s="88" t="s">
        <v>189</v>
      </c>
      <c r="F40" s="88"/>
      <c r="G40" s="89"/>
      <c r="H40" s="89"/>
      <c r="I40" s="88">
        <v>513.33000000000004</v>
      </c>
      <c r="J40" s="89"/>
      <c r="K40" s="91">
        <f t="shared" si="0"/>
        <v>513.33000000000004</v>
      </c>
      <c r="L40" s="91"/>
      <c r="M40" s="92"/>
      <c r="N40" s="92"/>
      <c r="O40" s="93"/>
      <c r="P40" s="94">
        <f t="shared" si="14"/>
        <v>513.33000000000004</v>
      </c>
      <c r="Q40" s="95"/>
      <c r="R40" s="96">
        <v>0</v>
      </c>
      <c r="S40" s="96"/>
      <c r="T40" s="96"/>
      <c r="U40" s="96"/>
      <c r="V40" s="97"/>
      <c r="W40" s="97"/>
      <c r="X40" s="98"/>
      <c r="Y40" s="106">
        <v>771.61</v>
      </c>
      <c r="Z40" s="94">
        <f t="shared" si="8"/>
        <v>-258.27999999999997</v>
      </c>
      <c r="AA40" s="100">
        <f t="shared" si="7"/>
        <v>0</v>
      </c>
      <c r="AB40" s="94">
        <f t="shared" si="9"/>
        <v>-258.27999999999997</v>
      </c>
      <c r="AC40" s="101">
        <f t="shared" si="4"/>
        <v>51.333000000000006</v>
      </c>
      <c r="AD40" s="100">
        <f t="shared" si="5"/>
        <v>10.2666</v>
      </c>
      <c r="AE40" s="102">
        <f t="shared" si="6"/>
        <v>574.92960000000005</v>
      </c>
      <c r="AF40" s="103"/>
      <c r="AG40" s="104">
        <f t="shared" si="12"/>
        <v>-258.27999999999997</v>
      </c>
      <c r="AH40" s="103"/>
      <c r="AI40" s="103"/>
      <c r="AJ40" s="104">
        <f t="shared" si="13"/>
        <v>-258.27999999999997</v>
      </c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</row>
    <row r="41" spans="1:52">
      <c r="A41" s="88" t="s">
        <v>389</v>
      </c>
      <c r="B41" s="88" t="s">
        <v>428</v>
      </c>
      <c r="C41" s="88" t="s">
        <v>391</v>
      </c>
      <c r="D41" s="88" t="s">
        <v>92</v>
      </c>
      <c r="E41" s="88" t="s">
        <v>392</v>
      </c>
      <c r="F41" s="88"/>
      <c r="G41" s="89"/>
      <c r="H41" s="89"/>
      <c r="I41" s="88">
        <v>513.33000000000004</v>
      </c>
      <c r="J41" s="89"/>
      <c r="K41" s="91">
        <f t="shared" si="0"/>
        <v>513.33000000000004</v>
      </c>
      <c r="L41" s="91">
        <v>2500</v>
      </c>
      <c r="M41" s="92"/>
      <c r="N41" s="92"/>
      <c r="O41" s="93"/>
      <c r="P41" s="94">
        <f t="shared" si="14"/>
        <v>3013.33</v>
      </c>
      <c r="Q41" s="95"/>
      <c r="R41" s="96">
        <v>0</v>
      </c>
      <c r="S41" s="96"/>
      <c r="T41" s="96"/>
      <c r="U41" s="96"/>
      <c r="V41" s="97"/>
      <c r="W41" s="97"/>
      <c r="X41" s="98"/>
      <c r="Y41" s="99">
        <v>0</v>
      </c>
      <c r="Z41" s="94">
        <f t="shared" si="8"/>
        <v>3013.33</v>
      </c>
      <c r="AA41" s="100">
        <f t="shared" si="7"/>
        <v>0</v>
      </c>
      <c r="AB41" s="94">
        <f t="shared" si="9"/>
        <v>3013.33</v>
      </c>
      <c r="AC41" s="101">
        <f t="shared" si="4"/>
        <v>301.33300000000003</v>
      </c>
      <c r="AD41" s="100">
        <f t="shared" si="5"/>
        <v>10.2666</v>
      </c>
      <c r="AE41" s="102">
        <f t="shared" si="6"/>
        <v>3324.9295999999999</v>
      </c>
      <c r="AF41" s="103"/>
      <c r="AG41" s="104">
        <f t="shared" si="12"/>
        <v>3013.33</v>
      </c>
      <c r="AH41" s="103"/>
      <c r="AI41" s="103"/>
      <c r="AJ41" s="104">
        <f t="shared" si="13"/>
        <v>3013.33</v>
      </c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</row>
    <row r="42" spans="1:52">
      <c r="A42" s="88" t="s">
        <v>377</v>
      </c>
      <c r="B42" s="88" t="s">
        <v>429</v>
      </c>
      <c r="C42" s="88" t="s">
        <v>31</v>
      </c>
      <c r="D42" s="88" t="s">
        <v>94</v>
      </c>
      <c r="E42" s="88" t="s">
        <v>189</v>
      </c>
      <c r="F42" s="88"/>
      <c r="G42" s="89"/>
      <c r="H42" s="89"/>
      <c r="I42" s="88">
        <v>513.33000000000004</v>
      </c>
      <c r="J42" s="89"/>
      <c r="K42" s="91">
        <f t="shared" si="0"/>
        <v>513.33000000000004</v>
      </c>
      <c r="L42" s="91"/>
      <c r="M42" s="92"/>
      <c r="N42" s="92"/>
      <c r="O42" s="93"/>
      <c r="P42" s="94">
        <f t="shared" si="14"/>
        <v>513.33000000000004</v>
      </c>
      <c r="Q42" s="95"/>
      <c r="R42" s="96">
        <v>0</v>
      </c>
      <c r="S42" s="96"/>
      <c r="T42" s="96"/>
      <c r="U42" s="96"/>
      <c r="V42" s="97"/>
      <c r="W42" s="97"/>
      <c r="X42" s="98"/>
      <c r="Y42" s="106">
        <v>0</v>
      </c>
      <c r="Z42" s="94">
        <f t="shared" si="8"/>
        <v>513.33000000000004</v>
      </c>
      <c r="AA42" s="100">
        <f t="shared" si="7"/>
        <v>0</v>
      </c>
      <c r="AB42" s="94">
        <f t="shared" si="9"/>
        <v>513.33000000000004</v>
      </c>
      <c r="AC42" s="101">
        <f t="shared" si="4"/>
        <v>51.333000000000006</v>
      </c>
      <c r="AD42" s="100">
        <f t="shared" si="5"/>
        <v>10.2666</v>
      </c>
      <c r="AE42" s="102">
        <f t="shared" si="6"/>
        <v>574.92960000000005</v>
      </c>
      <c r="AF42" s="103"/>
      <c r="AG42" s="104">
        <f t="shared" si="12"/>
        <v>513.33000000000004</v>
      </c>
      <c r="AH42" s="103"/>
      <c r="AI42" s="103"/>
      <c r="AJ42" s="104">
        <f t="shared" si="13"/>
        <v>513.33000000000004</v>
      </c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</row>
    <row r="43" spans="1:52">
      <c r="A43" s="88" t="s">
        <v>375</v>
      </c>
      <c r="B43" s="88" t="s">
        <v>430</v>
      </c>
      <c r="C43" s="88"/>
      <c r="D43" s="88" t="s">
        <v>96</v>
      </c>
      <c r="E43" s="88" t="s">
        <v>187</v>
      </c>
      <c r="F43" s="88"/>
      <c r="G43" s="88"/>
      <c r="H43" s="88"/>
      <c r="I43" s="90">
        <v>1633.33</v>
      </c>
      <c r="J43" s="88"/>
      <c r="K43" s="91">
        <f t="shared" si="0"/>
        <v>1633.33</v>
      </c>
      <c r="L43" s="91"/>
      <c r="M43" s="91"/>
      <c r="N43" s="91"/>
      <c r="O43" s="93"/>
      <c r="P43" s="94">
        <f t="shared" si="14"/>
        <v>1633.33</v>
      </c>
      <c r="Q43" s="95"/>
      <c r="R43" s="96">
        <v>0</v>
      </c>
      <c r="S43" s="96"/>
      <c r="T43" s="96"/>
      <c r="U43" s="96"/>
      <c r="V43" s="97"/>
      <c r="W43" s="97"/>
      <c r="X43" s="98"/>
      <c r="Y43" s="99">
        <v>0</v>
      </c>
      <c r="Z43" s="94">
        <f t="shared" si="8"/>
        <v>1633.33</v>
      </c>
      <c r="AA43" s="100">
        <f t="shared" si="7"/>
        <v>0</v>
      </c>
      <c r="AB43" s="94">
        <f t="shared" si="9"/>
        <v>1633.33</v>
      </c>
      <c r="AC43" s="101">
        <f t="shared" si="4"/>
        <v>163.333</v>
      </c>
      <c r="AD43" s="100">
        <f t="shared" si="5"/>
        <v>32.666600000000003</v>
      </c>
      <c r="AE43" s="102">
        <f t="shared" si="6"/>
        <v>1829.3296</v>
      </c>
      <c r="AF43" s="103"/>
      <c r="AG43" s="104">
        <f t="shared" si="12"/>
        <v>1633.33</v>
      </c>
      <c r="AH43" s="103"/>
      <c r="AI43" s="103"/>
      <c r="AJ43" s="104">
        <f t="shared" si="13"/>
        <v>1633.33</v>
      </c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</row>
    <row r="44" spans="1:52">
      <c r="A44" s="88" t="s">
        <v>377</v>
      </c>
      <c r="B44" s="88" t="s">
        <v>33</v>
      </c>
      <c r="C44" s="88" t="s">
        <v>30</v>
      </c>
      <c r="D44" s="88" t="s">
        <v>99</v>
      </c>
      <c r="E44" s="88" t="s">
        <v>189</v>
      </c>
      <c r="F44" s="88"/>
      <c r="G44" s="89"/>
      <c r="H44" s="89"/>
      <c r="I44" s="88">
        <v>513.33000000000004</v>
      </c>
      <c r="J44" s="89"/>
      <c r="K44" s="91">
        <f t="shared" si="0"/>
        <v>513.33000000000004</v>
      </c>
      <c r="L44" s="91"/>
      <c r="M44" s="92"/>
      <c r="N44" s="92"/>
      <c r="O44" s="93"/>
      <c r="P44" s="94">
        <f t="shared" si="14"/>
        <v>513.33000000000004</v>
      </c>
      <c r="Q44" s="95"/>
      <c r="R44" s="96">
        <v>0</v>
      </c>
      <c r="S44" s="96"/>
      <c r="T44" s="96"/>
      <c r="U44" s="96"/>
      <c r="V44" s="97"/>
      <c r="W44" s="97"/>
      <c r="X44" s="98"/>
      <c r="Y44" s="106">
        <v>210.56</v>
      </c>
      <c r="Z44" s="94">
        <f t="shared" si="8"/>
        <v>302.77000000000004</v>
      </c>
      <c r="AA44" s="100">
        <f t="shared" si="7"/>
        <v>0</v>
      </c>
      <c r="AB44" s="94">
        <f t="shared" si="9"/>
        <v>302.77000000000004</v>
      </c>
      <c r="AC44" s="101">
        <f t="shared" si="4"/>
        <v>51.333000000000006</v>
      </c>
      <c r="AD44" s="100">
        <f t="shared" si="5"/>
        <v>10.2666</v>
      </c>
      <c r="AE44" s="102">
        <f t="shared" si="6"/>
        <v>574.92960000000005</v>
      </c>
      <c r="AF44" s="103"/>
      <c r="AG44" s="104">
        <f t="shared" si="12"/>
        <v>302.77000000000004</v>
      </c>
      <c r="AH44" s="103"/>
      <c r="AI44" s="103"/>
      <c r="AJ44" s="104">
        <f t="shared" si="13"/>
        <v>302.77000000000004</v>
      </c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</row>
    <row r="45" spans="1:52" s="121" customFormat="1">
      <c r="A45" s="111" t="s">
        <v>431</v>
      </c>
      <c r="B45" s="111" t="s">
        <v>432</v>
      </c>
      <c r="C45" s="111"/>
      <c r="D45" s="111"/>
      <c r="E45" s="111" t="s">
        <v>186</v>
      </c>
      <c r="F45" s="111"/>
      <c r="G45" s="111"/>
      <c r="H45" s="111"/>
      <c r="I45" s="111">
        <v>1400</v>
      </c>
      <c r="J45" s="111"/>
      <c r="K45" s="114">
        <f t="shared" si="0"/>
        <v>1400</v>
      </c>
      <c r="L45" s="114"/>
      <c r="M45" s="114"/>
      <c r="N45" s="114"/>
      <c r="O45" s="115"/>
      <c r="P45" s="116">
        <f t="shared" si="14"/>
        <v>1400</v>
      </c>
      <c r="Q45" s="117"/>
      <c r="R45" s="117"/>
      <c r="S45" s="117"/>
      <c r="T45" s="117"/>
      <c r="U45" s="117"/>
      <c r="V45" s="118"/>
      <c r="W45" s="118"/>
      <c r="X45" s="111"/>
      <c r="Y45" s="119"/>
      <c r="Z45" s="116">
        <f t="shared" si="8"/>
        <v>1400</v>
      </c>
      <c r="AA45" s="120">
        <f t="shared" si="7"/>
        <v>0</v>
      </c>
      <c r="AB45" s="116">
        <f t="shared" si="9"/>
        <v>1400</v>
      </c>
      <c r="AC45" s="120">
        <f t="shared" si="4"/>
        <v>140</v>
      </c>
      <c r="AD45" s="120">
        <f t="shared" si="5"/>
        <v>28</v>
      </c>
      <c r="AE45" s="102">
        <f t="shared" si="6"/>
        <v>1568</v>
      </c>
      <c r="AG45" s="122"/>
      <c r="AJ45" s="122"/>
    </row>
    <row r="46" spans="1:52">
      <c r="A46" s="108" t="s">
        <v>381</v>
      </c>
      <c r="B46" s="88" t="s">
        <v>433</v>
      </c>
      <c r="C46" s="88"/>
      <c r="D46" s="88" t="s">
        <v>101</v>
      </c>
      <c r="E46" s="88" t="s">
        <v>190</v>
      </c>
      <c r="F46" s="88"/>
      <c r="G46" s="89"/>
      <c r="H46" s="89"/>
      <c r="I46" s="109">
        <v>608.16</v>
      </c>
      <c r="J46" s="89"/>
      <c r="K46" s="91">
        <f t="shared" si="0"/>
        <v>608.16</v>
      </c>
      <c r="L46" s="91">
        <v>443.3</v>
      </c>
      <c r="M46" s="92"/>
      <c r="N46" s="92"/>
      <c r="O46" s="93"/>
      <c r="P46" s="94">
        <f t="shared" si="14"/>
        <v>1051.46</v>
      </c>
      <c r="Q46" s="95"/>
      <c r="R46" s="110">
        <v>100</v>
      </c>
      <c r="S46" s="110">
        <f>P46*1%</f>
        <v>10.5146</v>
      </c>
      <c r="T46" s="110">
        <f>P46*4.9%</f>
        <v>51.521540000000002</v>
      </c>
      <c r="U46" s="96"/>
      <c r="V46" s="97"/>
      <c r="W46" s="97"/>
      <c r="X46" s="98"/>
      <c r="Y46" s="99">
        <v>0</v>
      </c>
      <c r="Z46" s="94">
        <f t="shared" si="8"/>
        <v>889.4238600000001</v>
      </c>
      <c r="AA46" s="100">
        <f t="shared" si="7"/>
        <v>0</v>
      </c>
      <c r="AB46" s="94">
        <f t="shared" si="9"/>
        <v>889.4238600000001</v>
      </c>
      <c r="AC46" s="101">
        <f t="shared" si="4"/>
        <v>105.14600000000002</v>
      </c>
      <c r="AD46" s="100">
        <f t="shared" si="5"/>
        <v>12.1632</v>
      </c>
      <c r="AE46" s="102">
        <f t="shared" si="6"/>
        <v>1168.7692</v>
      </c>
      <c r="AF46" s="103"/>
      <c r="AG46" s="104">
        <f>+AB46-AF46</f>
        <v>889.4238600000001</v>
      </c>
      <c r="AH46" s="103"/>
      <c r="AI46" s="103"/>
      <c r="AJ46" s="104">
        <f>+AG46-AH46-AI46</f>
        <v>889.4238600000001</v>
      </c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</row>
    <row r="47" spans="1:52">
      <c r="A47" s="108" t="s">
        <v>381</v>
      </c>
      <c r="B47" s="88" t="s">
        <v>434</v>
      </c>
      <c r="C47" s="88"/>
      <c r="D47" s="88" t="s">
        <v>103</v>
      </c>
      <c r="E47" s="88" t="s">
        <v>192</v>
      </c>
      <c r="F47" s="88"/>
      <c r="G47" s="89"/>
      <c r="H47" s="89"/>
      <c r="I47" s="109">
        <v>608.16</v>
      </c>
      <c r="J47" s="89"/>
      <c r="K47" s="91">
        <f t="shared" si="0"/>
        <v>608.16</v>
      </c>
      <c r="L47" s="91">
        <f>3626.92+5.571</f>
        <v>3632.491</v>
      </c>
      <c r="M47" s="92"/>
      <c r="N47" s="92"/>
      <c r="O47" s="93"/>
      <c r="P47" s="94">
        <f t="shared" si="14"/>
        <v>4240.6509999999998</v>
      </c>
      <c r="Q47" s="95"/>
      <c r="R47" s="96"/>
      <c r="S47" s="110">
        <f>P47*1%</f>
        <v>42.406509999999997</v>
      </c>
      <c r="T47" s="110">
        <f>P47*4.9%</f>
        <v>207.791899</v>
      </c>
      <c r="U47" s="96"/>
      <c r="V47" s="97"/>
      <c r="W47" s="97"/>
      <c r="X47" s="98"/>
      <c r="Y47" s="99">
        <v>0</v>
      </c>
      <c r="Z47" s="94">
        <f t="shared" si="8"/>
        <v>3990.4525909999998</v>
      </c>
      <c r="AA47" s="100">
        <f t="shared" si="7"/>
        <v>0</v>
      </c>
      <c r="AB47" s="94">
        <f t="shared" si="9"/>
        <v>3990.4525909999998</v>
      </c>
      <c r="AC47" s="101">
        <f t="shared" si="4"/>
        <v>424.06510000000003</v>
      </c>
      <c r="AD47" s="100">
        <f t="shared" si="5"/>
        <v>12.1632</v>
      </c>
      <c r="AE47" s="102">
        <f t="shared" si="6"/>
        <v>4676.8792999999996</v>
      </c>
      <c r="AF47" s="103"/>
      <c r="AG47" s="104">
        <f>+AB47-AF47</f>
        <v>3990.4525909999998</v>
      </c>
      <c r="AH47" s="103"/>
      <c r="AI47" s="103"/>
      <c r="AJ47" s="104">
        <f>+AG47-AH47-AI47</f>
        <v>3990.4525909999998</v>
      </c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</row>
    <row r="48" spans="1:52">
      <c r="A48" s="108" t="s">
        <v>383</v>
      </c>
      <c r="B48" s="88" t="s">
        <v>435</v>
      </c>
      <c r="C48" s="88"/>
      <c r="D48" s="88" t="s">
        <v>105</v>
      </c>
      <c r="E48" s="88" t="s">
        <v>177</v>
      </c>
      <c r="F48" s="88"/>
      <c r="G48" s="88"/>
      <c r="H48" s="88"/>
      <c r="I48" s="88">
        <v>739.23</v>
      </c>
      <c r="J48" s="88"/>
      <c r="K48" s="91">
        <f t="shared" si="0"/>
        <v>739.23</v>
      </c>
      <c r="L48" s="91">
        <v>3087.3820000000001</v>
      </c>
      <c r="M48" s="91"/>
      <c r="N48" s="91"/>
      <c r="O48" s="93"/>
      <c r="P48" s="94">
        <f t="shared" si="14"/>
        <v>3826.6120000000001</v>
      </c>
      <c r="Q48" s="95"/>
      <c r="R48" s="96">
        <v>0</v>
      </c>
      <c r="S48" s="96"/>
      <c r="T48" s="96"/>
      <c r="U48" s="96"/>
      <c r="V48" s="97"/>
      <c r="W48" s="97"/>
      <c r="X48" s="98"/>
      <c r="Y48" s="99">
        <v>0</v>
      </c>
      <c r="Z48" s="94">
        <f t="shared" si="8"/>
        <v>3826.6120000000001</v>
      </c>
      <c r="AA48" s="100">
        <f t="shared" si="7"/>
        <v>0</v>
      </c>
      <c r="AB48" s="94">
        <f t="shared" si="9"/>
        <v>3826.6120000000001</v>
      </c>
      <c r="AC48" s="101">
        <f t="shared" si="4"/>
        <v>382.66120000000001</v>
      </c>
      <c r="AD48" s="100">
        <f t="shared" si="5"/>
        <v>14.784600000000001</v>
      </c>
      <c r="AE48" s="102">
        <f t="shared" si="6"/>
        <v>4224.0577999999996</v>
      </c>
      <c r="AF48" s="103"/>
      <c r="AG48" s="104">
        <f>+AB48-AF48</f>
        <v>3826.6120000000001</v>
      </c>
      <c r="AH48" s="103"/>
      <c r="AI48" s="103"/>
      <c r="AJ48" s="104">
        <f>+AG48-AH48-AI48</f>
        <v>3826.6120000000001</v>
      </c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</row>
    <row r="49" spans="1:52" s="121" customFormat="1">
      <c r="A49" s="108" t="s">
        <v>381</v>
      </c>
      <c r="B49" s="111" t="s">
        <v>436</v>
      </c>
      <c r="C49" s="111"/>
      <c r="D49" s="111"/>
      <c r="E49" s="111" t="s">
        <v>177</v>
      </c>
      <c r="F49" s="111"/>
      <c r="G49" s="111"/>
      <c r="H49" s="111"/>
      <c r="I49" s="117">
        <v>739.23</v>
      </c>
      <c r="J49" s="111"/>
      <c r="K49" s="114">
        <f t="shared" si="0"/>
        <v>739.23</v>
      </c>
      <c r="L49" s="114">
        <v>835.52</v>
      </c>
      <c r="M49" s="114"/>
      <c r="N49" s="114"/>
      <c r="O49" s="115"/>
      <c r="P49" s="116">
        <f t="shared" si="14"/>
        <v>1574.75</v>
      </c>
      <c r="Q49" s="117"/>
      <c r="R49" s="117"/>
      <c r="S49" s="117"/>
      <c r="T49" s="117">
        <f>P49*1%</f>
        <v>15.7475</v>
      </c>
      <c r="U49" s="117"/>
      <c r="V49" s="118"/>
      <c r="W49" s="118"/>
      <c r="X49" s="111"/>
      <c r="Y49" s="119"/>
      <c r="Z49" s="116">
        <f t="shared" si="8"/>
        <v>1559.0025000000001</v>
      </c>
      <c r="AA49" s="120">
        <f t="shared" si="7"/>
        <v>0</v>
      </c>
      <c r="AB49" s="116">
        <f t="shared" si="9"/>
        <v>1559.0025000000001</v>
      </c>
      <c r="AC49" s="120">
        <f t="shared" si="4"/>
        <v>157.47500000000002</v>
      </c>
      <c r="AD49" s="120">
        <f t="shared" si="5"/>
        <v>14.784600000000001</v>
      </c>
      <c r="AE49" s="102">
        <f t="shared" si="6"/>
        <v>1747.0095999999999</v>
      </c>
      <c r="AG49" s="122"/>
      <c r="AJ49" s="122"/>
    </row>
    <row r="50" spans="1:52">
      <c r="A50" s="88" t="s">
        <v>377</v>
      </c>
      <c r="B50" s="88" t="s">
        <v>437</v>
      </c>
      <c r="C50" s="88" t="s">
        <v>31</v>
      </c>
      <c r="D50" s="88" t="s">
        <v>107</v>
      </c>
      <c r="E50" s="88" t="s">
        <v>189</v>
      </c>
      <c r="F50" s="88"/>
      <c r="G50" s="89"/>
      <c r="H50" s="89"/>
      <c r="I50" s="88">
        <v>513.33000000000004</v>
      </c>
      <c r="J50" s="89"/>
      <c r="K50" s="91">
        <f t="shared" si="0"/>
        <v>513.33000000000004</v>
      </c>
      <c r="L50" s="91"/>
      <c r="M50" s="92"/>
      <c r="N50" s="92"/>
      <c r="O50" s="93"/>
      <c r="P50" s="94">
        <f t="shared" si="14"/>
        <v>513.33000000000004</v>
      </c>
      <c r="Q50" s="95"/>
      <c r="R50" s="96">
        <v>0</v>
      </c>
      <c r="S50" s="96"/>
      <c r="T50" s="96"/>
      <c r="U50" s="96"/>
      <c r="V50" s="97"/>
      <c r="W50" s="97"/>
      <c r="X50" s="98"/>
      <c r="Y50" s="106">
        <v>0</v>
      </c>
      <c r="Z50" s="94">
        <f t="shared" si="8"/>
        <v>513.33000000000004</v>
      </c>
      <c r="AA50" s="100">
        <f t="shared" si="7"/>
        <v>0</v>
      </c>
      <c r="AB50" s="94">
        <f t="shared" si="9"/>
        <v>513.33000000000004</v>
      </c>
      <c r="AC50" s="101">
        <f t="shared" si="4"/>
        <v>51.333000000000006</v>
      </c>
      <c r="AD50" s="100">
        <f t="shared" si="5"/>
        <v>10.2666</v>
      </c>
      <c r="AE50" s="102">
        <f t="shared" si="6"/>
        <v>574.92960000000005</v>
      </c>
      <c r="AF50" s="103"/>
      <c r="AG50" s="104">
        <f t="shared" ref="AG50:AG67" si="15">+AB50-AF50</f>
        <v>513.33000000000004</v>
      </c>
      <c r="AH50" s="103"/>
      <c r="AI50" s="103"/>
      <c r="AJ50" s="104">
        <f t="shared" ref="AJ50:AJ67" si="16">+AG50-AH50-AI50</f>
        <v>513.33000000000004</v>
      </c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</row>
    <row r="51" spans="1:52">
      <c r="A51" s="88" t="s">
        <v>377</v>
      </c>
      <c r="B51" s="88" t="s">
        <v>438</v>
      </c>
      <c r="C51" s="88" t="s">
        <v>32</v>
      </c>
      <c r="D51" s="88">
        <v>30</v>
      </c>
      <c r="E51" s="88" t="s">
        <v>189</v>
      </c>
      <c r="F51" s="88"/>
      <c r="G51" s="89"/>
      <c r="H51" s="89"/>
      <c r="I51" s="88">
        <v>513.33000000000004</v>
      </c>
      <c r="J51" s="89"/>
      <c r="K51" s="91">
        <f t="shared" si="0"/>
        <v>513.33000000000004</v>
      </c>
      <c r="L51" s="91">
        <v>5456.54</v>
      </c>
      <c r="M51" s="92"/>
      <c r="N51" s="92"/>
      <c r="O51" s="93"/>
      <c r="P51" s="94">
        <f t="shared" si="14"/>
        <v>5969.87</v>
      </c>
      <c r="Q51" s="95"/>
      <c r="R51" s="96">
        <v>0</v>
      </c>
      <c r="S51" s="96"/>
      <c r="T51" s="96"/>
      <c r="U51" s="96"/>
      <c r="V51" s="97"/>
      <c r="W51" s="97"/>
      <c r="X51" s="98"/>
      <c r="Y51" s="106">
        <v>0</v>
      </c>
      <c r="Z51" s="94">
        <f t="shared" si="8"/>
        <v>5969.87</v>
      </c>
      <c r="AA51" s="100">
        <f t="shared" si="7"/>
        <v>596.98699999999997</v>
      </c>
      <c r="AB51" s="94">
        <f t="shared" si="9"/>
        <v>5372.8829999999998</v>
      </c>
      <c r="AC51" s="101">
        <f t="shared" si="4"/>
        <v>0</v>
      </c>
      <c r="AD51" s="100">
        <f t="shared" si="5"/>
        <v>10.2666</v>
      </c>
      <c r="AE51" s="102">
        <f t="shared" si="6"/>
        <v>5980.1365999999998</v>
      </c>
      <c r="AF51" s="103"/>
      <c r="AG51" s="104">
        <f t="shared" si="15"/>
        <v>5372.8829999999998</v>
      </c>
      <c r="AH51" s="103"/>
      <c r="AI51" s="103"/>
      <c r="AJ51" s="104">
        <f t="shared" si="16"/>
        <v>5372.8829999999998</v>
      </c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</row>
    <row r="52" spans="1:52">
      <c r="A52" s="88" t="s">
        <v>377</v>
      </c>
      <c r="B52" s="88" t="s">
        <v>439</v>
      </c>
      <c r="C52" s="88" t="s">
        <v>30</v>
      </c>
      <c r="D52" s="88" t="s">
        <v>196</v>
      </c>
      <c r="E52" s="88" t="s">
        <v>189</v>
      </c>
      <c r="F52" s="124">
        <v>42408</v>
      </c>
      <c r="G52" s="89"/>
      <c r="H52" s="89"/>
      <c r="I52" s="88">
        <v>513.33000000000004</v>
      </c>
      <c r="J52" s="89">
        <v>653.33000000000004</v>
      </c>
      <c r="K52" s="91">
        <f t="shared" si="0"/>
        <v>1166.6600000000001</v>
      </c>
      <c r="L52" s="91">
        <v>653.33000000000004</v>
      </c>
      <c r="M52" s="92"/>
      <c r="N52" s="92"/>
      <c r="O52" s="93"/>
      <c r="P52" s="94">
        <f t="shared" si="14"/>
        <v>1819.9900000000002</v>
      </c>
      <c r="Q52" s="95"/>
      <c r="R52" s="96">
        <v>0</v>
      </c>
      <c r="S52" s="96"/>
      <c r="T52" s="96"/>
      <c r="U52" s="96"/>
      <c r="V52" s="97"/>
      <c r="W52" s="97"/>
      <c r="X52" s="98"/>
      <c r="Y52" s="106">
        <v>257.7</v>
      </c>
      <c r="Z52" s="94">
        <f t="shared" si="8"/>
        <v>1562.2900000000002</v>
      </c>
      <c r="AA52" s="100">
        <f t="shared" si="7"/>
        <v>0</v>
      </c>
      <c r="AB52" s="94">
        <f t="shared" si="9"/>
        <v>1562.2900000000002</v>
      </c>
      <c r="AC52" s="101">
        <f t="shared" si="4"/>
        <v>181.99900000000002</v>
      </c>
      <c r="AD52" s="100">
        <f t="shared" si="5"/>
        <v>10.2666</v>
      </c>
      <c r="AE52" s="102">
        <f t="shared" si="6"/>
        <v>2012.2556000000002</v>
      </c>
      <c r="AF52" s="103"/>
      <c r="AG52" s="104">
        <f t="shared" si="15"/>
        <v>1562.2900000000002</v>
      </c>
      <c r="AH52" s="103"/>
      <c r="AI52" s="103"/>
      <c r="AJ52" s="104">
        <f t="shared" si="16"/>
        <v>1562.2900000000002</v>
      </c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</row>
    <row r="53" spans="1:52">
      <c r="A53" s="88" t="s">
        <v>389</v>
      </c>
      <c r="B53" s="88" t="s">
        <v>440</v>
      </c>
      <c r="C53" s="88" t="s">
        <v>391</v>
      </c>
      <c r="D53" s="88" t="s">
        <v>111</v>
      </c>
      <c r="E53" s="88" t="s">
        <v>392</v>
      </c>
      <c r="F53" s="124">
        <v>42352</v>
      </c>
      <c r="G53" s="89"/>
      <c r="H53" s="89"/>
      <c r="I53" s="88">
        <v>513.33000000000004</v>
      </c>
      <c r="J53" s="89">
        <v>653.33000000000004</v>
      </c>
      <c r="K53" s="91">
        <f t="shared" si="0"/>
        <v>1166.6600000000001</v>
      </c>
      <c r="L53" s="91">
        <f>4000+653.33</f>
        <v>4653.33</v>
      </c>
      <c r="M53" s="92"/>
      <c r="N53" s="92"/>
      <c r="O53" s="93"/>
      <c r="P53" s="94">
        <f t="shared" si="14"/>
        <v>5819.99</v>
      </c>
      <c r="Q53" s="95"/>
      <c r="R53" s="96">
        <v>0</v>
      </c>
      <c r="S53" s="96"/>
      <c r="T53" s="96"/>
      <c r="U53" s="96"/>
      <c r="V53" s="97"/>
      <c r="W53" s="97"/>
      <c r="X53" s="98"/>
      <c r="Y53" s="99">
        <v>0</v>
      </c>
      <c r="Z53" s="94">
        <f t="shared" si="8"/>
        <v>5819.99</v>
      </c>
      <c r="AA53" s="100">
        <f t="shared" si="7"/>
        <v>581.99900000000002</v>
      </c>
      <c r="AB53" s="94">
        <f t="shared" si="9"/>
        <v>5237.991</v>
      </c>
      <c r="AC53" s="101">
        <f t="shared" si="4"/>
        <v>0</v>
      </c>
      <c r="AD53" s="100">
        <f t="shared" si="5"/>
        <v>10.2666</v>
      </c>
      <c r="AE53" s="102">
        <f t="shared" si="6"/>
        <v>5830.2565999999997</v>
      </c>
      <c r="AF53" s="103"/>
      <c r="AG53" s="104">
        <f t="shared" si="15"/>
        <v>5237.991</v>
      </c>
      <c r="AH53" s="103"/>
      <c r="AI53" s="103"/>
      <c r="AJ53" s="104">
        <f t="shared" si="16"/>
        <v>5237.991</v>
      </c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</row>
    <row r="54" spans="1:52">
      <c r="A54" s="88" t="s">
        <v>377</v>
      </c>
      <c r="B54" s="88" t="s">
        <v>441</v>
      </c>
      <c r="C54" s="88" t="s">
        <v>32</v>
      </c>
      <c r="D54" s="88" t="s">
        <v>113</v>
      </c>
      <c r="E54" s="88" t="s">
        <v>189</v>
      </c>
      <c r="F54" s="88"/>
      <c r="G54" s="89"/>
      <c r="H54" s="89"/>
      <c r="I54" s="88">
        <v>513.33000000000004</v>
      </c>
      <c r="J54" s="89"/>
      <c r="K54" s="91">
        <f t="shared" si="0"/>
        <v>513.33000000000004</v>
      </c>
      <c r="L54" s="91"/>
      <c r="M54" s="92"/>
      <c r="N54" s="92"/>
      <c r="O54" s="93"/>
      <c r="P54" s="94">
        <f t="shared" si="14"/>
        <v>513.33000000000004</v>
      </c>
      <c r="Q54" s="95"/>
      <c r="R54" s="96">
        <v>0</v>
      </c>
      <c r="S54" s="96"/>
      <c r="T54" s="96"/>
      <c r="U54" s="96"/>
      <c r="V54" s="97"/>
      <c r="W54" s="97"/>
      <c r="X54" s="98"/>
      <c r="Y54" s="106">
        <v>523.01</v>
      </c>
      <c r="Z54" s="94">
        <f t="shared" si="8"/>
        <v>-9.67999999999995</v>
      </c>
      <c r="AA54" s="100">
        <f t="shared" si="7"/>
        <v>0</v>
      </c>
      <c r="AB54" s="94">
        <f t="shared" si="9"/>
        <v>-9.67999999999995</v>
      </c>
      <c r="AC54" s="101">
        <f t="shared" si="4"/>
        <v>51.333000000000006</v>
      </c>
      <c r="AD54" s="100">
        <f t="shared" si="5"/>
        <v>10.2666</v>
      </c>
      <c r="AE54" s="102">
        <f t="shared" si="6"/>
        <v>574.92960000000005</v>
      </c>
      <c r="AF54" s="103"/>
      <c r="AG54" s="104">
        <f t="shared" si="15"/>
        <v>-9.67999999999995</v>
      </c>
      <c r="AH54" s="103"/>
      <c r="AI54" s="103"/>
      <c r="AJ54" s="104">
        <f t="shared" si="16"/>
        <v>-9.67999999999995</v>
      </c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</row>
    <row r="55" spans="1:52">
      <c r="A55" s="88" t="s">
        <v>381</v>
      </c>
      <c r="B55" s="88" t="s">
        <v>442</v>
      </c>
      <c r="C55" s="88"/>
      <c r="D55" s="88" t="s">
        <v>115</v>
      </c>
      <c r="E55" s="88" t="s">
        <v>443</v>
      </c>
      <c r="F55" s="88"/>
      <c r="G55" s="89"/>
      <c r="H55" s="89"/>
      <c r="I55" s="109">
        <v>1100</v>
      </c>
      <c r="J55" s="89"/>
      <c r="K55" s="91">
        <f t="shared" si="0"/>
        <v>1100</v>
      </c>
      <c r="L55" s="91"/>
      <c r="M55" s="92"/>
      <c r="N55" s="92"/>
      <c r="O55" s="93"/>
      <c r="P55" s="94">
        <f t="shared" si="14"/>
        <v>1100</v>
      </c>
      <c r="Q55" s="95"/>
      <c r="R55" s="96">
        <v>0</v>
      </c>
      <c r="S55" s="96"/>
      <c r="T55" s="96"/>
      <c r="U55" s="96"/>
      <c r="V55" s="97"/>
      <c r="W55" s="97"/>
      <c r="X55" s="98"/>
      <c r="Y55" s="99">
        <v>0</v>
      </c>
      <c r="Z55" s="94">
        <f t="shared" si="8"/>
        <v>1100</v>
      </c>
      <c r="AA55" s="100">
        <f t="shared" si="7"/>
        <v>0</v>
      </c>
      <c r="AB55" s="94">
        <f t="shared" si="9"/>
        <v>1100</v>
      </c>
      <c r="AC55" s="101">
        <f t="shared" si="4"/>
        <v>110</v>
      </c>
      <c r="AD55" s="100">
        <f t="shared" si="5"/>
        <v>22</v>
      </c>
      <c r="AE55" s="102">
        <f t="shared" si="6"/>
        <v>1232</v>
      </c>
      <c r="AF55" s="103"/>
      <c r="AG55" s="104">
        <f t="shared" si="15"/>
        <v>1100</v>
      </c>
      <c r="AH55" s="103"/>
      <c r="AI55" s="103"/>
      <c r="AJ55" s="104">
        <f t="shared" si="16"/>
        <v>1100</v>
      </c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</row>
    <row r="56" spans="1:52">
      <c r="A56" s="108" t="s">
        <v>383</v>
      </c>
      <c r="B56" s="88" t="s">
        <v>444</v>
      </c>
      <c r="C56" s="88"/>
      <c r="D56" s="88" t="s">
        <v>117</v>
      </c>
      <c r="E56" s="88" t="s">
        <v>177</v>
      </c>
      <c r="F56" s="88"/>
      <c r="G56" s="88"/>
      <c r="H56" s="88"/>
      <c r="I56" s="88">
        <v>739.23</v>
      </c>
      <c r="J56" s="88"/>
      <c r="K56" s="91">
        <f t="shared" si="0"/>
        <v>739.23</v>
      </c>
      <c r="L56" s="91">
        <v>2219.11</v>
      </c>
      <c r="M56" s="91"/>
      <c r="N56" s="91"/>
      <c r="O56" s="93"/>
      <c r="P56" s="94">
        <f t="shared" si="14"/>
        <v>2958.34</v>
      </c>
      <c r="Q56" s="95"/>
      <c r="R56" s="96">
        <v>0</v>
      </c>
      <c r="S56" s="96"/>
      <c r="T56" s="96"/>
      <c r="U56" s="96"/>
      <c r="V56" s="97"/>
      <c r="W56" s="97"/>
      <c r="X56" s="98"/>
      <c r="Y56" s="99">
        <v>0</v>
      </c>
      <c r="Z56" s="94">
        <f t="shared" si="8"/>
        <v>2958.34</v>
      </c>
      <c r="AA56" s="100">
        <f t="shared" si="7"/>
        <v>0</v>
      </c>
      <c r="AB56" s="94">
        <f t="shared" si="9"/>
        <v>2958.34</v>
      </c>
      <c r="AC56" s="101">
        <f t="shared" si="4"/>
        <v>295.834</v>
      </c>
      <c r="AD56" s="100">
        <f t="shared" si="5"/>
        <v>14.784600000000001</v>
      </c>
      <c r="AE56" s="102">
        <f t="shared" si="6"/>
        <v>3268.9585999999999</v>
      </c>
      <c r="AF56" s="103"/>
      <c r="AG56" s="104">
        <f t="shared" si="15"/>
        <v>2958.34</v>
      </c>
      <c r="AH56" s="103"/>
      <c r="AI56" s="103"/>
      <c r="AJ56" s="104">
        <f t="shared" si="16"/>
        <v>2958.34</v>
      </c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</row>
    <row r="57" spans="1:52">
      <c r="A57" s="108" t="s">
        <v>381</v>
      </c>
      <c r="B57" s="88" t="s">
        <v>445</v>
      </c>
      <c r="C57" s="88"/>
      <c r="D57" s="88" t="s">
        <v>119</v>
      </c>
      <c r="E57" s="88" t="s">
        <v>193</v>
      </c>
      <c r="F57" s="88"/>
      <c r="G57" s="89"/>
      <c r="H57" s="89"/>
      <c r="I57" s="109">
        <v>608.16</v>
      </c>
      <c r="J57" s="89"/>
      <c r="K57" s="91">
        <f t="shared" si="0"/>
        <v>608.16</v>
      </c>
      <c r="L57" s="91">
        <v>903.62</v>
      </c>
      <c r="M57" s="92"/>
      <c r="N57" s="92"/>
      <c r="O57" s="93"/>
      <c r="P57" s="94">
        <f t="shared" si="14"/>
        <v>1511.78</v>
      </c>
      <c r="Q57" s="95"/>
      <c r="R57" s="96"/>
      <c r="S57" s="110">
        <f>P57*1%</f>
        <v>15.117800000000001</v>
      </c>
      <c r="T57" s="110">
        <f>P57*4.9%</f>
        <v>74.077219999999997</v>
      </c>
      <c r="U57" s="96"/>
      <c r="V57" s="97"/>
      <c r="W57" s="97"/>
      <c r="X57" s="98"/>
      <c r="Y57" s="99">
        <v>0</v>
      </c>
      <c r="Z57" s="94">
        <f t="shared" si="8"/>
        <v>1422.5849800000001</v>
      </c>
      <c r="AA57" s="100">
        <f t="shared" si="7"/>
        <v>0</v>
      </c>
      <c r="AB57" s="94">
        <f t="shared" si="9"/>
        <v>1422.5849800000001</v>
      </c>
      <c r="AC57" s="101">
        <f t="shared" si="4"/>
        <v>151.178</v>
      </c>
      <c r="AD57" s="100">
        <f t="shared" si="5"/>
        <v>12.1632</v>
      </c>
      <c r="AE57" s="102">
        <f t="shared" si="6"/>
        <v>1675.1212</v>
      </c>
      <c r="AF57" s="103"/>
      <c r="AG57" s="104">
        <f t="shared" si="15"/>
        <v>1422.5849800000001</v>
      </c>
      <c r="AH57" s="103"/>
      <c r="AI57" s="103"/>
      <c r="AJ57" s="104">
        <f t="shared" si="16"/>
        <v>1422.5849800000001</v>
      </c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</row>
    <row r="58" spans="1:52">
      <c r="A58" s="108" t="s">
        <v>381</v>
      </c>
      <c r="B58" s="88" t="s">
        <v>446</v>
      </c>
      <c r="C58" s="88"/>
      <c r="D58" s="88" t="s">
        <v>121</v>
      </c>
      <c r="E58" s="88" t="s">
        <v>194</v>
      </c>
      <c r="F58" s="88"/>
      <c r="G58" s="89"/>
      <c r="H58" s="89"/>
      <c r="I58" s="109">
        <v>511.28</v>
      </c>
      <c r="J58" s="89"/>
      <c r="K58" s="91">
        <f t="shared" si="0"/>
        <v>511.28</v>
      </c>
      <c r="L58" s="91">
        <v>1949.1</v>
      </c>
      <c r="M58" s="92"/>
      <c r="N58" s="92"/>
      <c r="O58" s="93"/>
      <c r="P58" s="94">
        <f t="shared" si="14"/>
        <v>2460.38</v>
      </c>
      <c r="Q58" s="95"/>
      <c r="R58" s="110">
        <v>100</v>
      </c>
      <c r="S58" s="110">
        <f>P58*1%</f>
        <v>24.603800000000003</v>
      </c>
      <c r="T58" s="110">
        <f>P58*4.9%</f>
        <v>120.55862</v>
      </c>
      <c r="U58" s="96"/>
      <c r="V58" s="97"/>
      <c r="W58" s="97"/>
      <c r="X58" s="98"/>
      <c r="Y58" s="99">
        <v>0</v>
      </c>
      <c r="Z58" s="94">
        <f t="shared" si="8"/>
        <v>2215.21758</v>
      </c>
      <c r="AA58" s="100">
        <f t="shared" si="7"/>
        <v>0</v>
      </c>
      <c r="AB58" s="94">
        <f t="shared" si="9"/>
        <v>2215.21758</v>
      </c>
      <c r="AC58" s="101">
        <f t="shared" si="4"/>
        <v>246.03800000000001</v>
      </c>
      <c r="AD58" s="100">
        <f t="shared" si="5"/>
        <v>10.2256</v>
      </c>
      <c r="AE58" s="102">
        <f t="shared" si="6"/>
        <v>2716.6436000000003</v>
      </c>
      <c r="AF58" s="103"/>
      <c r="AG58" s="104">
        <f t="shared" si="15"/>
        <v>2215.21758</v>
      </c>
      <c r="AH58" s="103"/>
      <c r="AI58" s="103"/>
      <c r="AJ58" s="104">
        <f t="shared" si="16"/>
        <v>2215.21758</v>
      </c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</row>
    <row r="59" spans="1:52">
      <c r="A59" s="88" t="s">
        <v>377</v>
      </c>
      <c r="B59" s="88" t="s">
        <v>447</v>
      </c>
      <c r="C59" s="88" t="s">
        <v>31</v>
      </c>
      <c r="D59" s="88" t="s">
        <v>123</v>
      </c>
      <c r="E59" s="88" t="s">
        <v>189</v>
      </c>
      <c r="F59" s="88"/>
      <c r="G59" s="89"/>
      <c r="H59" s="89"/>
      <c r="I59" s="88">
        <v>513.33000000000004</v>
      </c>
      <c r="J59" s="89"/>
      <c r="K59" s="91">
        <f t="shared" si="0"/>
        <v>513.33000000000004</v>
      </c>
      <c r="L59" s="91"/>
      <c r="M59" s="92"/>
      <c r="N59" s="92"/>
      <c r="O59" s="93"/>
      <c r="P59" s="94">
        <f t="shared" si="14"/>
        <v>513.33000000000004</v>
      </c>
      <c r="Q59" s="95"/>
      <c r="R59" s="96">
        <v>0</v>
      </c>
      <c r="S59" s="96"/>
      <c r="T59" s="96"/>
      <c r="U59" s="96"/>
      <c r="V59" s="97"/>
      <c r="W59" s="97"/>
      <c r="X59" s="98"/>
      <c r="Y59" s="106">
        <v>0</v>
      </c>
      <c r="Z59" s="94">
        <f t="shared" si="8"/>
        <v>513.33000000000004</v>
      </c>
      <c r="AA59" s="100">
        <f t="shared" si="7"/>
        <v>0</v>
      </c>
      <c r="AB59" s="94">
        <f t="shared" si="9"/>
        <v>513.33000000000004</v>
      </c>
      <c r="AC59" s="101">
        <f t="shared" si="4"/>
        <v>51.333000000000006</v>
      </c>
      <c r="AD59" s="100">
        <f t="shared" si="5"/>
        <v>10.2666</v>
      </c>
      <c r="AE59" s="102">
        <f t="shared" si="6"/>
        <v>574.92960000000005</v>
      </c>
      <c r="AF59" s="103"/>
      <c r="AG59" s="104">
        <f t="shared" si="15"/>
        <v>513.33000000000004</v>
      </c>
      <c r="AH59" s="103"/>
      <c r="AI59" s="103"/>
      <c r="AJ59" s="104">
        <f t="shared" si="16"/>
        <v>513.33000000000004</v>
      </c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</row>
    <row r="60" spans="1:52">
      <c r="A60" s="108" t="s">
        <v>383</v>
      </c>
      <c r="B60" s="88" t="s">
        <v>448</v>
      </c>
      <c r="C60" s="88"/>
      <c r="D60" s="88" t="s">
        <v>125</v>
      </c>
      <c r="E60" s="88" t="s">
        <v>449</v>
      </c>
      <c r="F60" s="88"/>
      <c r="G60" s="88"/>
      <c r="H60" s="89"/>
      <c r="I60" s="88">
        <v>739.23</v>
      </c>
      <c r="J60" s="89"/>
      <c r="K60" s="91">
        <f t="shared" si="0"/>
        <v>739.23</v>
      </c>
      <c r="L60" s="91">
        <v>3992.31</v>
      </c>
      <c r="M60" s="128"/>
      <c r="N60" s="92"/>
      <c r="O60" s="93"/>
      <c r="P60" s="94">
        <f t="shared" si="14"/>
        <v>4731.54</v>
      </c>
      <c r="Q60" s="95"/>
      <c r="R60" s="96">
        <v>0</v>
      </c>
      <c r="S60" s="96"/>
      <c r="T60" s="96"/>
      <c r="U60" s="96"/>
      <c r="V60" s="97"/>
      <c r="W60" s="97"/>
      <c r="X60" s="98"/>
      <c r="Y60" s="99">
        <v>0</v>
      </c>
      <c r="Z60" s="94">
        <f t="shared" si="8"/>
        <v>4731.54</v>
      </c>
      <c r="AA60" s="100">
        <f t="shared" si="7"/>
        <v>473.154</v>
      </c>
      <c r="AB60" s="94">
        <f t="shared" si="9"/>
        <v>4258.3860000000004</v>
      </c>
      <c r="AC60" s="101">
        <f t="shared" si="4"/>
        <v>0</v>
      </c>
      <c r="AD60" s="100">
        <f t="shared" si="5"/>
        <v>14.784600000000001</v>
      </c>
      <c r="AE60" s="102">
        <f t="shared" si="6"/>
        <v>4746.3245999999999</v>
      </c>
      <c r="AF60" s="103"/>
      <c r="AG60" s="104">
        <f t="shared" si="15"/>
        <v>4258.3860000000004</v>
      </c>
      <c r="AH60" s="103"/>
      <c r="AI60" s="103"/>
      <c r="AJ60" s="104">
        <f t="shared" si="16"/>
        <v>4258.3860000000004</v>
      </c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</row>
    <row r="61" spans="1:52">
      <c r="A61" s="88" t="s">
        <v>389</v>
      </c>
      <c r="B61" s="88" t="s">
        <v>450</v>
      </c>
      <c r="C61" s="88" t="s">
        <v>391</v>
      </c>
      <c r="D61" s="88" t="s">
        <v>127</v>
      </c>
      <c r="E61" s="88" t="s">
        <v>451</v>
      </c>
      <c r="F61" s="88"/>
      <c r="G61" s="89"/>
      <c r="H61" s="89"/>
      <c r="I61" s="90">
        <v>2333.33</v>
      </c>
      <c r="J61" s="89"/>
      <c r="K61" s="91">
        <f t="shared" si="0"/>
        <v>2333.33</v>
      </c>
      <c r="L61" s="91">
        <v>304.83999999999997</v>
      </c>
      <c r="M61" s="92"/>
      <c r="N61" s="92"/>
      <c r="O61" s="93"/>
      <c r="P61" s="94">
        <f t="shared" si="14"/>
        <v>2638.17</v>
      </c>
      <c r="Q61" s="95"/>
      <c r="R61" s="96">
        <v>0</v>
      </c>
      <c r="S61" s="96"/>
      <c r="T61" s="96"/>
      <c r="U61" s="96"/>
      <c r="V61" s="97"/>
      <c r="W61" s="97"/>
      <c r="X61" s="98">
        <v>329</v>
      </c>
      <c r="Y61" s="99">
        <v>955.1</v>
      </c>
      <c r="Z61" s="94">
        <f t="shared" si="8"/>
        <v>1354.0700000000002</v>
      </c>
      <c r="AA61" s="100">
        <f t="shared" si="7"/>
        <v>0</v>
      </c>
      <c r="AB61" s="94">
        <f t="shared" si="9"/>
        <v>1354.0700000000002</v>
      </c>
      <c r="AC61" s="101">
        <f t="shared" si="4"/>
        <v>263.81700000000001</v>
      </c>
      <c r="AD61" s="100">
        <f t="shared" si="5"/>
        <v>46.666600000000003</v>
      </c>
      <c r="AE61" s="102">
        <f t="shared" si="6"/>
        <v>2948.6536000000001</v>
      </c>
      <c r="AF61" s="103"/>
      <c r="AG61" s="104">
        <f t="shared" si="15"/>
        <v>1354.0700000000002</v>
      </c>
      <c r="AH61" s="103"/>
      <c r="AI61" s="103"/>
      <c r="AJ61" s="104">
        <f t="shared" si="16"/>
        <v>1354.0700000000002</v>
      </c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</row>
    <row r="62" spans="1:52">
      <c r="A62" s="108" t="s">
        <v>383</v>
      </c>
      <c r="B62" s="88" t="s">
        <v>452</v>
      </c>
      <c r="C62" s="88"/>
      <c r="D62" s="88" t="s">
        <v>129</v>
      </c>
      <c r="E62" s="88" t="s">
        <v>177</v>
      </c>
      <c r="F62" s="88"/>
      <c r="G62" s="88"/>
      <c r="H62" s="89"/>
      <c r="I62" s="88">
        <v>739.23</v>
      </c>
      <c r="J62" s="89"/>
      <c r="K62" s="91">
        <f t="shared" si="0"/>
        <v>739.23</v>
      </c>
      <c r="L62" s="91">
        <v>2678.5439999999999</v>
      </c>
      <c r="M62" s="92"/>
      <c r="N62" s="92"/>
      <c r="O62" s="93"/>
      <c r="P62" s="94">
        <f t="shared" si="14"/>
        <v>3417.7739999999999</v>
      </c>
      <c r="Q62" s="95"/>
      <c r="R62" s="96">
        <v>0</v>
      </c>
      <c r="S62" s="96"/>
      <c r="T62" s="96"/>
      <c r="U62" s="96"/>
      <c r="V62" s="97"/>
      <c r="W62" s="97"/>
      <c r="X62" s="98"/>
      <c r="Y62" s="99">
        <v>0</v>
      </c>
      <c r="Z62" s="94">
        <f t="shared" si="8"/>
        <v>3417.7739999999999</v>
      </c>
      <c r="AA62" s="100">
        <f t="shared" si="7"/>
        <v>0</v>
      </c>
      <c r="AB62" s="94">
        <f t="shared" si="9"/>
        <v>3417.7739999999999</v>
      </c>
      <c r="AC62" s="101">
        <f t="shared" si="4"/>
        <v>341.7774</v>
      </c>
      <c r="AD62" s="100">
        <f t="shared" si="5"/>
        <v>14.784600000000001</v>
      </c>
      <c r="AE62" s="102">
        <f t="shared" si="6"/>
        <v>3774.3359999999998</v>
      </c>
      <c r="AF62" s="103"/>
      <c r="AG62" s="104">
        <f t="shared" si="15"/>
        <v>3417.7739999999999</v>
      </c>
      <c r="AH62" s="103"/>
      <c r="AI62" s="103"/>
      <c r="AJ62" s="104">
        <f t="shared" si="16"/>
        <v>3417.7739999999999</v>
      </c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</row>
    <row r="63" spans="1:52">
      <c r="A63" s="108" t="s">
        <v>381</v>
      </c>
      <c r="B63" s="88" t="s">
        <v>453</v>
      </c>
      <c r="C63" s="88"/>
      <c r="D63" s="88" t="s">
        <v>131</v>
      </c>
      <c r="E63" s="88" t="s">
        <v>454</v>
      </c>
      <c r="F63" s="88"/>
      <c r="G63" s="89"/>
      <c r="H63" s="89"/>
      <c r="I63" s="109">
        <v>608.16</v>
      </c>
      <c r="J63" s="89"/>
      <c r="K63" s="91">
        <f t="shared" si="0"/>
        <v>608.16</v>
      </c>
      <c r="L63" s="91">
        <v>1454.37</v>
      </c>
      <c r="M63" s="92"/>
      <c r="N63" s="92"/>
      <c r="O63" s="93"/>
      <c r="P63" s="94">
        <f t="shared" si="14"/>
        <v>2062.5299999999997</v>
      </c>
      <c r="Q63" s="95"/>
      <c r="R63" s="96"/>
      <c r="S63" s="110">
        <f t="shared" ref="S63:S64" si="17">P63*1%</f>
        <v>20.625299999999999</v>
      </c>
      <c r="T63" s="110">
        <f t="shared" ref="T63:T64" si="18">P63*4.9%</f>
        <v>101.06397</v>
      </c>
      <c r="U63" s="96"/>
      <c r="V63" s="97"/>
      <c r="W63" s="97"/>
      <c r="X63" s="98"/>
      <c r="Y63" s="99">
        <v>0</v>
      </c>
      <c r="Z63" s="94">
        <f t="shared" si="8"/>
        <v>1940.8407299999997</v>
      </c>
      <c r="AA63" s="100">
        <f t="shared" si="7"/>
        <v>0</v>
      </c>
      <c r="AB63" s="94">
        <f t="shared" si="9"/>
        <v>1940.8407299999997</v>
      </c>
      <c r="AC63" s="101">
        <f t="shared" si="4"/>
        <v>206.25299999999999</v>
      </c>
      <c r="AD63" s="100">
        <f t="shared" si="5"/>
        <v>12.1632</v>
      </c>
      <c r="AE63" s="102">
        <f t="shared" si="6"/>
        <v>2280.9461999999999</v>
      </c>
      <c r="AF63" s="103"/>
      <c r="AG63" s="104">
        <f t="shared" si="15"/>
        <v>1940.8407299999997</v>
      </c>
      <c r="AH63" s="103"/>
      <c r="AI63" s="103"/>
      <c r="AJ63" s="104">
        <f t="shared" si="16"/>
        <v>1940.8407299999997</v>
      </c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</row>
    <row r="64" spans="1:52">
      <c r="A64" s="108" t="s">
        <v>381</v>
      </c>
      <c r="B64" s="88" t="s">
        <v>455</v>
      </c>
      <c r="C64" s="88"/>
      <c r="D64" s="88" t="s">
        <v>133</v>
      </c>
      <c r="E64" s="88" t="s">
        <v>190</v>
      </c>
      <c r="F64" s="88"/>
      <c r="G64" s="89"/>
      <c r="H64" s="89"/>
      <c r="I64" s="109">
        <v>608.16</v>
      </c>
      <c r="J64" s="89"/>
      <c r="K64" s="91">
        <f t="shared" si="0"/>
        <v>608.16</v>
      </c>
      <c r="L64" s="91">
        <v>3219.319</v>
      </c>
      <c r="M64" s="92"/>
      <c r="N64" s="92"/>
      <c r="O64" s="93"/>
      <c r="P64" s="94">
        <f t="shared" si="14"/>
        <v>3827.4789999999998</v>
      </c>
      <c r="Q64" s="95"/>
      <c r="R64" s="110">
        <v>200</v>
      </c>
      <c r="S64" s="110">
        <f t="shared" si="17"/>
        <v>38.274789999999996</v>
      </c>
      <c r="T64" s="110">
        <f t="shared" si="18"/>
        <v>187.546471</v>
      </c>
      <c r="U64" s="110">
        <v>321.74</v>
      </c>
      <c r="V64" s="97"/>
      <c r="W64" s="97"/>
      <c r="X64" s="98"/>
      <c r="Y64" s="99">
        <v>0</v>
      </c>
      <c r="Z64" s="94">
        <f t="shared" si="8"/>
        <v>3079.9177389999995</v>
      </c>
      <c r="AA64" s="100">
        <f t="shared" si="7"/>
        <v>0</v>
      </c>
      <c r="AB64" s="94">
        <f t="shared" si="9"/>
        <v>3079.9177389999995</v>
      </c>
      <c r="AC64" s="101">
        <f t="shared" si="4"/>
        <v>382.74790000000002</v>
      </c>
      <c r="AD64" s="100">
        <f t="shared" si="5"/>
        <v>12.1632</v>
      </c>
      <c r="AE64" s="102">
        <f t="shared" si="6"/>
        <v>4222.3900999999996</v>
      </c>
      <c r="AF64" s="103"/>
      <c r="AG64" s="104">
        <f t="shared" si="15"/>
        <v>3079.9177389999995</v>
      </c>
      <c r="AH64" s="103"/>
      <c r="AI64" s="103"/>
      <c r="AJ64" s="104">
        <f t="shared" si="16"/>
        <v>3079.9177389999995</v>
      </c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</row>
    <row r="65" spans="1:52">
      <c r="A65" s="88" t="s">
        <v>431</v>
      </c>
      <c r="B65" s="88" t="s">
        <v>456</v>
      </c>
      <c r="C65" s="88"/>
      <c r="D65" s="88" t="s">
        <v>135</v>
      </c>
      <c r="E65" s="88" t="s">
        <v>186</v>
      </c>
      <c r="F65" s="88"/>
      <c r="G65" s="89"/>
      <c r="H65" s="89"/>
      <c r="I65" s="90">
        <v>1400</v>
      </c>
      <c r="J65" s="89"/>
      <c r="K65" s="91">
        <f t="shared" si="0"/>
        <v>1400</v>
      </c>
      <c r="L65" s="91"/>
      <c r="M65" s="92"/>
      <c r="N65" s="92"/>
      <c r="O65" s="93"/>
      <c r="P65" s="94">
        <f t="shared" si="14"/>
        <v>1400</v>
      </c>
      <c r="Q65" s="95"/>
      <c r="R65" s="96">
        <v>0</v>
      </c>
      <c r="S65" s="96"/>
      <c r="T65" s="96"/>
      <c r="U65" s="96"/>
      <c r="V65" s="97"/>
      <c r="W65" s="97"/>
      <c r="X65" s="98"/>
      <c r="Y65" s="99">
        <v>0</v>
      </c>
      <c r="Z65" s="94">
        <f t="shared" si="8"/>
        <v>1400</v>
      </c>
      <c r="AA65" s="100">
        <f t="shared" si="7"/>
        <v>0</v>
      </c>
      <c r="AB65" s="94">
        <f t="shared" si="9"/>
        <v>1400</v>
      </c>
      <c r="AC65" s="101">
        <f t="shared" si="4"/>
        <v>140</v>
      </c>
      <c r="AD65" s="100">
        <f t="shared" si="5"/>
        <v>28</v>
      </c>
      <c r="AE65" s="102">
        <f t="shared" si="6"/>
        <v>1568</v>
      </c>
      <c r="AF65" s="103"/>
      <c r="AG65" s="104">
        <f t="shared" si="15"/>
        <v>1400</v>
      </c>
      <c r="AH65" s="103"/>
      <c r="AI65" s="103"/>
      <c r="AJ65" s="104">
        <f t="shared" si="16"/>
        <v>1400</v>
      </c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</row>
    <row r="66" spans="1:52">
      <c r="A66" s="108" t="s">
        <v>381</v>
      </c>
      <c r="B66" s="88" t="s">
        <v>457</v>
      </c>
      <c r="C66" s="88"/>
      <c r="D66" s="88" t="s">
        <v>259</v>
      </c>
      <c r="E66" s="88" t="s">
        <v>190</v>
      </c>
      <c r="F66" s="88"/>
      <c r="G66" s="89"/>
      <c r="H66" s="89"/>
      <c r="I66" s="109">
        <v>608.16</v>
      </c>
      <c r="J66" s="89"/>
      <c r="K66" s="91">
        <f t="shared" si="0"/>
        <v>608.16</v>
      </c>
      <c r="L66" s="91">
        <v>406.8</v>
      </c>
      <c r="M66" s="92"/>
      <c r="N66" s="92"/>
      <c r="O66" s="93"/>
      <c r="P66" s="94">
        <f t="shared" si="14"/>
        <v>1014.96</v>
      </c>
      <c r="Q66" s="95"/>
      <c r="R66" s="96">
        <v>0</v>
      </c>
      <c r="S66" s="110">
        <f>P66*1%</f>
        <v>10.149600000000001</v>
      </c>
      <c r="T66" s="110">
        <f>P66*4.9%</f>
        <v>49.733040000000003</v>
      </c>
      <c r="U66" s="96"/>
      <c r="V66" s="97"/>
      <c r="W66" s="97"/>
      <c r="X66" s="98"/>
      <c r="Y66" s="99">
        <v>0</v>
      </c>
      <c r="Z66" s="94">
        <f t="shared" si="8"/>
        <v>955.07736</v>
      </c>
      <c r="AA66" s="100">
        <f t="shared" si="7"/>
        <v>0</v>
      </c>
      <c r="AB66" s="94">
        <f t="shared" si="9"/>
        <v>955.07736</v>
      </c>
      <c r="AC66" s="101">
        <f t="shared" si="4"/>
        <v>101.49600000000001</v>
      </c>
      <c r="AD66" s="100">
        <f t="shared" si="5"/>
        <v>12.1632</v>
      </c>
      <c r="AE66" s="102">
        <f t="shared" si="6"/>
        <v>1128.6192000000001</v>
      </c>
      <c r="AF66" s="103"/>
      <c r="AG66" s="104">
        <f t="shared" si="15"/>
        <v>955.07736</v>
      </c>
      <c r="AH66" s="103"/>
      <c r="AI66" s="103"/>
      <c r="AJ66" s="104">
        <f t="shared" si="16"/>
        <v>955.07736</v>
      </c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</row>
    <row r="67" spans="1:52">
      <c r="A67" s="88" t="s">
        <v>375</v>
      </c>
      <c r="B67" s="88" t="s">
        <v>458</v>
      </c>
      <c r="C67" s="88"/>
      <c r="D67" s="88" t="s">
        <v>139</v>
      </c>
      <c r="E67" s="88" t="s">
        <v>186</v>
      </c>
      <c r="F67" s="88"/>
      <c r="G67" s="88"/>
      <c r="H67" s="88"/>
      <c r="I67" s="90">
        <v>1400</v>
      </c>
      <c r="J67" s="88"/>
      <c r="K67" s="91">
        <f t="shared" si="0"/>
        <v>1400</v>
      </c>
      <c r="L67" s="91"/>
      <c r="M67" s="91"/>
      <c r="N67" s="91"/>
      <c r="O67" s="93"/>
      <c r="P67" s="94">
        <f t="shared" si="14"/>
        <v>1400</v>
      </c>
      <c r="Q67" s="95"/>
      <c r="R67" s="96">
        <v>0</v>
      </c>
      <c r="S67" s="96"/>
      <c r="T67" s="96"/>
      <c r="U67" s="96"/>
      <c r="V67" s="97"/>
      <c r="W67" s="97"/>
      <c r="X67" s="98"/>
      <c r="Y67" s="99">
        <v>0</v>
      </c>
      <c r="Z67" s="94">
        <f t="shared" si="8"/>
        <v>1400</v>
      </c>
      <c r="AA67" s="100">
        <f t="shared" si="7"/>
        <v>0</v>
      </c>
      <c r="AB67" s="94">
        <f t="shared" si="9"/>
        <v>1400</v>
      </c>
      <c r="AC67" s="101">
        <f t="shared" si="4"/>
        <v>140</v>
      </c>
      <c r="AD67" s="100">
        <f t="shared" si="5"/>
        <v>28</v>
      </c>
      <c r="AE67" s="102">
        <f t="shared" si="6"/>
        <v>1568</v>
      </c>
      <c r="AF67" s="103"/>
      <c r="AG67" s="104">
        <f t="shared" si="15"/>
        <v>1400</v>
      </c>
      <c r="AH67" s="103"/>
      <c r="AI67" s="103"/>
      <c r="AJ67" s="104">
        <f t="shared" si="16"/>
        <v>1400</v>
      </c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</row>
    <row r="68" spans="1:52" s="121" customFormat="1">
      <c r="A68" s="108" t="s">
        <v>383</v>
      </c>
      <c r="B68" s="111" t="s">
        <v>459</v>
      </c>
      <c r="C68" s="111"/>
      <c r="D68" s="111"/>
      <c r="E68" s="111" t="s">
        <v>177</v>
      </c>
      <c r="F68" s="111"/>
      <c r="G68" s="111"/>
      <c r="H68" s="111"/>
      <c r="I68" s="113">
        <v>739.23</v>
      </c>
      <c r="J68" s="111"/>
      <c r="K68" s="114">
        <f t="shared" si="0"/>
        <v>739.23</v>
      </c>
      <c r="L68" s="114">
        <v>332.68200000000002</v>
      </c>
      <c r="M68" s="114"/>
      <c r="N68" s="114"/>
      <c r="O68" s="115"/>
      <c r="P68" s="116">
        <f t="shared" si="14"/>
        <v>1071.912</v>
      </c>
      <c r="Q68" s="117"/>
      <c r="R68" s="117"/>
      <c r="S68" s="117"/>
      <c r="T68" s="117"/>
      <c r="U68" s="117"/>
      <c r="V68" s="118"/>
      <c r="W68" s="118"/>
      <c r="X68" s="111"/>
      <c r="Y68" s="119"/>
      <c r="Z68" s="116">
        <f t="shared" si="8"/>
        <v>1071.912</v>
      </c>
      <c r="AA68" s="120">
        <f t="shared" si="7"/>
        <v>0</v>
      </c>
      <c r="AB68" s="116">
        <f t="shared" si="9"/>
        <v>1071.912</v>
      </c>
      <c r="AC68" s="120">
        <f t="shared" si="4"/>
        <v>107.19120000000001</v>
      </c>
      <c r="AD68" s="120">
        <f t="shared" si="5"/>
        <v>14.784600000000001</v>
      </c>
      <c r="AE68" s="102">
        <f t="shared" si="6"/>
        <v>1193.8878</v>
      </c>
      <c r="AG68" s="122"/>
      <c r="AJ68" s="122"/>
    </row>
    <row r="69" spans="1:52">
      <c r="A69" s="108" t="s">
        <v>381</v>
      </c>
      <c r="B69" s="88" t="s">
        <v>460</v>
      </c>
      <c r="C69" s="88"/>
      <c r="D69" s="88" t="s">
        <v>141</v>
      </c>
      <c r="E69" s="88" t="s">
        <v>195</v>
      </c>
      <c r="F69" s="88"/>
      <c r="G69" s="89"/>
      <c r="H69" s="89"/>
      <c r="I69" s="109">
        <v>511.28</v>
      </c>
      <c r="J69" s="89"/>
      <c r="K69" s="91">
        <f t="shared" si="0"/>
        <v>511.28</v>
      </c>
      <c r="L69" s="91">
        <v>2488.44</v>
      </c>
      <c r="M69" s="92"/>
      <c r="N69" s="92"/>
      <c r="O69" s="93"/>
      <c r="P69" s="94">
        <f t="shared" si="14"/>
        <v>2999.7200000000003</v>
      </c>
      <c r="Q69" s="95"/>
      <c r="R69" s="110">
        <v>300</v>
      </c>
      <c r="S69" s="96"/>
      <c r="T69" s="96"/>
      <c r="U69" s="96"/>
      <c r="V69" s="97"/>
      <c r="W69" s="97"/>
      <c r="X69" s="98"/>
      <c r="Y69" s="99">
        <v>831.77</v>
      </c>
      <c r="Z69" s="94">
        <f t="shared" si="8"/>
        <v>1867.9500000000003</v>
      </c>
      <c r="AA69" s="100">
        <f t="shared" si="7"/>
        <v>0</v>
      </c>
      <c r="AB69" s="94">
        <f t="shared" si="9"/>
        <v>1867.9500000000003</v>
      </c>
      <c r="AC69" s="101">
        <f t="shared" si="4"/>
        <v>299.97200000000004</v>
      </c>
      <c r="AD69" s="100">
        <f t="shared" si="5"/>
        <v>10.2256</v>
      </c>
      <c r="AE69" s="102">
        <f t="shared" si="6"/>
        <v>3309.9176000000007</v>
      </c>
      <c r="AF69" s="103"/>
      <c r="AG69" s="104">
        <f t="shared" ref="AG69:AG77" si="19">+AB69-AF69</f>
        <v>1867.9500000000003</v>
      </c>
      <c r="AH69" s="103"/>
      <c r="AI69" s="103"/>
      <c r="AJ69" s="104">
        <f t="shared" ref="AJ69:AJ77" si="20">+AG69-AH69-AI69</f>
        <v>1867.9500000000003</v>
      </c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</row>
    <row r="70" spans="1:52">
      <c r="A70" s="88" t="s">
        <v>375</v>
      </c>
      <c r="B70" s="88" t="s">
        <v>461</v>
      </c>
      <c r="C70" s="88"/>
      <c r="D70" s="88" t="s">
        <v>143</v>
      </c>
      <c r="E70" s="88" t="s">
        <v>179</v>
      </c>
      <c r="F70" s="88"/>
      <c r="G70" s="88"/>
      <c r="H70" s="88"/>
      <c r="I70" s="90">
        <v>1166.26</v>
      </c>
      <c r="J70" s="90"/>
      <c r="K70" s="91">
        <f t="shared" si="0"/>
        <v>1166.26</v>
      </c>
      <c r="L70" s="91"/>
      <c r="M70" s="91"/>
      <c r="N70" s="91"/>
      <c r="O70" s="93"/>
      <c r="P70" s="94">
        <f t="shared" ref="P70:P86" si="21">SUM(K70:N70)-O70</f>
        <v>1166.26</v>
      </c>
      <c r="Q70" s="95"/>
      <c r="R70" s="96">
        <v>0</v>
      </c>
      <c r="S70" s="96"/>
      <c r="T70" s="96"/>
      <c r="U70" s="96"/>
      <c r="V70" s="97"/>
      <c r="W70" s="97"/>
      <c r="X70" s="98"/>
      <c r="Y70" s="99">
        <v>0</v>
      </c>
      <c r="Z70" s="94">
        <f t="shared" si="8"/>
        <v>1166.26</v>
      </c>
      <c r="AA70" s="100">
        <f t="shared" si="7"/>
        <v>0</v>
      </c>
      <c r="AB70" s="94">
        <f t="shared" si="9"/>
        <v>1166.26</v>
      </c>
      <c r="AC70" s="101">
        <f t="shared" si="4"/>
        <v>116.626</v>
      </c>
      <c r="AD70" s="100">
        <f t="shared" si="5"/>
        <v>23.325199999999999</v>
      </c>
      <c r="AE70" s="102">
        <f t="shared" si="6"/>
        <v>1306.2112</v>
      </c>
      <c r="AF70" s="103"/>
      <c r="AG70" s="104">
        <f t="shared" si="19"/>
        <v>1166.26</v>
      </c>
      <c r="AH70" s="103"/>
      <c r="AI70" s="103"/>
      <c r="AJ70" s="104">
        <f t="shared" si="20"/>
        <v>1166.26</v>
      </c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</row>
    <row r="71" spans="1:52">
      <c r="A71" s="88" t="s">
        <v>431</v>
      </c>
      <c r="B71" s="88" t="s">
        <v>462</v>
      </c>
      <c r="C71" s="88"/>
      <c r="D71" s="88" t="s">
        <v>188</v>
      </c>
      <c r="E71" s="88" t="s">
        <v>185</v>
      </c>
      <c r="F71" s="88"/>
      <c r="G71" s="88"/>
      <c r="H71" s="88"/>
      <c r="I71" s="90">
        <v>1100</v>
      </c>
      <c r="J71" s="88"/>
      <c r="K71" s="91">
        <f t="shared" ref="K71:K90" si="22">+I71+J71</f>
        <v>1100</v>
      </c>
      <c r="L71" s="91"/>
      <c r="M71" s="91"/>
      <c r="N71" s="91"/>
      <c r="O71" s="93"/>
      <c r="P71" s="94">
        <f t="shared" si="21"/>
        <v>1100</v>
      </c>
      <c r="Q71" s="95"/>
      <c r="R71" s="96">
        <v>0</v>
      </c>
      <c r="S71" s="96"/>
      <c r="T71" s="96"/>
      <c r="U71" s="96"/>
      <c r="V71" s="97"/>
      <c r="W71" s="97"/>
      <c r="X71" s="98"/>
      <c r="Y71" s="99">
        <v>0</v>
      </c>
      <c r="Z71" s="94">
        <f t="shared" si="8"/>
        <v>1100</v>
      </c>
      <c r="AA71" s="100">
        <f t="shared" si="7"/>
        <v>0</v>
      </c>
      <c r="AB71" s="94">
        <f t="shared" si="9"/>
        <v>1100</v>
      </c>
      <c r="AC71" s="101">
        <f t="shared" ref="AC71:AC90" si="23">IF(P71&lt;4500,P71*0.1,0)</f>
        <v>110</v>
      </c>
      <c r="AD71" s="100">
        <f t="shared" ref="AD71:AD90" si="24">I71*0.02</f>
        <v>22</v>
      </c>
      <c r="AE71" s="102">
        <f t="shared" ref="AE71:AE90" si="25">+P71+AC71+AD71</f>
        <v>1232</v>
      </c>
      <c r="AF71" s="103"/>
      <c r="AG71" s="104">
        <f t="shared" si="19"/>
        <v>1100</v>
      </c>
      <c r="AH71" s="103"/>
      <c r="AI71" s="103"/>
      <c r="AJ71" s="104">
        <f t="shared" si="20"/>
        <v>1100</v>
      </c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</row>
    <row r="72" spans="1:52">
      <c r="A72" s="88" t="s">
        <v>377</v>
      </c>
      <c r="B72" s="88" t="s">
        <v>463</v>
      </c>
      <c r="C72" s="88" t="s">
        <v>31</v>
      </c>
      <c r="D72" s="88">
        <v>21</v>
      </c>
      <c r="E72" s="88" t="s">
        <v>189</v>
      </c>
      <c r="F72" s="88"/>
      <c r="G72" s="89"/>
      <c r="H72" s="89"/>
      <c r="I72" s="88">
        <v>513.33000000000004</v>
      </c>
      <c r="J72" s="89"/>
      <c r="K72" s="91">
        <f t="shared" si="22"/>
        <v>513.33000000000004</v>
      </c>
      <c r="L72" s="91">
        <v>3251.67</v>
      </c>
      <c r="M72" s="92"/>
      <c r="N72" s="92"/>
      <c r="O72" s="93"/>
      <c r="P72" s="94">
        <f t="shared" si="21"/>
        <v>3765</v>
      </c>
      <c r="Q72" s="95"/>
      <c r="R72" s="96">
        <v>0</v>
      </c>
      <c r="S72" s="96"/>
      <c r="T72" s="96"/>
      <c r="U72" s="96"/>
      <c r="V72" s="97"/>
      <c r="W72" s="97"/>
      <c r="X72" s="98"/>
      <c r="Y72" s="106">
        <v>150.49</v>
      </c>
      <c r="Z72" s="94">
        <f t="shared" si="8"/>
        <v>3614.51</v>
      </c>
      <c r="AA72" s="100">
        <f t="shared" si="7"/>
        <v>0</v>
      </c>
      <c r="AB72" s="94">
        <f t="shared" si="9"/>
        <v>3614.51</v>
      </c>
      <c r="AC72" s="101">
        <f t="shared" si="23"/>
        <v>376.5</v>
      </c>
      <c r="AD72" s="100">
        <f t="shared" si="24"/>
        <v>10.2666</v>
      </c>
      <c r="AE72" s="102">
        <f t="shared" si="25"/>
        <v>4151.7665999999999</v>
      </c>
      <c r="AF72" s="103"/>
      <c r="AG72" s="104">
        <f t="shared" si="19"/>
        <v>3614.51</v>
      </c>
      <c r="AH72" s="103"/>
      <c r="AI72" s="103"/>
      <c r="AJ72" s="104">
        <f t="shared" si="20"/>
        <v>3614.51</v>
      </c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</row>
    <row r="73" spans="1:52">
      <c r="A73" s="88" t="s">
        <v>377</v>
      </c>
      <c r="B73" s="88" t="s">
        <v>464</v>
      </c>
      <c r="C73" s="88" t="s">
        <v>30</v>
      </c>
      <c r="D73" s="88" t="s">
        <v>148</v>
      </c>
      <c r="E73" s="88" t="s">
        <v>189</v>
      </c>
      <c r="F73" s="88"/>
      <c r="G73" s="89"/>
      <c r="H73" s="89"/>
      <c r="I73" s="88">
        <v>513.33000000000004</v>
      </c>
      <c r="J73" s="89"/>
      <c r="K73" s="91">
        <f t="shared" si="22"/>
        <v>513.33000000000004</v>
      </c>
      <c r="L73" s="91">
        <v>782.37</v>
      </c>
      <c r="M73" s="92"/>
      <c r="N73" s="92"/>
      <c r="O73" s="93"/>
      <c r="P73" s="94">
        <f t="shared" si="21"/>
        <v>1295.7</v>
      </c>
      <c r="Q73" s="95"/>
      <c r="R73" s="96">
        <v>0</v>
      </c>
      <c r="S73" s="96"/>
      <c r="T73" s="96"/>
      <c r="U73" s="96"/>
      <c r="V73" s="97"/>
      <c r="W73" s="97"/>
      <c r="X73" s="98"/>
      <c r="Y73" s="106">
        <v>0</v>
      </c>
      <c r="Z73" s="94">
        <f t="shared" si="8"/>
        <v>1295.7</v>
      </c>
      <c r="AA73" s="100">
        <f t="shared" si="7"/>
        <v>0</v>
      </c>
      <c r="AB73" s="94">
        <f t="shared" si="9"/>
        <v>1295.7</v>
      </c>
      <c r="AC73" s="101">
        <f t="shared" si="23"/>
        <v>129.57000000000002</v>
      </c>
      <c r="AD73" s="100">
        <f t="shared" si="24"/>
        <v>10.2666</v>
      </c>
      <c r="AE73" s="102">
        <f t="shared" si="25"/>
        <v>1435.5365999999999</v>
      </c>
      <c r="AF73" s="103"/>
      <c r="AG73" s="104">
        <f t="shared" si="19"/>
        <v>1295.7</v>
      </c>
      <c r="AH73" s="103"/>
      <c r="AI73" s="103"/>
      <c r="AJ73" s="104">
        <f t="shared" si="20"/>
        <v>1295.7</v>
      </c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</row>
    <row r="74" spans="1:52">
      <c r="A74" s="108" t="s">
        <v>381</v>
      </c>
      <c r="B74" s="88" t="s">
        <v>465</v>
      </c>
      <c r="C74" s="88"/>
      <c r="D74" s="88" t="s">
        <v>261</v>
      </c>
      <c r="E74" s="88" t="s">
        <v>466</v>
      </c>
      <c r="F74" s="88"/>
      <c r="G74" s="89"/>
      <c r="H74" s="89"/>
      <c r="I74" s="109">
        <v>543.20000000000005</v>
      </c>
      <c r="J74" s="89"/>
      <c r="K74" s="91">
        <f t="shared" si="22"/>
        <v>543.20000000000005</v>
      </c>
      <c r="L74" s="91">
        <v>1283.7</v>
      </c>
      <c r="M74" s="92"/>
      <c r="N74" s="92"/>
      <c r="O74" s="93"/>
      <c r="P74" s="94">
        <f t="shared" si="21"/>
        <v>1826.9</v>
      </c>
      <c r="Q74" s="95"/>
      <c r="R74" s="96">
        <v>0</v>
      </c>
      <c r="S74" s="110">
        <f t="shared" ref="S74:S75" si="26">P74*1%</f>
        <v>18.269000000000002</v>
      </c>
      <c r="T74" s="110">
        <f t="shared" ref="T74:T75" si="27">P74*4.9%</f>
        <v>89.518100000000004</v>
      </c>
      <c r="U74" s="96"/>
      <c r="V74" s="97"/>
      <c r="W74" s="97"/>
      <c r="X74" s="98"/>
      <c r="Y74" s="99">
        <v>0</v>
      </c>
      <c r="Z74" s="94">
        <f t="shared" si="8"/>
        <v>1719.1129000000001</v>
      </c>
      <c r="AA74" s="100">
        <f t="shared" si="7"/>
        <v>0</v>
      </c>
      <c r="AB74" s="94">
        <f t="shared" si="9"/>
        <v>1719.1129000000001</v>
      </c>
      <c r="AC74" s="101">
        <f t="shared" si="23"/>
        <v>182.69000000000003</v>
      </c>
      <c r="AD74" s="100">
        <f t="shared" si="24"/>
        <v>10.864000000000001</v>
      </c>
      <c r="AE74" s="102">
        <f t="shared" si="25"/>
        <v>2020.4540000000002</v>
      </c>
      <c r="AF74" s="103"/>
      <c r="AG74" s="104">
        <f t="shared" si="19"/>
        <v>1719.1129000000001</v>
      </c>
      <c r="AH74" s="103"/>
      <c r="AI74" s="103"/>
      <c r="AJ74" s="104">
        <f t="shared" si="20"/>
        <v>1719.1129000000001</v>
      </c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</row>
    <row r="75" spans="1:52">
      <c r="A75" s="108" t="s">
        <v>381</v>
      </c>
      <c r="B75" s="88" t="s">
        <v>467</v>
      </c>
      <c r="C75" s="88"/>
      <c r="D75" s="88" t="s">
        <v>152</v>
      </c>
      <c r="E75" s="88" t="s">
        <v>190</v>
      </c>
      <c r="F75" s="88"/>
      <c r="G75" s="89"/>
      <c r="H75" s="89"/>
      <c r="I75" s="109">
        <v>608.16</v>
      </c>
      <c r="J75" s="89"/>
      <c r="K75" s="91">
        <f t="shared" si="22"/>
        <v>608.16</v>
      </c>
      <c r="L75" s="91">
        <f>1692.89+5.571</f>
        <v>1698.461</v>
      </c>
      <c r="M75" s="92"/>
      <c r="N75" s="92"/>
      <c r="O75" s="93"/>
      <c r="P75" s="94">
        <f t="shared" si="21"/>
        <v>2306.6210000000001</v>
      </c>
      <c r="Q75" s="95"/>
      <c r="R75" s="110">
        <v>200</v>
      </c>
      <c r="S75" s="110">
        <f t="shared" si="26"/>
        <v>23.066210000000002</v>
      </c>
      <c r="T75" s="110">
        <f t="shared" si="27"/>
        <v>113.02442900000001</v>
      </c>
      <c r="U75" s="110">
        <v>257.64</v>
      </c>
      <c r="V75" s="97"/>
      <c r="W75" s="97"/>
      <c r="X75" s="98">
        <v>201.24</v>
      </c>
      <c r="Y75" s="99">
        <v>0</v>
      </c>
      <c r="Z75" s="94">
        <f t="shared" si="8"/>
        <v>1511.650361</v>
      </c>
      <c r="AA75" s="100">
        <f t="shared" ref="AA75:AA90" si="28">IF(P75&gt;4500,P75*0.1,0)</f>
        <v>0</v>
      </c>
      <c r="AB75" s="94">
        <f t="shared" si="9"/>
        <v>1511.650361</v>
      </c>
      <c r="AC75" s="101">
        <f t="shared" si="23"/>
        <v>230.66210000000001</v>
      </c>
      <c r="AD75" s="100">
        <f t="shared" si="24"/>
        <v>12.1632</v>
      </c>
      <c r="AE75" s="102">
        <f t="shared" si="25"/>
        <v>2549.4463000000001</v>
      </c>
      <c r="AF75" s="103"/>
      <c r="AG75" s="104">
        <f t="shared" si="19"/>
        <v>1511.650361</v>
      </c>
      <c r="AH75" s="103"/>
      <c r="AI75" s="103"/>
      <c r="AJ75" s="104">
        <f t="shared" si="20"/>
        <v>1511.650361</v>
      </c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</row>
    <row r="76" spans="1:52">
      <c r="A76" s="108" t="s">
        <v>383</v>
      </c>
      <c r="B76" s="88" t="s">
        <v>468</v>
      </c>
      <c r="C76" s="88"/>
      <c r="D76" s="88" t="s">
        <v>182</v>
      </c>
      <c r="E76" s="88" t="s">
        <v>183</v>
      </c>
      <c r="F76" s="88"/>
      <c r="G76" s="88"/>
      <c r="H76" s="88"/>
      <c r="I76" s="88">
        <v>739.23</v>
      </c>
      <c r="J76" s="88"/>
      <c r="K76" s="91">
        <f t="shared" si="22"/>
        <v>739.23</v>
      </c>
      <c r="L76" s="91">
        <v>2395.5239999999999</v>
      </c>
      <c r="M76" s="92"/>
      <c r="N76" s="92"/>
      <c r="O76" s="93"/>
      <c r="P76" s="94">
        <f t="shared" si="21"/>
        <v>3134.7539999999999</v>
      </c>
      <c r="Q76" s="95"/>
      <c r="R76" s="110">
        <v>150</v>
      </c>
      <c r="S76" s="96"/>
      <c r="T76" s="96"/>
      <c r="U76" s="96"/>
      <c r="V76" s="97"/>
      <c r="W76" s="97"/>
      <c r="X76" s="98"/>
      <c r="Y76" s="99">
        <v>0</v>
      </c>
      <c r="Z76" s="94">
        <f t="shared" si="8"/>
        <v>2984.7539999999999</v>
      </c>
      <c r="AA76" s="100">
        <f t="shared" si="28"/>
        <v>0</v>
      </c>
      <c r="AB76" s="94">
        <f t="shared" si="9"/>
        <v>2984.7539999999999</v>
      </c>
      <c r="AC76" s="101">
        <f t="shared" si="23"/>
        <v>313.47540000000004</v>
      </c>
      <c r="AD76" s="100">
        <f t="shared" si="24"/>
        <v>14.784600000000001</v>
      </c>
      <c r="AE76" s="102">
        <f t="shared" si="25"/>
        <v>3463.0140000000001</v>
      </c>
      <c r="AF76" s="103"/>
      <c r="AG76" s="104">
        <f t="shared" si="19"/>
        <v>2984.7539999999999</v>
      </c>
      <c r="AH76" s="103"/>
      <c r="AI76" s="103"/>
      <c r="AJ76" s="104">
        <f t="shared" si="20"/>
        <v>2984.7539999999999</v>
      </c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</row>
    <row r="77" spans="1:52">
      <c r="A77" s="88" t="s">
        <v>431</v>
      </c>
      <c r="B77" s="88" t="s">
        <v>469</v>
      </c>
      <c r="C77" s="88"/>
      <c r="D77" s="88" t="s">
        <v>155</v>
      </c>
      <c r="E77" s="88" t="s">
        <v>186</v>
      </c>
      <c r="F77" s="88"/>
      <c r="G77" s="89"/>
      <c r="H77" s="89"/>
      <c r="I77" s="90">
        <v>1400</v>
      </c>
      <c r="J77" s="89"/>
      <c r="K77" s="91">
        <f t="shared" si="22"/>
        <v>1400</v>
      </c>
      <c r="L77" s="91"/>
      <c r="M77" s="92"/>
      <c r="N77" s="92"/>
      <c r="O77" s="93"/>
      <c r="P77" s="94">
        <f t="shared" si="21"/>
        <v>1400</v>
      </c>
      <c r="Q77" s="95"/>
      <c r="R77" s="96">
        <v>0</v>
      </c>
      <c r="S77" s="96"/>
      <c r="T77" s="96"/>
      <c r="U77" s="96"/>
      <c r="V77" s="97"/>
      <c r="W77" s="97"/>
      <c r="X77" s="98"/>
      <c r="Y77" s="99">
        <v>355.65</v>
      </c>
      <c r="Z77" s="94">
        <f t="shared" si="8"/>
        <v>1044.3499999999999</v>
      </c>
      <c r="AA77" s="100">
        <f t="shared" si="28"/>
        <v>0</v>
      </c>
      <c r="AB77" s="94">
        <f t="shared" si="9"/>
        <v>1044.3499999999999</v>
      </c>
      <c r="AC77" s="101">
        <f t="shared" si="23"/>
        <v>140</v>
      </c>
      <c r="AD77" s="100">
        <f t="shared" si="24"/>
        <v>28</v>
      </c>
      <c r="AE77" s="102">
        <f t="shared" si="25"/>
        <v>1568</v>
      </c>
      <c r="AF77" s="103"/>
      <c r="AG77" s="104">
        <f t="shared" si="19"/>
        <v>1044.3499999999999</v>
      </c>
      <c r="AH77" s="103"/>
      <c r="AI77" s="103"/>
      <c r="AJ77" s="104">
        <f t="shared" si="20"/>
        <v>1044.3499999999999</v>
      </c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</row>
    <row r="78" spans="1:52" s="121" customFormat="1">
      <c r="A78" s="111" t="s">
        <v>431</v>
      </c>
      <c r="B78" s="111" t="s">
        <v>470</v>
      </c>
      <c r="C78" s="111"/>
      <c r="D78" s="111"/>
      <c r="E78" s="111" t="s">
        <v>186</v>
      </c>
      <c r="F78" s="111"/>
      <c r="G78" s="111"/>
      <c r="H78" s="111"/>
      <c r="I78" s="113">
        <v>1400</v>
      </c>
      <c r="J78" s="111"/>
      <c r="K78" s="114">
        <f t="shared" si="22"/>
        <v>1400</v>
      </c>
      <c r="L78" s="114"/>
      <c r="M78" s="114"/>
      <c r="N78" s="114"/>
      <c r="O78" s="115"/>
      <c r="P78" s="116">
        <f t="shared" si="21"/>
        <v>1400</v>
      </c>
      <c r="Q78" s="117"/>
      <c r="R78" s="117"/>
      <c r="S78" s="117"/>
      <c r="T78" s="117"/>
      <c r="U78" s="117"/>
      <c r="V78" s="118"/>
      <c r="W78" s="118"/>
      <c r="X78" s="111"/>
      <c r="Y78" s="119"/>
      <c r="Z78" s="116">
        <f t="shared" ref="Z78:Z86" si="29">+P78-SUM(Q78:Y78)</f>
        <v>1400</v>
      </c>
      <c r="AA78" s="120">
        <f t="shared" si="28"/>
        <v>0</v>
      </c>
      <c r="AB78" s="116">
        <f t="shared" ref="AB78:AB90" si="30">+Z78-AA78</f>
        <v>1400</v>
      </c>
      <c r="AC78" s="120">
        <f t="shared" si="23"/>
        <v>140</v>
      </c>
      <c r="AD78" s="120">
        <f t="shared" si="24"/>
        <v>28</v>
      </c>
      <c r="AE78" s="102">
        <f t="shared" si="25"/>
        <v>1568</v>
      </c>
      <c r="AG78" s="122"/>
      <c r="AJ78" s="122"/>
    </row>
    <row r="79" spans="1:52">
      <c r="A79" s="108" t="s">
        <v>383</v>
      </c>
      <c r="B79" s="88" t="s">
        <v>471</v>
      </c>
      <c r="C79" s="88"/>
      <c r="D79" s="88" t="s">
        <v>157</v>
      </c>
      <c r="E79" s="88" t="s">
        <v>177</v>
      </c>
      <c r="F79" s="88"/>
      <c r="G79" s="88"/>
      <c r="H79" s="88"/>
      <c r="I79" s="88">
        <v>739.23</v>
      </c>
      <c r="J79" s="88"/>
      <c r="K79" s="91">
        <f t="shared" si="22"/>
        <v>739.23</v>
      </c>
      <c r="L79" s="91">
        <v>1722.15</v>
      </c>
      <c r="M79" s="92"/>
      <c r="N79" s="92"/>
      <c r="O79" s="93"/>
      <c r="P79" s="94">
        <f t="shared" si="21"/>
        <v>2461.38</v>
      </c>
      <c r="Q79" s="95"/>
      <c r="R79" s="96">
        <v>0</v>
      </c>
      <c r="S79" s="96"/>
      <c r="T79" s="96"/>
      <c r="U79" s="96"/>
      <c r="V79" s="97"/>
      <c r="W79" s="97"/>
      <c r="X79" s="98"/>
      <c r="Y79" s="99">
        <v>0</v>
      </c>
      <c r="Z79" s="94">
        <f t="shared" si="29"/>
        <v>2461.38</v>
      </c>
      <c r="AA79" s="100">
        <f t="shared" si="28"/>
        <v>0</v>
      </c>
      <c r="AB79" s="94">
        <f t="shared" si="30"/>
        <v>2461.38</v>
      </c>
      <c r="AC79" s="101">
        <f t="shared" si="23"/>
        <v>246.13800000000003</v>
      </c>
      <c r="AD79" s="100">
        <f t="shared" si="24"/>
        <v>14.784600000000001</v>
      </c>
      <c r="AE79" s="102">
        <f t="shared" si="25"/>
        <v>2722.3026</v>
      </c>
      <c r="AF79" s="103"/>
      <c r="AG79" s="104">
        <f t="shared" ref="AG79:AG94" si="31">+AB79-AF79</f>
        <v>2461.38</v>
      </c>
      <c r="AH79" s="103"/>
      <c r="AI79" s="103"/>
      <c r="AJ79" s="104">
        <f t="shared" ref="AJ79:AJ90" si="32">+AG79-AH79-AI79</f>
        <v>2461.38</v>
      </c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</row>
    <row r="80" spans="1:52">
      <c r="A80" s="108" t="s">
        <v>383</v>
      </c>
      <c r="B80" s="88" t="s">
        <v>472</v>
      </c>
      <c r="C80" s="88"/>
      <c r="D80" s="88" t="s">
        <v>159</v>
      </c>
      <c r="E80" s="88" t="s">
        <v>184</v>
      </c>
      <c r="F80" s="88"/>
      <c r="G80" s="88"/>
      <c r="H80" s="88"/>
      <c r="I80" s="88">
        <v>739.23</v>
      </c>
      <c r="J80" s="88"/>
      <c r="K80" s="91">
        <f t="shared" si="22"/>
        <v>739.23</v>
      </c>
      <c r="L80" s="91">
        <v>2400.4969999999998</v>
      </c>
      <c r="M80" s="91"/>
      <c r="N80" s="91"/>
      <c r="O80" s="93"/>
      <c r="P80" s="94">
        <f t="shared" si="21"/>
        <v>3139.7269999999999</v>
      </c>
      <c r="Q80" s="95"/>
      <c r="R80" s="96">
        <v>0</v>
      </c>
      <c r="S80" s="96"/>
      <c r="T80" s="96"/>
      <c r="U80" s="96"/>
      <c r="V80" s="97"/>
      <c r="W80" s="97"/>
      <c r="X80" s="98"/>
      <c r="Y80" s="99">
        <v>0</v>
      </c>
      <c r="Z80" s="94">
        <f t="shared" si="29"/>
        <v>3139.7269999999999</v>
      </c>
      <c r="AA80" s="100">
        <f t="shared" si="28"/>
        <v>0</v>
      </c>
      <c r="AB80" s="94">
        <f t="shared" si="30"/>
        <v>3139.7269999999999</v>
      </c>
      <c r="AC80" s="101">
        <f t="shared" si="23"/>
        <v>313.97270000000003</v>
      </c>
      <c r="AD80" s="100">
        <f t="shared" si="24"/>
        <v>14.784600000000001</v>
      </c>
      <c r="AE80" s="102">
        <f t="shared" si="25"/>
        <v>3468.4843000000001</v>
      </c>
      <c r="AF80" s="103"/>
      <c r="AG80" s="104">
        <f t="shared" si="31"/>
        <v>3139.7269999999999</v>
      </c>
      <c r="AH80" s="103"/>
      <c r="AI80" s="103"/>
      <c r="AJ80" s="104">
        <f t="shared" si="32"/>
        <v>3139.7269999999999</v>
      </c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</row>
    <row r="81" spans="1:52">
      <c r="A81" s="88" t="s">
        <v>377</v>
      </c>
      <c r="B81" s="88" t="s">
        <v>473</v>
      </c>
      <c r="C81" s="88" t="s">
        <v>32</v>
      </c>
      <c r="D81" s="88" t="s">
        <v>163</v>
      </c>
      <c r="E81" s="88" t="s">
        <v>189</v>
      </c>
      <c r="F81" s="88"/>
      <c r="G81" s="89"/>
      <c r="H81" s="89"/>
      <c r="I81" s="88">
        <v>513.33000000000004</v>
      </c>
      <c r="J81" s="89">
        <v>653.33000000000004</v>
      </c>
      <c r="K81" s="91">
        <f t="shared" si="22"/>
        <v>1166.6600000000001</v>
      </c>
      <c r="L81" s="91">
        <v>12504.16</v>
      </c>
      <c r="M81" s="92"/>
      <c r="N81" s="92"/>
      <c r="O81" s="93"/>
      <c r="P81" s="94">
        <f t="shared" si="21"/>
        <v>13670.82</v>
      </c>
      <c r="Q81" s="95"/>
      <c r="R81" s="96">
        <v>0</v>
      </c>
      <c r="S81" s="96"/>
      <c r="T81" s="96"/>
      <c r="U81" s="96"/>
      <c r="V81" s="97"/>
      <c r="W81" s="97"/>
      <c r="X81" s="98"/>
      <c r="Y81" s="106">
        <v>488.83</v>
      </c>
      <c r="Z81" s="94">
        <f t="shared" si="29"/>
        <v>13181.99</v>
      </c>
      <c r="AA81" s="100">
        <f t="shared" si="28"/>
        <v>1367.0820000000001</v>
      </c>
      <c r="AB81" s="94">
        <f t="shared" si="30"/>
        <v>11814.907999999999</v>
      </c>
      <c r="AC81" s="101">
        <f t="shared" si="23"/>
        <v>0</v>
      </c>
      <c r="AD81" s="100">
        <f t="shared" si="24"/>
        <v>10.2666</v>
      </c>
      <c r="AE81" s="102">
        <f t="shared" si="25"/>
        <v>13681.086600000001</v>
      </c>
      <c r="AF81" s="103"/>
      <c r="AG81" s="104">
        <f t="shared" si="31"/>
        <v>11814.907999999999</v>
      </c>
      <c r="AH81" s="103"/>
      <c r="AI81" s="103"/>
      <c r="AJ81" s="104">
        <f t="shared" si="32"/>
        <v>11814.907999999999</v>
      </c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</row>
    <row r="82" spans="1:52">
      <c r="A82" s="88" t="s">
        <v>389</v>
      </c>
      <c r="B82" s="88" t="s">
        <v>474</v>
      </c>
      <c r="C82" s="88" t="s">
        <v>391</v>
      </c>
      <c r="D82" s="88" t="s">
        <v>165</v>
      </c>
      <c r="E82" s="88" t="s">
        <v>392</v>
      </c>
      <c r="F82" s="88"/>
      <c r="G82" s="89"/>
      <c r="H82" s="89"/>
      <c r="I82" s="90">
        <v>1166.67</v>
      </c>
      <c r="J82" s="89"/>
      <c r="K82" s="91">
        <f t="shared" si="22"/>
        <v>1166.67</v>
      </c>
      <c r="L82" s="91">
        <v>1500</v>
      </c>
      <c r="M82" s="92"/>
      <c r="N82" s="92"/>
      <c r="O82" s="93"/>
      <c r="P82" s="94">
        <f t="shared" si="21"/>
        <v>2666.67</v>
      </c>
      <c r="Q82" s="95"/>
      <c r="R82" s="96">
        <v>0</v>
      </c>
      <c r="S82" s="96"/>
      <c r="T82" s="96"/>
      <c r="U82" s="96"/>
      <c r="V82" s="97"/>
      <c r="W82" s="97"/>
      <c r="X82" s="98"/>
      <c r="Y82" s="99">
        <v>0</v>
      </c>
      <c r="Z82" s="94">
        <f t="shared" si="29"/>
        <v>2666.67</v>
      </c>
      <c r="AA82" s="100">
        <f t="shared" si="28"/>
        <v>0</v>
      </c>
      <c r="AB82" s="94">
        <f t="shared" si="30"/>
        <v>2666.67</v>
      </c>
      <c r="AC82" s="101">
        <f t="shared" si="23"/>
        <v>266.66700000000003</v>
      </c>
      <c r="AD82" s="100">
        <f t="shared" si="24"/>
        <v>23.333400000000001</v>
      </c>
      <c r="AE82" s="102">
        <f t="shared" si="25"/>
        <v>2956.6704</v>
      </c>
      <c r="AF82" s="103"/>
      <c r="AG82" s="104">
        <f t="shared" si="31"/>
        <v>2666.67</v>
      </c>
      <c r="AH82" s="103"/>
      <c r="AI82" s="103"/>
      <c r="AJ82" s="104">
        <f t="shared" si="32"/>
        <v>2666.67</v>
      </c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</row>
    <row r="83" spans="1:52">
      <c r="A83" s="108" t="s">
        <v>381</v>
      </c>
      <c r="B83" s="88" t="s">
        <v>475</v>
      </c>
      <c r="C83" s="88"/>
      <c r="D83" s="88" t="s">
        <v>167</v>
      </c>
      <c r="E83" s="88" t="s">
        <v>193</v>
      </c>
      <c r="F83" s="88"/>
      <c r="G83" s="89"/>
      <c r="H83" s="89"/>
      <c r="I83" s="109">
        <v>608.16</v>
      </c>
      <c r="J83" s="89"/>
      <c r="K83" s="91">
        <f t="shared" si="22"/>
        <v>608.16</v>
      </c>
      <c r="L83" s="91">
        <v>2862.13</v>
      </c>
      <c r="M83" s="92"/>
      <c r="N83" s="92"/>
      <c r="O83" s="93"/>
      <c r="P83" s="94">
        <f t="shared" si="21"/>
        <v>3470.29</v>
      </c>
      <c r="Q83" s="95"/>
      <c r="R83" s="110">
        <v>200</v>
      </c>
      <c r="S83" s="110">
        <f>P83*1%</f>
        <v>34.7029</v>
      </c>
      <c r="T83" s="110">
        <f>P83*4.9%</f>
        <v>170.04420999999999</v>
      </c>
      <c r="U83" s="96"/>
      <c r="V83" s="97"/>
      <c r="W83" s="97"/>
      <c r="X83" s="98"/>
      <c r="Y83" s="99">
        <v>0</v>
      </c>
      <c r="Z83" s="94">
        <f t="shared" si="29"/>
        <v>3065.5428899999997</v>
      </c>
      <c r="AA83" s="100">
        <f t="shared" si="28"/>
        <v>0</v>
      </c>
      <c r="AB83" s="94">
        <f t="shared" si="30"/>
        <v>3065.5428899999997</v>
      </c>
      <c r="AC83" s="101">
        <f t="shared" si="23"/>
        <v>347.029</v>
      </c>
      <c r="AD83" s="100">
        <f t="shared" si="24"/>
        <v>12.1632</v>
      </c>
      <c r="AE83" s="102">
        <f t="shared" si="25"/>
        <v>3829.4821999999999</v>
      </c>
      <c r="AF83" s="103"/>
      <c r="AG83" s="104">
        <f t="shared" si="31"/>
        <v>3065.5428899999997</v>
      </c>
      <c r="AH83" s="103"/>
      <c r="AI83" s="103"/>
      <c r="AJ83" s="104">
        <f t="shared" si="32"/>
        <v>3065.5428899999997</v>
      </c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</row>
    <row r="84" spans="1:52">
      <c r="A84" s="88" t="s">
        <v>375</v>
      </c>
      <c r="B84" s="88" t="s">
        <v>476</v>
      </c>
      <c r="C84" s="88"/>
      <c r="D84" s="88" t="s">
        <v>169</v>
      </c>
      <c r="E84" s="88" t="s">
        <v>185</v>
      </c>
      <c r="F84" s="88"/>
      <c r="G84" s="88"/>
      <c r="H84" s="88"/>
      <c r="I84" s="90">
        <v>1100</v>
      </c>
      <c r="J84" s="88"/>
      <c r="K84" s="91">
        <f t="shared" si="22"/>
        <v>1100</v>
      </c>
      <c r="L84" s="91"/>
      <c r="M84" s="91"/>
      <c r="N84" s="91"/>
      <c r="O84" s="93"/>
      <c r="P84" s="94">
        <f t="shared" si="21"/>
        <v>1100</v>
      </c>
      <c r="Q84" s="95"/>
      <c r="R84" s="96">
        <v>0</v>
      </c>
      <c r="S84" s="96"/>
      <c r="T84" s="96"/>
      <c r="U84" s="96"/>
      <c r="V84" s="97"/>
      <c r="W84" s="97"/>
      <c r="X84" s="98"/>
      <c r="Y84" s="99">
        <v>0</v>
      </c>
      <c r="Z84" s="94">
        <f t="shared" si="29"/>
        <v>1100</v>
      </c>
      <c r="AA84" s="100">
        <f t="shared" si="28"/>
        <v>0</v>
      </c>
      <c r="AB84" s="94">
        <f t="shared" si="30"/>
        <v>1100</v>
      </c>
      <c r="AC84" s="101">
        <f t="shared" si="23"/>
        <v>110</v>
      </c>
      <c r="AD84" s="100">
        <f t="shared" si="24"/>
        <v>22</v>
      </c>
      <c r="AE84" s="102">
        <f t="shared" si="25"/>
        <v>1232</v>
      </c>
      <c r="AF84" s="103"/>
      <c r="AG84" s="104">
        <f t="shared" si="31"/>
        <v>1100</v>
      </c>
      <c r="AH84" s="103"/>
      <c r="AI84" s="103"/>
      <c r="AJ84" s="104">
        <f t="shared" si="32"/>
        <v>1100</v>
      </c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</row>
    <row r="85" spans="1:52">
      <c r="A85" s="88" t="s">
        <v>377</v>
      </c>
      <c r="B85" s="88" t="s">
        <v>477</v>
      </c>
      <c r="C85" s="88" t="s">
        <v>31</v>
      </c>
      <c r="D85" s="88" t="s">
        <v>171</v>
      </c>
      <c r="E85" s="88" t="s">
        <v>189</v>
      </c>
      <c r="F85" s="88"/>
      <c r="G85" s="89"/>
      <c r="H85" s="89"/>
      <c r="I85" s="88">
        <v>513.33000000000004</v>
      </c>
      <c r="J85" s="89">
        <v>653.33000000000004</v>
      </c>
      <c r="K85" s="91">
        <f t="shared" si="22"/>
        <v>1166.6600000000001</v>
      </c>
      <c r="L85" s="91"/>
      <c r="M85" s="92"/>
      <c r="N85" s="92"/>
      <c r="O85" s="93"/>
      <c r="P85" s="94">
        <f t="shared" si="21"/>
        <v>1166.6600000000001</v>
      </c>
      <c r="Q85" s="95"/>
      <c r="R85" s="96">
        <v>0</v>
      </c>
      <c r="S85" s="96"/>
      <c r="T85" s="96"/>
      <c r="U85" s="96"/>
      <c r="V85" s="97"/>
      <c r="W85" s="97"/>
      <c r="X85" s="98"/>
      <c r="Y85" s="106">
        <v>0</v>
      </c>
      <c r="Z85" s="94">
        <f t="shared" si="29"/>
        <v>1166.6600000000001</v>
      </c>
      <c r="AA85" s="100">
        <f t="shared" si="28"/>
        <v>0</v>
      </c>
      <c r="AB85" s="94">
        <f t="shared" si="30"/>
        <v>1166.6600000000001</v>
      </c>
      <c r="AC85" s="101">
        <f t="shared" si="23"/>
        <v>116.66600000000001</v>
      </c>
      <c r="AD85" s="100">
        <f t="shared" si="24"/>
        <v>10.2666</v>
      </c>
      <c r="AE85" s="102">
        <f t="shared" si="25"/>
        <v>1293.5925999999999</v>
      </c>
      <c r="AF85" s="103"/>
      <c r="AG85" s="104">
        <f t="shared" si="31"/>
        <v>1166.6600000000001</v>
      </c>
      <c r="AH85" s="103"/>
      <c r="AI85" s="103"/>
      <c r="AJ85" s="104">
        <f t="shared" si="32"/>
        <v>1166.6600000000001</v>
      </c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</row>
    <row r="86" spans="1:52">
      <c r="A86" s="108" t="s">
        <v>383</v>
      </c>
      <c r="B86" s="88" t="s">
        <v>478</v>
      </c>
      <c r="C86" s="88"/>
      <c r="D86" s="88" t="s">
        <v>173</v>
      </c>
      <c r="E86" s="88" t="s">
        <v>385</v>
      </c>
      <c r="F86" s="88"/>
      <c r="G86" s="88"/>
      <c r="H86" s="88"/>
      <c r="I86" s="88">
        <v>739.23</v>
      </c>
      <c r="J86" s="88"/>
      <c r="K86" s="91">
        <f t="shared" si="22"/>
        <v>739.23</v>
      </c>
      <c r="L86" s="91">
        <v>3239.2959999999998</v>
      </c>
      <c r="M86" s="91"/>
      <c r="N86" s="91"/>
      <c r="O86" s="93"/>
      <c r="P86" s="94">
        <f t="shared" si="21"/>
        <v>3978.5259999999998</v>
      </c>
      <c r="Q86" s="95"/>
      <c r="R86" s="110">
        <v>500</v>
      </c>
      <c r="S86" s="96"/>
      <c r="T86" s="96"/>
      <c r="U86" s="96"/>
      <c r="V86" s="97"/>
      <c r="W86" s="97"/>
      <c r="X86" s="98"/>
      <c r="Y86" s="99">
        <v>0</v>
      </c>
      <c r="Z86" s="94">
        <f t="shared" si="29"/>
        <v>3478.5259999999998</v>
      </c>
      <c r="AA86" s="100">
        <f t="shared" si="28"/>
        <v>0</v>
      </c>
      <c r="AB86" s="94">
        <f t="shared" si="30"/>
        <v>3478.5259999999998</v>
      </c>
      <c r="AC86" s="101">
        <f t="shared" si="23"/>
        <v>397.8526</v>
      </c>
      <c r="AD86" s="100">
        <f t="shared" si="24"/>
        <v>14.784600000000001</v>
      </c>
      <c r="AE86" s="102">
        <f t="shared" si="25"/>
        <v>4391.1632</v>
      </c>
      <c r="AF86" s="103"/>
      <c r="AG86" s="104">
        <f t="shared" si="31"/>
        <v>3478.5259999999998</v>
      </c>
      <c r="AH86" s="103"/>
      <c r="AI86" s="103"/>
      <c r="AJ86" s="104">
        <f t="shared" si="32"/>
        <v>3478.5259999999998</v>
      </c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</row>
    <row r="87" spans="1:52">
      <c r="A87" s="88" t="s">
        <v>377</v>
      </c>
      <c r="B87" s="88" t="s">
        <v>479</v>
      </c>
      <c r="C87" s="88" t="s">
        <v>32</v>
      </c>
      <c r="D87" s="88" t="s">
        <v>175</v>
      </c>
      <c r="E87" s="88" t="s">
        <v>189</v>
      </c>
      <c r="F87" s="88"/>
      <c r="G87" s="89"/>
      <c r="H87" s="89"/>
      <c r="I87" s="88">
        <v>513.33000000000004</v>
      </c>
      <c r="J87" s="89">
        <v>653.33000000000004</v>
      </c>
      <c r="K87" s="91">
        <f t="shared" si="22"/>
        <v>1166.6600000000001</v>
      </c>
      <c r="L87" s="91">
        <f>1256.76+3397.56</f>
        <v>4654.32</v>
      </c>
      <c r="M87" s="91"/>
      <c r="N87" s="91"/>
      <c r="O87" s="93"/>
      <c r="P87" s="94">
        <f t="shared" ref="P87:P88" si="33">SUM(K87:N87)-O87</f>
        <v>5820.98</v>
      </c>
      <c r="Q87" s="95"/>
      <c r="R87" s="110">
        <v>500</v>
      </c>
      <c r="S87" s="96"/>
      <c r="T87" s="96"/>
      <c r="U87" s="96"/>
      <c r="V87" s="97"/>
      <c r="W87" s="97"/>
      <c r="X87" s="98"/>
      <c r="Y87" s="106">
        <v>0</v>
      </c>
      <c r="Z87" s="94">
        <f t="shared" ref="Z87:Z90" si="34">+P87-SUM(Q87:Y87)</f>
        <v>5320.98</v>
      </c>
      <c r="AA87" s="100">
        <f t="shared" si="28"/>
        <v>582.09799999999996</v>
      </c>
      <c r="AB87" s="94">
        <f t="shared" si="30"/>
        <v>4738.8819999999996</v>
      </c>
      <c r="AC87" s="101">
        <f t="shared" si="23"/>
        <v>0</v>
      </c>
      <c r="AD87" s="100">
        <f t="shared" si="24"/>
        <v>10.2666</v>
      </c>
      <c r="AE87" s="102">
        <f t="shared" si="25"/>
        <v>5831.2465999999995</v>
      </c>
      <c r="AF87" s="103"/>
      <c r="AG87" s="104">
        <f t="shared" si="31"/>
        <v>4738.8819999999996</v>
      </c>
      <c r="AH87" s="103"/>
      <c r="AI87" s="103"/>
      <c r="AJ87" s="104">
        <f t="shared" si="32"/>
        <v>4738.8819999999996</v>
      </c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</row>
    <row r="88" spans="1:52">
      <c r="A88" s="88" t="s">
        <v>377</v>
      </c>
      <c r="B88" s="88" t="s">
        <v>480</v>
      </c>
      <c r="C88" s="88" t="s">
        <v>32</v>
      </c>
      <c r="D88" s="129" t="s">
        <v>199</v>
      </c>
      <c r="E88" s="88" t="s">
        <v>189</v>
      </c>
      <c r="F88" s="88"/>
      <c r="G88" s="89"/>
      <c r="H88" s="89"/>
      <c r="I88" s="88">
        <v>513.33000000000004</v>
      </c>
      <c r="J88" s="89">
        <v>653.33000000000004</v>
      </c>
      <c r="K88" s="91">
        <f t="shared" si="22"/>
        <v>1166.6600000000001</v>
      </c>
      <c r="L88" s="91"/>
      <c r="M88" s="91"/>
      <c r="N88" s="91"/>
      <c r="O88" s="93"/>
      <c r="P88" s="94">
        <f t="shared" si="33"/>
        <v>1166.6600000000001</v>
      </c>
      <c r="Q88" s="95"/>
      <c r="R88" s="96"/>
      <c r="S88" s="96"/>
      <c r="T88" s="96"/>
      <c r="U88" s="96"/>
      <c r="V88" s="97"/>
      <c r="W88" s="97"/>
      <c r="X88" s="98"/>
      <c r="Y88" s="106">
        <v>291.5</v>
      </c>
      <c r="Z88" s="94">
        <f t="shared" si="34"/>
        <v>875.16000000000008</v>
      </c>
      <c r="AA88" s="100">
        <f t="shared" si="28"/>
        <v>0</v>
      </c>
      <c r="AB88" s="94">
        <f t="shared" si="30"/>
        <v>875.16000000000008</v>
      </c>
      <c r="AC88" s="101">
        <f t="shared" si="23"/>
        <v>116.66600000000001</v>
      </c>
      <c r="AD88" s="100">
        <f t="shared" si="24"/>
        <v>10.2666</v>
      </c>
      <c r="AE88" s="102">
        <f t="shared" si="25"/>
        <v>1293.5925999999999</v>
      </c>
      <c r="AF88" s="103"/>
      <c r="AG88" s="104">
        <f t="shared" si="31"/>
        <v>875.16000000000008</v>
      </c>
      <c r="AH88" s="103"/>
      <c r="AI88" s="103"/>
      <c r="AJ88" s="104">
        <f t="shared" si="32"/>
        <v>875.16000000000008</v>
      </c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</row>
    <row r="89" spans="1:52">
      <c r="A89" s="88" t="s">
        <v>375</v>
      </c>
      <c r="B89" s="130" t="s">
        <v>481</v>
      </c>
      <c r="C89" s="131"/>
      <c r="D89" s="129"/>
      <c r="E89" s="88" t="s">
        <v>482</v>
      </c>
      <c r="F89" s="88"/>
      <c r="G89" s="89"/>
      <c r="H89" s="89"/>
      <c r="I89" s="132">
        <v>1166.26</v>
      </c>
      <c r="J89" s="89"/>
      <c r="K89" s="91">
        <f t="shared" si="22"/>
        <v>1166.26</v>
      </c>
      <c r="L89" s="91">
        <v>2532.36</v>
      </c>
      <c r="M89" s="92"/>
      <c r="N89" s="92"/>
      <c r="O89" s="93"/>
      <c r="P89" s="94">
        <f t="shared" ref="P89:P90" si="35">SUM(K89:N89)-O89</f>
        <v>3698.62</v>
      </c>
      <c r="Q89" s="95"/>
      <c r="R89" s="96"/>
      <c r="S89" s="96"/>
      <c r="T89" s="96"/>
      <c r="U89" s="96"/>
      <c r="V89" s="97"/>
      <c r="W89" s="97"/>
      <c r="X89" s="98"/>
      <c r="Y89" s="99">
        <v>0</v>
      </c>
      <c r="Z89" s="94">
        <f t="shared" si="34"/>
        <v>3698.62</v>
      </c>
      <c r="AA89" s="100">
        <f t="shared" si="28"/>
        <v>0</v>
      </c>
      <c r="AB89" s="94">
        <f t="shared" si="30"/>
        <v>3698.62</v>
      </c>
      <c r="AC89" s="101">
        <f t="shared" si="23"/>
        <v>369.86200000000002</v>
      </c>
      <c r="AD89" s="100">
        <f t="shared" si="24"/>
        <v>23.325199999999999</v>
      </c>
      <c r="AE89" s="102">
        <f t="shared" si="25"/>
        <v>4091.8072000000002</v>
      </c>
      <c r="AF89" s="103"/>
      <c r="AG89" s="104">
        <f t="shared" si="31"/>
        <v>3698.62</v>
      </c>
      <c r="AH89" s="103"/>
      <c r="AI89" s="103"/>
      <c r="AJ89" s="104">
        <f t="shared" si="32"/>
        <v>3698.62</v>
      </c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</row>
    <row r="90" spans="1:52">
      <c r="A90" s="88" t="s">
        <v>377</v>
      </c>
      <c r="B90" s="131" t="s">
        <v>483</v>
      </c>
      <c r="C90" s="88" t="s">
        <v>30</v>
      </c>
      <c r="D90" s="129"/>
      <c r="E90" s="88" t="s">
        <v>189</v>
      </c>
      <c r="F90" s="88"/>
      <c r="G90" s="89"/>
      <c r="H90" s="89"/>
      <c r="I90" s="132">
        <v>1166.26</v>
      </c>
      <c r="J90" s="89"/>
      <c r="K90" s="91">
        <f t="shared" si="22"/>
        <v>1166.26</v>
      </c>
      <c r="L90" s="91"/>
      <c r="M90" s="92"/>
      <c r="N90" s="92"/>
      <c r="O90" s="93"/>
      <c r="P90" s="94">
        <f t="shared" si="35"/>
        <v>1166.26</v>
      </c>
      <c r="Q90" s="95"/>
      <c r="R90" s="96"/>
      <c r="S90" s="96"/>
      <c r="T90" s="96"/>
      <c r="U90" s="96"/>
      <c r="V90" s="97"/>
      <c r="W90" s="97"/>
      <c r="X90" s="98"/>
      <c r="Y90" s="106">
        <v>0</v>
      </c>
      <c r="Z90" s="94">
        <f t="shared" si="34"/>
        <v>1166.26</v>
      </c>
      <c r="AA90" s="100">
        <f t="shared" si="28"/>
        <v>0</v>
      </c>
      <c r="AB90" s="94">
        <f t="shared" si="30"/>
        <v>1166.26</v>
      </c>
      <c r="AC90" s="101">
        <f t="shared" si="23"/>
        <v>116.626</v>
      </c>
      <c r="AD90" s="100">
        <f t="shared" si="24"/>
        <v>23.325199999999999</v>
      </c>
      <c r="AE90" s="102">
        <f t="shared" si="25"/>
        <v>1306.2112</v>
      </c>
      <c r="AF90" s="103"/>
      <c r="AG90" s="104">
        <f t="shared" si="31"/>
        <v>1166.26</v>
      </c>
      <c r="AH90" s="103"/>
      <c r="AI90" s="103"/>
      <c r="AJ90" s="104">
        <f t="shared" si="32"/>
        <v>1166.26</v>
      </c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</row>
    <row r="91" spans="1:52">
      <c r="A91" s="88"/>
      <c r="B91" s="88"/>
      <c r="C91" s="88"/>
      <c r="D91" s="129"/>
      <c r="E91" s="88"/>
      <c r="F91" s="88"/>
      <c r="G91" s="89"/>
      <c r="H91" s="89"/>
      <c r="I91" s="88"/>
      <c r="J91" s="89"/>
      <c r="K91" s="91"/>
      <c r="L91" s="91"/>
      <c r="M91" s="92"/>
      <c r="N91" s="92"/>
      <c r="O91" s="93"/>
      <c r="P91" s="94"/>
      <c r="Q91" s="95"/>
      <c r="R91" s="96"/>
      <c r="S91" s="96"/>
      <c r="T91" s="96"/>
      <c r="U91" s="96"/>
      <c r="V91" s="97"/>
      <c r="W91" s="97"/>
      <c r="X91" s="133"/>
      <c r="Y91" s="134"/>
      <c r="Z91" s="94"/>
      <c r="AA91" s="100"/>
      <c r="AB91" s="94"/>
      <c r="AC91" s="101"/>
      <c r="AD91" s="100"/>
      <c r="AE91" s="102"/>
      <c r="AF91" s="103"/>
      <c r="AG91" s="104">
        <f t="shared" si="31"/>
        <v>0</v>
      </c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</row>
    <row r="92" spans="1:52">
      <c r="A92" s="88"/>
      <c r="B92" s="88"/>
      <c r="C92" s="88"/>
      <c r="D92" s="129"/>
      <c r="E92" s="88"/>
      <c r="F92" s="88"/>
      <c r="G92" s="89"/>
      <c r="H92" s="89"/>
      <c r="I92" s="88"/>
      <c r="J92" s="89"/>
      <c r="K92" s="91"/>
      <c r="L92" s="91"/>
      <c r="M92" s="92"/>
      <c r="N92" s="92"/>
      <c r="O92" s="93"/>
      <c r="P92" s="94"/>
      <c r="Q92" s="95"/>
      <c r="R92" s="96"/>
      <c r="S92" s="96"/>
      <c r="T92" s="96"/>
      <c r="U92" s="96"/>
      <c r="V92" s="97"/>
      <c r="W92" s="97"/>
      <c r="X92" s="133"/>
      <c r="Y92" s="98"/>
      <c r="Z92" s="94"/>
      <c r="AA92" s="100"/>
      <c r="AB92" s="94"/>
      <c r="AC92" s="101"/>
      <c r="AD92" s="100"/>
      <c r="AE92" s="102"/>
      <c r="AF92" s="103"/>
      <c r="AG92" s="104">
        <f t="shared" si="31"/>
        <v>0</v>
      </c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</row>
    <row r="93" spans="1:52">
      <c r="A93" s="135"/>
      <c r="B93" s="88"/>
      <c r="C93" s="88"/>
      <c r="D93" s="89"/>
      <c r="E93" s="88"/>
      <c r="F93" s="88"/>
      <c r="G93" s="88"/>
      <c r="H93" s="88"/>
      <c r="I93" s="88"/>
      <c r="J93" s="88"/>
      <c r="K93" s="91"/>
      <c r="L93" s="91"/>
      <c r="M93" s="91"/>
      <c r="N93" s="91"/>
      <c r="O93" s="93"/>
      <c r="P93" s="94"/>
      <c r="Q93" s="95"/>
      <c r="R93" s="96"/>
      <c r="S93" s="96"/>
      <c r="T93" s="96"/>
      <c r="U93" s="96"/>
      <c r="V93" s="97"/>
      <c r="W93" s="97"/>
      <c r="X93" s="133"/>
      <c r="Y93" s="136"/>
      <c r="Z93" s="94"/>
      <c r="AA93" s="100"/>
      <c r="AB93" s="94"/>
      <c r="AC93" s="101"/>
      <c r="AD93" s="100"/>
      <c r="AE93" s="102"/>
      <c r="AF93" s="103"/>
      <c r="AG93" s="104">
        <f t="shared" si="31"/>
        <v>0</v>
      </c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</row>
    <row r="94" spans="1:52">
      <c r="A94" s="135"/>
      <c r="B94" s="88"/>
      <c r="C94" s="88"/>
      <c r="D94" s="89"/>
      <c r="E94" s="88"/>
      <c r="F94" s="88"/>
      <c r="G94" s="88"/>
      <c r="H94" s="88"/>
      <c r="I94" s="88"/>
      <c r="J94" s="88"/>
      <c r="K94" s="91"/>
      <c r="L94" s="91"/>
      <c r="M94" s="91"/>
      <c r="N94" s="91"/>
      <c r="O94" s="93"/>
      <c r="P94" s="94"/>
      <c r="Q94" s="137"/>
      <c r="R94" s="133"/>
      <c r="S94" s="133"/>
      <c r="T94" s="133"/>
      <c r="U94" s="133"/>
      <c r="V94" s="138"/>
      <c r="W94" s="138"/>
      <c r="X94" s="138"/>
      <c r="Y94" s="138"/>
      <c r="Z94" s="94"/>
      <c r="AA94" s="100"/>
      <c r="AB94" s="94"/>
      <c r="AC94" s="101"/>
      <c r="AD94" s="100"/>
      <c r="AE94" s="102"/>
      <c r="AF94" s="103"/>
      <c r="AG94" s="104">
        <f t="shared" si="31"/>
        <v>0</v>
      </c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</row>
    <row r="95" spans="1:52" s="103" customFormat="1">
      <c r="A95" s="135"/>
      <c r="B95" s="139"/>
      <c r="C95" s="139"/>
      <c r="D95" s="139"/>
      <c r="E95" s="139"/>
      <c r="F95" s="139"/>
      <c r="G95" s="139"/>
      <c r="H95" s="139"/>
      <c r="I95" s="139"/>
      <c r="J95" s="139"/>
      <c r="K95" s="140"/>
      <c r="L95" s="140"/>
      <c r="M95" s="140"/>
      <c r="N95" s="140"/>
      <c r="O95" s="140"/>
      <c r="P95" s="141"/>
      <c r="Q95" s="140"/>
      <c r="R95" s="140"/>
      <c r="S95" s="140"/>
      <c r="T95" s="140"/>
      <c r="U95" s="140"/>
      <c r="V95" s="100"/>
      <c r="W95" s="100"/>
      <c r="X95" s="100"/>
      <c r="Y95" s="100"/>
      <c r="Z95" s="142"/>
      <c r="AA95" s="100"/>
      <c r="AB95" s="141"/>
      <c r="AC95" s="100"/>
      <c r="AD95" s="100"/>
      <c r="AE95" s="141"/>
    </row>
    <row r="96" spans="1:52" ht="15.75" thickBot="1">
      <c r="B96" s="143" t="s">
        <v>484</v>
      </c>
      <c r="C96" s="143"/>
      <c r="D96" s="143"/>
      <c r="E96" s="143"/>
      <c r="F96" s="143"/>
      <c r="G96" s="143"/>
      <c r="H96" s="143"/>
      <c r="I96" s="143"/>
      <c r="J96" s="143"/>
      <c r="K96" s="144">
        <f>SUM(K7:K95)</f>
        <v>75559.020000000077</v>
      </c>
      <c r="L96" s="144">
        <f t="shared" ref="L96:AJ96" si="36">SUM(L7:L95)</f>
        <v>180536.23400000003</v>
      </c>
      <c r="M96" s="144">
        <f t="shared" si="36"/>
        <v>0</v>
      </c>
      <c r="N96" s="144">
        <f t="shared" si="36"/>
        <v>0</v>
      </c>
      <c r="O96" s="144">
        <f t="shared" si="36"/>
        <v>0</v>
      </c>
      <c r="P96" s="144">
        <f t="shared" si="36"/>
        <v>256095.25400000002</v>
      </c>
      <c r="Q96" s="144">
        <f t="shared" si="36"/>
        <v>0</v>
      </c>
      <c r="R96" s="145">
        <f t="shared" si="36"/>
        <v>5300</v>
      </c>
      <c r="S96" s="145">
        <f t="shared" si="36"/>
        <v>431.75540999999998</v>
      </c>
      <c r="T96" s="145">
        <f t="shared" si="36"/>
        <v>2131.3490089999996</v>
      </c>
      <c r="U96" s="145">
        <f t="shared" si="36"/>
        <v>579.38</v>
      </c>
      <c r="V96" s="144">
        <f t="shared" si="36"/>
        <v>0</v>
      </c>
      <c r="W96" s="144">
        <f t="shared" si="36"/>
        <v>0</v>
      </c>
      <c r="X96" s="144">
        <f t="shared" si="36"/>
        <v>735.94</v>
      </c>
      <c r="Y96" s="144">
        <f t="shared" si="36"/>
        <v>10387.279999999999</v>
      </c>
      <c r="Z96" s="144">
        <f t="shared" si="36"/>
        <v>235362.88958100011</v>
      </c>
      <c r="AA96" s="144">
        <f t="shared" si="36"/>
        <v>11559.335000000001</v>
      </c>
      <c r="AB96" s="144">
        <f t="shared" si="36"/>
        <v>223803.55458100015</v>
      </c>
      <c r="AC96" s="144">
        <f t="shared" si="36"/>
        <v>14050.190399999996</v>
      </c>
      <c r="AD96" s="144">
        <f t="shared" si="36"/>
        <v>1367.4477999999992</v>
      </c>
      <c r="AE96" s="144">
        <f>SUM(AE7:AE95)</f>
        <v>271512.8922</v>
      </c>
      <c r="AF96" s="144">
        <f t="shared" si="36"/>
        <v>0</v>
      </c>
      <c r="AG96" s="144">
        <f t="shared" si="36"/>
        <v>214226.68008100012</v>
      </c>
      <c r="AH96" s="144">
        <f t="shared" si="36"/>
        <v>0</v>
      </c>
      <c r="AI96" s="144">
        <f t="shared" si="36"/>
        <v>0</v>
      </c>
      <c r="AJ96" s="144">
        <f t="shared" si="36"/>
        <v>214226.68008100012</v>
      </c>
    </row>
    <row r="97" spans="1:36" ht="15.75" thickTop="1">
      <c r="AE97" s="81">
        <f>AE96*0.16</f>
        <v>43442.062751999998</v>
      </c>
      <c r="AF97" s="81"/>
      <c r="AG97" s="81"/>
      <c r="AH97" s="81"/>
      <c r="AI97" s="81"/>
      <c r="AJ97" s="81"/>
    </row>
    <row r="98" spans="1:36">
      <c r="A98" s="418" t="s">
        <v>485</v>
      </c>
      <c r="B98" s="418"/>
      <c r="C98" s="146"/>
      <c r="AE98" s="81">
        <f>+AE96+AE97</f>
        <v>314954.954952</v>
      </c>
      <c r="AF98" s="81"/>
      <c r="AG98" s="81"/>
      <c r="AH98" s="81"/>
      <c r="AI98" s="81"/>
      <c r="AJ98" s="81"/>
    </row>
    <row r="99" spans="1:36">
      <c r="A99" s="135"/>
      <c r="B99" s="88"/>
      <c r="C99" s="88"/>
      <c r="D99" s="89"/>
      <c r="E99" s="88"/>
      <c r="F99" s="88"/>
      <c r="G99" s="88"/>
      <c r="H99" s="88"/>
      <c r="I99" s="88"/>
      <c r="J99" s="88"/>
      <c r="K99" s="91"/>
      <c r="L99" s="91"/>
      <c r="M99" s="91"/>
      <c r="N99" s="91"/>
      <c r="O99" s="91"/>
      <c r="P99" s="94">
        <f>SUM(K99:O99)</f>
        <v>0</v>
      </c>
      <c r="Q99" s="137"/>
      <c r="R99" s="147"/>
      <c r="S99" s="147"/>
      <c r="T99" s="147"/>
      <c r="U99" s="147"/>
      <c r="V99" s="148"/>
      <c r="W99" s="148"/>
      <c r="X99" s="148"/>
      <c r="Y99" s="148"/>
      <c r="Z99" s="94">
        <f>+P99-Q99</f>
        <v>0</v>
      </c>
      <c r="AA99" s="100">
        <f>+Z99*0.05</f>
        <v>0</v>
      </c>
      <c r="AB99" s="94">
        <f>+Z99-V99-Y99</f>
        <v>0</v>
      </c>
      <c r="AC99" s="101">
        <f>IF(Z99&lt;3000,Z99*0.1,0)</f>
        <v>0</v>
      </c>
      <c r="AD99" s="100">
        <v>0</v>
      </c>
      <c r="AE99" s="94">
        <f>+Z99+AC99+AD99</f>
        <v>0</v>
      </c>
      <c r="AF99" s="94">
        <f t="shared" ref="AF99:AJ100" si="37">+AA99+AD99+AE99</f>
        <v>0</v>
      </c>
      <c r="AG99" s="94">
        <f t="shared" si="37"/>
        <v>0</v>
      </c>
      <c r="AH99" s="94">
        <f t="shared" si="37"/>
        <v>0</v>
      </c>
      <c r="AI99" s="94">
        <f t="shared" si="37"/>
        <v>0</v>
      </c>
      <c r="AJ99" s="94">
        <f t="shared" si="37"/>
        <v>0</v>
      </c>
    </row>
    <row r="100" spans="1:36">
      <c r="A100" s="135"/>
      <c r="B100" s="89"/>
      <c r="C100" s="89"/>
      <c r="D100" s="89"/>
      <c r="E100" s="89"/>
      <c r="F100" s="89"/>
      <c r="G100" s="89"/>
      <c r="H100" s="89"/>
      <c r="I100" s="89"/>
      <c r="J100" s="89"/>
      <c r="K100" s="92"/>
      <c r="L100" s="92"/>
      <c r="M100" s="92"/>
      <c r="N100" s="92"/>
      <c r="O100" s="92"/>
      <c r="P100" s="94">
        <f>SUM(K100:O100)</f>
        <v>0</v>
      </c>
      <c r="Q100" s="137"/>
      <c r="R100" s="147"/>
      <c r="S100" s="147"/>
      <c r="T100" s="147"/>
      <c r="U100" s="147"/>
      <c r="V100" s="148"/>
      <c r="W100" s="148"/>
      <c r="X100" s="148"/>
      <c r="Y100" s="148"/>
      <c r="Z100" s="94">
        <f>+P100-Q100</f>
        <v>0</v>
      </c>
      <c r="AA100" s="100">
        <f>+Z100*0.05</f>
        <v>0</v>
      </c>
      <c r="AB100" s="94">
        <f>+Z100-V100-Y100</f>
        <v>0</v>
      </c>
      <c r="AC100" s="101">
        <f>IF(Z100&lt;3000,Z100*0.1,0)</f>
        <v>0</v>
      </c>
      <c r="AD100" s="100">
        <v>0</v>
      </c>
      <c r="AE100" s="94">
        <f>+Z100+AC100+AD100</f>
        <v>0</v>
      </c>
      <c r="AF100" s="94">
        <f t="shared" si="37"/>
        <v>0</v>
      </c>
      <c r="AG100" s="94">
        <f t="shared" si="37"/>
        <v>0</v>
      </c>
      <c r="AH100" s="94">
        <f t="shared" si="37"/>
        <v>0</v>
      </c>
      <c r="AI100" s="94">
        <f t="shared" si="37"/>
        <v>0</v>
      </c>
      <c r="AJ100" s="94">
        <f t="shared" si="37"/>
        <v>0</v>
      </c>
    </row>
    <row r="101" spans="1:36">
      <c r="AE101" s="81">
        <f>SUM(AE99:AE100)</f>
        <v>0</v>
      </c>
    </row>
    <row r="102" spans="1:36">
      <c r="B102" s="149" t="s">
        <v>486</v>
      </c>
      <c r="C102" s="149"/>
      <c r="D102" s="149"/>
      <c r="AE102" s="81">
        <f>+AE101*0.16</f>
        <v>0</v>
      </c>
    </row>
    <row r="103" spans="1:36">
      <c r="B103" s="149"/>
      <c r="C103" s="149"/>
      <c r="D103" s="149"/>
      <c r="AE103" s="81">
        <f>+AE101+AE102</f>
        <v>0</v>
      </c>
    </row>
    <row r="104" spans="1:36">
      <c r="B104" s="149"/>
      <c r="C104" s="149"/>
      <c r="D104" s="149"/>
    </row>
    <row r="105" spans="1:36">
      <c r="B105" s="149" t="s">
        <v>487</v>
      </c>
      <c r="C105" s="149"/>
      <c r="D105" s="149"/>
      <c r="AE105" s="81">
        <f>+AE98+AE103</f>
        <v>314954.954952</v>
      </c>
    </row>
    <row r="112" spans="1:36">
      <c r="A112" s="107" t="s">
        <v>488</v>
      </c>
      <c r="B112" s="80"/>
      <c r="C112" s="80"/>
    </row>
    <row r="113" spans="1:3">
      <c r="A113" s="107" t="s">
        <v>489</v>
      </c>
      <c r="B113" s="80"/>
      <c r="C113" s="80"/>
    </row>
    <row r="114" spans="1:3">
      <c r="A114" s="107" t="s">
        <v>490</v>
      </c>
      <c r="B114" s="80"/>
      <c r="C114" s="80"/>
    </row>
    <row r="115" spans="1:3">
      <c r="A115" s="107" t="s">
        <v>491</v>
      </c>
      <c r="B115" s="80"/>
      <c r="C115" s="80"/>
    </row>
    <row r="116" spans="1:3">
      <c r="A116" s="107" t="s">
        <v>492</v>
      </c>
      <c r="B116" s="80"/>
      <c r="C116" s="80"/>
    </row>
    <row r="117" spans="1:3">
      <c r="A117" s="107" t="s">
        <v>493</v>
      </c>
      <c r="B117" s="80"/>
      <c r="C117" s="80"/>
    </row>
    <row r="121" spans="1:3">
      <c r="B121" s="88"/>
      <c r="C121" s="150"/>
    </row>
    <row r="122" spans="1:3">
      <c r="B122" s="88"/>
      <c r="C122" s="150"/>
    </row>
    <row r="123" spans="1:3">
      <c r="B123" s="88"/>
      <c r="C123" s="150"/>
    </row>
  </sheetData>
  <mergeCells count="34">
    <mergeCell ref="AG5:AG6"/>
    <mergeCell ref="AH5:AI5"/>
    <mergeCell ref="AJ5:AJ6"/>
    <mergeCell ref="A98:B98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T5:T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H5:H6"/>
    <mergeCell ref="A5:A6"/>
    <mergeCell ref="B5:B6"/>
    <mergeCell ref="D5:D6"/>
    <mergeCell ref="E5:E6"/>
    <mergeCell ref="G5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A123"/>
  <sheetViews>
    <sheetView topLeftCell="A10" workbookViewId="0">
      <selection activeCell="H21" sqref="H21"/>
    </sheetView>
  </sheetViews>
  <sheetFormatPr baseColWidth="10" defaultColWidth="11.5703125" defaultRowHeight="15"/>
  <cols>
    <col min="1" max="1" width="28.7109375" style="107" customWidth="1"/>
    <col min="2" max="2" width="39.140625" style="107" customWidth="1"/>
    <col min="3" max="3" width="8.140625" style="107" bestFit="1" customWidth="1"/>
    <col min="4" max="4" width="8.85546875" style="107" customWidth="1"/>
    <col min="5" max="5" width="31.5703125" style="107" customWidth="1"/>
    <col min="6" max="6" width="20.140625" style="107" bestFit="1" customWidth="1"/>
    <col min="7" max="7" width="13" style="107" bestFit="1" customWidth="1"/>
    <col min="8" max="8" width="11.7109375" style="107" customWidth="1"/>
    <col min="9" max="9" width="17.140625" style="80" customWidth="1"/>
    <col min="10" max="10" width="11.7109375" style="107" customWidth="1"/>
    <col min="11" max="12" width="13.85546875" style="80" customWidth="1"/>
    <col min="13" max="15" width="13.5703125" style="80" customWidth="1"/>
    <col min="16" max="16" width="17" style="81" customWidth="1"/>
    <col min="17" max="18" width="13.5703125" style="80" customWidth="1"/>
    <col min="19" max="19" width="13.5703125" style="82" customWidth="1"/>
    <col min="20" max="20" width="19.28515625" style="82" customWidth="1"/>
    <col min="21" max="21" width="16.85546875" style="82" customWidth="1"/>
    <col min="22" max="22" width="16.140625" style="82" customWidth="1"/>
    <col min="23" max="26" width="13.5703125" style="80" customWidth="1"/>
    <col min="27" max="27" width="16.7109375" style="81" customWidth="1"/>
    <col min="28" max="28" width="16.7109375" style="80" customWidth="1"/>
    <col min="29" max="29" width="15.42578125" style="81" customWidth="1"/>
    <col min="30" max="31" width="13.5703125" style="80" customWidth="1"/>
    <col min="32" max="32" width="15.42578125" style="81" customWidth="1"/>
    <col min="33" max="34" width="0" style="107" hidden="1" customWidth="1"/>
    <col min="35" max="35" width="15.28515625" style="107" hidden="1" customWidth="1"/>
    <col min="36" max="37" width="0" style="107" hidden="1" customWidth="1"/>
    <col min="38" max="38" width="13.85546875" style="107" customWidth="1"/>
    <col min="39" max="39" width="34.85546875" style="107" customWidth="1"/>
    <col min="40" max="53" width="11.5703125" style="103"/>
    <col min="54" max="16384" width="11.5703125" style="107"/>
  </cols>
  <sheetData>
    <row r="1" spans="1:53" s="74" customFormat="1">
      <c r="A1" s="69" t="s">
        <v>337</v>
      </c>
      <c r="B1" s="69"/>
      <c r="C1" s="69"/>
      <c r="D1" s="69"/>
      <c r="E1" s="70"/>
      <c r="F1" s="70"/>
      <c r="G1" s="70"/>
      <c r="H1" s="70"/>
      <c r="I1" s="71"/>
      <c r="J1" s="70"/>
      <c r="K1" s="71"/>
      <c r="L1" s="71"/>
      <c r="M1" s="71"/>
      <c r="N1" s="71"/>
      <c r="O1" s="71"/>
      <c r="P1" s="72"/>
      <c r="Q1" s="71"/>
      <c r="R1" s="71"/>
      <c r="S1" s="71"/>
      <c r="T1" s="71"/>
      <c r="U1" s="71"/>
      <c r="V1" s="71"/>
      <c r="W1" s="71"/>
      <c r="X1" s="71"/>
      <c r="Y1" s="71"/>
      <c r="Z1" s="71"/>
      <c r="AA1" s="72"/>
      <c r="AB1" s="71"/>
      <c r="AC1" s="72"/>
      <c r="AD1" s="71"/>
      <c r="AE1" s="71"/>
      <c r="AF1" s="72"/>
      <c r="AG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</row>
    <row r="2" spans="1:53" s="74" customFormat="1">
      <c r="A2" s="75" t="s">
        <v>338</v>
      </c>
      <c r="B2" s="75"/>
      <c r="C2" s="75"/>
      <c r="D2" s="75"/>
      <c r="E2" s="76"/>
      <c r="F2" s="76"/>
      <c r="G2" s="76"/>
      <c r="H2" s="76"/>
      <c r="I2" s="71"/>
      <c r="J2" s="76"/>
      <c r="K2" s="71"/>
      <c r="L2" s="71"/>
      <c r="M2" s="71"/>
      <c r="N2" s="71"/>
      <c r="O2" s="71"/>
      <c r="P2" s="72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  <c r="AB2" s="71"/>
      <c r="AC2" s="72"/>
      <c r="AD2" s="71"/>
      <c r="AE2" s="71"/>
      <c r="AF2" s="72"/>
      <c r="AG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</row>
    <row r="3" spans="1:53" s="74" customFormat="1">
      <c r="A3" s="77" t="s">
        <v>604</v>
      </c>
      <c r="B3" s="77"/>
      <c r="C3" s="77"/>
      <c r="D3" s="77"/>
      <c r="E3" s="78"/>
      <c r="F3" s="78"/>
      <c r="G3" s="78"/>
      <c r="H3" s="78"/>
      <c r="I3" s="71"/>
      <c r="J3" s="78"/>
      <c r="K3" s="71"/>
      <c r="L3" s="71"/>
      <c r="M3" s="71"/>
      <c r="N3" s="71"/>
      <c r="O3" s="71"/>
      <c r="P3" s="72"/>
      <c r="Q3" s="71"/>
      <c r="R3" s="71"/>
      <c r="S3" s="71"/>
      <c r="T3" s="71"/>
      <c r="U3" s="71"/>
      <c r="V3" s="71"/>
      <c r="W3" s="71"/>
      <c r="X3" s="71"/>
      <c r="Y3" s="71"/>
      <c r="Z3" s="71"/>
      <c r="AA3" s="72"/>
      <c r="AB3" s="71"/>
      <c r="AC3" s="72"/>
      <c r="AD3" s="71"/>
      <c r="AE3" s="71"/>
      <c r="AF3" s="72"/>
      <c r="AG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</row>
    <row r="4" spans="1:53" s="79" customFormat="1">
      <c r="A4" s="79" t="s">
        <v>605</v>
      </c>
      <c r="I4" s="80"/>
      <c r="K4" s="80"/>
      <c r="L4" s="80"/>
      <c r="M4" s="80"/>
      <c r="N4" s="80"/>
      <c r="O4" s="80"/>
      <c r="P4" s="81"/>
      <c r="Q4" s="80"/>
      <c r="R4" s="80"/>
      <c r="S4" s="82"/>
      <c r="T4" s="82"/>
      <c r="U4" s="82"/>
      <c r="V4" s="82"/>
      <c r="W4" s="80"/>
      <c r="X4" s="80"/>
      <c r="Y4" s="80"/>
      <c r="Z4" s="80"/>
      <c r="AA4" s="81"/>
      <c r="AB4" s="80"/>
      <c r="AC4" s="81"/>
      <c r="AD4" s="80"/>
      <c r="AE4" s="80"/>
      <c r="AF4" s="81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</row>
    <row r="5" spans="1:53" s="79" customFormat="1" ht="28.5" customHeight="1">
      <c r="A5" s="400" t="s">
        <v>341</v>
      </c>
      <c r="B5" s="406" t="s">
        <v>342</v>
      </c>
      <c r="C5" s="400"/>
      <c r="D5" s="406" t="s">
        <v>343</v>
      </c>
      <c r="E5" s="406" t="s">
        <v>344</v>
      </c>
      <c r="F5" s="400" t="s">
        <v>345</v>
      </c>
      <c r="G5" s="393" t="s">
        <v>346</v>
      </c>
      <c r="H5" s="393" t="s">
        <v>347</v>
      </c>
      <c r="I5" s="402" t="s">
        <v>348</v>
      </c>
      <c r="J5" s="404" t="s">
        <v>349</v>
      </c>
      <c r="K5" s="393" t="s">
        <v>350</v>
      </c>
      <c r="L5" s="404" t="s">
        <v>351</v>
      </c>
      <c r="M5" s="393" t="s">
        <v>352</v>
      </c>
      <c r="N5" s="393" t="s">
        <v>353</v>
      </c>
      <c r="O5" s="393" t="s">
        <v>354</v>
      </c>
      <c r="P5" s="393" t="s">
        <v>355</v>
      </c>
      <c r="Q5" s="393" t="s">
        <v>356</v>
      </c>
      <c r="R5" s="191"/>
      <c r="S5" s="394" t="s">
        <v>357</v>
      </c>
      <c r="T5" s="394" t="s">
        <v>358</v>
      </c>
      <c r="U5" s="394" t="s">
        <v>359</v>
      </c>
      <c r="V5" s="394" t="s">
        <v>360</v>
      </c>
      <c r="W5" s="393" t="s">
        <v>361</v>
      </c>
      <c r="X5" s="393" t="s">
        <v>362</v>
      </c>
      <c r="Y5" s="393" t="s">
        <v>363</v>
      </c>
      <c r="Z5" s="393" t="s">
        <v>364</v>
      </c>
      <c r="AA5" s="393" t="s">
        <v>365</v>
      </c>
      <c r="AB5" s="393" t="s">
        <v>366</v>
      </c>
      <c r="AC5" s="393" t="s">
        <v>367</v>
      </c>
      <c r="AD5" s="393" t="s">
        <v>368</v>
      </c>
      <c r="AE5" s="393" t="s">
        <v>369</v>
      </c>
      <c r="AF5" s="393" t="s">
        <v>370</v>
      </c>
      <c r="AG5" s="393" t="s">
        <v>371</v>
      </c>
      <c r="AH5" s="393" t="s">
        <v>372</v>
      </c>
      <c r="AI5" s="416" t="s">
        <v>373</v>
      </c>
      <c r="AJ5" s="417"/>
      <c r="AK5" s="396" t="s">
        <v>374</v>
      </c>
      <c r="AL5" s="396" t="s">
        <v>606</v>
      </c>
      <c r="AM5" s="396" t="s">
        <v>607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</row>
    <row r="6" spans="1:53" s="87" customFormat="1" ht="39" customHeight="1">
      <c r="A6" s="401"/>
      <c r="B6" s="406"/>
      <c r="C6" s="401"/>
      <c r="D6" s="406"/>
      <c r="E6" s="406"/>
      <c r="F6" s="401"/>
      <c r="G6" s="393"/>
      <c r="H6" s="393"/>
      <c r="I6" s="403"/>
      <c r="J6" s="405"/>
      <c r="K6" s="393"/>
      <c r="L6" s="405"/>
      <c r="M6" s="393"/>
      <c r="N6" s="393"/>
      <c r="O6" s="393"/>
      <c r="P6" s="393"/>
      <c r="Q6" s="393"/>
      <c r="R6" s="192" t="s">
        <v>608</v>
      </c>
      <c r="S6" s="395"/>
      <c r="T6" s="395"/>
      <c r="U6" s="395"/>
      <c r="V6" s="395"/>
      <c r="W6" s="393"/>
      <c r="X6" s="393"/>
      <c r="Y6" s="393"/>
      <c r="Z6" s="393"/>
      <c r="AA6" s="393"/>
      <c r="AB6" s="393"/>
      <c r="AC6" s="393"/>
      <c r="AD6" s="393"/>
      <c r="AE6" s="393"/>
      <c r="AF6" s="393"/>
      <c r="AG6" s="393"/>
      <c r="AH6" s="393"/>
      <c r="AI6" s="85" t="s">
        <v>348</v>
      </c>
      <c r="AJ6" s="85" t="s">
        <v>349</v>
      </c>
      <c r="AK6" s="396"/>
      <c r="AL6" s="396"/>
      <c r="AM6" s="39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</row>
    <row r="7" spans="1:53" s="105" customFormat="1">
      <c r="A7" s="88" t="s">
        <v>375</v>
      </c>
      <c r="B7" s="88" t="s">
        <v>376</v>
      </c>
      <c r="C7" s="88"/>
      <c r="D7" s="88" t="s">
        <v>34</v>
      </c>
      <c r="E7" s="88" t="s">
        <v>179</v>
      </c>
      <c r="F7" s="88"/>
      <c r="G7" s="89"/>
      <c r="H7" s="89"/>
      <c r="I7" s="91">
        <v>1166.26</v>
      </c>
      <c r="J7" s="90"/>
      <c r="K7" s="91">
        <f t="shared" ref="K7:K70" si="0">+I7+J7</f>
        <v>1166.26</v>
      </c>
      <c r="L7" s="91">
        <v>3954.17</v>
      </c>
      <c r="M7" s="92"/>
      <c r="N7" s="92"/>
      <c r="O7" s="93"/>
      <c r="P7" s="94">
        <f t="shared" ref="P7:P38" si="1">SUM(K7:N7)-O7</f>
        <v>5120.43</v>
      </c>
      <c r="Q7" s="137"/>
      <c r="R7" s="133"/>
      <c r="S7" s="133">
        <v>0</v>
      </c>
      <c r="T7" s="133"/>
      <c r="U7" s="133"/>
      <c r="V7" s="133"/>
      <c r="W7" s="138"/>
      <c r="X7" s="138"/>
      <c r="Y7" s="98"/>
      <c r="Z7" s="98">
        <v>0</v>
      </c>
      <c r="AA7" s="94">
        <f t="shared" ref="AA7:AA13" si="2">+P7-SUM(Q7:Z7)</f>
        <v>5120.43</v>
      </c>
      <c r="AB7" s="100">
        <f>IF(P7&gt;4500,P7*0.1,0)</f>
        <v>512.04300000000001</v>
      </c>
      <c r="AC7" s="94">
        <f t="shared" ref="AC7:AC70" si="3">+AA7-AB7</f>
        <v>4608.3870000000006</v>
      </c>
      <c r="AD7" s="101">
        <f t="shared" ref="AD7:AD70" si="4">IF(P7&lt;4500,P7*0.1,0)</f>
        <v>0</v>
      </c>
      <c r="AE7" s="100">
        <v>10.23</v>
      </c>
      <c r="AF7" s="102">
        <f t="shared" ref="AF7:AF70" si="5">+P7+AD7+AE7</f>
        <v>5130.66</v>
      </c>
      <c r="AG7" s="103"/>
      <c r="AH7" s="104"/>
      <c r="AI7" s="103"/>
      <c r="AJ7" s="103"/>
      <c r="AK7" s="104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</row>
    <row r="8" spans="1:53">
      <c r="A8" s="88" t="s">
        <v>377</v>
      </c>
      <c r="B8" s="88" t="s">
        <v>378</v>
      </c>
      <c r="C8" s="88" t="s">
        <v>379</v>
      </c>
      <c r="D8" s="88" t="s">
        <v>36</v>
      </c>
      <c r="E8" s="88" t="s">
        <v>380</v>
      </c>
      <c r="F8" s="88"/>
      <c r="G8" s="89"/>
      <c r="H8" s="89"/>
      <c r="I8" s="91">
        <v>1633.33</v>
      </c>
      <c r="J8" s="89"/>
      <c r="K8" s="91">
        <f t="shared" si="0"/>
        <v>1633.33</v>
      </c>
      <c r="L8" s="91">
        <v>60706.45</v>
      </c>
      <c r="M8" s="92"/>
      <c r="N8" s="92"/>
      <c r="O8" s="93"/>
      <c r="P8" s="94">
        <f t="shared" si="1"/>
        <v>62339.78</v>
      </c>
      <c r="Q8" s="137"/>
      <c r="R8" s="133"/>
      <c r="S8" s="133">
        <v>0</v>
      </c>
      <c r="T8" s="133"/>
      <c r="U8" s="133"/>
      <c r="V8" s="133"/>
      <c r="W8" s="138"/>
      <c r="X8" s="138"/>
      <c r="Y8" s="98"/>
      <c r="Z8" s="98">
        <v>0</v>
      </c>
      <c r="AA8" s="94">
        <f t="shared" si="2"/>
        <v>62339.78</v>
      </c>
      <c r="AB8" s="100">
        <f>IF(P8&gt;4500,P8*0.1,0)</f>
        <v>6233.9780000000001</v>
      </c>
      <c r="AC8" s="94">
        <f t="shared" si="3"/>
        <v>56105.801999999996</v>
      </c>
      <c r="AD8" s="101">
        <f t="shared" si="4"/>
        <v>0</v>
      </c>
      <c r="AE8" s="100">
        <v>10.23</v>
      </c>
      <c r="AF8" s="102">
        <f t="shared" si="5"/>
        <v>62350.01</v>
      </c>
      <c r="AG8" s="103"/>
      <c r="AH8" s="104"/>
      <c r="AI8" s="103"/>
      <c r="AJ8" s="103"/>
      <c r="AK8" s="104"/>
      <c r="AL8" s="103"/>
      <c r="AM8" s="103"/>
    </row>
    <row r="9" spans="1:53">
      <c r="A9" s="108" t="s">
        <v>381</v>
      </c>
      <c r="B9" s="88" t="s">
        <v>382</v>
      </c>
      <c r="C9" s="88"/>
      <c r="D9" s="88" t="s">
        <v>38</v>
      </c>
      <c r="E9" s="88" t="s">
        <v>190</v>
      </c>
      <c r="F9" s="88"/>
      <c r="G9" s="89"/>
      <c r="H9" s="89"/>
      <c r="I9" s="91">
        <v>608.16</v>
      </c>
      <c r="J9" s="89"/>
      <c r="K9" s="91">
        <f t="shared" si="0"/>
        <v>608.16</v>
      </c>
      <c r="L9" s="91">
        <v>4993.21</v>
      </c>
      <c r="M9" s="92"/>
      <c r="N9" s="92"/>
      <c r="O9" s="93"/>
      <c r="P9" s="94">
        <f t="shared" si="1"/>
        <v>5601.37</v>
      </c>
      <c r="Q9" s="137"/>
      <c r="R9" s="133"/>
      <c r="S9" s="133"/>
      <c r="T9" s="193">
        <f>P9*4.9%</f>
        <v>274.46713</v>
      </c>
      <c r="U9" s="193">
        <f>P9*1%</f>
        <v>56.0137</v>
      </c>
      <c r="V9" s="133"/>
      <c r="W9" s="138"/>
      <c r="X9" s="138"/>
      <c r="Y9" s="98"/>
      <c r="Z9" s="98">
        <v>0</v>
      </c>
      <c r="AA9" s="94">
        <f t="shared" si="2"/>
        <v>5270.8891700000004</v>
      </c>
      <c r="AB9" s="100">
        <f>IF(P9&gt;4500,P9*0.1,0)</f>
        <v>560.13700000000006</v>
      </c>
      <c r="AC9" s="94">
        <f t="shared" si="3"/>
        <v>4710.7521700000007</v>
      </c>
      <c r="AD9" s="101">
        <f t="shared" si="4"/>
        <v>0</v>
      </c>
      <c r="AE9" s="100">
        <v>10.23</v>
      </c>
      <c r="AF9" s="102">
        <f t="shared" si="5"/>
        <v>5611.5999999999995</v>
      </c>
      <c r="AG9" s="103"/>
      <c r="AH9" s="104"/>
      <c r="AI9" s="103"/>
      <c r="AJ9" s="103"/>
      <c r="AK9" s="104"/>
      <c r="AL9" s="103"/>
      <c r="AM9" s="103"/>
    </row>
    <row r="10" spans="1:53">
      <c r="A10" s="108" t="s">
        <v>383</v>
      </c>
      <c r="B10" s="88" t="s">
        <v>384</v>
      </c>
      <c r="C10" s="88"/>
      <c r="D10" s="88" t="s">
        <v>289</v>
      </c>
      <c r="E10" s="88" t="s">
        <v>385</v>
      </c>
      <c r="F10" s="88"/>
      <c r="G10" s="89"/>
      <c r="H10" s="89"/>
      <c r="I10" s="91">
        <v>739.23</v>
      </c>
      <c r="J10" s="89"/>
      <c r="K10" s="91">
        <f t="shared" si="0"/>
        <v>739.23</v>
      </c>
      <c r="L10" s="91"/>
      <c r="M10" s="92"/>
      <c r="N10" s="92"/>
      <c r="O10" s="93"/>
      <c r="P10" s="94">
        <f t="shared" si="1"/>
        <v>739.23</v>
      </c>
      <c r="Q10" s="137"/>
      <c r="R10" s="133"/>
      <c r="S10" s="133"/>
      <c r="T10" s="133"/>
      <c r="U10" s="133"/>
      <c r="V10" s="133"/>
      <c r="W10" s="138"/>
      <c r="X10" s="138"/>
      <c r="Y10" s="98"/>
      <c r="Z10" s="98"/>
      <c r="AA10" s="94">
        <f t="shared" si="2"/>
        <v>739.23</v>
      </c>
      <c r="AB10" s="100"/>
      <c r="AC10" s="94">
        <f t="shared" si="3"/>
        <v>739.23</v>
      </c>
      <c r="AD10" s="101">
        <f t="shared" si="4"/>
        <v>73.923000000000002</v>
      </c>
      <c r="AE10" s="100">
        <v>10.23</v>
      </c>
      <c r="AF10" s="102">
        <f t="shared" si="5"/>
        <v>823.38300000000004</v>
      </c>
      <c r="AG10" s="103"/>
      <c r="AH10" s="104"/>
      <c r="AI10" s="103"/>
      <c r="AJ10" s="103"/>
      <c r="AK10" s="104"/>
      <c r="AL10" s="103"/>
      <c r="AM10" s="103"/>
    </row>
    <row r="11" spans="1:53">
      <c r="A11" s="88" t="s">
        <v>375</v>
      </c>
      <c r="B11" s="88" t="s">
        <v>386</v>
      </c>
      <c r="C11" s="88"/>
      <c r="D11" s="88" t="s">
        <v>40</v>
      </c>
      <c r="E11" s="88" t="s">
        <v>179</v>
      </c>
      <c r="F11" s="88"/>
      <c r="G11" s="88"/>
      <c r="H11" s="88"/>
      <c r="I11" s="91">
        <v>1166.6600000000001</v>
      </c>
      <c r="J11" s="90"/>
      <c r="K11" s="91">
        <f t="shared" si="0"/>
        <v>1166.6600000000001</v>
      </c>
      <c r="L11" s="91">
        <v>1433.64</v>
      </c>
      <c r="M11" s="91"/>
      <c r="N11" s="91"/>
      <c r="O11" s="93"/>
      <c r="P11" s="94">
        <f t="shared" si="1"/>
        <v>2600.3000000000002</v>
      </c>
      <c r="Q11" s="137"/>
      <c r="R11" s="133"/>
      <c r="S11" s="133">
        <v>0</v>
      </c>
      <c r="T11" s="133"/>
      <c r="U11" s="133"/>
      <c r="V11" s="133"/>
      <c r="W11" s="138"/>
      <c r="X11" s="138"/>
      <c r="Y11" s="98"/>
      <c r="Z11" s="98">
        <v>0</v>
      </c>
      <c r="AA11" s="94">
        <f t="shared" si="2"/>
        <v>2600.3000000000002</v>
      </c>
      <c r="AB11" s="100">
        <f t="shared" ref="AB11:AB74" si="6">IF(P11&gt;4500,P11*0.1,0)</f>
        <v>0</v>
      </c>
      <c r="AC11" s="94">
        <f t="shared" si="3"/>
        <v>2600.3000000000002</v>
      </c>
      <c r="AD11" s="101">
        <f t="shared" si="4"/>
        <v>260.03000000000003</v>
      </c>
      <c r="AE11" s="100">
        <v>10.23</v>
      </c>
      <c r="AF11" s="102">
        <f t="shared" si="5"/>
        <v>2870.5600000000004</v>
      </c>
      <c r="AG11" s="103"/>
      <c r="AH11" s="104"/>
      <c r="AI11" s="103"/>
      <c r="AJ11" s="103"/>
      <c r="AK11" s="104"/>
      <c r="AL11" s="103"/>
      <c r="AM11" s="103"/>
    </row>
    <row r="12" spans="1:53">
      <c r="A12" s="88" t="s">
        <v>377</v>
      </c>
      <c r="B12" s="88" t="s">
        <v>387</v>
      </c>
      <c r="C12" s="88" t="s">
        <v>379</v>
      </c>
      <c r="D12" s="88">
        <v>16</v>
      </c>
      <c r="E12" s="88" t="s">
        <v>388</v>
      </c>
      <c r="F12" s="88"/>
      <c r="G12" s="89"/>
      <c r="H12" s="89"/>
      <c r="I12" s="91">
        <v>1633.33</v>
      </c>
      <c r="J12" s="89"/>
      <c r="K12" s="91">
        <f t="shared" si="0"/>
        <v>1633.33</v>
      </c>
      <c r="L12" s="91">
        <v>13631.88</v>
      </c>
      <c r="M12" s="92"/>
      <c r="N12" s="92"/>
      <c r="O12" s="93"/>
      <c r="P12" s="94">
        <f t="shared" si="1"/>
        <v>15265.21</v>
      </c>
      <c r="Q12" s="137"/>
      <c r="R12" s="133"/>
      <c r="S12" s="133">
        <v>0</v>
      </c>
      <c r="T12" s="133"/>
      <c r="U12" s="133"/>
      <c r="V12" s="133"/>
      <c r="W12" s="138"/>
      <c r="X12" s="138"/>
      <c r="Y12" s="98"/>
      <c r="Z12" s="98">
        <v>0</v>
      </c>
      <c r="AA12" s="94">
        <f t="shared" si="2"/>
        <v>15265.21</v>
      </c>
      <c r="AB12" s="100">
        <f t="shared" si="6"/>
        <v>1526.521</v>
      </c>
      <c r="AC12" s="94">
        <f t="shared" si="3"/>
        <v>13738.688999999998</v>
      </c>
      <c r="AD12" s="101">
        <f t="shared" si="4"/>
        <v>0</v>
      </c>
      <c r="AE12" s="100">
        <v>10.23</v>
      </c>
      <c r="AF12" s="102">
        <f t="shared" si="5"/>
        <v>15275.439999999999</v>
      </c>
      <c r="AG12" s="103"/>
      <c r="AH12" s="104"/>
      <c r="AI12" s="103"/>
      <c r="AJ12" s="103"/>
      <c r="AK12" s="104"/>
      <c r="AL12" s="103"/>
      <c r="AM12" s="103"/>
    </row>
    <row r="13" spans="1:53" s="156" customFormat="1">
      <c r="A13" s="151" t="s">
        <v>375</v>
      </c>
      <c r="B13" s="151" t="s">
        <v>609</v>
      </c>
      <c r="C13" s="151"/>
      <c r="D13" s="151"/>
      <c r="E13" s="151" t="s">
        <v>610</v>
      </c>
      <c r="F13" s="164">
        <v>42422</v>
      </c>
      <c r="G13" s="151"/>
      <c r="H13" s="151"/>
      <c r="I13" s="152">
        <v>0</v>
      </c>
      <c r="J13" s="151">
        <v>483.75</v>
      </c>
      <c r="K13" s="152">
        <f t="shared" si="0"/>
        <v>483.75</v>
      </c>
      <c r="L13" s="152">
        <v>0</v>
      </c>
      <c r="M13" s="152"/>
      <c r="N13" s="152"/>
      <c r="O13" s="153"/>
      <c r="P13" s="154">
        <f t="shared" si="1"/>
        <v>483.75</v>
      </c>
      <c r="Q13" s="152"/>
      <c r="R13" s="133"/>
      <c r="S13" s="152"/>
      <c r="T13" s="152"/>
      <c r="U13" s="152"/>
      <c r="V13" s="152"/>
      <c r="W13" s="155"/>
      <c r="X13" s="155"/>
      <c r="Y13" s="151"/>
      <c r="Z13" s="151"/>
      <c r="AA13" s="154">
        <f t="shared" si="2"/>
        <v>483.75</v>
      </c>
      <c r="AB13" s="155">
        <f t="shared" si="6"/>
        <v>0</v>
      </c>
      <c r="AC13" s="154">
        <f t="shared" si="3"/>
        <v>483.75</v>
      </c>
      <c r="AD13" s="155">
        <f t="shared" si="4"/>
        <v>48.375</v>
      </c>
      <c r="AE13" s="155">
        <v>10.23</v>
      </c>
      <c r="AF13" s="154">
        <f t="shared" si="5"/>
        <v>542.35500000000002</v>
      </c>
      <c r="AH13" s="157"/>
      <c r="AK13" s="157"/>
      <c r="AL13" s="156">
        <v>1456104819</v>
      </c>
      <c r="AM13" s="194" t="s">
        <v>611</v>
      </c>
    </row>
    <row r="14" spans="1:53" s="103" customFormat="1">
      <c r="A14" s="123" t="s">
        <v>389</v>
      </c>
      <c r="B14" s="123" t="s">
        <v>390</v>
      </c>
      <c r="C14" s="123" t="s">
        <v>391</v>
      </c>
      <c r="D14" s="123"/>
      <c r="E14" s="123" t="s">
        <v>392</v>
      </c>
      <c r="F14" s="161">
        <v>42417</v>
      </c>
      <c r="G14" s="123"/>
      <c r="H14" s="123"/>
      <c r="I14" s="147">
        <v>513.33000000000004</v>
      </c>
      <c r="J14" s="123">
        <v>653.33000000000004</v>
      </c>
      <c r="K14" s="147">
        <f t="shared" si="0"/>
        <v>1166.6600000000001</v>
      </c>
      <c r="L14" s="147">
        <v>164</v>
      </c>
      <c r="M14" s="147"/>
      <c r="N14" s="147"/>
      <c r="O14" s="159"/>
      <c r="P14" s="94">
        <f t="shared" si="1"/>
        <v>1330.66</v>
      </c>
      <c r="Q14" s="137"/>
      <c r="R14" s="133"/>
      <c r="S14" s="133">
        <v>0</v>
      </c>
      <c r="T14" s="133"/>
      <c r="U14" s="133"/>
      <c r="V14" s="133"/>
      <c r="W14" s="138"/>
      <c r="X14" s="138"/>
      <c r="Y14" s="98"/>
      <c r="Z14" s="98">
        <v>0</v>
      </c>
      <c r="AA14" s="94">
        <f t="shared" ref="AA14:AA77" si="7">+P14-SUM(Q14:Z14)</f>
        <v>1330.66</v>
      </c>
      <c r="AB14" s="100">
        <f t="shared" si="6"/>
        <v>0</v>
      </c>
      <c r="AC14" s="94">
        <f t="shared" si="3"/>
        <v>1330.66</v>
      </c>
      <c r="AD14" s="101">
        <f t="shared" si="4"/>
        <v>133.066</v>
      </c>
      <c r="AE14" s="100">
        <v>10.23</v>
      </c>
      <c r="AF14" s="102">
        <f t="shared" si="5"/>
        <v>1473.9560000000001</v>
      </c>
      <c r="AH14" s="104"/>
      <c r="AK14" s="104"/>
    </row>
    <row r="15" spans="1:53">
      <c r="A15" s="88" t="s">
        <v>377</v>
      </c>
      <c r="B15" s="88" t="s">
        <v>393</v>
      </c>
      <c r="C15" s="88" t="s">
        <v>30</v>
      </c>
      <c r="D15" s="88" t="s">
        <v>44</v>
      </c>
      <c r="E15" s="88" t="s">
        <v>189</v>
      </c>
      <c r="F15" s="111"/>
      <c r="G15" s="89"/>
      <c r="H15" s="89"/>
      <c r="I15" s="91">
        <v>513.33000000000004</v>
      </c>
      <c r="J15" s="89">
        <v>653.33000000000004</v>
      </c>
      <c r="K15" s="91">
        <f t="shared" si="0"/>
        <v>1166.6600000000001</v>
      </c>
      <c r="L15" s="91">
        <v>1508.49</v>
      </c>
      <c r="M15" s="92"/>
      <c r="N15" s="92"/>
      <c r="O15" s="93"/>
      <c r="P15" s="94">
        <f t="shared" si="1"/>
        <v>2675.15</v>
      </c>
      <c r="Q15" s="137"/>
      <c r="R15" s="133"/>
      <c r="S15" s="133">
        <v>0</v>
      </c>
      <c r="T15" s="133"/>
      <c r="U15" s="133"/>
      <c r="V15" s="133"/>
      <c r="W15" s="138"/>
      <c r="X15" s="138"/>
      <c r="Y15" s="98"/>
      <c r="Z15" s="98">
        <v>368.35</v>
      </c>
      <c r="AA15" s="94">
        <f t="shared" si="7"/>
        <v>2306.8000000000002</v>
      </c>
      <c r="AB15" s="100">
        <f t="shared" si="6"/>
        <v>0</v>
      </c>
      <c r="AC15" s="94">
        <f t="shared" si="3"/>
        <v>2306.8000000000002</v>
      </c>
      <c r="AD15" s="101">
        <f t="shared" si="4"/>
        <v>267.51500000000004</v>
      </c>
      <c r="AE15" s="100">
        <v>10.23</v>
      </c>
      <c r="AF15" s="102">
        <f t="shared" si="5"/>
        <v>2952.895</v>
      </c>
      <c r="AG15" s="103"/>
      <c r="AH15" s="104"/>
      <c r="AI15" s="103"/>
      <c r="AJ15" s="103"/>
      <c r="AK15" s="104"/>
      <c r="AL15" s="103"/>
      <c r="AM15" s="103"/>
    </row>
    <row r="16" spans="1:53">
      <c r="A16" s="108" t="s">
        <v>381</v>
      </c>
      <c r="B16" s="123" t="s">
        <v>394</v>
      </c>
      <c r="C16" s="123"/>
      <c r="D16" s="88" t="s">
        <v>191</v>
      </c>
      <c r="E16" s="88" t="s">
        <v>190</v>
      </c>
      <c r="F16" s="88"/>
      <c r="G16" s="89"/>
      <c r="H16" s="89"/>
      <c r="I16" s="91">
        <v>608.16</v>
      </c>
      <c r="J16" s="89"/>
      <c r="K16" s="91">
        <f t="shared" si="0"/>
        <v>608.16</v>
      </c>
      <c r="L16" s="91"/>
      <c r="M16" s="92"/>
      <c r="N16" s="92"/>
      <c r="O16" s="93"/>
      <c r="P16" s="94">
        <f t="shared" si="1"/>
        <v>608.16</v>
      </c>
      <c r="Q16" s="137"/>
      <c r="R16" s="133"/>
      <c r="S16" s="193">
        <v>150</v>
      </c>
      <c r="T16" s="193">
        <f>P16*4.9%</f>
        <v>29.79984</v>
      </c>
      <c r="U16" s="193">
        <f>P16*1%</f>
        <v>6.0815999999999999</v>
      </c>
      <c r="V16" s="133"/>
      <c r="W16" s="138"/>
      <c r="X16" s="138"/>
      <c r="Y16" s="98"/>
      <c r="Z16" s="98">
        <v>0</v>
      </c>
      <c r="AA16" s="94">
        <f t="shared" si="7"/>
        <v>422.27855999999997</v>
      </c>
      <c r="AB16" s="100">
        <f t="shared" si="6"/>
        <v>0</v>
      </c>
      <c r="AC16" s="94">
        <f t="shared" si="3"/>
        <v>422.27855999999997</v>
      </c>
      <c r="AD16" s="101">
        <f t="shared" si="4"/>
        <v>60.816000000000003</v>
      </c>
      <c r="AE16" s="100">
        <v>10.23</v>
      </c>
      <c r="AF16" s="102">
        <f t="shared" si="5"/>
        <v>679.20600000000002</v>
      </c>
      <c r="AG16" s="103"/>
      <c r="AH16" s="104"/>
      <c r="AI16" s="103"/>
      <c r="AJ16" s="103"/>
      <c r="AK16" s="104"/>
      <c r="AL16" s="103"/>
      <c r="AM16" s="103"/>
    </row>
    <row r="17" spans="1:53">
      <c r="A17" s="88" t="s">
        <v>389</v>
      </c>
      <c r="B17" s="88" t="s">
        <v>395</v>
      </c>
      <c r="C17" s="88" t="s">
        <v>391</v>
      </c>
      <c r="D17" s="88" t="s">
        <v>14</v>
      </c>
      <c r="E17" s="88" t="s">
        <v>189</v>
      </c>
      <c r="F17" s="124">
        <v>42326</v>
      </c>
      <c r="G17" s="89"/>
      <c r="H17" s="89"/>
      <c r="I17" s="91">
        <v>513.33000000000004</v>
      </c>
      <c r="J17" s="89"/>
      <c r="K17" s="91">
        <f t="shared" si="0"/>
        <v>513.33000000000004</v>
      </c>
      <c r="L17" s="91">
        <v>513.33000000000004</v>
      </c>
      <c r="M17" s="92"/>
      <c r="N17" s="92"/>
      <c r="O17" s="93"/>
      <c r="P17" s="94">
        <f t="shared" si="1"/>
        <v>1026.6600000000001</v>
      </c>
      <c r="Q17" s="137"/>
      <c r="R17" s="133"/>
      <c r="S17" s="133">
        <v>0</v>
      </c>
      <c r="T17" s="133"/>
      <c r="U17" s="133"/>
      <c r="V17" s="133"/>
      <c r="W17" s="138"/>
      <c r="X17" s="138"/>
      <c r="Y17" s="98"/>
      <c r="Z17" s="195">
        <f>+P17*0.25+125</f>
        <v>381.66500000000002</v>
      </c>
      <c r="AA17" s="94">
        <f t="shared" si="7"/>
        <v>644.99500000000012</v>
      </c>
      <c r="AB17" s="100">
        <f t="shared" si="6"/>
        <v>0</v>
      </c>
      <c r="AC17" s="94">
        <f t="shared" si="3"/>
        <v>644.99500000000012</v>
      </c>
      <c r="AD17" s="101">
        <f t="shared" si="4"/>
        <v>102.66600000000001</v>
      </c>
      <c r="AE17" s="100">
        <v>10.23</v>
      </c>
      <c r="AF17" s="102">
        <f t="shared" si="5"/>
        <v>1139.556</v>
      </c>
      <c r="AG17" s="103"/>
      <c r="AH17" s="196"/>
      <c r="AI17" s="103"/>
      <c r="AJ17" s="103"/>
      <c r="AK17" s="104"/>
      <c r="AL17" s="103"/>
      <c r="AM17" s="103">
        <f>622.79+125</f>
        <v>747.79</v>
      </c>
      <c r="AN17" s="103" t="s">
        <v>612</v>
      </c>
    </row>
    <row r="18" spans="1:53">
      <c r="A18" s="88" t="s">
        <v>396</v>
      </c>
      <c r="B18" s="88" t="s">
        <v>613</v>
      </c>
      <c r="C18" s="88"/>
      <c r="D18" s="88" t="s">
        <v>48</v>
      </c>
      <c r="E18" s="88" t="s">
        <v>398</v>
      </c>
      <c r="F18" s="88"/>
      <c r="G18" s="89"/>
      <c r="H18" s="89"/>
      <c r="I18" s="91">
        <v>933.33</v>
      </c>
      <c r="J18" s="89"/>
      <c r="K18" s="91">
        <f t="shared" si="0"/>
        <v>933.33</v>
      </c>
      <c r="L18" s="91">
        <v>550</v>
      </c>
      <c r="M18" s="92"/>
      <c r="N18" s="92"/>
      <c r="O18" s="93"/>
      <c r="P18" s="94">
        <f t="shared" si="1"/>
        <v>1483.33</v>
      </c>
      <c r="Q18" s="137"/>
      <c r="R18" s="133">
        <v>58.91</v>
      </c>
      <c r="S18" s="133">
        <v>0</v>
      </c>
      <c r="T18" s="133"/>
      <c r="U18" s="133"/>
      <c r="V18" s="133"/>
      <c r="W18" s="138"/>
      <c r="X18" s="138"/>
      <c r="Y18" s="195"/>
      <c r="Z18" s="98">
        <v>0</v>
      </c>
      <c r="AA18" s="94">
        <f t="shared" si="7"/>
        <v>1424.4199999999998</v>
      </c>
      <c r="AB18" s="100">
        <f t="shared" si="6"/>
        <v>0</v>
      </c>
      <c r="AC18" s="94">
        <f t="shared" si="3"/>
        <v>1424.4199999999998</v>
      </c>
      <c r="AD18" s="101">
        <f t="shared" si="4"/>
        <v>148.333</v>
      </c>
      <c r="AE18" s="100">
        <v>10.23</v>
      </c>
      <c r="AF18" s="102">
        <f t="shared" si="5"/>
        <v>1641.893</v>
      </c>
      <c r="AG18" s="103"/>
      <c r="AH18" s="104"/>
      <c r="AI18" s="103"/>
      <c r="AJ18" s="103"/>
      <c r="AK18" s="104"/>
      <c r="AL18" s="103"/>
      <c r="AM18" s="103" t="s">
        <v>614</v>
      </c>
    </row>
    <row r="19" spans="1:53">
      <c r="A19" s="88" t="s">
        <v>377</v>
      </c>
      <c r="B19" s="88" t="s">
        <v>615</v>
      </c>
      <c r="C19" s="88" t="s">
        <v>32</v>
      </c>
      <c r="D19" s="88" t="s">
        <v>50</v>
      </c>
      <c r="E19" s="88" t="s">
        <v>189</v>
      </c>
      <c r="F19" s="88"/>
      <c r="G19" s="89"/>
      <c r="H19" s="89"/>
      <c r="I19" s="91">
        <v>513.33000000000004</v>
      </c>
      <c r="J19" s="89"/>
      <c r="K19" s="91">
        <f t="shared" si="0"/>
        <v>513.33000000000004</v>
      </c>
      <c r="L19" s="91">
        <f>513.33+10425.49</f>
        <v>10938.82</v>
      </c>
      <c r="M19" s="92"/>
      <c r="N19" s="92"/>
      <c r="O19" s="93"/>
      <c r="P19" s="94">
        <f t="shared" si="1"/>
        <v>11452.15</v>
      </c>
      <c r="Q19" s="137"/>
      <c r="R19" s="133">
        <v>58.91</v>
      </c>
      <c r="S19" s="193">
        <v>500</v>
      </c>
      <c r="T19" s="133"/>
      <c r="U19" s="133"/>
      <c r="V19" s="133"/>
      <c r="W19" s="138"/>
      <c r="X19" s="138"/>
      <c r="Y19" s="98"/>
      <c r="Z19" s="136">
        <v>1697.06</v>
      </c>
      <c r="AA19" s="94">
        <f t="shared" si="7"/>
        <v>9196.18</v>
      </c>
      <c r="AB19" s="100">
        <f t="shared" si="6"/>
        <v>1145.2149999999999</v>
      </c>
      <c r="AC19" s="94">
        <f t="shared" si="3"/>
        <v>8050.9650000000001</v>
      </c>
      <c r="AD19" s="101">
        <f t="shared" si="4"/>
        <v>0</v>
      </c>
      <c r="AE19" s="100">
        <v>10.23</v>
      </c>
      <c r="AF19" s="102">
        <f t="shared" si="5"/>
        <v>11462.38</v>
      </c>
      <c r="AG19" s="103"/>
      <c r="AH19" s="104"/>
      <c r="AI19" s="103"/>
      <c r="AJ19" s="103"/>
      <c r="AK19" s="104"/>
      <c r="AL19" s="103"/>
      <c r="AM19" s="103"/>
    </row>
    <row r="20" spans="1:53">
      <c r="A20" s="88" t="s">
        <v>375</v>
      </c>
      <c r="B20" s="88" t="s">
        <v>400</v>
      </c>
      <c r="C20" s="88"/>
      <c r="D20" s="88" t="s">
        <v>180</v>
      </c>
      <c r="E20" s="88" t="s">
        <v>179</v>
      </c>
      <c r="F20" s="88"/>
      <c r="G20" s="88"/>
      <c r="H20" s="88"/>
      <c r="I20" s="91">
        <v>1166.26</v>
      </c>
      <c r="J20" s="90"/>
      <c r="K20" s="91">
        <f t="shared" si="0"/>
        <v>1166.26</v>
      </c>
      <c r="L20" s="91"/>
      <c r="M20" s="91"/>
      <c r="N20" s="91"/>
      <c r="O20" s="93"/>
      <c r="P20" s="94">
        <f t="shared" si="1"/>
        <v>1166.26</v>
      </c>
      <c r="Q20" s="137"/>
      <c r="R20" s="133"/>
      <c r="S20" s="133">
        <v>0</v>
      </c>
      <c r="T20" s="133"/>
      <c r="U20" s="133"/>
      <c r="V20" s="133"/>
      <c r="W20" s="138"/>
      <c r="X20" s="138"/>
      <c r="Y20" s="98"/>
      <c r="Z20" s="98">
        <v>0</v>
      </c>
      <c r="AA20" s="94">
        <f t="shared" si="7"/>
        <v>1166.26</v>
      </c>
      <c r="AB20" s="100">
        <f t="shared" si="6"/>
        <v>0</v>
      </c>
      <c r="AC20" s="94">
        <f t="shared" si="3"/>
        <v>1166.26</v>
      </c>
      <c r="AD20" s="101">
        <f t="shared" si="4"/>
        <v>116.626</v>
      </c>
      <c r="AE20" s="100">
        <v>10.23</v>
      </c>
      <c r="AF20" s="102">
        <f t="shared" si="5"/>
        <v>1293.116</v>
      </c>
      <c r="AG20" s="103"/>
      <c r="AH20" s="104"/>
      <c r="AI20" s="103"/>
      <c r="AJ20" s="103"/>
      <c r="AK20" s="104"/>
      <c r="AL20" s="103"/>
      <c r="AM20" s="103"/>
    </row>
    <row r="21" spans="1:53">
      <c r="A21" s="108" t="s">
        <v>381</v>
      </c>
      <c r="B21" s="88" t="s">
        <v>401</v>
      </c>
      <c r="C21" s="88"/>
      <c r="D21" s="88" t="s">
        <v>53</v>
      </c>
      <c r="E21" s="88" t="s">
        <v>181</v>
      </c>
      <c r="F21" s="88"/>
      <c r="G21" s="89"/>
      <c r="H21" s="89"/>
      <c r="I21" s="91">
        <v>511.28</v>
      </c>
      <c r="J21" s="89"/>
      <c r="K21" s="91">
        <f t="shared" si="0"/>
        <v>511.28</v>
      </c>
      <c r="L21" s="91">
        <v>2243.33</v>
      </c>
      <c r="M21" s="92"/>
      <c r="N21" s="92"/>
      <c r="O21" s="93"/>
      <c r="P21" s="94">
        <f t="shared" si="1"/>
        <v>2754.6099999999997</v>
      </c>
      <c r="Q21" s="137"/>
      <c r="R21" s="133"/>
      <c r="S21" s="193">
        <v>0</v>
      </c>
      <c r="T21" s="193">
        <f>P21*4.9%</f>
        <v>134.97588999999999</v>
      </c>
      <c r="U21" s="193">
        <f>P21*1%</f>
        <v>27.546099999999996</v>
      </c>
      <c r="V21" s="133"/>
      <c r="W21" s="138"/>
      <c r="X21" s="138"/>
      <c r="Y21" s="98"/>
      <c r="Z21" s="98">
        <v>0</v>
      </c>
      <c r="AA21" s="94">
        <f t="shared" si="7"/>
        <v>2592.0880099999995</v>
      </c>
      <c r="AB21" s="100">
        <f t="shared" si="6"/>
        <v>0</v>
      </c>
      <c r="AC21" s="94">
        <f t="shared" si="3"/>
        <v>2592.0880099999995</v>
      </c>
      <c r="AD21" s="101">
        <f t="shared" si="4"/>
        <v>275.46099999999996</v>
      </c>
      <c r="AE21" s="100">
        <v>10.23</v>
      </c>
      <c r="AF21" s="102">
        <f t="shared" si="5"/>
        <v>3040.3009999999995</v>
      </c>
      <c r="AG21" s="103"/>
      <c r="AH21" s="104"/>
      <c r="AI21" s="103"/>
      <c r="AJ21" s="103"/>
      <c r="AK21" s="104"/>
      <c r="AL21" s="103"/>
      <c r="AM21" s="103"/>
    </row>
    <row r="22" spans="1:53">
      <c r="A22" s="88" t="s">
        <v>377</v>
      </c>
      <c r="B22" s="88" t="s">
        <v>616</v>
      </c>
      <c r="C22" s="88" t="s">
        <v>379</v>
      </c>
      <c r="D22" s="88">
        <v>18</v>
      </c>
      <c r="E22" s="88" t="s">
        <v>403</v>
      </c>
      <c r="F22" s="88"/>
      <c r="G22" s="89"/>
      <c r="H22" s="89"/>
      <c r="I22" s="91">
        <v>1633.33</v>
      </c>
      <c r="J22" s="89"/>
      <c r="K22" s="91">
        <f t="shared" si="0"/>
        <v>1633.33</v>
      </c>
      <c r="L22" s="91">
        <v>13971.02</v>
      </c>
      <c r="M22" s="92"/>
      <c r="N22" s="92"/>
      <c r="O22" s="93"/>
      <c r="P22" s="94">
        <f t="shared" si="1"/>
        <v>15604.35</v>
      </c>
      <c r="Q22" s="137"/>
      <c r="R22" s="133"/>
      <c r="S22" s="193">
        <v>700</v>
      </c>
      <c r="T22" s="133"/>
      <c r="U22" s="133"/>
      <c r="V22" s="133"/>
      <c r="W22" s="138"/>
      <c r="X22" s="138"/>
      <c r="Y22" s="98">
        <v>205.7</v>
      </c>
      <c r="Z22" s="98">
        <v>0</v>
      </c>
      <c r="AA22" s="94">
        <f t="shared" si="7"/>
        <v>14698.65</v>
      </c>
      <c r="AB22" s="100">
        <f t="shared" si="6"/>
        <v>1560.4350000000002</v>
      </c>
      <c r="AC22" s="94">
        <f t="shared" si="3"/>
        <v>13138.215</v>
      </c>
      <c r="AD22" s="101">
        <f t="shared" si="4"/>
        <v>0</v>
      </c>
      <c r="AE22" s="100">
        <v>10.23</v>
      </c>
      <c r="AF22" s="102">
        <f t="shared" si="5"/>
        <v>15614.58</v>
      </c>
      <c r="AG22" s="103"/>
      <c r="AH22" s="104"/>
      <c r="AI22" s="103"/>
      <c r="AJ22" s="103"/>
      <c r="AK22" s="104"/>
      <c r="AL22" s="103"/>
      <c r="AM22" s="103"/>
    </row>
    <row r="23" spans="1:53">
      <c r="A23" s="88" t="s">
        <v>381</v>
      </c>
      <c r="B23" s="88" t="s">
        <v>617</v>
      </c>
      <c r="C23" s="88"/>
      <c r="D23" s="88" t="s">
        <v>56</v>
      </c>
      <c r="E23" s="88" t="s">
        <v>405</v>
      </c>
      <c r="F23" s="88"/>
      <c r="G23" s="89"/>
      <c r="H23" s="89"/>
      <c r="I23" s="91">
        <v>1100</v>
      </c>
      <c r="J23" s="89"/>
      <c r="K23" s="91">
        <f t="shared" si="0"/>
        <v>1100</v>
      </c>
      <c r="L23" s="91">
        <v>314.3</v>
      </c>
      <c r="M23" s="92"/>
      <c r="N23" s="92"/>
      <c r="O23" s="93"/>
      <c r="P23" s="94">
        <f t="shared" si="1"/>
        <v>1414.3</v>
      </c>
      <c r="Q23" s="137"/>
      <c r="R23" s="133"/>
      <c r="S23" s="193">
        <f>+P23*1%</f>
        <v>14.143000000000001</v>
      </c>
      <c r="T23" s="193">
        <f>+P23*4.9%</f>
        <v>69.300700000000006</v>
      </c>
      <c r="U23" s="133"/>
      <c r="V23" s="133"/>
      <c r="W23" s="138"/>
      <c r="X23" s="138"/>
      <c r="Y23" s="98"/>
      <c r="Z23" s="98">
        <v>0</v>
      </c>
      <c r="AA23" s="94">
        <f t="shared" si="7"/>
        <v>1330.8562999999999</v>
      </c>
      <c r="AB23" s="100">
        <f t="shared" si="6"/>
        <v>0</v>
      </c>
      <c r="AC23" s="94">
        <f t="shared" si="3"/>
        <v>1330.8562999999999</v>
      </c>
      <c r="AD23" s="101">
        <f t="shared" si="4"/>
        <v>141.43</v>
      </c>
      <c r="AE23" s="100">
        <v>10.23</v>
      </c>
      <c r="AF23" s="102">
        <f t="shared" si="5"/>
        <v>1565.96</v>
      </c>
      <c r="AG23" s="103"/>
      <c r="AH23" s="104"/>
      <c r="AI23" s="103"/>
      <c r="AJ23" s="103"/>
      <c r="AK23" s="104"/>
      <c r="AL23" s="103"/>
      <c r="AM23" s="103"/>
    </row>
    <row r="24" spans="1:53">
      <c r="A24" s="88" t="s">
        <v>396</v>
      </c>
      <c r="B24" s="88" t="s">
        <v>406</v>
      </c>
      <c r="C24" s="88"/>
      <c r="D24" s="88" t="s">
        <v>58</v>
      </c>
      <c r="E24" s="88" t="s">
        <v>398</v>
      </c>
      <c r="F24" s="88"/>
      <c r="G24" s="89"/>
      <c r="H24" s="89"/>
      <c r="I24" s="91">
        <v>933.33</v>
      </c>
      <c r="J24" s="89"/>
      <c r="K24" s="91">
        <f t="shared" si="0"/>
        <v>933.33</v>
      </c>
      <c r="L24" s="91">
        <v>550</v>
      </c>
      <c r="M24" s="92"/>
      <c r="N24" s="92"/>
      <c r="O24" s="93"/>
      <c r="P24" s="94">
        <f t="shared" si="1"/>
        <v>1483.33</v>
      </c>
      <c r="Q24" s="137"/>
      <c r="R24" s="133">
        <v>38.28</v>
      </c>
      <c r="S24" s="133">
        <v>0</v>
      </c>
      <c r="T24" s="133"/>
      <c r="U24" s="133"/>
      <c r="V24" s="133"/>
      <c r="W24" s="138"/>
      <c r="X24" s="138"/>
      <c r="Y24" s="98"/>
      <c r="Z24" s="98">
        <f>357.73+148.47</f>
        <v>506.20000000000005</v>
      </c>
      <c r="AA24" s="94">
        <f t="shared" si="7"/>
        <v>938.84999999999991</v>
      </c>
      <c r="AB24" s="100">
        <f t="shared" si="6"/>
        <v>0</v>
      </c>
      <c r="AC24" s="94">
        <f t="shared" si="3"/>
        <v>938.84999999999991</v>
      </c>
      <c r="AD24" s="101">
        <f t="shared" si="4"/>
        <v>148.333</v>
      </c>
      <c r="AE24" s="100">
        <v>10.23</v>
      </c>
      <c r="AF24" s="102">
        <f t="shared" si="5"/>
        <v>1641.893</v>
      </c>
      <c r="AG24" s="103"/>
      <c r="AH24" s="104"/>
      <c r="AI24" s="103"/>
      <c r="AJ24" s="103"/>
      <c r="AK24" s="104"/>
      <c r="AL24" s="103"/>
      <c r="AM24" s="103" t="s">
        <v>614</v>
      </c>
    </row>
    <row r="25" spans="1:53">
      <c r="A25" s="88" t="s">
        <v>389</v>
      </c>
      <c r="B25" s="88" t="s">
        <v>407</v>
      </c>
      <c r="C25" s="88" t="s">
        <v>391</v>
      </c>
      <c r="D25" s="88" t="s">
        <v>60</v>
      </c>
      <c r="E25" s="88" t="s">
        <v>189</v>
      </c>
      <c r="F25" s="124">
        <v>42432</v>
      </c>
      <c r="G25" s="89"/>
      <c r="H25" s="89"/>
      <c r="I25" s="91">
        <v>513.33000000000004</v>
      </c>
      <c r="J25" s="89">
        <v>653.33000000000004</v>
      </c>
      <c r="K25" s="91">
        <f t="shared" si="0"/>
        <v>1166.6600000000001</v>
      </c>
      <c r="L25" s="91">
        <f>1792.44+1000+1500</f>
        <v>4292.4400000000005</v>
      </c>
      <c r="M25" s="92"/>
      <c r="N25" s="92"/>
      <c r="O25" s="93"/>
      <c r="P25" s="94">
        <f t="shared" si="1"/>
        <v>5459.1</v>
      </c>
      <c r="Q25" s="137"/>
      <c r="R25" s="133"/>
      <c r="S25" s="133">
        <v>0</v>
      </c>
      <c r="T25" s="133"/>
      <c r="U25" s="133"/>
      <c r="V25" s="133"/>
      <c r="W25" s="138"/>
      <c r="X25" s="138"/>
      <c r="Y25" s="98"/>
      <c r="Z25" s="98">
        <f>797.62</f>
        <v>797.62</v>
      </c>
      <c r="AA25" s="94">
        <f t="shared" si="7"/>
        <v>4661.4800000000005</v>
      </c>
      <c r="AB25" s="100">
        <f t="shared" si="6"/>
        <v>545.91000000000008</v>
      </c>
      <c r="AC25" s="94">
        <f t="shared" si="3"/>
        <v>4115.5700000000006</v>
      </c>
      <c r="AD25" s="101">
        <f t="shared" si="4"/>
        <v>0</v>
      </c>
      <c r="AE25" s="100">
        <v>10.23</v>
      </c>
      <c r="AF25" s="102">
        <f t="shared" si="5"/>
        <v>5469.33</v>
      </c>
      <c r="AG25" s="103"/>
      <c r="AH25" s="104"/>
      <c r="AI25" s="103"/>
      <c r="AJ25" s="103"/>
      <c r="AK25" s="104"/>
      <c r="AL25" s="103"/>
      <c r="AM25" s="103"/>
    </row>
    <row r="26" spans="1:53">
      <c r="A26" s="108" t="s">
        <v>383</v>
      </c>
      <c r="B26" s="88" t="s">
        <v>408</v>
      </c>
      <c r="C26" s="88"/>
      <c r="D26" s="88" t="s">
        <v>62</v>
      </c>
      <c r="E26" s="88" t="s">
        <v>409</v>
      </c>
      <c r="F26" s="88"/>
      <c r="G26" s="88"/>
      <c r="H26" s="88"/>
      <c r="I26" s="197">
        <v>739.23</v>
      </c>
      <c r="J26" s="88"/>
      <c r="K26" s="91">
        <f t="shared" si="0"/>
        <v>739.23</v>
      </c>
      <c r="L26" s="91">
        <v>2507.88</v>
      </c>
      <c r="M26" s="91"/>
      <c r="N26" s="91"/>
      <c r="O26" s="93"/>
      <c r="P26" s="94">
        <f t="shared" si="1"/>
        <v>3247.11</v>
      </c>
      <c r="Q26" s="137"/>
      <c r="R26" s="133"/>
      <c r="S26" s="133">
        <v>0</v>
      </c>
      <c r="T26" s="133"/>
      <c r="U26" s="133"/>
      <c r="V26" s="133"/>
      <c r="W26" s="138"/>
      <c r="X26" s="138"/>
      <c r="Y26" s="98"/>
      <c r="Z26" s="98">
        <v>0</v>
      </c>
      <c r="AA26" s="94">
        <f t="shared" si="7"/>
        <v>3247.11</v>
      </c>
      <c r="AB26" s="100">
        <f t="shared" si="6"/>
        <v>0</v>
      </c>
      <c r="AC26" s="94">
        <f t="shared" si="3"/>
        <v>3247.11</v>
      </c>
      <c r="AD26" s="101">
        <f t="shared" si="4"/>
        <v>324.71100000000001</v>
      </c>
      <c r="AE26" s="100">
        <v>10.23</v>
      </c>
      <c r="AF26" s="102">
        <f t="shared" si="5"/>
        <v>3582.0509999999999</v>
      </c>
      <c r="AG26" s="103"/>
      <c r="AH26" s="104"/>
      <c r="AI26" s="103"/>
      <c r="AJ26" s="103"/>
      <c r="AK26" s="104"/>
      <c r="AL26" s="103"/>
      <c r="AM26" s="103"/>
    </row>
    <row r="27" spans="1:53">
      <c r="A27" s="88" t="s">
        <v>389</v>
      </c>
      <c r="B27" s="88" t="s">
        <v>410</v>
      </c>
      <c r="C27" s="88" t="s">
        <v>391</v>
      </c>
      <c r="D27" s="88" t="s">
        <v>64</v>
      </c>
      <c r="E27" s="88" t="s">
        <v>392</v>
      </c>
      <c r="F27" s="124">
        <v>42304</v>
      </c>
      <c r="G27" s="89"/>
      <c r="H27" s="89"/>
      <c r="I27" s="91">
        <v>513.33000000000004</v>
      </c>
      <c r="J27" s="89"/>
      <c r="K27" s="91">
        <f t="shared" si="0"/>
        <v>513.33000000000004</v>
      </c>
      <c r="L27" s="91">
        <v>513.33000000000004</v>
      </c>
      <c r="M27" s="92"/>
      <c r="N27" s="92"/>
      <c r="O27" s="93"/>
      <c r="P27" s="94">
        <f t="shared" si="1"/>
        <v>1026.6600000000001</v>
      </c>
      <c r="Q27" s="137"/>
      <c r="R27" s="133"/>
      <c r="S27" s="133">
        <v>0</v>
      </c>
      <c r="T27" s="133"/>
      <c r="U27" s="133"/>
      <c r="V27" s="133"/>
      <c r="W27" s="138"/>
      <c r="X27" s="138"/>
      <c r="Y27" s="98"/>
      <c r="Z27" s="98">
        <v>0</v>
      </c>
      <c r="AA27" s="94">
        <f t="shared" si="7"/>
        <v>1026.6600000000001</v>
      </c>
      <c r="AB27" s="100">
        <f t="shared" si="6"/>
        <v>0</v>
      </c>
      <c r="AC27" s="94">
        <f t="shared" si="3"/>
        <v>1026.6600000000001</v>
      </c>
      <c r="AD27" s="101">
        <f t="shared" si="4"/>
        <v>102.66600000000001</v>
      </c>
      <c r="AE27" s="100">
        <v>10.23</v>
      </c>
      <c r="AF27" s="102">
        <f t="shared" si="5"/>
        <v>1139.556</v>
      </c>
      <c r="AG27" s="103"/>
      <c r="AH27" s="104"/>
      <c r="AI27" s="103"/>
      <c r="AJ27" s="103"/>
      <c r="AK27" s="104"/>
      <c r="AL27" s="103"/>
      <c r="AM27" s="103"/>
    </row>
    <row r="28" spans="1:53" s="105" customFormat="1">
      <c r="A28" s="88" t="s">
        <v>383</v>
      </c>
      <c r="B28" s="88" t="s">
        <v>411</v>
      </c>
      <c r="C28" s="88"/>
      <c r="D28" s="88" t="s">
        <v>66</v>
      </c>
      <c r="E28" s="88" t="s">
        <v>385</v>
      </c>
      <c r="F28" s="88"/>
      <c r="G28" s="88"/>
      <c r="H28" s="88"/>
      <c r="I28" s="91">
        <v>1100</v>
      </c>
      <c r="J28" s="88"/>
      <c r="K28" s="91">
        <f t="shared" si="0"/>
        <v>1100</v>
      </c>
      <c r="L28" s="91">
        <v>1052.97</v>
      </c>
      <c r="M28" s="91"/>
      <c r="N28" s="91"/>
      <c r="O28" s="93"/>
      <c r="P28" s="94">
        <f t="shared" si="1"/>
        <v>2152.9700000000003</v>
      </c>
      <c r="Q28" s="137"/>
      <c r="R28" s="133"/>
      <c r="S28" s="133">
        <v>0</v>
      </c>
      <c r="T28" s="133"/>
      <c r="U28" s="133"/>
      <c r="V28" s="133"/>
      <c r="W28" s="138"/>
      <c r="X28" s="138"/>
      <c r="Y28" s="98"/>
      <c r="Z28" s="98">
        <v>0</v>
      </c>
      <c r="AA28" s="94">
        <f t="shared" si="7"/>
        <v>2152.9700000000003</v>
      </c>
      <c r="AB28" s="100">
        <f t="shared" si="6"/>
        <v>0</v>
      </c>
      <c r="AC28" s="94">
        <f t="shared" si="3"/>
        <v>2152.9700000000003</v>
      </c>
      <c r="AD28" s="101">
        <f t="shared" si="4"/>
        <v>215.29700000000003</v>
      </c>
      <c r="AE28" s="100">
        <v>10.23</v>
      </c>
      <c r="AF28" s="102">
        <f t="shared" si="5"/>
        <v>2378.4970000000003</v>
      </c>
      <c r="AG28" s="103"/>
      <c r="AH28" s="104"/>
      <c r="AI28" s="103"/>
      <c r="AJ28" s="103"/>
      <c r="AK28" s="104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</row>
    <row r="29" spans="1:53">
      <c r="A29" s="88" t="s">
        <v>396</v>
      </c>
      <c r="B29" s="88" t="s">
        <v>412</v>
      </c>
      <c r="C29" s="88"/>
      <c r="D29" s="88" t="s">
        <v>68</v>
      </c>
      <c r="E29" s="88" t="s">
        <v>413</v>
      </c>
      <c r="F29" s="88"/>
      <c r="G29" s="88"/>
      <c r="H29" s="88"/>
      <c r="I29" s="91">
        <v>933.33</v>
      </c>
      <c r="J29" s="88"/>
      <c r="K29" s="91">
        <f t="shared" si="0"/>
        <v>933.33</v>
      </c>
      <c r="L29" s="91">
        <v>550</v>
      </c>
      <c r="M29" s="91"/>
      <c r="N29" s="91"/>
      <c r="O29" s="93"/>
      <c r="P29" s="94">
        <f t="shared" si="1"/>
        <v>1483.33</v>
      </c>
      <c r="Q29" s="137"/>
      <c r="R29" s="133">
        <v>58.91</v>
      </c>
      <c r="S29" s="133">
        <v>0</v>
      </c>
      <c r="T29" s="133"/>
      <c r="U29" s="133"/>
      <c r="V29" s="133"/>
      <c r="W29" s="138"/>
      <c r="X29" s="138"/>
      <c r="Y29" s="98"/>
      <c r="Z29" s="98">
        <v>0</v>
      </c>
      <c r="AA29" s="94">
        <f t="shared" si="7"/>
        <v>1424.4199999999998</v>
      </c>
      <c r="AB29" s="100">
        <f t="shared" si="6"/>
        <v>0</v>
      </c>
      <c r="AC29" s="94">
        <f t="shared" si="3"/>
        <v>1424.4199999999998</v>
      </c>
      <c r="AD29" s="101">
        <f t="shared" si="4"/>
        <v>148.333</v>
      </c>
      <c r="AE29" s="100">
        <v>10.23</v>
      </c>
      <c r="AF29" s="102">
        <f t="shared" si="5"/>
        <v>1641.893</v>
      </c>
      <c r="AG29" s="103"/>
      <c r="AH29" s="104"/>
      <c r="AI29" s="103"/>
      <c r="AJ29" s="103"/>
      <c r="AK29" s="104"/>
      <c r="AL29" s="103"/>
      <c r="AM29" s="103" t="s">
        <v>614</v>
      </c>
    </row>
    <row r="30" spans="1:53">
      <c r="A30" s="88" t="s">
        <v>414</v>
      </c>
      <c r="B30" s="88" t="s">
        <v>415</v>
      </c>
      <c r="C30" s="88"/>
      <c r="D30" s="88" t="s">
        <v>70</v>
      </c>
      <c r="E30" s="88" t="s">
        <v>186</v>
      </c>
      <c r="F30" s="88"/>
      <c r="G30" s="88"/>
      <c r="H30" s="88"/>
      <c r="I30" s="91">
        <v>1516.67</v>
      </c>
      <c r="J30" s="88"/>
      <c r="K30" s="91">
        <f t="shared" si="0"/>
        <v>1516.67</v>
      </c>
      <c r="L30" s="91"/>
      <c r="M30" s="91"/>
      <c r="N30" s="91"/>
      <c r="O30" s="93"/>
      <c r="P30" s="94">
        <f t="shared" si="1"/>
        <v>1516.67</v>
      </c>
      <c r="Q30" s="137"/>
      <c r="R30" s="133"/>
      <c r="S30" s="193">
        <v>200</v>
      </c>
      <c r="T30" s="133"/>
      <c r="U30" s="133"/>
      <c r="V30" s="133"/>
      <c r="W30" s="138"/>
      <c r="X30" s="138"/>
      <c r="Y30" s="98"/>
      <c r="Z30" s="98">
        <v>0</v>
      </c>
      <c r="AA30" s="94">
        <f t="shared" si="7"/>
        <v>1316.67</v>
      </c>
      <c r="AB30" s="100">
        <f t="shared" si="6"/>
        <v>0</v>
      </c>
      <c r="AC30" s="94">
        <f t="shared" si="3"/>
        <v>1316.67</v>
      </c>
      <c r="AD30" s="101">
        <f t="shared" si="4"/>
        <v>151.667</v>
      </c>
      <c r="AE30" s="100">
        <v>10.23</v>
      </c>
      <c r="AF30" s="102">
        <f t="shared" si="5"/>
        <v>1678.567</v>
      </c>
      <c r="AG30" s="103"/>
      <c r="AH30" s="104"/>
      <c r="AI30" s="103"/>
      <c r="AJ30" s="103"/>
      <c r="AK30" s="104"/>
      <c r="AL30" s="103"/>
      <c r="AM30" s="103" t="s">
        <v>618</v>
      </c>
    </row>
    <row r="31" spans="1:53" s="105" customFormat="1">
      <c r="A31" s="108" t="s">
        <v>381</v>
      </c>
      <c r="B31" s="88" t="s">
        <v>416</v>
      </c>
      <c r="C31" s="88"/>
      <c r="D31" s="88" t="s">
        <v>72</v>
      </c>
      <c r="E31" s="88" t="s">
        <v>190</v>
      </c>
      <c r="F31" s="88"/>
      <c r="G31" s="89"/>
      <c r="H31" s="89"/>
      <c r="I31" s="91">
        <v>608.16</v>
      </c>
      <c r="J31" s="89"/>
      <c r="K31" s="91">
        <f t="shared" si="0"/>
        <v>608.16</v>
      </c>
      <c r="L31" s="91">
        <v>3595.22</v>
      </c>
      <c r="M31" s="92"/>
      <c r="N31" s="92"/>
      <c r="O31" s="93"/>
      <c r="P31" s="94">
        <f t="shared" si="1"/>
        <v>4203.38</v>
      </c>
      <c r="Q31" s="137"/>
      <c r="R31" s="133"/>
      <c r="S31" s="193">
        <v>500</v>
      </c>
      <c r="T31" s="193">
        <f>P31*4.9%</f>
        <v>205.96562</v>
      </c>
      <c r="U31" s="193">
        <f>P31*1%</f>
        <v>42.033799999999999</v>
      </c>
      <c r="V31" s="133"/>
      <c r="W31" s="138"/>
      <c r="X31" s="138"/>
      <c r="Y31" s="98"/>
      <c r="Z31" s="98">
        <v>0</v>
      </c>
      <c r="AA31" s="94">
        <f t="shared" si="7"/>
        <v>3455.38058</v>
      </c>
      <c r="AB31" s="100">
        <f t="shared" si="6"/>
        <v>0</v>
      </c>
      <c r="AC31" s="94">
        <f t="shared" si="3"/>
        <v>3455.38058</v>
      </c>
      <c r="AD31" s="101">
        <f t="shared" si="4"/>
        <v>420.33800000000002</v>
      </c>
      <c r="AE31" s="100">
        <v>10.23</v>
      </c>
      <c r="AF31" s="102">
        <f t="shared" si="5"/>
        <v>4633.9479999999994</v>
      </c>
      <c r="AG31" s="103"/>
      <c r="AH31" s="104"/>
      <c r="AI31" s="103"/>
      <c r="AJ31" s="103"/>
      <c r="AK31" s="104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</row>
    <row r="32" spans="1:53" s="105" customFormat="1">
      <c r="A32" s="108" t="s">
        <v>381</v>
      </c>
      <c r="B32" s="88" t="s">
        <v>418</v>
      </c>
      <c r="C32" s="88"/>
      <c r="D32" s="88" t="s">
        <v>76</v>
      </c>
      <c r="E32" s="88" t="s">
        <v>419</v>
      </c>
      <c r="F32" s="88"/>
      <c r="G32" s="89"/>
      <c r="H32" s="89"/>
      <c r="I32" s="91">
        <v>608.16</v>
      </c>
      <c r="J32" s="89"/>
      <c r="K32" s="91">
        <f t="shared" si="0"/>
        <v>608.16</v>
      </c>
      <c r="L32" s="91">
        <v>2998.94</v>
      </c>
      <c r="M32" s="92"/>
      <c r="N32" s="92"/>
      <c r="O32" s="93"/>
      <c r="P32" s="94">
        <f t="shared" si="1"/>
        <v>3607.1</v>
      </c>
      <c r="Q32" s="137"/>
      <c r="R32" s="133"/>
      <c r="S32" s="193">
        <v>1000</v>
      </c>
      <c r="T32" s="193">
        <f>P32*4.9%</f>
        <v>176.74790000000002</v>
      </c>
      <c r="U32" s="193">
        <f>P32*1%</f>
        <v>36.070999999999998</v>
      </c>
      <c r="V32" s="133">
        <v>300</v>
      </c>
      <c r="W32" s="138"/>
      <c r="X32" s="138"/>
      <c r="Y32" s="195"/>
      <c r="Z32" s="98">
        <v>0</v>
      </c>
      <c r="AA32" s="94">
        <f t="shared" si="7"/>
        <v>2094.2811000000002</v>
      </c>
      <c r="AB32" s="100">
        <f t="shared" si="6"/>
        <v>0</v>
      </c>
      <c r="AC32" s="94">
        <f t="shared" si="3"/>
        <v>2094.2811000000002</v>
      </c>
      <c r="AD32" s="101">
        <f t="shared" si="4"/>
        <v>360.71000000000004</v>
      </c>
      <c r="AE32" s="100">
        <v>10.23</v>
      </c>
      <c r="AF32" s="102">
        <f t="shared" si="5"/>
        <v>3978.04</v>
      </c>
      <c r="AG32" s="103"/>
      <c r="AH32" s="104"/>
      <c r="AI32" s="103"/>
      <c r="AJ32" s="103"/>
      <c r="AK32" s="104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</row>
    <row r="33" spans="1:53" s="105" customFormat="1">
      <c r="A33" s="88" t="s">
        <v>375</v>
      </c>
      <c r="B33" s="88" t="s">
        <v>420</v>
      </c>
      <c r="C33" s="88"/>
      <c r="D33" s="88" t="s">
        <v>78</v>
      </c>
      <c r="E33" s="88" t="s">
        <v>179</v>
      </c>
      <c r="F33" s="88"/>
      <c r="G33" s="88"/>
      <c r="H33" s="88"/>
      <c r="I33" s="91">
        <v>1166.26</v>
      </c>
      <c r="J33" s="90"/>
      <c r="K33" s="91">
        <f t="shared" si="0"/>
        <v>1166.26</v>
      </c>
      <c r="L33" s="91">
        <v>1218.03</v>
      </c>
      <c r="M33" s="91"/>
      <c r="N33" s="91"/>
      <c r="O33" s="93"/>
      <c r="P33" s="94">
        <f t="shared" si="1"/>
        <v>2384.29</v>
      </c>
      <c r="Q33" s="137"/>
      <c r="R33" s="133"/>
      <c r="S33" s="133">
        <v>0</v>
      </c>
      <c r="T33" s="133"/>
      <c r="U33" s="133"/>
      <c r="V33" s="133"/>
      <c r="W33" s="138"/>
      <c r="X33" s="138"/>
      <c r="Y33" s="98"/>
      <c r="Z33" s="98">
        <v>0</v>
      </c>
      <c r="AA33" s="94">
        <f t="shared" si="7"/>
        <v>2384.29</v>
      </c>
      <c r="AB33" s="100">
        <f t="shared" si="6"/>
        <v>0</v>
      </c>
      <c r="AC33" s="94">
        <f t="shared" si="3"/>
        <v>2384.29</v>
      </c>
      <c r="AD33" s="101">
        <f t="shared" si="4"/>
        <v>238.429</v>
      </c>
      <c r="AE33" s="100">
        <v>10.23</v>
      </c>
      <c r="AF33" s="102">
        <f t="shared" si="5"/>
        <v>2632.9490000000001</v>
      </c>
      <c r="AG33" s="103"/>
      <c r="AH33" s="104"/>
      <c r="AI33" s="103"/>
      <c r="AJ33" s="103"/>
      <c r="AK33" s="104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</row>
    <row r="34" spans="1:53" s="156" customFormat="1">
      <c r="A34" s="151" t="s">
        <v>383</v>
      </c>
      <c r="B34" s="151" t="s">
        <v>619</v>
      </c>
      <c r="C34" s="151"/>
      <c r="D34" s="151"/>
      <c r="E34" s="151" t="s">
        <v>385</v>
      </c>
      <c r="F34" s="164">
        <v>42422</v>
      </c>
      <c r="G34" s="151"/>
      <c r="H34" s="151"/>
      <c r="I34" s="152">
        <v>0</v>
      </c>
      <c r="J34" s="165">
        <v>475.39</v>
      </c>
      <c r="K34" s="152">
        <f t="shared" si="0"/>
        <v>475.39</v>
      </c>
      <c r="L34" s="152">
        <v>0</v>
      </c>
      <c r="M34" s="152"/>
      <c r="N34" s="152"/>
      <c r="O34" s="153"/>
      <c r="P34" s="154">
        <f t="shared" si="1"/>
        <v>475.39</v>
      </c>
      <c r="Q34" s="152"/>
      <c r="R34" s="152"/>
      <c r="S34" s="152"/>
      <c r="T34" s="152"/>
      <c r="U34" s="152"/>
      <c r="V34" s="152"/>
      <c r="W34" s="155"/>
      <c r="X34" s="155"/>
      <c r="Y34" s="151"/>
      <c r="Z34" s="151"/>
      <c r="AA34" s="154">
        <f t="shared" si="7"/>
        <v>475.39</v>
      </c>
      <c r="AB34" s="155">
        <f t="shared" si="6"/>
        <v>0</v>
      </c>
      <c r="AC34" s="154">
        <f t="shared" si="3"/>
        <v>475.39</v>
      </c>
      <c r="AD34" s="155">
        <f t="shared" si="4"/>
        <v>47.539000000000001</v>
      </c>
      <c r="AE34" s="155">
        <v>10.23</v>
      </c>
      <c r="AF34" s="154">
        <f t="shared" si="5"/>
        <v>533.15899999999999</v>
      </c>
      <c r="AH34" s="157"/>
      <c r="AK34" s="157"/>
      <c r="AL34" s="156">
        <v>1182316935</v>
      </c>
      <c r="AM34" s="194" t="s">
        <v>611</v>
      </c>
    </row>
    <row r="35" spans="1:53" s="103" customFormat="1">
      <c r="A35" s="123" t="s">
        <v>377</v>
      </c>
      <c r="B35" s="123" t="s">
        <v>421</v>
      </c>
      <c r="C35" s="123" t="s">
        <v>30</v>
      </c>
      <c r="D35" s="123"/>
      <c r="E35" s="123" t="s">
        <v>189</v>
      </c>
      <c r="F35" s="161">
        <v>42415</v>
      </c>
      <c r="G35" s="123"/>
      <c r="H35" s="123"/>
      <c r="I35" s="147">
        <v>513.33000000000004</v>
      </c>
      <c r="J35" s="158">
        <v>653.33000000000004</v>
      </c>
      <c r="K35" s="147">
        <f t="shared" si="0"/>
        <v>1166.6600000000001</v>
      </c>
      <c r="L35" s="147"/>
      <c r="M35" s="147"/>
      <c r="N35" s="147"/>
      <c r="O35" s="159"/>
      <c r="P35" s="94">
        <f t="shared" ref="P35" si="8">SUM(K35:N35)-O35</f>
        <v>1166.6600000000001</v>
      </c>
      <c r="Q35" s="137"/>
      <c r="R35" s="133"/>
      <c r="S35" s="133">
        <v>0</v>
      </c>
      <c r="T35" s="133"/>
      <c r="U35" s="133"/>
      <c r="V35" s="133"/>
      <c r="W35" s="138"/>
      <c r="X35" s="138"/>
      <c r="Y35" s="98"/>
      <c r="Z35" s="98">
        <v>0</v>
      </c>
      <c r="AA35" s="94">
        <f t="shared" ref="AA35" si="9">+P35-SUM(Q35:Z35)</f>
        <v>1166.6600000000001</v>
      </c>
      <c r="AB35" s="100">
        <f t="shared" si="6"/>
        <v>0</v>
      </c>
      <c r="AC35" s="94">
        <f t="shared" si="3"/>
        <v>1166.6600000000001</v>
      </c>
      <c r="AD35" s="101">
        <f t="shared" si="4"/>
        <v>116.66600000000001</v>
      </c>
      <c r="AE35" s="100">
        <v>10.23</v>
      </c>
      <c r="AF35" s="102">
        <f t="shared" si="5"/>
        <v>1293.556</v>
      </c>
      <c r="AH35" s="104"/>
      <c r="AK35" s="104"/>
    </row>
    <row r="36" spans="1:53">
      <c r="A36" s="88" t="s">
        <v>377</v>
      </c>
      <c r="B36" s="88" t="s">
        <v>422</v>
      </c>
      <c r="C36" s="88" t="s">
        <v>30</v>
      </c>
      <c r="D36" s="88" t="s">
        <v>273</v>
      </c>
      <c r="E36" s="88" t="s">
        <v>189</v>
      </c>
      <c r="F36" s="88"/>
      <c r="G36" s="89"/>
      <c r="H36" s="89"/>
      <c r="I36" s="147">
        <v>513.33000000000004</v>
      </c>
      <c r="J36" s="89"/>
      <c r="K36" s="91">
        <f t="shared" si="0"/>
        <v>513.33000000000004</v>
      </c>
      <c r="L36" s="91">
        <f>479+10921.01</f>
        <v>11400.01</v>
      </c>
      <c r="M36" s="92"/>
      <c r="N36" s="92"/>
      <c r="O36" s="93"/>
      <c r="P36" s="94">
        <f t="shared" si="1"/>
        <v>11913.34</v>
      </c>
      <c r="Q36" s="137"/>
      <c r="R36" s="133">
        <v>58.91</v>
      </c>
      <c r="S36" s="133">
        <v>0</v>
      </c>
      <c r="T36" s="133"/>
      <c r="U36" s="133"/>
      <c r="V36" s="133"/>
      <c r="W36" s="138"/>
      <c r="X36" s="138"/>
      <c r="Y36" s="98"/>
      <c r="Z36" s="98">
        <v>349.07</v>
      </c>
      <c r="AA36" s="94">
        <f t="shared" si="7"/>
        <v>11505.36</v>
      </c>
      <c r="AB36" s="100">
        <f t="shared" si="6"/>
        <v>1191.3340000000001</v>
      </c>
      <c r="AC36" s="94">
        <f t="shared" si="3"/>
        <v>10314.026</v>
      </c>
      <c r="AD36" s="101">
        <f t="shared" si="4"/>
        <v>0</v>
      </c>
      <c r="AE36" s="100">
        <v>10.23</v>
      </c>
      <c r="AF36" s="102">
        <f t="shared" si="5"/>
        <v>11923.57</v>
      </c>
      <c r="AG36" s="103"/>
      <c r="AH36" s="104"/>
      <c r="AI36" s="103"/>
      <c r="AJ36" s="103"/>
      <c r="AK36" s="104"/>
      <c r="AL36" s="103"/>
      <c r="AM36" s="103"/>
    </row>
    <row r="37" spans="1:53">
      <c r="A37" s="88" t="s">
        <v>377</v>
      </c>
      <c r="B37" s="88" t="s">
        <v>423</v>
      </c>
      <c r="C37" s="88" t="s">
        <v>30</v>
      </c>
      <c r="D37" s="88" t="s">
        <v>82</v>
      </c>
      <c r="E37" s="88" t="s">
        <v>189</v>
      </c>
      <c r="F37" s="88"/>
      <c r="G37" s="89"/>
      <c r="H37" s="89"/>
      <c r="I37" s="147">
        <v>513.33000000000004</v>
      </c>
      <c r="J37" s="89"/>
      <c r="K37" s="91">
        <f t="shared" si="0"/>
        <v>513.33000000000004</v>
      </c>
      <c r="L37" s="91">
        <v>782.63</v>
      </c>
      <c r="M37" s="92"/>
      <c r="N37" s="92"/>
      <c r="O37" s="93"/>
      <c r="P37" s="94">
        <f t="shared" si="1"/>
        <v>1295.96</v>
      </c>
      <c r="Q37" s="137"/>
      <c r="R37" s="133">
        <v>58.91</v>
      </c>
      <c r="S37" s="133">
        <v>0</v>
      </c>
      <c r="T37" s="133"/>
      <c r="U37" s="133"/>
      <c r="V37" s="133"/>
      <c r="W37" s="138"/>
      <c r="X37" s="138"/>
      <c r="Y37" s="98"/>
      <c r="Z37" s="98">
        <v>0</v>
      </c>
      <c r="AA37" s="94">
        <f t="shared" si="7"/>
        <v>1237.05</v>
      </c>
      <c r="AB37" s="100">
        <f t="shared" si="6"/>
        <v>0</v>
      </c>
      <c r="AC37" s="94">
        <f t="shared" si="3"/>
        <v>1237.05</v>
      </c>
      <c r="AD37" s="101">
        <f t="shared" si="4"/>
        <v>129.596</v>
      </c>
      <c r="AE37" s="100">
        <v>10.23</v>
      </c>
      <c r="AF37" s="102">
        <f t="shared" si="5"/>
        <v>1435.7860000000001</v>
      </c>
      <c r="AG37" s="103"/>
      <c r="AH37" s="104"/>
      <c r="AI37" s="103"/>
      <c r="AJ37" s="103"/>
      <c r="AK37" s="104"/>
      <c r="AL37" s="103"/>
      <c r="AM37" s="103"/>
    </row>
    <row r="38" spans="1:53">
      <c r="A38" s="108" t="s">
        <v>383</v>
      </c>
      <c r="B38" s="88" t="s">
        <v>425</v>
      </c>
      <c r="C38" s="88"/>
      <c r="D38" s="88" t="s">
        <v>86</v>
      </c>
      <c r="E38" s="88" t="s">
        <v>181</v>
      </c>
      <c r="F38" s="88"/>
      <c r="G38" s="88"/>
      <c r="H38" s="88"/>
      <c r="I38" s="91">
        <v>739.23</v>
      </c>
      <c r="J38" s="88"/>
      <c r="K38" s="91">
        <f t="shared" si="0"/>
        <v>739.23</v>
      </c>
      <c r="L38" s="91">
        <v>1893.56</v>
      </c>
      <c r="M38" s="91"/>
      <c r="N38" s="91"/>
      <c r="O38" s="93"/>
      <c r="P38" s="94">
        <f t="shared" si="1"/>
        <v>2632.79</v>
      </c>
      <c r="Q38" s="137"/>
      <c r="R38" s="133"/>
      <c r="S38" s="133">
        <v>0</v>
      </c>
      <c r="T38" s="133"/>
      <c r="U38" s="133"/>
      <c r="V38" s="133"/>
      <c r="W38" s="138"/>
      <c r="X38" s="138"/>
      <c r="Y38" s="98"/>
      <c r="Z38" s="98">
        <v>0</v>
      </c>
      <c r="AA38" s="94">
        <f t="shared" si="7"/>
        <v>2632.79</v>
      </c>
      <c r="AB38" s="100">
        <f t="shared" si="6"/>
        <v>0</v>
      </c>
      <c r="AC38" s="94">
        <f t="shared" si="3"/>
        <v>2632.79</v>
      </c>
      <c r="AD38" s="101">
        <f t="shared" si="4"/>
        <v>263.279</v>
      </c>
      <c r="AE38" s="100">
        <v>10.23</v>
      </c>
      <c r="AF38" s="102">
        <f t="shared" si="5"/>
        <v>2906.299</v>
      </c>
      <c r="AG38" s="103"/>
      <c r="AH38" s="104"/>
      <c r="AI38" s="103"/>
      <c r="AJ38" s="103"/>
      <c r="AK38" s="104"/>
      <c r="AL38" s="103"/>
      <c r="AM38" s="103"/>
    </row>
    <row r="39" spans="1:53">
      <c r="A39" s="88" t="s">
        <v>377</v>
      </c>
      <c r="B39" s="88" t="s">
        <v>426</v>
      </c>
      <c r="C39" s="88" t="s">
        <v>32</v>
      </c>
      <c r="D39" s="88" t="s">
        <v>88</v>
      </c>
      <c r="E39" s="88" t="s">
        <v>189</v>
      </c>
      <c r="F39" s="88"/>
      <c r="G39" s="89"/>
      <c r="H39" s="89"/>
      <c r="I39" s="147">
        <v>513.33000000000004</v>
      </c>
      <c r="J39" s="89"/>
      <c r="K39" s="91">
        <f t="shared" si="0"/>
        <v>513.33000000000004</v>
      </c>
      <c r="L39" s="91">
        <f>182.34+5581.29</f>
        <v>5763.63</v>
      </c>
      <c r="M39" s="92"/>
      <c r="N39" s="92"/>
      <c r="O39" s="93"/>
      <c r="P39" s="94">
        <f t="shared" ref="P39:P71" si="10">SUM(K39:N39)-O39</f>
        <v>6276.96</v>
      </c>
      <c r="Q39" s="137"/>
      <c r="R39" s="133">
        <v>58.91</v>
      </c>
      <c r="S39" s="133">
        <v>0</v>
      </c>
      <c r="T39" s="133"/>
      <c r="U39" s="133"/>
      <c r="V39" s="133"/>
      <c r="W39" s="138"/>
      <c r="X39" s="138"/>
      <c r="Y39" s="98"/>
      <c r="Z39" s="98">
        <v>0</v>
      </c>
      <c r="AA39" s="94">
        <f t="shared" si="7"/>
        <v>6218.05</v>
      </c>
      <c r="AB39" s="100">
        <f t="shared" si="6"/>
        <v>627.69600000000003</v>
      </c>
      <c r="AC39" s="94">
        <f t="shared" si="3"/>
        <v>5590.3540000000003</v>
      </c>
      <c r="AD39" s="101">
        <f t="shared" si="4"/>
        <v>0</v>
      </c>
      <c r="AE39" s="100">
        <v>10.23</v>
      </c>
      <c r="AF39" s="102">
        <f t="shared" si="5"/>
        <v>6287.19</v>
      </c>
      <c r="AG39" s="103"/>
      <c r="AH39" s="104"/>
      <c r="AI39" s="103"/>
      <c r="AJ39" s="103"/>
      <c r="AK39" s="104"/>
      <c r="AL39" s="103"/>
      <c r="AM39" s="103"/>
    </row>
    <row r="40" spans="1:53">
      <c r="A40" s="88" t="s">
        <v>377</v>
      </c>
      <c r="B40" s="88" t="s">
        <v>427</v>
      </c>
      <c r="C40" s="88" t="s">
        <v>31</v>
      </c>
      <c r="D40" s="88" t="s">
        <v>90</v>
      </c>
      <c r="E40" s="88" t="s">
        <v>189</v>
      </c>
      <c r="F40" s="88"/>
      <c r="G40" s="89"/>
      <c r="H40" s="89"/>
      <c r="I40" s="91">
        <v>513.33000000000004</v>
      </c>
      <c r="J40" s="89"/>
      <c r="K40" s="91">
        <f t="shared" si="0"/>
        <v>513.33000000000004</v>
      </c>
      <c r="L40" s="91">
        <f>513.33+7214.56+1000</f>
        <v>8727.89</v>
      </c>
      <c r="M40" s="92"/>
      <c r="N40" s="92"/>
      <c r="O40" s="93"/>
      <c r="P40" s="94">
        <f t="shared" si="10"/>
        <v>9241.2199999999993</v>
      </c>
      <c r="Q40" s="137"/>
      <c r="R40" s="133"/>
      <c r="S40" s="133">
        <v>0</v>
      </c>
      <c r="T40" s="133"/>
      <c r="U40" s="133"/>
      <c r="V40" s="133"/>
      <c r="W40" s="138"/>
      <c r="X40" s="138"/>
      <c r="Y40" s="98"/>
      <c r="Z40" s="98">
        <v>208.6</v>
      </c>
      <c r="AA40" s="94">
        <f t="shared" si="7"/>
        <v>9032.619999999999</v>
      </c>
      <c r="AB40" s="100">
        <f t="shared" si="6"/>
        <v>924.12199999999996</v>
      </c>
      <c r="AC40" s="94">
        <f t="shared" si="3"/>
        <v>8108.4979999999987</v>
      </c>
      <c r="AD40" s="101">
        <f t="shared" si="4"/>
        <v>0</v>
      </c>
      <c r="AE40" s="100">
        <v>10.23</v>
      </c>
      <c r="AF40" s="102">
        <f t="shared" si="5"/>
        <v>9251.4499999999989</v>
      </c>
      <c r="AG40" s="103"/>
      <c r="AH40" s="104"/>
      <c r="AI40" s="103"/>
      <c r="AJ40" s="103"/>
      <c r="AK40" s="104"/>
      <c r="AL40" s="103"/>
      <c r="AM40" s="103"/>
    </row>
    <row r="41" spans="1:53">
      <c r="A41" s="88" t="s">
        <v>389</v>
      </c>
      <c r="B41" s="88" t="s">
        <v>428</v>
      </c>
      <c r="C41" s="88" t="s">
        <v>391</v>
      </c>
      <c r="D41" s="88" t="s">
        <v>92</v>
      </c>
      <c r="E41" s="88" t="s">
        <v>392</v>
      </c>
      <c r="F41" s="88"/>
      <c r="G41" s="89"/>
      <c r="H41" s="89"/>
      <c r="I41" s="91">
        <v>513.33000000000004</v>
      </c>
      <c r="J41" s="89"/>
      <c r="K41" s="91">
        <f t="shared" si="0"/>
        <v>513.33000000000004</v>
      </c>
      <c r="L41" s="91"/>
      <c r="M41" s="92"/>
      <c r="N41" s="92"/>
      <c r="O41" s="93"/>
      <c r="P41" s="94">
        <f t="shared" si="10"/>
        <v>513.33000000000004</v>
      </c>
      <c r="Q41" s="137"/>
      <c r="R41" s="133">
        <v>58.91</v>
      </c>
      <c r="S41" s="133">
        <v>0</v>
      </c>
      <c r="T41" s="133"/>
      <c r="U41" s="133"/>
      <c r="V41" s="133"/>
      <c r="W41" s="138"/>
      <c r="X41" s="138"/>
      <c r="Y41" s="98"/>
      <c r="Z41" s="98">
        <v>0</v>
      </c>
      <c r="AA41" s="94">
        <f t="shared" si="7"/>
        <v>454.42000000000007</v>
      </c>
      <c r="AB41" s="100">
        <f t="shared" si="6"/>
        <v>0</v>
      </c>
      <c r="AC41" s="94">
        <f t="shared" si="3"/>
        <v>454.42000000000007</v>
      </c>
      <c r="AD41" s="101">
        <f t="shared" si="4"/>
        <v>51.333000000000006</v>
      </c>
      <c r="AE41" s="100">
        <v>10.23</v>
      </c>
      <c r="AF41" s="102">
        <f t="shared" si="5"/>
        <v>574.89300000000003</v>
      </c>
      <c r="AG41" s="103"/>
      <c r="AH41" s="104"/>
      <c r="AI41" s="103"/>
      <c r="AJ41" s="103"/>
      <c r="AK41" s="104"/>
      <c r="AL41" s="103"/>
      <c r="AM41" s="103"/>
    </row>
    <row r="42" spans="1:53">
      <c r="A42" s="88" t="s">
        <v>377</v>
      </c>
      <c r="B42" s="88" t="s">
        <v>429</v>
      </c>
      <c r="C42" s="88" t="s">
        <v>31</v>
      </c>
      <c r="D42" s="88" t="s">
        <v>94</v>
      </c>
      <c r="E42" s="88" t="s">
        <v>189</v>
      </c>
      <c r="F42" s="88"/>
      <c r="G42" s="89"/>
      <c r="H42" s="89"/>
      <c r="I42" s="91">
        <v>513.33000000000004</v>
      </c>
      <c r="J42" s="89"/>
      <c r="K42" s="91">
        <f t="shared" si="0"/>
        <v>513.33000000000004</v>
      </c>
      <c r="L42" s="91">
        <f>513.33+3459.51+1000</f>
        <v>4972.84</v>
      </c>
      <c r="M42" s="92"/>
      <c r="N42" s="92"/>
      <c r="O42" s="93"/>
      <c r="P42" s="94">
        <f t="shared" si="10"/>
        <v>5486.17</v>
      </c>
      <c r="Q42" s="137"/>
      <c r="R42" s="133"/>
      <c r="S42" s="133">
        <v>0</v>
      </c>
      <c r="T42" s="133"/>
      <c r="U42" s="133"/>
      <c r="V42" s="133"/>
      <c r="W42" s="138"/>
      <c r="X42" s="138"/>
      <c r="Y42" s="98"/>
      <c r="Z42" s="98">
        <v>0</v>
      </c>
      <c r="AA42" s="94">
        <f t="shared" si="7"/>
        <v>5486.17</v>
      </c>
      <c r="AB42" s="100">
        <f t="shared" si="6"/>
        <v>548.61700000000008</v>
      </c>
      <c r="AC42" s="94">
        <f t="shared" si="3"/>
        <v>4937.5529999999999</v>
      </c>
      <c r="AD42" s="101">
        <f t="shared" si="4"/>
        <v>0</v>
      </c>
      <c r="AE42" s="100">
        <v>10.23</v>
      </c>
      <c r="AF42" s="102">
        <f t="shared" si="5"/>
        <v>5496.4</v>
      </c>
      <c r="AG42" s="103"/>
      <c r="AH42" s="104"/>
      <c r="AI42" s="103"/>
      <c r="AJ42" s="103"/>
      <c r="AK42" s="104"/>
      <c r="AL42" s="103"/>
      <c r="AM42" s="103"/>
    </row>
    <row r="43" spans="1:53">
      <c r="A43" s="88" t="s">
        <v>375</v>
      </c>
      <c r="B43" s="88" t="s">
        <v>430</v>
      </c>
      <c r="C43" s="88"/>
      <c r="D43" s="88" t="s">
        <v>96</v>
      </c>
      <c r="E43" s="88" t="s">
        <v>187</v>
      </c>
      <c r="F43" s="88"/>
      <c r="G43" s="88"/>
      <c r="H43" s="88"/>
      <c r="I43" s="91">
        <v>1633.33</v>
      </c>
      <c r="J43" s="88"/>
      <c r="K43" s="91">
        <f t="shared" si="0"/>
        <v>1633.33</v>
      </c>
      <c r="L43" s="91"/>
      <c r="M43" s="91"/>
      <c r="N43" s="91"/>
      <c r="O43" s="93"/>
      <c r="P43" s="94">
        <f t="shared" si="10"/>
        <v>1633.33</v>
      </c>
      <c r="Q43" s="137"/>
      <c r="R43" s="133"/>
      <c r="S43" s="133">
        <v>0</v>
      </c>
      <c r="T43" s="133"/>
      <c r="U43" s="133"/>
      <c r="V43" s="133"/>
      <c r="W43" s="138"/>
      <c r="X43" s="138"/>
      <c r="Y43" s="98"/>
      <c r="Z43" s="98">
        <v>0</v>
      </c>
      <c r="AA43" s="94">
        <f t="shared" si="7"/>
        <v>1633.33</v>
      </c>
      <c r="AB43" s="100">
        <f t="shared" si="6"/>
        <v>0</v>
      </c>
      <c r="AC43" s="94">
        <f t="shared" si="3"/>
        <v>1633.33</v>
      </c>
      <c r="AD43" s="101">
        <f t="shared" si="4"/>
        <v>163.333</v>
      </c>
      <c r="AE43" s="100">
        <v>10.23</v>
      </c>
      <c r="AF43" s="102">
        <f t="shared" si="5"/>
        <v>1806.893</v>
      </c>
      <c r="AG43" s="103"/>
      <c r="AH43" s="104"/>
      <c r="AI43" s="103"/>
      <c r="AJ43" s="103"/>
      <c r="AK43" s="104"/>
      <c r="AL43" s="103"/>
      <c r="AM43" s="103"/>
    </row>
    <row r="44" spans="1:53">
      <c r="A44" s="88" t="s">
        <v>377</v>
      </c>
      <c r="B44" s="88" t="s">
        <v>620</v>
      </c>
      <c r="C44" s="88"/>
      <c r="D44" s="88" t="s">
        <v>99</v>
      </c>
      <c r="E44" s="88" t="s">
        <v>189</v>
      </c>
      <c r="F44" s="88"/>
      <c r="G44" s="89"/>
      <c r="H44" s="89"/>
      <c r="I44" s="91">
        <v>513.33000000000004</v>
      </c>
      <c r="J44" s="89"/>
      <c r="K44" s="91">
        <f t="shared" si="0"/>
        <v>513.33000000000004</v>
      </c>
      <c r="L44" s="91">
        <f>513.33+14319.74</f>
        <v>14833.07</v>
      </c>
      <c r="M44" s="92"/>
      <c r="N44" s="92"/>
      <c r="O44" s="93"/>
      <c r="P44" s="94">
        <f t="shared" si="10"/>
        <v>15346.4</v>
      </c>
      <c r="Q44" s="137"/>
      <c r="R44" s="133"/>
      <c r="S44" s="133">
        <v>0</v>
      </c>
      <c r="T44" s="133"/>
      <c r="U44" s="133"/>
      <c r="V44" s="133"/>
      <c r="W44" s="138"/>
      <c r="X44" s="138"/>
      <c r="Y44" s="98"/>
      <c r="Z44" s="98">
        <v>0</v>
      </c>
      <c r="AA44" s="94">
        <f t="shared" si="7"/>
        <v>15346.4</v>
      </c>
      <c r="AB44" s="100">
        <f t="shared" si="6"/>
        <v>1534.64</v>
      </c>
      <c r="AC44" s="94">
        <f t="shared" si="3"/>
        <v>13811.76</v>
      </c>
      <c r="AD44" s="101">
        <f t="shared" si="4"/>
        <v>0</v>
      </c>
      <c r="AE44" s="100">
        <v>10.23</v>
      </c>
      <c r="AF44" s="102">
        <f t="shared" si="5"/>
        <v>15356.63</v>
      </c>
      <c r="AG44" s="103"/>
      <c r="AH44" s="104"/>
      <c r="AI44" s="103"/>
      <c r="AJ44" s="103"/>
      <c r="AK44" s="104"/>
      <c r="AL44" s="103"/>
      <c r="AM44" s="103"/>
    </row>
    <row r="45" spans="1:53" s="121" customFormat="1">
      <c r="A45" s="123" t="s">
        <v>431</v>
      </c>
      <c r="B45" s="123" t="s">
        <v>432</v>
      </c>
      <c r="C45" s="123"/>
      <c r="D45" s="123"/>
      <c r="E45" s="123" t="s">
        <v>186</v>
      </c>
      <c r="F45" s="161">
        <v>42413</v>
      </c>
      <c r="G45" s="123"/>
      <c r="H45" s="123"/>
      <c r="I45" s="147">
        <v>1400</v>
      </c>
      <c r="J45" s="123"/>
      <c r="K45" s="147">
        <f t="shared" si="0"/>
        <v>1400</v>
      </c>
      <c r="L45" s="147"/>
      <c r="M45" s="147"/>
      <c r="N45" s="147"/>
      <c r="O45" s="159"/>
      <c r="P45" s="116">
        <f t="shared" si="10"/>
        <v>1400</v>
      </c>
      <c r="Q45" s="114"/>
      <c r="R45" s="133"/>
      <c r="S45" s="114"/>
      <c r="T45" s="114"/>
      <c r="U45" s="114"/>
      <c r="V45" s="114"/>
      <c r="W45" s="120"/>
      <c r="X45" s="120"/>
      <c r="Y45" s="111"/>
      <c r="Z45" s="111"/>
      <c r="AA45" s="116">
        <f t="shared" si="7"/>
        <v>1400</v>
      </c>
      <c r="AB45" s="120">
        <f t="shared" si="6"/>
        <v>0</v>
      </c>
      <c r="AC45" s="116">
        <f t="shared" si="3"/>
        <v>1400</v>
      </c>
      <c r="AD45" s="120">
        <f t="shared" si="4"/>
        <v>140</v>
      </c>
      <c r="AE45" s="100">
        <v>10.23</v>
      </c>
      <c r="AF45" s="102">
        <f t="shared" si="5"/>
        <v>1550.23</v>
      </c>
      <c r="AG45" s="103"/>
      <c r="AH45" s="104"/>
      <c r="AI45" s="103"/>
      <c r="AJ45" s="103"/>
      <c r="AK45" s="104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</row>
    <row r="46" spans="1:53">
      <c r="A46" s="108" t="s">
        <v>381</v>
      </c>
      <c r="B46" s="88" t="s">
        <v>433</v>
      </c>
      <c r="C46" s="88"/>
      <c r="D46" s="88" t="s">
        <v>101</v>
      </c>
      <c r="E46" s="88" t="s">
        <v>190</v>
      </c>
      <c r="F46" s="88"/>
      <c r="G46" s="89"/>
      <c r="H46" s="89"/>
      <c r="I46" s="91">
        <v>608.16</v>
      </c>
      <c r="J46" s="89"/>
      <c r="K46" s="91">
        <f t="shared" si="0"/>
        <v>608.16</v>
      </c>
      <c r="L46" s="91">
        <v>309.60000000000002</v>
      </c>
      <c r="M46" s="92"/>
      <c r="N46" s="92"/>
      <c r="O46" s="93"/>
      <c r="P46" s="94">
        <f t="shared" si="10"/>
        <v>917.76</v>
      </c>
      <c r="Q46" s="137"/>
      <c r="R46" s="133"/>
      <c r="S46" s="193">
        <v>100</v>
      </c>
      <c r="T46" s="193">
        <f>P46*4.9%</f>
        <v>44.970240000000004</v>
      </c>
      <c r="U46" s="193">
        <f>P46*1%</f>
        <v>9.1776</v>
      </c>
      <c r="V46" s="133"/>
      <c r="W46" s="138"/>
      <c r="X46" s="138"/>
      <c r="Y46" s="98"/>
      <c r="Z46" s="98">
        <v>0</v>
      </c>
      <c r="AA46" s="94">
        <f t="shared" si="7"/>
        <v>763.61216000000002</v>
      </c>
      <c r="AB46" s="100">
        <f t="shared" si="6"/>
        <v>0</v>
      </c>
      <c r="AC46" s="94">
        <f t="shared" si="3"/>
        <v>763.61216000000002</v>
      </c>
      <c r="AD46" s="101">
        <f t="shared" si="4"/>
        <v>91.77600000000001</v>
      </c>
      <c r="AE46" s="100">
        <v>10.23</v>
      </c>
      <c r="AF46" s="102">
        <f t="shared" si="5"/>
        <v>1019.7660000000001</v>
      </c>
      <c r="AG46" s="103"/>
      <c r="AH46" s="104"/>
      <c r="AI46" s="103"/>
      <c r="AJ46" s="103"/>
      <c r="AK46" s="104"/>
      <c r="AL46" s="103"/>
      <c r="AM46" s="103"/>
    </row>
    <row r="47" spans="1:53" s="121" customFormat="1">
      <c r="A47" s="111" t="s">
        <v>375</v>
      </c>
      <c r="B47" s="111" t="s">
        <v>621</v>
      </c>
      <c r="C47" s="111"/>
      <c r="D47" s="111" t="s">
        <v>622</v>
      </c>
      <c r="E47" s="111" t="s">
        <v>190</v>
      </c>
      <c r="F47" s="111"/>
      <c r="G47" s="111"/>
      <c r="H47" s="111"/>
      <c r="I47" s="114">
        <v>608.16</v>
      </c>
      <c r="J47" s="111"/>
      <c r="K47" s="114">
        <f t="shared" si="0"/>
        <v>608.16</v>
      </c>
      <c r="L47" s="114">
        <v>801.03</v>
      </c>
      <c r="M47" s="114"/>
      <c r="N47" s="114"/>
      <c r="O47" s="115"/>
      <c r="P47" s="116">
        <f t="shared" si="10"/>
        <v>1409.19</v>
      </c>
      <c r="Q47" s="114"/>
      <c r="R47" s="114"/>
      <c r="S47" s="114"/>
      <c r="T47" s="114"/>
      <c r="U47" s="114"/>
      <c r="V47" s="114"/>
      <c r="W47" s="120"/>
      <c r="X47" s="120"/>
      <c r="Y47" s="111"/>
      <c r="Z47" s="111"/>
      <c r="AA47" s="116">
        <f t="shared" si="7"/>
        <v>1409.19</v>
      </c>
      <c r="AB47" s="120">
        <f t="shared" si="6"/>
        <v>0</v>
      </c>
      <c r="AC47" s="116">
        <f t="shared" si="3"/>
        <v>1409.19</v>
      </c>
      <c r="AD47" s="120">
        <f t="shared" si="4"/>
        <v>140.91900000000001</v>
      </c>
      <c r="AE47" s="120">
        <v>10.23</v>
      </c>
      <c r="AF47" s="116">
        <f t="shared" si="5"/>
        <v>1560.3390000000002</v>
      </c>
      <c r="AH47" s="122"/>
      <c r="AK47" s="122"/>
      <c r="AL47" s="121">
        <v>2948910731</v>
      </c>
      <c r="AM47" s="198" t="s">
        <v>623</v>
      </c>
    </row>
    <row r="48" spans="1:53">
      <c r="A48" s="108" t="s">
        <v>381</v>
      </c>
      <c r="B48" s="88" t="s">
        <v>434</v>
      </c>
      <c r="C48" s="88"/>
      <c r="D48" s="88" t="s">
        <v>103</v>
      </c>
      <c r="E48" s="88" t="s">
        <v>192</v>
      </c>
      <c r="F48" s="88"/>
      <c r="G48" s="89"/>
      <c r="H48" s="89"/>
      <c r="I48" s="91">
        <v>608.16</v>
      </c>
      <c r="J48" s="89"/>
      <c r="K48" s="91">
        <f t="shared" si="0"/>
        <v>608.16</v>
      </c>
      <c r="L48" s="91">
        <v>1886.62</v>
      </c>
      <c r="M48" s="92"/>
      <c r="N48" s="92"/>
      <c r="O48" s="93"/>
      <c r="P48" s="94">
        <f t="shared" si="10"/>
        <v>2494.7799999999997</v>
      </c>
      <c r="Q48" s="137"/>
      <c r="R48" s="133"/>
      <c r="S48" s="133"/>
      <c r="T48" s="193">
        <f>P48*4.9%</f>
        <v>122.24422</v>
      </c>
      <c r="U48" s="193">
        <f>P48*1%</f>
        <v>24.947799999999997</v>
      </c>
      <c r="V48" s="133"/>
      <c r="W48" s="138"/>
      <c r="X48" s="138"/>
      <c r="Y48" s="98"/>
      <c r="Z48" s="98">
        <v>0</v>
      </c>
      <c r="AA48" s="94">
        <f t="shared" si="7"/>
        <v>2347.5879799999998</v>
      </c>
      <c r="AB48" s="100">
        <f t="shared" si="6"/>
        <v>0</v>
      </c>
      <c r="AC48" s="94">
        <f t="shared" si="3"/>
        <v>2347.5879799999998</v>
      </c>
      <c r="AD48" s="101">
        <f t="shared" si="4"/>
        <v>249.47799999999998</v>
      </c>
      <c r="AE48" s="100">
        <v>10.23</v>
      </c>
      <c r="AF48" s="102">
        <f t="shared" si="5"/>
        <v>2754.4879999999998</v>
      </c>
      <c r="AG48" s="103"/>
      <c r="AH48" s="104"/>
      <c r="AI48" s="103"/>
      <c r="AJ48" s="103"/>
      <c r="AK48" s="104"/>
      <c r="AL48" s="103"/>
      <c r="AM48" s="103"/>
    </row>
    <row r="49" spans="1:53">
      <c r="A49" s="108" t="s">
        <v>383</v>
      </c>
      <c r="B49" s="88" t="s">
        <v>435</v>
      </c>
      <c r="C49" s="88"/>
      <c r="D49" s="88" t="s">
        <v>105</v>
      </c>
      <c r="E49" s="88" t="s">
        <v>177</v>
      </c>
      <c r="F49" s="88"/>
      <c r="G49" s="88"/>
      <c r="H49" s="88"/>
      <c r="I49" s="91">
        <v>739.23</v>
      </c>
      <c r="J49" s="88"/>
      <c r="K49" s="91">
        <f t="shared" si="0"/>
        <v>739.23</v>
      </c>
      <c r="L49" s="91">
        <v>2866.06</v>
      </c>
      <c r="M49" s="91"/>
      <c r="N49" s="91"/>
      <c r="O49" s="93"/>
      <c r="P49" s="94">
        <f t="shared" si="10"/>
        <v>3605.29</v>
      </c>
      <c r="Q49" s="137"/>
      <c r="R49" s="133"/>
      <c r="S49" s="133">
        <v>0</v>
      </c>
      <c r="T49" s="133"/>
      <c r="U49" s="133"/>
      <c r="V49" s="133"/>
      <c r="W49" s="138"/>
      <c r="X49" s="138"/>
      <c r="Y49" s="98"/>
      <c r="Z49" s="98">
        <v>0</v>
      </c>
      <c r="AA49" s="94">
        <f t="shared" si="7"/>
        <v>3605.29</v>
      </c>
      <c r="AB49" s="100">
        <f t="shared" si="6"/>
        <v>0</v>
      </c>
      <c r="AC49" s="94">
        <f t="shared" si="3"/>
        <v>3605.29</v>
      </c>
      <c r="AD49" s="101">
        <f t="shared" si="4"/>
        <v>360.529</v>
      </c>
      <c r="AE49" s="100">
        <v>10.23</v>
      </c>
      <c r="AF49" s="102">
        <f t="shared" si="5"/>
        <v>3976.049</v>
      </c>
      <c r="AG49" s="103"/>
      <c r="AH49" s="104"/>
      <c r="AI49" s="103"/>
      <c r="AJ49" s="103"/>
      <c r="AK49" s="104"/>
      <c r="AL49" s="103"/>
      <c r="AM49" s="103"/>
    </row>
    <row r="50" spans="1:53" s="121" customFormat="1">
      <c r="A50" s="108" t="s">
        <v>381</v>
      </c>
      <c r="B50" s="123" t="s">
        <v>436</v>
      </c>
      <c r="C50" s="123"/>
      <c r="D50" s="123"/>
      <c r="E50" s="123" t="s">
        <v>177</v>
      </c>
      <c r="F50" s="161">
        <v>42416</v>
      </c>
      <c r="G50" s="123"/>
      <c r="H50" s="123"/>
      <c r="I50" s="147">
        <v>739.23</v>
      </c>
      <c r="J50" s="123"/>
      <c r="K50" s="147">
        <f t="shared" si="0"/>
        <v>739.23</v>
      </c>
      <c r="L50" s="147">
        <v>2438.48</v>
      </c>
      <c r="M50" s="147"/>
      <c r="N50" s="147"/>
      <c r="O50" s="159"/>
      <c r="P50" s="116">
        <f t="shared" si="10"/>
        <v>3177.71</v>
      </c>
      <c r="Q50" s="114"/>
      <c r="R50" s="133"/>
      <c r="S50" s="114"/>
      <c r="T50" s="114"/>
      <c r="U50" s="114">
        <f>P50*1%</f>
        <v>31.777100000000001</v>
      </c>
      <c r="V50" s="114"/>
      <c r="W50" s="120"/>
      <c r="X50" s="120"/>
      <c r="Y50" s="111"/>
      <c r="Z50" s="111"/>
      <c r="AA50" s="116">
        <f t="shared" si="7"/>
        <v>3145.9329000000002</v>
      </c>
      <c r="AB50" s="120">
        <f t="shared" si="6"/>
        <v>0</v>
      </c>
      <c r="AC50" s="116">
        <f t="shared" si="3"/>
        <v>3145.9329000000002</v>
      </c>
      <c r="AD50" s="120">
        <f t="shared" si="4"/>
        <v>317.77100000000002</v>
      </c>
      <c r="AE50" s="100">
        <v>10.23</v>
      </c>
      <c r="AF50" s="102">
        <f t="shared" si="5"/>
        <v>3505.7110000000002</v>
      </c>
      <c r="AG50" s="103"/>
      <c r="AH50" s="104"/>
      <c r="AI50" s="103"/>
      <c r="AJ50" s="103"/>
      <c r="AK50" s="104"/>
      <c r="AL50" s="103">
        <v>1296641458</v>
      </c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</row>
    <row r="51" spans="1:53">
      <c r="A51" s="88" t="s">
        <v>377</v>
      </c>
      <c r="B51" s="88" t="s">
        <v>437</v>
      </c>
      <c r="C51" s="88" t="s">
        <v>31</v>
      </c>
      <c r="D51" s="88" t="s">
        <v>107</v>
      </c>
      <c r="E51" s="88" t="s">
        <v>189</v>
      </c>
      <c r="F51" s="88"/>
      <c r="G51" s="89"/>
      <c r="H51" s="89"/>
      <c r="I51" s="91">
        <v>513.33000000000004</v>
      </c>
      <c r="J51" s="89"/>
      <c r="K51" s="91">
        <f t="shared" si="0"/>
        <v>513.33000000000004</v>
      </c>
      <c r="L51" s="91">
        <f>513.33+20087.68</f>
        <v>20601.010000000002</v>
      </c>
      <c r="M51" s="92"/>
      <c r="N51" s="92"/>
      <c r="O51" s="93"/>
      <c r="P51" s="94">
        <f t="shared" si="10"/>
        <v>21114.340000000004</v>
      </c>
      <c r="Q51" s="137"/>
      <c r="R51" s="133">
        <v>58.91</v>
      </c>
      <c r="S51" s="133">
        <v>0</v>
      </c>
      <c r="T51" s="133"/>
      <c r="U51" s="133"/>
      <c r="V51" s="133"/>
      <c r="W51" s="138"/>
      <c r="X51" s="138"/>
      <c r="Y51" s="98"/>
      <c r="Z51" s="98">
        <v>0</v>
      </c>
      <c r="AA51" s="94">
        <f t="shared" si="7"/>
        <v>21055.430000000004</v>
      </c>
      <c r="AB51" s="100">
        <f t="shared" si="6"/>
        <v>2111.4340000000007</v>
      </c>
      <c r="AC51" s="94">
        <f t="shared" si="3"/>
        <v>18943.996000000003</v>
      </c>
      <c r="AD51" s="101">
        <f t="shared" si="4"/>
        <v>0</v>
      </c>
      <c r="AE51" s="100">
        <v>10.23</v>
      </c>
      <c r="AF51" s="102">
        <f t="shared" si="5"/>
        <v>21124.570000000003</v>
      </c>
      <c r="AG51" s="103"/>
      <c r="AH51" s="104"/>
      <c r="AI51" s="103"/>
      <c r="AJ51" s="103"/>
      <c r="AK51" s="104"/>
      <c r="AL51" s="103"/>
      <c r="AM51" s="103"/>
    </row>
    <row r="52" spans="1:53">
      <c r="A52" s="88" t="s">
        <v>377</v>
      </c>
      <c r="B52" s="88" t="s">
        <v>438</v>
      </c>
      <c r="C52" s="88" t="s">
        <v>32</v>
      </c>
      <c r="D52" s="88">
        <v>30</v>
      </c>
      <c r="E52" s="88" t="s">
        <v>189</v>
      </c>
      <c r="F52" s="88"/>
      <c r="G52" s="89"/>
      <c r="H52" s="89"/>
      <c r="I52" s="147">
        <v>513.33000000000004</v>
      </c>
      <c r="J52" s="89"/>
      <c r="K52" s="91">
        <f t="shared" si="0"/>
        <v>513.33000000000004</v>
      </c>
      <c r="L52" s="91">
        <f>148.48+9126.81</f>
        <v>9275.2899999999991</v>
      </c>
      <c r="M52" s="92"/>
      <c r="N52" s="92"/>
      <c r="O52" s="93"/>
      <c r="P52" s="94">
        <f t="shared" si="10"/>
        <v>9788.619999999999</v>
      </c>
      <c r="Q52" s="137"/>
      <c r="R52" s="133"/>
      <c r="S52" s="133">
        <v>0</v>
      </c>
      <c r="T52" s="133"/>
      <c r="U52" s="133"/>
      <c r="V52" s="133"/>
      <c r="W52" s="138"/>
      <c r="X52" s="138"/>
      <c r="Y52" s="98"/>
      <c r="Z52" s="98">
        <v>0</v>
      </c>
      <c r="AA52" s="94">
        <f t="shared" si="7"/>
        <v>9788.619999999999</v>
      </c>
      <c r="AB52" s="100">
        <f t="shared" si="6"/>
        <v>978.86199999999997</v>
      </c>
      <c r="AC52" s="94">
        <f t="shared" si="3"/>
        <v>8809.7579999999998</v>
      </c>
      <c r="AD52" s="101">
        <f t="shared" si="4"/>
        <v>0</v>
      </c>
      <c r="AE52" s="100">
        <v>10.23</v>
      </c>
      <c r="AF52" s="102">
        <f t="shared" si="5"/>
        <v>9798.8499999999985</v>
      </c>
      <c r="AG52" s="103"/>
      <c r="AH52" s="104"/>
      <c r="AI52" s="103"/>
      <c r="AJ52" s="103"/>
      <c r="AK52" s="104"/>
      <c r="AL52" s="103"/>
      <c r="AM52" s="103"/>
    </row>
    <row r="53" spans="1:53">
      <c r="A53" s="88" t="s">
        <v>377</v>
      </c>
      <c r="B53" s="88" t="s">
        <v>439</v>
      </c>
      <c r="C53" s="88" t="s">
        <v>30</v>
      </c>
      <c r="D53" s="88" t="s">
        <v>196</v>
      </c>
      <c r="E53" s="88" t="s">
        <v>189</v>
      </c>
      <c r="F53" s="124">
        <v>42408</v>
      </c>
      <c r="G53" s="89"/>
      <c r="H53" s="89"/>
      <c r="I53" s="91">
        <v>513.33000000000004</v>
      </c>
      <c r="J53" s="89">
        <v>653.33000000000004</v>
      </c>
      <c r="K53" s="91">
        <f t="shared" si="0"/>
        <v>1166.6600000000001</v>
      </c>
      <c r="L53" s="91">
        <v>-653.33000000000004</v>
      </c>
      <c r="M53" s="92"/>
      <c r="N53" s="92"/>
      <c r="O53" s="93"/>
      <c r="P53" s="94">
        <f t="shared" si="10"/>
        <v>513.33000000000004</v>
      </c>
      <c r="Q53" s="137"/>
      <c r="R53" s="133"/>
      <c r="S53" s="133">
        <v>0</v>
      </c>
      <c r="T53" s="133"/>
      <c r="U53" s="133"/>
      <c r="V53" s="133"/>
      <c r="W53" s="138"/>
      <c r="X53" s="138"/>
      <c r="Y53" s="195"/>
      <c r="Z53" s="195">
        <f>+P53*0.25</f>
        <v>128.33250000000001</v>
      </c>
      <c r="AA53" s="94">
        <f t="shared" si="7"/>
        <v>384.99750000000006</v>
      </c>
      <c r="AB53" s="100">
        <f t="shared" si="6"/>
        <v>0</v>
      </c>
      <c r="AC53" s="94">
        <f t="shared" si="3"/>
        <v>384.99750000000006</v>
      </c>
      <c r="AD53" s="101">
        <f t="shared" si="4"/>
        <v>51.333000000000006</v>
      </c>
      <c r="AE53" s="100">
        <v>10.23</v>
      </c>
      <c r="AF53" s="102">
        <f t="shared" si="5"/>
        <v>574.89300000000003</v>
      </c>
      <c r="AG53" s="103"/>
      <c r="AH53" s="104"/>
      <c r="AI53" s="103"/>
      <c r="AJ53" s="103"/>
      <c r="AK53" s="104"/>
      <c r="AL53" s="103"/>
      <c r="AM53" s="103">
        <v>129.37</v>
      </c>
      <c r="AN53" s="103" t="s">
        <v>624</v>
      </c>
    </row>
    <row r="54" spans="1:53">
      <c r="A54" s="88" t="s">
        <v>389</v>
      </c>
      <c r="B54" s="88" t="s">
        <v>440</v>
      </c>
      <c r="C54" s="88" t="s">
        <v>391</v>
      </c>
      <c r="D54" s="88" t="s">
        <v>111</v>
      </c>
      <c r="E54" s="88" t="s">
        <v>392</v>
      </c>
      <c r="F54" s="124">
        <v>42352</v>
      </c>
      <c r="G54" s="89"/>
      <c r="H54" s="89"/>
      <c r="I54" s="91">
        <v>513.33000000000004</v>
      </c>
      <c r="J54" s="89">
        <v>653.33000000000004</v>
      </c>
      <c r="K54" s="91">
        <f t="shared" si="0"/>
        <v>1166.6600000000001</v>
      </c>
      <c r="L54" s="91"/>
      <c r="M54" s="92"/>
      <c r="N54" s="92"/>
      <c r="O54" s="93"/>
      <c r="P54" s="94">
        <f t="shared" si="10"/>
        <v>1166.6600000000001</v>
      </c>
      <c r="Q54" s="137"/>
      <c r="R54" s="133"/>
      <c r="S54" s="133">
        <v>0</v>
      </c>
      <c r="T54" s="133"/>
      <c r="U54" s="133"/>
      <c r="V54" s="133"/>
      <c r="W54" s="138"/>
      <c r="X54" s="138"/>
      <c r="Y54" s="98"/>
      <c r="Z54" s="98">
        <v>0</v>
      </c>
      <c r="AA54" s="94">
        <f t="shared" si="7"/>
        <v>1166.6600000000001</v>
      </c>
      <c r="AB54" s="100">
        <f t="shared" si="6"/>
        <v>0</v>
      </c>
      <c r="AC54" s="94">
        <f t="shared" si="3"/>
        <v>1166.6600000000001</v>
      </c>
      <c r="AD54" s="101">
        <f t="shared" si="4"/>
        <v>116.66600000000001</v>
      </c>
      <c r="AE54" s="100">
        <v>10.23</v>
      </c>
      <c r="AF54" s="102">
        <f t="shared" si="5"/>
        <v>1293.556</v>
      </c>
      <c r="AG54" s="103"/>
      <c r="AH54" s="104"/>
      <c r="AI54" s="103"/>
      <c r="AJ54" s="103"/>
      <c r="AK54" s="104"/>
      <c r="AL54" s="103"/>
      <c r="AM54" s="103"/>
    </row>
    <row r="55" spans="1:53" s="156" customFormat="1">
      <c r="A55" s="151" t="s">
        <v>377</v>
      </c>
      <c r="B55" s="151" t="s">
        <v>625</v>
      </c>
      <c r="C55" s="151"/>
      <c r="D55" s="151"/>
      <c r="E55" s="151" t="s">
        <v>189</v>
      </c>
      <c r="F55" s="164">
        <v>42055</v>
      </c>
      <c r="G55" s="151"/>
      <c r="H55" s="151"/>
      <c r="I55" s="152">
        <v>513.33000000000004</v>
      </c>
      <c r="J55" s="151">
        <v>653.33000000000004</v>
      </c>
      <c r="K55" s="152">
        <f t="shared" si="0"/>
        <v>1166.6600000000001</v>
      </c>
      <c r="L55" s="152"/>
      <c r="M55" s="152"/>
      <c r="N55" s="152"/>
      <c r="O55" s="153"/>
      <c r="P55" s="154">
        <f t="shared" si="10"/>
        <v>1166.6600000000001</v>
      </c>
      <c r="Q55" s="152"/>
      <c r="R55" s="152"/>
      <c r="S55" s="152"/>
      <c r="T55" s="152"/>
      <c r="U55" s="152"/>
      <c r="V55" s="152"/>
      <c r="W55" s="155"/>
      <c r="X55" s="155"/>
      <c r="Y55" s="151"/>
      <c r="Z55" s="151"/>
      <c r="AA55" s="154">
        <f t="shared" si="7"/>
        <v>1166.6600000000001</v>
      </c>
      <c r="AB55" s="155">
        <f t="shared" si="6"/>
        <v>0</v>
      </c>
      <c r="AC55" s="154">
        <f t="shared" si="3"/>
        <v>1166.6600000000001</v>
      </c>
      <c r="AD55" s="155">
        <f t="shared" si="4"/>
        <v>116.66600000000001</v>
      </c>
      <c r="AE55" s="155">
        <v>10.23</v>
      </c>
      <c r="AF55" s="154">
        <f t="shared" si="5"/>
        <v>1293.556</v>
      </c>
      <c r="AH55" s="157"/>
      <c r="AK55" s="157"/>
      <c r="AL55" s="156">
        <v>1905307865</v>
      </c>
      <c r="AM55" s="194" t="s">
        <v>626</v>
      </c>
    </row>
    <row r="56" spans="1:53">
      <c r="A56" s="88" t="s">
        <v>377</v>
      </c>
      <c r="B56" s="88" t="s">
        <v>627</v>
      </c>
      <c r="C56" s="88" t="s">
        <v>32</v>
      </c>
      <c r="D56" s="88" t="s">
        <v>113</v>
      </c>
      <c r="E56" s="88" t="s">
        <v>189</v>
      </c>
      <c r="F56" s="88"/>
      <c r="G56" s="89"/>
      <c r="H56" s="89"/>
      <c r="I56" s="91">
        <v>513.33000000000004</v>
      </c>
      <c r="J56" s="89"/>
      <c r="K56" s="91">
        <f t="shared" si="0"/>
        <v>513.33000000000004</v>
      </c>
      <c r="L56" s="91">
        <v>513.33000000000004</v>
      </c>
      <c r="M56" s="92"/>
      <c r="N56" s="92"/>
      <c r="O56" s="93"/>
      <c r="P56" s="94">
        <f t="shared" si="10"/>
        <v>1026.6600000000001</v>
      </c>
      <c r="Q56" s="137"/>
      <c r="R56" s="133"/>
      <c r="S56" s="133">
        <v>0</v>
      </c>
      <c r="T56" s="133"/>
      <c r="U56" s="133"/>
      <c r="V56" s="133"/>
      <c r="W56" s="138"/>
      <c r="X56" s="138"/>
      <c r="Y56" s="98"/>
      <c r="Z56" s="98">
        <v>86.56</v>
      </c>
      <c r="AA56" s="94">
        <f t="shared" si="7"/>
        <v>940.10000000000014</v>
      </c>
      <c r="AB56" s="100">
        <f t="shared" si="6"/>
        <v>0</v>
      </c>
      <c r="AC56" s="94">
        <f t="shared" si="3"/>
        <v>940.10000000000014</v>
      </c>
      <c r="AD56" s="101">
        <f t="shared" si="4"/>
        <v>102.66600000000001</v>
      </c>
      <c r="AE56" s="100">
        <v>10.23</v>
      </c>
      <c r="AF56" s="102">
        <f t="shared" si="5"/>
        <v>1139.556</v>
      </c>
      <c r="AG56" s="103"/>
      <c r="AH56" s="104"/>
      <c r="AI56" s="103"/>
      <c r="AJ56" s="103"/>
      <c r="AK56" s="104"/>
      <c r="AL56" s="103"/>
      <c r="AM56" s="103"/>
    </row>
    <row r="57" spans="1:53">
      <c r="A57" s="88" t="s">
        <v>381</v>
      </c>
      <c r="B57" s="88" t="s">
        <v>442</v>
      </c>
      <c r="C57" s="88"/>
      <c r="D57" s="88" t="s">
        <v>115</v>
      </c>
      <c r="E57" s="88" t="s">
        <v>443</v>
      </c>
      <c r="F57" s="88"/>
      <c r="G57" s="89"/>
      <c r="H57" s="89"/>
      <c r="I57" s="91">
        <v>1100</v>
      </c>
      <c r="J57" s="89"/>
      <c r="K57" s="91">
        <f t="shared" si="0"/>
        <v>1100</v>
      </c>
      <c r="L57" s="91">
        <v>307.39999999999998</v>
      </c>
      <c r="M57" s="92"/>
      <c r="N57" s="92"/>
      <c r="O57" s="93"/>
      <c r="P57" s="94">
        <f t="shared" si="10"/>
        <v>1407.4</v>
      </c>
      <c r="Q57" s="137"/>
      <c r="R57" s="133"/>
      <c r="S57" s="193">
        <f>+P57*1%</f>
        <v>14.074000000000002</v>
      </c>
      <c r="T57" s="193">
        <f>+P57*4.9%</f>
        <v>68.962600000000009</v>
      </c>
      <c r="U57" s="133"/>
      <c r="V57" s="133"/>
      <c r="W57" s="138"/>
      <c r="X57" s="138"/>
      <c r="Y57" s="98"/>
      <c r="Z57" s="98">
        <v>0</v>
      </c>
      <c r="AA57" s="94">
        <f t="shared" si="7"/>
        <v>1324.3634000000002</v>
      </c>
      <c r="AB57" s="100">
        <f t="shared" si="6"/>
        <v>0</v>
      </c>
      <c r="AC57" s="94">
        <f t="shared" si="3"/>
        <v>1324.3634000000002</v>
      </c>
      <c r="AD57" s="101">
        <f t="shared" si="4"/>
        <v>140.74</v>
      </c>
      <c r="AE57" s="100">
        <v>10.23</v>
      </c>
      <c r="AF57" s="102">
        <f t="shared" si="5"/>
        <v>1558.3700000000001</v>
      </c>
      <c r="AG57" s="103"/>
      <c r="AH57" s="104"/>
      <c r="AI57" s="103"/>
      <c r="AJ57" s="103"/>
      <c r="AK57" s="104"/>
      <c r="AL57" s="103"/>
      <c r="AM57" s="103"/>
    </row>
    <row r="58" spans="1:53">
      <c r="A58" s="108" t="s">
        <v>383</v>
      </c>
      <c r="B58" s="88" t="s">
        <v>444</v>
      </c>
      <c r="C58" s="88"/>
      <c r="D58" s="88" t="s">
        <v>117</v>
      </c>
      <c r="E58" s="88" t="s">
        <v>177</v>
      </c>
      <c r="F58" s="88"/>
      <c r="G58" s="88"/>
      <c r="H58" s="88"/>
      <c r="I58" s="91">
        <v>739.23</v>
      </c>
      <c r="J58" s="88"/>
      <c r="K58" s="91">
        <f t="shared" si="0"/>
        <v>739.23</v>
      </c>
      <c r="L58" s="91"/>
      <c r="M58" s="91"/>
      <c r="N58" s="91"/>
      <c r="O58" s="93"/>
      <c r="P58" s="94">
        <f t="shared" si="10"/>
        <v>739.23</v>
      </c>
      <c r="Q58" s="137"/>
      <c r="R58" s="133"/>
      <c r="S58" s="133">
        <v>0</v>
      </c>
      <c r="T58" s="133"/>
      <c r="U58" s="133"/>
      <c r="V58" s="133"/>
      <c r="W58" s="138"/>
      <c r="X58" s="138"/>
      <c r="Y58" s="98"/>
      <c r="Z58" s="98">
        <v>0</v>
      </c>
      <c r="AA58" s="94">
        <f t="shared" si="7"/>
        <v>739.23</v>
      </c>
      <c r="AB58" s="100">
        <f t="shared" si="6"/>
        <v>0</v>
      </c>
      <c r="AC58" s="94">
        <f t="shared" si="3"/>
        <v>739.23</v>
      </c>
      <c r="AD58" s="101">
        <f t="shared" si="4"/>
        <v>73.923000000000002</v>
      </c>
      <c r="AE58" s="100">
        <v>10.23</v>
      </c>
      <c r="AF58" s="102">
        <f t="shared" si="5"/>
        <v>823.38300000000004</v>
      </c>
      <c r="AG58" s="103"/>
      <c r="AH58" s="104"/>
      <c r="AI58" s="103"/>
      <c r="AJ58" s="103"/>
      <c r="AK58" s="104"/>
      <c r="AL58" s="103"/>
      <c r="AM58" s="103"/>
    </row>
    <row r="59" spans="1:53">
      <c r="A59" s="108" t="s">
        <v>381</v>
      </c>
      <c r="B59" s="88" t="s">
        <v>445</v>
      </c>
      <c r="C59" s="88"/>
      <c r="D59" s="88" t="s">
        <v>119</v>
      </c>
      <c r="E59" s="88" t="s">
        <v>193</v>
      </c>
      <c r="F59" s="88"/>
      <c r="G59" s="89"/>
      <c r="H59" s="89"/>
      <c r="I59" s="91">
        <v>608.16</v>
      </c>
      <c r="J59" s="89"/>
      <c r="K59" s="91">
        <f t="shared" si="0"/>
        <v>608.16</v>
      </c>
      <c r="L59" s="91"/>
      <c r="M59" s="92"/>
      <c r="N59" s="92"/>
      <c r="O59" s="93"/>
      <c r="P59" s="94">
        <f t="shared" si="10"/>
        <v>608.16</v>
      </c>
      <c r="Q59" s="137"/>
      <c r="R59" s="133"/>
      <c r="S59" s="133"/>
      <c r="T59" s="193">
        <f>P59*4.9%</f>
        <v>29.79984</v>
      </c>
      <c r="U59" s="193">
        <f>P59*1%</f>
        <v>6.0815999999999999</v>
      </c>
      <c r="V59" s="133"/>
      <c r="W59" s="138"/>
      <c r="X59" s="138"/>
      <c r="Y59" s="98"/>
      <c r="Z59" s="98">
        <v>0</v>
      </c>
      <c r="AA59" s="94">
        <f t="shared" si="7"/>
        <v>572.27855999999997</v>
      </c>
      <c r="AB59" s="100">
        <f t="shared" si="6"/>
        <v>0</v>
      </c>
      <c r="AC59" s="94">
        <f t="shared" si="3"/>
        <v>572.27855999999997</v>
      </c>
      <c r="AD59" s="101">
        <f t="shared" si="4"/>
        <v>60.816000000000003</v>
      </c>
      <c r="AE59" s="100">
        <v>10.23</v>
      </c>
      <c r="AF59" s="102">
        <f t="shared" si="5"/>
        <v>679.20600000000002</v>
      </c>
      <c r="AG59" s="103"/>
      <c r="AH59" s="104"/>
      <c r="AI59" s="103"/>
      <c r="AJ59" s="103"/>
      <c r="AK59" s="104"/>
      <c r="AL59" s="103"/>
      <c r="AM59" s="103"/>
    </row>
    <row r="60" spans="1:53">
      <c r="A60" s="108" t="s">
        <v>381</v>
      </c>
      <c r="B60" s="88" t="s">
        <v>446</v>
      </c>
      <c r="C60" s="88"/>
      <c r="D60" s="88" t="s">
        <v>121</v>
      </c>
      <c r="E60" s="88" t="s">
        <v>194</v>
      </c>
      <c r="F60" s="88"/>
      <c r="G60" s="89"/>
      <c r="H60" s="89"/>
      <c r="I60" s="91">
        <v>511.28</v>
      </c>
      <c r="J60" s="89"/>
      <c r="K60" s="91">
        <f t="shared" si="0"/>
        <v>511.28</v>
      </c>
      <c r="L60" s="91">
        <v>1441.8</v>
      </c>
      <c r="M60" s="92"/>
      <c r="N60" s="92"/>
      <c r="O60" s="93"/>
      <c r="P60" s="94">
        <f t="shared" si="10"/>
        <v>1953.08</v>
      </c>
      <c r="Q60" s="137"/>
      <c r="R60" s="133"/>
      <c r="S60" s="193">
        <v>100</v>
      </c>
      <c r="T60" s="193">
        <f>P60*4.9%</f>
        <v>95.700919999999996</v>
      </c>
      <c r="U60" s="193">
        <f>P60*1%</f>
        <v>19.530799999999999</v>
      </c>
      <c r="V60" s="133"/>
      <c r="W60" s="138"/>
      <c r="X60" s="138"/>
      <c r="Y60" s="98"/>
      <c r="Z60" s="98">
        <v>0</v>
      </c>
      <c r="AA60" s="94">
        <f t="shared" si="7"/>
        <v>1737.8482799999999</v>
      </c>
      <c r="AB60" s="100">
        <f t="shared" si="6"/>
        <v>0</v>
      </c>
      <c r="AC60" s="94">
        <f t="shared" si="3"/>
        <v>1737.8482799999999</v>
      </c>
      <c r="AD60" s="101">
        <f t="shared" si="4"/>
        <v>195.30799999999999</v>
      </c>
      <c r="AE60" s="100">
        <v>10.23</v>
      </c>
      <c r="AF60" s="102">
        <f t="shared" si="5"/>
        <v>2158.6179999999999</v>
      </c>
      <c r="AG60" s="103"/>
      <c r="AH60" s="104"/>
      <c r="AI60" s="103"/>
      <c r="AJ60" s="103"/>
      <c r="AK60" s="104"/>
      <c r="AL60" s="103"/>
      <c r="AM60" s="103"/>
    </row>
    <row r="61" spans="1:53">
      <c r="A61" s="88" t="s">
        <v>377</v>
      </c>
      <c r="B61" s="88" t="s">
        <v>628</v>
      </c>
      <c r="C61" s="88" t="s">
        <v>31</v>
      </c>
      <c r="D61" s="88" t="s">
        <v>123</v>
      </c>
      <c r="E61" s="88" t="s">
        <v>189</v>
      </c>
      <c r="F61" s="88"/>
      <c r="G61" s="89"/>
      <c r="H61" s="89"/>
      <c r="I61" s="91">
        <v>513.33000000000004</v>
      </c>
      <c r="J61" s="89"/>
      <c r="K61" s="91">
        <f t="shared" si="0"/>
        <v>513.33000000000004</v>
      </c>
      <c r="L61" s="91"/>
      <c r="M61" s="92"/>
      <c r="N61" s="92"/>
      <c r="O61" s="93"/>
      <c r="P61" s="94">
        <f t="shared" si="10"/>
        <v>513.33000000000004</v>
      </c>
      <c r="Q61" s="137"/>
      <c r="R61" s="133"/>
      <c r="S61" s="133">
        <v>0</v>
      </c>
      <c r="T61" s="133"/>
      <c r="U61" s="133"/>
      <c r="V61" s="133"/>
      <c r="W61" s="138"/>
      <c r="X61" s="138"/>
      <c r="Y61" s="98"/>
      <c r="Z61" s="98">
        <v>0</v>
      </c>
      <c r="AA61" s="94">
        <f t="shared" si="7"/>
        <v>513.33000000000004</v>
      </c>
      <c r="AB61" s="100">
        <f t="shared" si="6"/>
        <v>0</v>
      </c>
      <c r="AC61" s="94">
        <f t="shared" si="3"/>
        <v>513.33000000000004</v>
      </c>
      <c r="AD61" s="101">
        <f t="shared" si="4"/>
        <v>51.333000000000006</v>
      </c>
      <c r="AE61" s="100">
        <v>10.23</v>
      </c>
      <c r="AF61" s="102">
        <f t="shared" si="5"/>
        <v>574.89300000000003</v>
      </c>
      <c r="AG61" s="103"/>
      <c r="AH61" s="104"/>
      <c r="AI61" s="103"/>
      <c r="AJ61" s="103"/>
      <c r="AK61" s="104"/>
      <c r="AL61" s="103"/>
      <c r="AM61" s="103"/>
    </row>
    <row r="62" spans="1:53">
      <c r="A62" s="108" t="s">
        <v>383</v>
      </c>
      <c r="B62" s="88" t="s">
        <v>448</v>
      </c>
      <c r="C62" s="88"/>
      <c r="D62" s="88" t="s">
        <v>125</v>
      </c>
      <c r="E62" s="88" t="s">
        <v>449</v>
      </c>
      <c r="F62" s="88"/>
      <c r="G62" s="88"/>
      <c r="H62" s="89"/>
      <c r="I62" s="91">
        <v>739.23</v>
      </c>
      <c r="J62" s="89"/>
      <c r="K62" s="91">
        <f t="shared" si="0"/>
        <v>739.23</v>
      </c>
      <c r="L62" s="91">
        <v>4006.07</v>
      </c>
      <c r="M62" s="128"/>
      <c r="N62" s="92"/>
      <c r="O62" s="93"/>
      <c r="P62" s="94">
        <f t="shared" si="10"/>
        <v>4745.3</v>
      </c>
      <c r="Q62" s="137"/>
      <c r="R62" s="133"/>
      <c r="S62" s="133">
        <v>0</v>
      </c>
      <c r="T62" s="133"/>
      <c r="U62" s="133"/>
      <c r="V62" s="133"/>
      <c r="W62" s="138"/>
      <c r="X62" s="138"/>
      <c r="Y62" s="98"/>
      <c r="Z62" s="98">
        <v>0</v>
      </c>
      <c r="AA62" s="94">
        <f t="shared" si="7"/>
        <v>4745.3</v>
      </c>
      <c r="AB62" s="100">
        <f t="shared" si="6"/>
        <v>474.53000000000003</v>
      </c>
      <c r="AC62" s="94">
        <f t="shared" si="3"/>
        <v>4270.7700000000004</v>
      </c>
      <c r="AD62" s="101">
        <f t="shared" si="4"/>
        <v>0</v>
      </c>
      <c r="AE62" s="100">
        <v>10.23</v>
      </c>
      <c r="AF62" s="102">
        <f t="shared" si="5"/>
        <v>4755.53</v>
      </c>
      <c r="AG62" s="103"/>
      <c r="AH62" s="104"/>
      <c r="AI62" s="103"/>
      <c r="AJ62" s="103"/>
      <c r="AK62" s="104"/>
      <c r="AL62" s="103"/>
      <c r="AM62" s="103"/>
    </row>
    <row r="63" spans="1:53">
      <c r="A63" s="108" t="s">
        <v>383</v>
      </c>
      <c r="B63" s="88" t="s">
        <v>452</v>
      </c>
      <c r="C63" s="88"/>
      <c r="D63" s="88" t="s">
        <v>129</v>
      </c>
      <c r="E63" s="88" t="s">
        <v>177</v>
      </c>
      <c r="F63" s="88"/>
      <c r="G63" s="88"/>
      <c r="H63" s="89"/>
      <c r="I63" s="91">
        <v>739.23</v>
      </c>
      <c r="J63" s="89"/>
      <c r="K63" s="91">
        <f t="shared" si="0"/>
        <v>739.23</v>
      </c>
      <c r="L63" s="91">
        <v>3036.32</v>
      </c>
      <c r="M63" s="92"/>
      <c r="N63" s="92"/>
      <c r="O63" s="93"/>
      <c r="P63" s="94">
        <f t="shared" si="10"/>
        <v>3775.55</v>
      </c>
      <c r="Q63" s="137"/>
      <c r="R63" s="133"/>
      <c r="S63" s="133">
        <v>0</v>
      </c>
      <c r="T63" s="133"/>
      <c r="U63" s="133"/>
      <c r="V63" s="133"/>
      <c r="W63" s="138"/>
      <c r="X63" s="138"/>
      <c r="Y63" s="98"/>
      <c r="Z63" s="98">
        <v>0</v>
      </c>
      <c r="AA63" s="94">
        <f t="shared" si="7"/>
        <v>3775.55</v>
      </c>
      <c r="AB63" s="100">
        <f t="shared" si="6"/>
        <v>0</v>
      </c>
      <c r="AC63" s="94">
        <f t="shared" si="3"/>
        <v>3775.55</v>
      </c>
      <c r="AD63" s="101">
        <f t="shared" si="4"/>
        <v>377.55500000000006</v>
      </c>
      <c r="AE63" s="100">
        <v>10.23</v>
      </c>
      <c r="AF63" s="102">
        <f t="shared" si="5"/>
        <v>4163.335</v>
      </c>
      <c r="AG63" s="103"/>
      <c r="AH63" s="104"/>
      <c r="AI63" s="103"/>
      <c r="AJ63" s="103"/>
      <c r="AK63" s="104"/>
      <c r="AL63" s="103"/>
      <c r="AM63" s="103"/>
    </row>
    <row r="64" spans="1:53" s="156" customFormat="1">
      <c r="A64" s="151" t="s">
        <v>383</v>
      </c>
      <c r="B64" s="151" t="s">
        <v>629</v>
      </c>
      <c r="C64" s="151"/>
      <c r="D64" s="151"/>
      <c r="E64" s="151" t="s">
        <v>177</v>
      </c>
      <c r="F64" s="164">
        <v>42422</v>
      </c>
      <c r="G64" s="151"/>
      <c r="H64" s="151"/>
      <c r="I64" s="152">
        <v>0</v>
      </c>
      <c r="J64" s="151">
        <v>1136.73</v>
      </c>
      <c r="K64" s="152">
        <f t="shared" si="0"/>
        <v>1136.73</v>
      </c>
      <c r="L64" s="152">
        <v>0</v>
      </c>
      <c r="M64" s="152"/>
      <c r="N64" s="152"/>
      <c r="O64" s="152"/>
      <c r="P64" s="154">
        <f t="shared" si="10"/>
        <v>1136.73</v>
      </c>
      <c r="Q64" s="152"/>
      <c r="R64" s="133"/>
      <c r="S64" s="152"/>
      <c r="T64" s="152"/>
      <c r="U64" s="152"/>
      <c r="V64" s="152"/>
      <c r="W64" s="155"/>
      <c r="X64" s="155"/>
      <c r="Y64" s="151"/>
      <c r="Z64" s="151"/>
      <c r="AA64" s="154">
        <f t="shared" si="7"/>
        <v>1136.73</v>
      </c>
      <c r="AB64" s="155">
        <f t="shared" si="6"/>
        <v>0</v>
      </c>
      <c r="AC64" s="154">
        <f t="shared" si="3"/>
        <v>1136.73</v>
      </c>
      <c r="AD64" s="155">
        <f t="shared" si="4"/>
        <v>113.673</v>
      </c>
      <c r="AE64" s="155">
        <v>10.23</v>
      </c>
      <c r="AF64" s="154">
        <f t="shared" si="5"/>
        <v>1260.633</v>
      </c>
      <c r="AH64" s="157"/>
      <c r="AK64" s="157"/>
      <c r="AL64" s="156">
        <v>2857006349</v>
      </c>
      <c r="AM64" s="194" t="s">
        <v>611</v>
      </c>
    </row>
    <row r="65" spans="1:53">
      <c r="A65" s="108" t="s">
        <v>381</v>
      </c>
      <c r="B65" s="88" t="s">
        <v>453</v>
      </c>
      <c r="C65" s="88"/>
      <c r="D65" s="88" t="s">
        <v>131</v>
      </c>
      <c r="E65" s="88" t="s">
        <v>454</v>
      </c>
      <c r="F65" s="88"/>
      <c r="G65" s="89"/>
      <c r="H65" s="89"/>
      <c r="I65" s="91">
        <v>608.16</v>
      </c>
      <c r="J65" s="89"/>
      <c r="K65" s="91">
        <f t="shared" si="0"/>
        <v>608.16</v>
      </c>
      <c r="L65" s="91">
        <v>1276.27</v>
      </c>
      <c r="M65" s="92"/>
      <c r="N65" s="92"/>
      <c r="O65" s="93"/>
      <c r="P65" s="94">
        <f t="shared" si="10"/>
        <v>1884.4299999999998</v>
      </c>
      <c r="Q65" s="137"/>
      <c r="R65" s="133"/>
      <c r="S65" s="133"/>
      <c r="T65" s="193">
        <f>P65*4.9%</f>
        <v>92.337069999999997</v>
      </c>
      <c r="U65" s="193">
        <f>P65*1%</f>
        <v>18.8443</v>
      </c>
      <c r="V65" s="133"/>
      <c r="W65" s="138"/>
      <c r="X65" s="138"/>
      <c r="Y65" s="98"/>
      <c r="Z65" s="98">
        <v>0</v>
      </c>
      <c r="AA65" s="94">
        <f t="shared" si="7"/>
        <v>1773.2486299999998</v>
      </c>
      <c r="AB65" s="100">
        <f t="shared" si="6"/>
        <v>0</v>
      </c>
      <c r="AC65" s="94">
        <f t="shared" si="3"/>
        <v>1773.2486299999998</v>
      </c>
      <c r="AD65" s="101">
        <f t="shared" si="4"/>
        <v>188.44299999999998</v>
      </c>
      <c r="AE65" s="100">
        <v>10.23</v>
      </c>
      <c r="AF65" s="102">
        <f t="shared" si="5"/>
        <v>2083.1029999999996</v>
      </c>
      <c r="AG65" s="103"/>
      <c r="AH65" s="104"/>
      <c r="AI65" s="103"/>
      <c r="AJ65" s="103"/>
      <c r="AK65" s="104"/>
      <c r="AL65" s="103"/>
      <c r="AM65" s="103"/>
    </row>
    <row r="66" spans="1:53">
      <c r="A66" s="108" t="s">
        <v>381</v>
      </c>
      <c r="B66" s="88" t="s">
        <v>455</v>
      </c>
      <c r="C66" s="88"/>
      <c r="D66" s="88" t="s">
        <v>133</v>
      </c>
      <c r="E66" s="88" t="s">
        <v>190</v>
      </c>
      <c r="F66" s="88"/>
      <c r="G66" s="89"/>
      <c r="H66" s="89"/>
      <c r="I66" s="91">
        <v>608.16</v>
      </c>
      <c r="J66" s="89"/>
      <c r="K66" s="91">
        <f t="shared" si="0"/>
        <v>608.16</v>
      </c>
      <c r="L66" s="91">
        <v>3235.87</v>
      </c>
      <c r="M66" s="92"/>
      <c r="N66" s="92"/>
      <c r="O66" s="93"/>
      <c r="P66" s="94">
        <f t="shared" si="10"/>
        <v>3844.0299999999997</v>
      </c>
      <c r="Q66" s="137"/>
      <c r="R66" s="133"/>
      <c r="S66" s="193">
        <v>200</v>
      </c>
      <c r="T66" s="193">
        <f>P66*4.9%</f>
        <v>188.35747000000001</v>
      </c>
      <c r="U66" s="193">
        <f>P66*1%</f>
        <v>38.440300000000001</v>
      </c>
      <c r="V66" s="193">
        <v>321.74</v>
      </c>
      <c r="W66" s="138"/>
      <c r="X66" s="138"/>
      <c r="Y66" s="98"/>
      <c r="Z66" s="98">
        <v>0</v>
      </c>
      <c r="AA66" s="94">
        <f t="shared" si="7"/>
        <v>3095.4922299999998</v>
      </c>
      <c r="AB66" s="100">
        <f t="shared" si="6"/>
        <v>0</v>
      </c>
      <c r="AC66" s="94">
        <f t="shared" si="3"/>
        <v>3095.4922299999998</v>
      </c>
      <c r="AD66" s="101">
        <f t="shared" si="4"/>
        <v>384.40300000000002</v>
      </c>
      <c r="AE66" s="100">
        <v>10.23</v>
      </c>
      <c r="AF66" s="102">
        <f t="shared" si="5"/>
        <v>4238.6629999999996</v>
      </c>
      <c r="AG66" s="103"/>
      <c r="AH66" s="104"/>
      <c r="AI66" s="103"/>
      <c r="AJ66" s="103"/>
      <c r="AK66" s="104"/>
      <c r="AL66" s="103"/>
      <c r="AM66" s="103"/>
    </row>
    <row r="67" spans="1:53">
      <c r="A67" s="88" t="s">
        <v>431</v>
      </c>
      <c r="B67" s="88" t="s">
        <v>456</v>
      </c>
      <c r="C67" s="88"/>
      <c r="D67" s="88" t="s">
        <v>135</v>
      </c>
      <c r="E67" s="88" t="s">
        <v>186</v>
      </c>
      <c r="F67" s="88"/>
      <c r="G67" s="89"/>
      <c r="H67" s="89"/>
      <c r="I67" s="91">
        <v>1400</v>
      </c>
      <c r="J67" s="89"/>
      <c r="K67" s="91">
        <f t="shared" si="0"/>
        <v>1400</v>
      </c>
      <c r="L67" s="91"/>
      <c r="M67" s="92"/>
      <c r="N67" s="92"/>
      <c r="O67" s="93"/>
      <c r="P67" s="94">
        <f t="shared" si="10"/>
        <v>1400</v>
      </c>
      <c r="Q67" s="137"/>
      <c r="R67" s="133"/>
      <c r="S67" s="133">
        <v>0</v>
      </c>
      <c r="T67" s="133"/>
      <c r="U67" s="133"/>
      <c r="V67" s="133"/>
      <c r="W67" s="138"/>
      <c r="X67" s="138"/>
      <c r="Y67" s="98"/>
      <c r="Z67" s="98">
        <v>0</v>
      </c>
      <c r="AA67" s="94">
        <f t="shared" si="7"/>
        <v>1400</v>
      </c>
      <c r="AB67" s="100">
        <f t="shared" si="6"/>
        <v>0</v>
      </c>
      <c r="AC67" s="94">
        <f t="shared" si="3"/>
        <v>1400</v>
      </c>
      <c r="AD67" s="101">
        <f t="shared" si="4"/>
        <v>140</v>
      </c>
      <c r="AE67" s="100">
        <v>10.23</v>
      </c>
      <c r="AF67" s="102">
        <f t="shared" si="5"/>
        <v>1550.23</v>
      </c>
      <c r="AG67" s="103"/>
      <c r="AH67" s="104"/>
      <c r="AI67" s="103"/>
      <c r="AJ67" s="103"/>
      <c r="AK67" s="104"/>
      <c r="AL67" s="103"/>
      <c r="AM67" s="103"/>
    </row>
    <row r="68" spans="1:53">
      <c r="A68" s="108" t="s">
        <v>381</v>
      </c>
      <c r="B68" s="88" t="s">
        <v>457</v>
      </c>
      <c r="C68" s="88"/>
      <c r="D68" s="88" t="s">
        <v>259</v>
      </c>
      <c r="E68" s="88" t="s">
        <v>190</v>
      </c>
      <c r="F68" s="88"/>
      <c r="G68" s="89"/>
      <c r="H68" s="89"/>
      <c r="I68" s="91">
        <v>608.16</v>
      </c>
      <c r="J68" s="89"/>
      <c r="K68" s="91">
        <f t="shared" si="0"/>
        <v>608.16</v>
      </c>
      <c r="L68" s="91">
        <v>527.79999999999995</v>
      </c>
      <c r="M68" s="92"/>
      <c r="N68" s="92"/>
      <c r="O68" s="93"/>
      <c r="P68" s="94">
        <f t="shared" si="10"/>
        <v>1135.96</v>
      </c>
      <c r="Q68" s="137"/>
      <c r="R68" s="133"/>
      <c r="S68" s="133">
        <v>0</v>
      </c>
      <c r="T68" s="193">
        <f>P68*4.9%</f>
        <v>55.662040000000005</v>
      </c>
      <c r="U68" s="193">
        <f>P68*1%</f>
        <v>11.3596</v>
      </c>
      <c r="V68" s="133"/>
      <c r="W68" s="138"/>
      <c r="X68" s="138"/>
      <c r="Y68" s="98"/>
      <c r="Z68" s="98">
        <v>0</v>
      </c>
      <c r="AA68" s="94">
        <f t="shared" si="7"/>
        <v>1068.9383600000001</v>
      </c>
      <c r="AB68" s="100">
        <f t="shared" si="6"/>
        <v>0</v>
      </c>
      <c r="AC68" s="94">
        <f t="shared" si="3"/>
        <v>1068.9383600000001</v>
      </c>
      <c r="AD68" s="101">
        <f t="shared" si="4"/>
        <v>113.596</v>
      </c>
      <c r="AE68" s="100">
        <v>10.23</v>
      </c>
      <c r="AF68" s="102">
        <f t="shared" si="5"/>
        <v>1259.7860000000001</v>
      </c>
      <c r="AG68" s="103"/>
      <c r="AH68" s="104"/>
      <c r="AI68" s="103"/>
      <c r="AJ68" s="103"/>
      <c r="AK68" s="104"/>
      <c r="AL68" s="103"/>
      <c r="AM68" s="103"/>
    </row>
    <row r="69" spans="1:53">
      <c r="A69" s="88" t="s">
        <v>375</v>
      </c>
      <c r="B69" s="88" t="s">
        <v>458</v>
      </c>
      <c r="C69" s="88"/>
      <c r="D69" s="88" t="s">
        <v>139</v>
      </c>
      <c r="E69" s="88" t="s">
        <v>186</v>
      </c>
      <c r="F69" s="88"/>
      <c r="G69" s="88"/>
      <c r="H69" s="88"/>
      <c r="I69" s="91">
        <v>1400</v>
      </c>
      <c r="J69" s="88"/>
      <c r="K69" s="91">
        <f t="shared" si="0"/>
        <v>1400</v>
      </c>
      <c r="L69" s="91"/>
      <c r="M69" s="91"/>
      <c r="N69" s="91"/>
      <c r="O69" s="93"/>
      <c r="P69" s="94">
        <f t="shared" si="10"/>
        <v>1400</v>
      </c>
      <c r="Q69" s="137"/>
      <c r="R69" s="133"/>
      <c r="S69" s="133">
        <v>0</v>
      </c>
      <c r="T69" s="133"/>
      <c r="U69" s="133"/>
      <c r="V69" s="133"/>
      <c r="W69" s="138"/>
      <c r="X69" s="138"/>
      <c r="Y69" s="98"/>
      <c r="Z69" s="98">
        <v>0</v>
      </c>
      <c r="AA69" s="94">
        <f t="shared" si="7"/>
        <v>1400</v>
      </c>
      <c r="AB69" s="100">
        <f t="shared" si="6"/>
        <v>0</v>
      </c>
      <c r="AC69" s="94">
        <f t="shared" si="3"/>
        <v>1400</v>
      </c>
      <c r="AD69" s="101">
        <f t="shared" si="4"/>
        <v>140</v>
      </c>
      <c r="AE69" s="100">
        <v>10.23</v>
      </c>
      <c r="AF69" s="102">
        <f t="shared" si="5"/>
        <v>1550.23</v>
      </c>
      <c r="AG69" s="103"/>
      <c r="AH69" s="104"/>
      <c r="AI69" s="103"/>
      <c r="AJ69" s="103"/>
      <c r="AK69" s="104"/>
      <c r="AL69" s="103"/>
      <c r="AM69" s="103" t="s">
        <v>630</v>
      </c>
    </row>
    <row r="70" spans="1:53" s="121" customFormat="1">
      <c r="A70" s="108" t="s">
        <v>383</v>
      </c>
      <c r="B70" s="123" t="s">
        <v>459</v>
      </c>
      <c r="C70" s="123"/>
      <c r="D70" s="123"/>
      <c r="E70" s="123" t="s">
        <v>177</v>
      </c>
      <c r="F70" s="161">
        <v>42416</v>
      </c>
      <c r="G70" s="123"/>
      <c r="H70" s="123"/>
      <c r="I70" s="147">
        <v>739.23</v>
      </c>
      <c r="J70" s="123"/>
      <c r="K70" s="147">
        <f t="shared" si="0"/>
        <v>739.23</v>
      </c>
      <c r="L70" s="147">
        <v>1692.78</v>
      </c>
      <c r="M70" s="147"/>
      <c r="N70" s="147"/>
      <c r="O70" s="159"/>
      <c r="P70" s="116">
        <f t="shared" si="10"/>
        <v>2432.0100000000002</v>
      </c>
      <c r="Q70" s="114"/>
      <c r="R70" s="133"/>
      <c r="S70" s="114"/>
      <c r="T70" s="114"/>
      <c r="U70" s="114"/>
      <c r="V70" s="114"/>
      <c r="W70" s="120"/>
      <c r="X70" s="120"/>
      <c r="Y70" s="111"/>
      <c r="Z70" s="111"/>
      <c r="AA70" s="116">
        <f t="shared" si="7"/>
        <v>2432.0100000000002</v>
      </c>
      <c r="AB70" s="120">
        <f t="shared" si="6"/>
        <v>0</v>
      </c>
      <c r="AC70" s="116">
        <f t="shared" si="3"/>
        <v>2432.0100000000002</v>
      </c>
      <c r="AD70" s="120">
        <f t="shared" si="4"/>
        <v>243.20100000000002</v>
      </c>
      <c r="AE70" s="100">
        <v>10.23</v>
      </c>
      <c r="AF70" s="102">
        <f t="shared" si="5"/>
        <v>2685.4410000000003</v>
      </c>
      <c r="AG70" s="103"/>
      <c r="AH70" s="104"/>
      <c r="AI70" s="103"/>
      <c r="AJ70" s="103"/>
      <c r="AK70" s="104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</row>
    <row r="71" spans="1:53">
      <c r="A71" s="108" t="s">
        <v>381</v>
      </c>
      <c r="B71" s="88" t="s">
        <v>460</v>
      </c>
      <c r="C71" s="88"/>
      <c r="D71" s="88" t="s">
        <v>141</v>
      </c>
      <c r="E71" s="88" t="s">
        <v>195</v>
      </c>
      <c r="F71" s="88"/>
      <c r="G71" s="89"/>
      <c r="H71" s="89"/>
      <c r="I71" s="91">
        <v>511.28</v>
      </c>
      <c r="J71" s="89"/>
      <c r="K71" s="91">
        <f t="shared" ref="K71:K90" si="11">+I71+J71</f>
        <v>511.28</v>
      </c>
      <c r="L71" s="91">
        <f>1826.28+250+200</f>
        <v>2276.2799999999997</v>
      </c>
      <c r="M71" s="92"/>
      <c r="N71" s="92"/>
      <c r="O71" s="93"/>
      <c r="P71" s="94">
        <f t="shared" si="10"/>
        <v>2787.5599999999995</v>
      </c>
      <c r="Q71" s="137"/>
      <c r="R71" s="133"/>
      <c r="S71" s="193">
        <v>300</v>
      </c>
      <c r="T71" s="133"/>
      <c r="U71" s="133"/>
      <c r="V71" s="133"/>
      <c r="W71" s="138"/>
      <c r="X71" s="138"/>
      <c r="Y71" s="98"/>
      <c r="Z71" s="98">
        <f>831.77+139.91</f>
        <v>971.68</v>
      </c>
      <c r="AA71" s="94">
        <f t="shared" si="7"/>
        <v>1515.8799999999997</v>
      </c>
      <c r="AB71" s="100">
        <f t="shared" si="6"/>
        <v>0</v>
      </c>
      <c r="AC71" s="94">
        <f t="shared" ref="AC71:AC90" si="12">+AA71-AB71</f>
        <v>1515.8799999999997</v>
      </c>
      <c r="AD71" s="101">
        <f t="shared" ref="AD71:AD90" si="13">IF(P71&lt;4500,P71*0.1,0)</f>
        <v>278.75599999999997</v>
      </c>
      <c r="AE71" s="100">
        <v>10.23</v>
      </c>
      <c r="AF71" s="102">
        <f t="shared" ref="AF71:AF90" si="14">+P71+AD71+AE71</f>
        <v>3076.5459999999994</v>
      </c>
      <c r="AG71" s="103"/>
      <c r="AH71" s="104"/>
      <c r="AI71" s="103"/>
      <c r="AJ71" s="103"/>
      <c r="AK71" s="104"/>
      <c r="AL71" s="103"/>
      <c r="AM71" s="103"/>
    </row>
    <row r="72" spans="1:53">
      <c r="A72" s="88" t="s">
        <v>375</v>
      </c>
      <c r="B72" s="88" t="s">
        <v>461</v>
      </c>
      <c r="C72" s="88"/>
      <c r="D72" s="88" t="s">
        <v>143</v>
      </c>
      <c r="E72" s="88" t="s">
        <v>179</v>
      </c>
      <c r="F72" s="88"/>
      <c r="G72" s="88"/>
      <c r="H72" s="88"/>
      <c r="I72" s="91">
        <v>1166.26</v>
      </c>
      <c r="J72" s="90"/>
      <c r="K72" s="91">
        <f t="shared" si="11"/>
        <v>1166.26</v>
      </c>
      <c r="L72" s="91">
        <v>784.32</v>
      </c>
      <c r="M72" s="91"/>
      <c r="N72" s="91"/>
      <c r="O72" s="93"/>
      <c r="P72" s="94">
        <f t="shared" ref="P72:P87" si="15">SUM(K72:N72)-O72</f>
        <v>1950.58</v>
      </c>
      <c r="Q72" s="137"/>
      <c r="R72" s="133"/>
      <c r="S72" s="133">
        <v>0</v>
      </c>
      <c r="T72" s="133"/>
      <c r="U72" s="133"/>
      <c r="V72" s="133"/>
      <c r="W72" s="138"/>
      <c r="X72" s="138"/>
      <c r="Y72" s="98"/>
      <c r="Z72" s="98">
        <v>0</v>
      </c>
      <c r="AA72" s="94">
        <f t="shared" si="7"/>
        <v>1950.58</v>
      </c>
      <c r="AB72" s="100">
        <f t="shared" si="6"/>
        <v>0</v>
      </c>
      <c r="AC72" s="94">
        <f t="shared" si="12"/>
        <v>1950.58</v>
      </c>
      <c r="AD72" s="101">
        <f t="shared" si="13"/>
        <v>195.05799999999999</v>
      </c>
      <c r="AE72" s="100">
        <v>10.23</v>
      </c>
      <c r="AF72" s="102">
        <f t="shared" si="14"/>
        <v>2155.8679999999999</v>
      </c>
      <c r="AG72" s="103"/>
      <c r="AH72" s="104"/>
      <c r="AI72" s="103"/>
      <c r="AJ72" s="103"/>
      <c r="AK72" s="104"/>
      <c r="AL72" s="103"/>
      <c r="AM72" s="103"/>
    </row>
    <row r="73" spans="1:53">
      <c r="A73" s="88" t="s">
        <v>431</v>
      </c>
      <c r="B73" s="88" t="s">
        <v>631</v>
      </c>
      <c r="C73" s="88"/>
      <c r="D73" s="88" t="s">
        <v>188</v>
      </c>
      <c r="E73" s="88" t="s">
        <v>185</v>
      </c>
      <c r="F73" s="88"/>
      <c r="G73" s="88"/>
      <c r="H73" s="88"/>
      <c r="I73" s="91">
        <v>1100</v>
      </c>
      <c r="J73" s="88"/>
      <c r="K73" s="91">
        <f t="shared" si="11"/>
        <v>1100</v>
      </c>
      <c r="L73" s="91"/>
      <c r="M73" s="91"/>
      <c r="N73" s="91"/>
      <c r="O73" s="93"/>
      <c r="P73" s="94">
        <f t="shared" si="15"/>
        <v>1100</v>
      </c>
      <c r="Q73" s="137"/>
      <c r="R73" s="133"/>
      <c r="S73" s="133">
        <v>0</v>
      </c>
      <c r="T73" s="133"/>
      <c r="U73" s="133"/>
      <c r="V73" s="133"/>
      <c r="W73" s="138"/>
      <c r="X73" s="138"/>
      <c r="Y73" s="98"/>
      <c r="Z73" s="98">
        <v>0</v>
      </c>
      <c r="AA73" s="94">
        <f t="shared" si="7"/>
        <v>1100</v>
      </c>
      <c r="AB73" s="100">
        <f t="shared" si="6"/>
        <v>0</v>
      </c>
      <c r="AC73" s="94">
        <f t="shared" si="12"/>
        <v>1100</v>
      </c>
      <c r="AD73" s="101">
        <f t="shared" si="13"/>
        <v>110</v>
      </c>
      <c r="AE73" s="100">
        <v>10.23</v>
      </c>
      <c r="AF73" s="102">
        <f t="shared" si="14"/>
        <v>1220.23</v>
      </c>
      <c r="AG73" s="103"/>
      <c r="AH73" s="104"/>
      <c r="AI73" s="103"/>
      <c r="AJ73" s="103"/>
      <c r="AK73" s="104"/>
      <c r="AL73" s="103"/>
      <c r="AM73" s="103"/>
    </row>
    <row r="74" spans="1:53">
      <c r="A74" s="88" t="s">
        <v>377</v>
      </c>
      <c r="B74" s="88" t="s">
        <v>464</v>
      </c>
      <c r="C74" s="88" t="s">
        <v>30</v>
      </c>
      <c r="D74" s="88" t="s">
        <v>148</v>
      </c>
      <c r="E74" s="88" t="s">
        <v>189</v>
      </c>
      <c r="F74" s="88"/>
      <c r="G74" s="89"/>
      <c r="H74" s="89"/>
      <c r="I74" s="91">
        <v>513.33000000000004</v>
      </c>
      <c r="J74" s="89"/>
      <c r="K74" s="91">
        <f t="shared" si="11"/>
        <v>513.33000000000004</v>
      </c>
      <c r="L74" s="91">
        <f>513.33+4055.1</f>
        <v>4568.43</v>
      </c>
      <c r="M74" s="92"/>
      <c r="N74" s="92"/>
      <c r="O74" s="93"/>
      <c r="P74" s="94">
        <f t="shared" si="15"/>
        <v>5081.76</v>
      </c>
      <c r="Q74" s="137"/>
      <c r="R74" s="133">
        <v>58.91</v>
      </c>
      <c r="S74" s="133">
        <v>0</v>
      </c>
      <c r="T74" s="133"/>
      <c r="U74" s="133"/>
      <c r="V74" s="133"/>
      <c r="W74" s="138"/>
      <c r="X74" s="138"/>
      <c r="Y74" s="98"/>
      <c r="Z74" s="98">
        <v>0</v>
      </c>
      <c r="AA74" s="94">
        <f t="shared" si="7"/>
        <v>5022.8500000000004</v>
      </c>
      <c r="AB74" s="100">
        <f t="shared" si="6"/>
        <v>508.17600000000004</v>
      </c>
      <c r="AC74" s="94">
        <f t="shared" si="12"/>
        <v>4514.674</v>
      </c>
      <c r="AD74" s="101">
        <f t="shared" si="13"/>
        <v>0</v>
      </c>
      <c r="AE74" s="100">
        <v>10.23</v>
      </c>
      <c r="AF74" s="102">
        <f t="shared" si="14"/>
        <v>5091.99</v>
      </c>
      <c r="AG74" s="103"/>
      <c r="AH74" s="104"/>
      <c r="AI74" s="103"/>
      <c r="AJ74" s="103"/>
      <c r="AK74" s="104"/>
      <c r="AL74" s="103"/>
      <c r="AM74" s="103"/>
    </row>
    <row r="75" spans="1:53">
      <c r="A75" s="108" t="s">
        <v>381</v>
      </c>
      <c r="B75" s="88" t="s">
        <v>465</v>
      </c>
      <c r="C75" s="88"/>
      <c r="D75" s="88" t="s">
        <v>261</v>
      </c>
      <c r="E75" s="88" t="s">
        <v>466</v>
      </c>
      <c r="F75" s="88"/>
      <c r="G75" s="89"/>
      <c r="H75" s="89"/>
      <c r="I75" s="91">
        <v>543.20000000000005</v>
      </c>
      <c r="J75" s="89"/>
      <c r="K75" s="91">
        <f t="shared" si="11"/>
        <v>543.20000000000005</v>
      </c>
      <c r="L75" s="91">
        <v>1059.4000000000001</v>
      </c>
      <c r="M75" s="92"/>
      <c r="N75" s="92"/>
      <c r="O75" s="93"/>
      <c r="P75" s="94">
        <f t="shared" si="15"/>
        <v>1602.6000000000001</v>
      </c>
      <c r="Q75" s="137"/>
      <c r="R75" s="133"/>
      <c r="S75" s="133">
        <v>0</v>
      </c>
      <c r="T75" s="193">
        <f>P75*4.9%</f>
        <v>78.527400000000014</v>
      </c>
      <c r="U75" s="193">
        <f>P75*1%</f>
        <v>16.026000000000003</v>
      </c>
      <c r="V75" s="133"/>
      <c r="W75" s="138"/>
      <c r="X75" s="138"/>
      <c r="Y75" s="98"/>
      <c r="Z75" s="98">
        <v>0</v>
      </c>
      <c r="AA75" s="94">
        <f t="shared" si="7"/>
        <v>1508.0466000000001</v>
      </c>
      <c r="AB75" s="100">
        <f t="shared" ref="AB75:AB90" si="16">IF(P75&gt;4500,P75*0.1,0)</f>
        <v>0</v>
      </c>
      <c r="AC75" s="94">
        <f t="shared" si="12"/>
        <v>1508.0466000000001</v>
      </c>
      <c r="AD75" s="101">
        <f t="shared" si="13"/>
        <v>160.26000000000002</v>
      </c>
      <c r="AE75" s="100">
        <v>10.23</v>
      </c>
      <c r="AF75" s="102">
        <f t="shared" si="14"/>
        <v>1773.0900000000001</v>
      </c>
      <c r="AG75" s="103"/>
      <c r="AH75" s="104"/>
      <c r="AI75" s="103"/>
      <c r="AJ75" s="103"/>
      <c r="AK75" s="104"/>
      <c r="AL75" s="103"/>
      <c r="AM75" s="103"/>
    </row>
    <row r="76" spans="1:53">
      <c r="A76" s="108" t="s">
        <v>381</v>
      </c>
      <c r="B76" s="88" t="s">
        <v>467</v>
      </c>
      <c r="C76" s="88"/>
      <c r="D76" s="88" t="s">
        <v>152</v>
      </c>
      <c r="E76" s="88" t="s">
        <v>190</v>
      </c>
      <c r="F76" s="88"/>
      <c r="G76" s="89"/>
      <c r="H76" s="89"/>
      <c r="I76" s="91">
        <v>608.16</v>
      </c>
      <c r="J76" s="89"/>
      <c r="K76" s="91">
        <f t="shared" si="11"/>
        <v>608.16</v>
      </c>
      <c r="L76" s="91">
        <v>1325.5</v>
      </c>
      <c r="M76" s="92"/>
      <c r="N76" s="92"/>
      <c r="O76" s="93"/>
      <c r="P76" s="94">
        <f t="shared" si="15"/>
        <v>1933.6599999999999</v>
      </c>
      <c r="Q76" s="137"/>
      <c r="R76" s="133"/>
      <c r="S76" s="193">
        <v>200</v>
      </c>
      <c r="T76" s="193">
        <f>P76*4.9%</f>
        <v>94.749339999999989</v>
      </c>
      <c r="U76" s="193">
        <f>P76*1%</f>
        <v>19.336600000000001</v>
      </c>
      <c r="V76" s="193">
        <v>257.64</v>
      </c>
      <c r="W76" s="138"/>
      <c r="X76" s="138"/>
      <c r="Y76" s="98">
        <v>201.24</v>
      </c>
      <c r="Z76" s="98">
        <v>0</v>
      </c>
      <c r="AA76" s="94">
        <f t="shared" si="7"/>
        <v>1160.6940599999998</v>
      </c>
      <c r="AB76" s="100">
        <f t="shared" si="16"/>
        <v>0</v>
      </c>
      <c r="AC76" s="94">
        <f t="shared" si="12"/>
        <v>1160.6940599999998</v>
      </c>
      <c r="AD76" s="101">
        <f t="shared" si="13"/>
        <v>193.36599999999999</v>
      </c>
      <c r="AE76" s="100">
        <v>10.23</v>
      </c>
      <c r="AF76" s="102">
        <f t="shared" si="14"/>
        <v>2137.2559999999999</v>
      </c>
      <c r="AG76" s="103"/>
      <c r="AH76" s="104"/>
      <c r="AI76" s="103"/>
      <c r="AJ76" s="103"/>
      <c r="AK76" s="104"/>
      <c r="AL76" s="103"/>
      <c r="AM76" s="103"/>
    </row>
    <row r="77" spans="1:53">
      <c r="A77" s="108" t="s">
        <v>383</v>
      </c>
      <c r="B77" s="88" t="s">
        <v>468</v>
      </c>
      <c r="C77" s="88"/>
      <c r="D77" s="88" t="s">
        <v>182</v>
      </c>
      <c r="E77" s="88" t="s">
        <v>183</v>
      </c>
      <c r="F77" s="88"/>
      <c r="G77" s="88"/>
      <c r="H77" s="88"/>
      <c r="I77" s="91">
        <v>739.23</v>
      </c>
      <c r="J77" s="88"/>
      <c r="K77" s="91">
        <f t="shared" si="11"/>
        <v>739.23</v>
      </c>
      <c r="L77" s="91">
        <v>1998.23</v>
      </c>
      <c r="M77" s="92"/>
      <c r="N77" s="92"/>
      <c r="O77" s="93"/>
      <c r="P77" s="94">
        <f t="shared" si="15"/>
        <v>2737.46</v>
      </c>
      <c r="Q77" s="137"/>
      <c r="R77" s="133"/>
      <c r="S77" s="193">
        <v>150</v>
      </c>
      <c r="T77" s="133"/>
      <c r="U77" s="133"/>
      <c r="V77" s="133"/>
      <c r="W77" s="138"/>
      <c r="X77" s="138"/>
      <c r="Y77" s="98"/>
      <c r="Z77" s="98">
        <v>0</v>
      </c>
      <c r="AA77" s="94">
        <f t="shared" si="7"/>
        <v>2587.46</v>
      </c>
      <c r="AB77" s="100">
        <f t="shared" si="16"/>
        <v>0</v>
      </c>
      <c r="AC77" s="94">
        <f t="shared" si="12"/>
        <v>2587.46</v>
      </c>
      <c r="AD77" s="101">
        <f t="shared" si="13"/>
        <v>273.74600000000004</v>
      </c>
      <c r="AE77" s="100">
        <v>10.23</v>
      </c>
      <c r="AF77" s="102">
        <f t="shared" si="14"/>
        <v>3021.4360000000001</v>
      </c>
      <c r="AG77" s="103"/>
      <c r="AH77" s="104"/>
      <c r="AI77" s="103"/>
      <c r="AJ77" s="103"/>
      <c r="AK77" s="104"/>
      <c r="AL77" s="103"/>
      <c r="AM77" s="103"/>
    </row>
    <row r="78" spans="1:53">
      <c r="A78" s="88" t="s">
        <v>431</v>
      </c>
      <c r="B78" s="88" t="s">
        <v>469</v>
      </c>
      <c r="C78" s="88"/>
      <c r="D78" s="88" t="s">
        <v>155</v>
      </c>
      <c r="E78" s="88" t="s">
        <v>186</v>
      </c>
      <c r="F78" s="88"/>
      <c r="G78" s="89"/>
      <c r="H78" s="89"/>
      <c r="I78" s="91">
        <v>1400</v>
      </c>
      <c r="J78" s="89"/>
      <c r="K78" s="91">
        <f t="shared" si="11"/>
        <v>1400</v>
      </c>
      <c r="L78" s="91"/>
      <c r="M78" s="92"/>
      <c r="N78" s="92"/>
      <c r="O78" s="93"/>
      <c r="P78" s="94">
        <f t="shared" si="15"/>
        <v>1400</v>
      </c>
      <c r="Q78" s="137"/>
      <c r="R78" s="133"/>
      <c r="S78" s="133">
        <v>0</v>
      </c>
      <c r="T78" s="133"/>
      <c r="U78" s="133"/>
      <c r="V78" s="133"/>
      <c r="W78" s="138"/>
      <c r="X78" s="138"/>
      <c r="Y78" s="98"/>
      <c r="Z78" s="98">
        <f>355.65+71.38</f>
        <v>427.03</v>
      </c>
      <c r="AA78" s="94">
        <f t="shared" ref="AA78:AA87" si="17">+P78-SUM(Q78:Z78)</f>
        <v>972.97</v>
      </c>
      <c r="AB78" s="100">
        <f t="shared" si="16"/>
        <v>0</v>
      </c>
      <c r="AC78" s="94">
        <f t="shared" si="12"/>
        <v>972.97</v>
      </c>
      <c r="AD78" s="101">
        <f t="shared" si="13"/>
        <v>140</v>
      </c>
      <c r="AE78" s="100">
        <v>10.23</v>
      </c>
      <c r="AF78" s="102">
        <f t="shared" si="14"/>
        <v>1550.23</v>
      </c>
      <c r="AG78" s="103"/>
      <c r="AH78" s="104"/>
      <c r="AI78" s="103"/>
      <c r="AJ78" s="103"/>
      <c r="AK78" s="104"/>
      <c r="AL78" s="103"/>
      <c r="AM78" s="103"/>
    </row>
    <row r="79" spans="1:53" s="121" customFormat="1">
      <c r="A79" s="123" t="s">
        <v>431</v>
      </c>
      <c r="B79" s="123" t="s">
        <v>632</v>
      </c>
      <c r="C79" s="123"/>
      <c r="D79" s="123"/>
      <c r="E79" s="123" t="s">
        <v>186</v>
      </c>
      <c r="F79" s="161">
        <v>42410</v>
      </c>
      <c r="G79" s="123"/>
      <c r="H79" s="123"/>
      <c r="I79" s="147">
        <v>1400</v>
      </c>
      <c r="J79" s="123"/>
      <c r="K79" s="147">
        <f t="shared" si="11"/>
        <v>1400</v>
      </c>
      <c r="L79" s="147"/>
      <c r="M79" s="147"/>
      <c r="N79" s="147"/>
      <c r="O79" s="159"/>
      <c r="P79" s="116">
        <f t="shared" si="15"/>
        <v>1400</v>
      </c>
      <c r="Q79" s="114"/>
      <c r="R79" s="133"/>
      <c r="S79" s="114"/>
      <c r="T79" s="114"/>
      <c r="U79" s="114"/>
      <c r="V79" s="114"/>
      <c r="W79" s="120"/>
      <c r="X79" s="120"/>
      <c r="Y79" s="111"/>
      <c r="Z79" s="111"/>
      <c r="AA79" s="116">
        <f t="shared" si="17"/>
        <v>1400</v>
      </c>
      <c r="AB79" s="120">
        <f t="shared" si="16"/>
        <v>0</v>
      </c>
      <c r="AC79" s="116">
        <f t="shared" si="12"/>
        <v>1400</v>
      </c>
      <c r="AD79" s="120">
        <f t="shared" si="13"/>
        <v>140</v>
      </c>
      <c r="AE79" s="100">
        <v>10.23</v>
      </c>
      <c r="AF79" s="102">
        <f t="shared" si="14"/>
        <v>1550.23</v>
      </c>
      <c r="AG79" s="103"/>
      <c r="AH79" s="104"/>
      <c r="AI79" s="103"/>
      <c r="AJ79" s="103"/>
      <c r="AK79" s="104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</row>
    <row r="80" spans="1:53">
      <c r="A80" s="108" t="s">
        <v>383</v>
      </c>
      <c r="B80" s="88" t="s">
        <v>633</v>
      </c>
      <c r="C80" s="88"/>
      <c r="D80" s="88" t="s">
        <v>157</v>
      </c>
      <c r="E80" s="88" t="s">
        <v>177</v>
      </c>
      <c r="F80" s="88"/>
      <c r="G80" s="88"/>
      <c r="H80" s="88"/>
      <c r="I80" s="91">
        <v>739.23</v>
      </c>
      <c r="J80" s="88"/>
      <c r="K80" s="91">
        <f t="shared" si="11"/>
        <v>739.23</v>
      </c>
      <c r="L80" s="91">
        <v>774.3</v>
      </c>
      <c r="M80" s="92"/>
      <c r="N80" s="92"/>
      <c r="O80" s="93"/>
      <c r="P80" s="94">
        <f t="shared" si="15"/>
        <v>1513.53</v>
      </c>
      <c r="Q80" s="137"/>
      <c r="R80" s="133"/>
      <c r="S80" s="133">
        <v>0</v>
      </c>
      <c r="T80" s="133"/>
      <c r="U80" s="133"/>
      <c r="V80" s="133"/>
      <c r="W80" s="138"/>
      <c r="X80" s="138"/>
      <c r="Y80" s="98"/>
      <c r="Z80" s="98">
        <v>0</v>
      </c>
      <c r="AA80" s="94">
        <f t="shared" si="17"/>
        <v>1513.53</v>
      </c>
      <c r="AB80" s="100">
        <f t="shared" si="16"/>
        <v>0</v>
      </c>
      <c r="AC80" s="94">
        <f t="shared" si="12"/>
        <v>1513.53</v>
      </c>
      <c r="AD80" s="101">
        <f t="shared" si="13"/>
        <v>151.35300000000001</v>
      </c>
      <c r="AE80" s="100">
        <v>10.23</v>
      </c>
      <c r="AF80" s="102">
        <f t="shared" si="14"/>
        <v>1675.1130000000001</v>
      </c>
      <c r="AG80" s="103"/>
      <c r="AH80" s="104"/>
      <c r="AI80" s="103"/>
      <c r="AJ80" s="103"/>
      <c r="AK80" s="104"/>
      <c r="AL80" s="103"/>
      <c r="AM80" s="103"/>
    </row>
    <row r="81" spans="1:39">
      <c r="A81" s="108" t="s">
        <v>383</v>
      </c>
      <c r="B81" s="88" t="s">
        <v>472</v>
      </c>
      <c r="C81" s="88"/>
      <c r="D81" s="88" t="s">
        <v>159</v>
      </c>
      <c r="E81" s="88" t="s">
        <v>184</v>
      </c>
      <c r="F81" s="88"/>
      <c r="G81" s="88"/>
      <c r="H81" s="88"/>
      <c r="I81" s="91">
        <v>739.23</v>
      </c>
      <c r="J81" s="88"/>
      <c r="K81" s="91">
        <f t="shared" si="11"/>
        <v>739.23</v>
      </c>
      <c r="L81" s="91">
        <v>1939.52</v>
      </c>
      <c r="M81" s="91"/>
      <c r="N81" s="91"/>
      <c r="O81" s="93"/>
      <c r="P81" s="94">
        <f t="shared" si="15"/>
        <v>2678.75</v>
      </c>
      <c r="Q81" s="137"/>
      <c r="R81" s="133"/>
      <c r="S81" s="133">
        <v>0</v>
      </c>
      <c r="T81" s="133"/>
      <c r="U81" s="133"/>
      <c r="V81" s="133"/>
      <c r="W81" s="138"/>
      <c r="X81" s="138"/>
      <c r="Y81" s="98"/>
      <c r="Z81" s="98">
        <v>0</v>
      </c>
      <c r="AA81" s="94">
        <f t="shared" si="17"/>
        <v>2678.75</v>
      </c>
      <c r="AB81" s="100">
        <f t="shared" si="16"/>
        <v>0</v>
      </c>
      <c r="AC81" s="94">
        <f t="shared" si="12"/>
        <v>2678.75</v>
      </c>
      <c r="AD81" s="101">
        <f t="shared" si="13"/>
        <v>267.875</v>
      </c>
      <c r="AE81" s="100">
        <v>10.23</v>
      </c>
      <c r="AF81" s="102">
        <f t="shared" si="14"/>
        <v>2956.855</v>
      </c>
      <c r="AG81" s="103"/>
      <c r="AH81" s="104"/>
      <c r="AI81" s="103"/>
      <c r="AJ81" s="103"/>
      <c r="AK81" s="104"/>
      <c r="AL81" s="103"/>
      <c r="AM81" s="103"/>
    </row>
    <row r="82" spans="1:39">
      <c r="A82" s="88" t="s">
        <v>377</v>
      </c>
      <c r="B82" s="88" t="s">
        <v>634</v>
      </c>
      <c r="C82" s="88" t="s">
        <v>32</v>
      </c>
      <c r="D82" s="88" t="s">
        <v>163</v>
      </c>
      <c r="E82" s="88" t="s">
        <v>189</v>
      </c>
      <c r="F82" s="88"/>
      <c r="G82" s="89"/>
      <c r="H82" s="89"/>
      <c r="I82" s="91">
        <v>513.33000000000004</v>
      </c>
      <c r="J82" s="89">
        <v>653.33000000000004</v>
      </c>
      <c r="K82" s="91">
        <f t="shared" si="11"/>
        <v>1166.6600000000001</v>
      </c>
      <c r="L82" s="91">
        <v>639.69000000000005</v>
      </c>
      <c r="M82" s="92"/>
      <c r="N82" s="92"/>
      <c r="O82" s="93"/>
      <c r="P82" s="94">
        <f t="shared" si="15"/>
        <v>1806.3500000000001</v>
      </c>
      <c r="Q82" s="137"/>
      <c r="R82" s="133"/>
      <c r="S82" s="133">
        <v>0</v>
      </c>
      <c r="T82" s="133"/>
      <c r="U82" s="133"/>
      <c r="V82" s="133"/>
      <c r="W82" s="138"/>
      <c r="X82" s="138"/>
      <c r="Y82" s="98"/>
      <c r="Z82" s="98">
        <f>488.83+560.34</f>
        <v>1049.17</v>
      </c>
      <c r="AA82" s="94">
        <f t="shared" si="17"/>
        <v>757.18000000000006</v>
      </c>
      <c r="AB82" s="100">
        <f t="shared" si="16"/>
        <v>0</v>
      </c>
      <c r="AC82" s="94">
        <f t="shared" si="12"/>
        <v>757.18000000000006</v>
      </c>
      <c r="AD82" s="101">
        <f t="shared" si="13"/>
        <v>180.63500000000002</v>
      </c>
      <c r="AE82" s="100">
        <v>10.23</v>
      </c>
      <c r="AF82" s="102">
        <f t="shared" si="14"/>
        <v>1997.2150000000001</v>
      </c>
      <c r="AG82" s="103"/>
      <c r="AH82" s="104"/>
      <c r="AI82" s="103"/>
      <c r="AJ82" s="103"/>
      <c r="AK82" s="104"/>
      <c r="AL82" s="103"/>
      <c r="AM82" s="103"/>
    </row>
    <row r="83" spans="1:39">
      <c r="A83" s="88" t="s">
        <v>389</v>
      </c>
      <c r="B83" s="88" t="s">
        <v>635</v>
      </c>
      <c r="C83" s="88" t="s">
        <v>391</v>
      </c>
      <c r="D83" s="88" t="s">
        <v>165</v>
      </c>
      <c r="E83" s="88" t="s">
        <v>392</v>
      </c>
      <c r="F83" s="88"/>
      <c r="G83" s="89"/>
      <c r="H83" s="89"/>
      <c r="I83" s="91">
        <v>1166.67</v>
      </c>
      <c r="J83" s="89"/>
      <c r="K83" s="91">
        <f t="shared" si="11"/>
        <v>1166.67</v>
      </c>
      <c r="L83" s="91">
        <v>2500</v>
      </c>
      <c r="M83" s="92"/>
      <c r="N83" s="92"/>
      <c r="O83" s="93"/>
      <c r="P83" s="94">
        <f t="shared" si="15"/>
        <v>3666.67</v>
      </c>
      <c r="Q83" s="137"/>
      <c r="R83" s="133">
        <v>58.91</v>
      </c>
      <c r="S83" s="133">
        <v>0</v>
      </c>
      <c r="T83" s="133"/>
      <c r="U83" s="133"/>
      <c r="V83" s="133"/>
      <c r="W83" s="138"/>
      <c r="X83" s="138"/>
      <c r="Y83" s="98"/>
      <c r="Z83" s="98">
        <v>0</v>
      </c>
      <c r="AA83" s="94">
        <f t="shared" si="17"/>
        <v>3607.76</v>
      </c>
      <c r="AB83" s="100">
        <f t="shared" si="16"/>
        <v>0</v>
      </c>
      <c r="AC83" s="94">
        <f t="shared" si="12"/>
        <v>3607.76</v>
      </c>
      <c r="AD83" s="101">
        <f t="shared" si="13"/>
        <v>366.66700000000003</v>
      </c>
      <c r="AE83" s="100">
        <v>10.23</v>
      </c>
      <c r="AF83" s="102">
        <f t="shared" si="14"/>
        <v>4043.567</v>
      </c>
      <c r="AG83" s="103"/>
      <c r="AH83" s="104"/>
      <c r="AI83" s="103"/>
      <c r="AJ83" s="103"/>
      <c r="AK83" s="104"/>
      <c r="AL83" s="103"/>
      <c r="AM83" s="103"/>
    </row>
    <row r="84" spans="1:39">
      <c r="A84" s="108" t="s">
        <v>381</v>
      </c>
      <c r="B84" s="88" t="s">
        <v>475</v>
      </c>
      <c r="C84" s="88"/>
      <c r="D84" s="88" t="s">
        <v>167</v>
      </c>
      <c r="E84" s="88" t="s">
        <v>193</v>
      </c>
      <c r="F84" s="88"/>
      <c r="G84" s="89"/>
      <c r="H84" s="89"/>
      <c r="I84" s="91">
        <v>608.16</v>
      </c>
      <c r="J84" s="89"/>
      <c r="K84" s="91">
        <f t="shared" si="11"/>
        <v>608.16</v>
      </c>
      <c r="L84" s="91">
        <v>3752</v>
      </c>
      <c r="M84" s="92"/>
      <c r="N84" s="92"/>
      <c r="O84" s="93"/>
      <c r="P84" s="94">
        <f t="shared" si="15"/>
        <v>4360.16</v>
      </c>
      <c r="Q84" s="137"/>
      <c r="R84" s="133"/>
      <c r="S84" s="193">
        <v>200</v>
      </c>
      <c r="T84" s="193">
        <f>P84*4.9%</f>
        <v>213.64784</v>
      </c>
      <c r="U84" s="193">
        <f>P84*1%</f>
        <v>43.601599999999998</v>
      </c>
      <c r="V84" s="133"/>
      <c r="W84" s="138"/>
      <c r="X84" s="138"/>
      <c r="Y84" s="98"/>
      <c r="Z84" s="98">
        <v>0</v>
      </c>
      <c r="AA84" s="94">
        <f t="shared" si="17"/>
        <v>3902.9105599999998</v>
      </c>
      <c r="AB84" s="100">
        <f t="shared" si="16"/>
        <v>0</v>
      </c>
      <c r="AC84" s="94">
        <f t="shared" si="12"/>
        <v>3902.9105599999998</v>
      </c>
      <c r="AD84" s="101">
        <f t="shared" si="13"/>
        <v>436.01600000000002</v>
      </c>
      <c r="AE84" s="100">
        <v>10.23</v>
      </c>
      <c r="AF84" s="102">
        <f t="shared" si="14"/>
        <v>4806.405999999999</v>
      </c>
      <c r="AG84" s="103"/>
      <c r="AH84" s="104"/>
      <c r="AI84" s="103"/>
      <c r="AJ84" s="103"/>
      <c r="AK84" s="104"/>
      <c r="AL84" s="103"/>
      <c r="AM84" s="103"/>
    </row>
    <row r="85" spans="1:39">
      <c r="A85" s="88" t="s">
        <v>375</v>
      </c>
      <c r="B85" s="88" t="s">
        <v>476</v>
      </c>
      <c r="C85" s="88"/>
      <c r="D85" s="88" t="s">
        <v>169</v>
      </c>
      <c r="E85" s="88" t="s">
        <v>185</v>
      </c>
      <c r="F85" s="88"/>
      <c r="G85" s="88"/>
      <c r="H85" s="88"/>
      <c r="I85" s="91">
        <v>1100</v>
      </c>
      <c r="J85" s="88"/>
      <c r="K85" s="91">
        <f t="shared" si="11"/>
        <v>1100</v>
      </c>
      <c r="L85" s="91"/>
      <c r="M85" s="91"/>
      <c r="N85" s="91"/>
      <c r="O85" s="93"/>
      <c r="P85" s="94">
        <f t="shared" si="15"/>
        <v>1100</v>
      </c>
      <c r="Q85" s="137"/>
      <c r="R85" s="133"/>
      <c r="S85" s="133">
        <v>0</v>
      </c>
      <c r="T85" s="133"/>
      <c r="U85" s="133"/>
      <c r="V85" s="133"/>
      <c r="W85" s="138"/>
      <c r="X85" s="138"/>
      <c r="Y85" s="98"/>
      <c r="Z85" s="98">
        <v>0</v>
      </c>
      <c r="AA85" s="94">
        <f t="shared" si="17"/>
        <v>1100</v>
      </c>
      <c r="AB85" s="100">
        <f t="shared" si="16"/>
        <v>0</v>
      </c>
      <c r="AC85" s="94">
        <f t="shared" si="12"/>
        <v>1100</v>
      </c>
      <c r="AD85" s="101">
        <f t="shared" si="13"/>
        <v>110</v>
      </c>
      <c r="AE85" s="100">
        <v>10.23</v>
      </c>
      <c r="AF85" s="102">
        <f t="shared" si="14"/>
        <v>1220.23</v>
      </c>
      <c r="AG85" s="103"/>
      <c r="AH85" s="104"/>
      <c r="AI85" s="103"/>
      <c r="AJ85" s="103"/>
      <c r="AK85" s="104"/>
      <c r="AL85" s="103"/>
      <c r="AM85" s="103"/>
    </row>
    <row r="86" spans="1:39">
      <c r="A86" s="88" t="s">
        <v>377</v>
      </c>
      <c r="B86" s="88" t="s">
        <v>477</v>
      </c>
      <c r="C86" s="88" t="s">
        <v>31</v>
      </c>
      <c r="D86" s="88" t="s">
        <v>171</v>
      </c>
      <c r="E86" s="88" t="s">
        <v>189</v>
      </c>
      <c r="F86" s="88"/>
      <c r="G86" s="89"/>
      <c r="H86" s="89"/>
      <c r="I86" s="91">
        <v>513.33000000000004</v>
      </c>
      <c r="J86" s="89">
        <v>653.33000000000004</v>
      </c>
      <c r="K86" s="91">
        <f t="shared" si="11"/>
        <v>1166.6600000000001</v>
      </c>
      <c r="L86" s="91"/>
      <c r="M86" s="92"/>
      <c r="N86" s="92"/>
      <c r="O86" s="93"/>
      <c r="P86" s="94">
        <f t="shared" si="15"/>
        <v>1166.6600000000001</v>
      </c>
      <c r="Q86" s="137"/>
      <c r="R86" s="133"/>
      <c r="S86" s="133">
        <v>0</v>
      </c>
      <c r="T86" s="133"/>
      <c r="U86" s="133"/>
      <c r="V86" s="133"/>
      <c r="W86" s="138"/>
      <c r="X86" s="138"/>
      <c r="Y86" s="98"/>
      <c r="Z86" s="98">
        <v>0</v>
      </c>
      <c r="AA86" s="94">
        <f t="shared" si="17"/>
        <v>1166.6600000000001</v>
      </c>
      <c r="AB86" s="100">
        <f t="shared" si="16"/>
        <v>0</v>
      </c>
      <c r="AC86" s="94">
        <f t="shared" si="12"/>
        <v>1166.6600000000001</v>
      </c>
      <c r="AD86" s="101">
        <f t="shared" si="13"/>
        <v>116.66600000000001</v>
      </c>
      <c r="AE86" s="100">
        <v>10.23</v>
      </c>
      <c r="AF86" s="102">
        <f t="shared" si="14"/>
        <v>1293.556</v>
      </c>
      <c r="AG86" s="103"/>
      <c r="AH86" s="104"/>
      <c r="AI86" s="103"/>
      <c r="AJ86" s="103"/>
      <c r="AK86" s="104"/>
      <c r="AL86" s="103"/>
      <c r="AM86" s="103"/>
    </row>
    <row r="87" spans="1:39">
      <c r="A87" s="108" t="s">
        <v>383</v>
      </c>
      <c r="B87" s="88" t="s">
        <v>478</v>
      </c>
      <c r="C87" s="88"/>
      <c r="D87" s="88" t="s">
        <v>173</v>
      </c>
      <c r="E87" s="88" t="s">
        <v>385</v>
      </c>
      <c r="F87" s="88"/>
      <c r="G87" s="88"/>
      <c r="H87" s="88"/>
      <c r="I87" s="91">
        <v>739.23</v>
      </c>
      <c r="J87" s="88"/>
      <c r="K87" s="91">
        <f t="shared" si="11"/>
        <v>739.23</v>
      </c>
      <c r="L87" s="91">
        <v>2851</v>
      </c>
      <c r="M87" s="91"/>
      <c r="N87" s="91"/>
      <c r="O87" s="93"/>
      <c r="P87" s="94">
        <f t="shared" si="15"/>
        <v>3590.23</v>
      </c>
      <c r="Q87" s="137"/>
      <c r="R87" s="133"/>
      <c r="S87" s="193">
        <v>500</v>
      </c>
      <c r="T87" s="133"/>
      <c r="U87" s="133"/>
      <c r="V87" s="133"/>
      <c r="W87" s="138"/>
      <c r="X87" s="138"/>
      <c r="Y87" s="98"/>
      <c r="Z87" s="98">
        <v>0</v>
      </c>
      <c r="AA87" s="94">
        <f t="shared" si="17"/>
        <v>3090.23</v>
      </c>
      <c r="AB87" s="100">
        <f t="shared" si="16"/>
        <v>0</v>
      </c>
      <c r="AC87" s="94">
        <f t="shared" si="12"/>
        <v>3090.23</v>
      </c>
      <c r="AD87" s="101">
        <f t="shared" si="13"/>
        <v>359.02300000000002</v>
      </c>
      <c r="AE87" s="100">
        <v>10.23</v>
      </c>
      <c r="AF87" s="102">
        <f t="shared" si="14"/>
        <v>3959.4830000000002</v>
      </c>
      <c r="AG87" s="103"/>
      <c r="AH87" s="104"/>
      <c r="AI87" s="103"/>
      <c r="AJ87" s="103"/>
      <c r="AK87" s="104"/>
      <c r="AL87" s="103"/>
      <c r="AM87" s="103"/>
    </row>
    <row r="88" spans="1:39">
      <c r="A88" s="88" t="s">
        <v>377</v>
      </c>
      <c r="B88" s="88" t="s">
        <v>480</v>
      </c>
      <c r="C88" s="88" t="s">
        <v>32</v>
      </c>
      <c r="D88" s="129" t="s">
        <v>199</v>
      </c>
      <c r="E88" s="88" t="s">
        <v>189</v>
      </c>
      <c r="F88" s="88"/>
      <c r="G88" s="89"/>
      <c r="H88" s="89"/>
      <c r="I88" s="91">
        <v>513.33000000000004</v>
      </c>
      <c r="J88" s="89">
        <v>653.33000000000004</v>
      </c>
      <c r="K88" s="91">
        <f t="shared" si="11"/>
        <v>1166.6600000000001</v>
      </c>
      <c r="L88" s="91"/>
      <c r="M88" s="91"/>
      <c r="N88" s="91"/>
      <c r="O88" s="93"/>
      <c r="P88" s="94">
        <f t="shared" ref="P88" si="18">SUM(K88:N88)-O88</f>
        <v>1166.6600000000001</v>
      </c>
      <c r="Q88" s="137"/>
      <c r="R88" s="133"/>
      <c r="S88" s="133"/>
      <c r="T88" s="133"/>
      <c r="U88" s="133"/>
      <c r="V88" s="133"/>
      <c r="W88" s="138"/>
      <c r="X88" s="138"/>
      <c r="Y88" s="98"/>
      <c r="Z88" s="98">
        <v>291.5</v>
      </c>
      <c r="AA88" s="94">
        <f t="shared" ref="AA88:AA90" si="19">+P88-SUM(Q88:Z88)</f>
        <v>875.16000000000008</v>
      </c>
      <c r="AB88" s="100">
        <f t="shared" si="16"/>
        <v>0</v>
      </c>
      <c r="AC88" s="94">
        <f t="shared" si="12"/>
        <v>875.16000000000008</v>
      </c>
      <c r="AD88" s="101">
        <f t="shared" si="13"/>
        <v>116.66600000000001</v>
      </c>
      <c r="AE88" s="100">
        <v>10.23</v>
      </c>
      <c r="AF88" s="102">
        <f t="shared" si="14"/>
        <v>1293.556</v>
      </c>
      <c r="AG88" s="103"/>
      <c r="AH88" s="104"/>
      <c r="AI88" s="103"/>
      <c r="AJ88" s="103"/>
      <c r="AK88" s="104"/>
      <c r="AL88" s="103"/>
      <c r="AM88" s="103"/>
    </row>
    <row r="89" spans="1:39">
      <c r="A89" s="88" t="s">
        <v>375</v>
      </c>
      <c r="B89" s="123" t="s">
        <v>481</v>
      </c>
      <c r="C89" s="123"/>
      <c r="D89" s="129"/>
      <c r="E89" s="88" t="s">
        <v>482</v>
      </c>
      <c r="F89" s="88"/>
      <c r="G89" s="89"/>
      <c r="H89" s="89"/>
      <c r="I89" s="197">
        <v>1166.26</v>
      </c>
      <c r="J89" s="89"/>
      <c r="K89" s="91">
        <f t="shared" si="11"/>
        <v>1166.26</v>
      </c>
      <c r="L89" s="91">
        <v>2280.46</v>
      </c>
      <c r="M89" s="92"/>
      <c r="N89" s="92"/>
      <c r="O89" s="93"/>
      <c r="P89" s="94">
        <f t="shared" ref="P89:P90" si="20">SUM(K89:N89)-O89</f>
        <v>3446.7200000000003</v>
      </c>
      <c r="Q89" s="137"/>
      <c r="R89" s="133"/>
      <c r="S89" s="133"/>
      <c r="T89" s="133"/>
      <c r="U89" s="133"/>
      <c r="V89" s="133"/>
      <c r="W89" s="138"/>
      <c r="X89" s="138"/>
      <c r="Y89" s="98"/>
      <c r="Z89" s="98">
        <v>0</v>
      </c>
      <c r="AA89" s="94">
        <f t="shared" si="19"/>
        <v>3446.7200000000003</v>
      </c>
      <c r="AB89" s="100">
        <f t="shared" si="16"/>
        <v>0</v>
      </c>
      <c r="AC89" s="94">
        <f t="shared" si="12"/>
        <v>3446.7200000000003</v>
      </c>
      <c r="AD89" s="101">
        <f t="shared" si="13"/>
        <v>344.67200000000003</v>
      </c>
      <c r="AE89" s="100">
        <v>10.23</v>
      </c>
      <c r="AF89" s="102">
        <f t="shared" si="14"/>
        <v>3801.6220000000003</v>
      </c>
      <c r="AG89" s="103"/>
      <c r="AH89" s="104"/>
      <c r="AI89" s="103"/>
      <c r="AJ89" s="103"/>
      <c r="AK89" s="104"/>
      <c r="AL89" s="103"/>
      <c r="AM89" s="103"/>
    </row>
    <row r="90" spans="1:39">
      <c r="A90" s="88" t="s">
        <v>377</v>
      </c>
      <c r="B90" s="123" t="s">
        <v>483</v>
      </c>
      <c r="C90" s="88" t="s">
        <v>30</v>
      </c>
      <c r="D90" s="129"/>
      <c r="E90" s="88" t="s">
        <v>189</v>
      </c>
      <c r="F90" s="88"/>
      <c r="G90" s="89"/>
      <c r="H90" s="89"/>
      <c r="I90" s="197">
        <v>1166.26</v>
      </c>
      <c r="J90" s="89"/>
      <c r="K90" s="91">
        <f t="shared" si="11"/>
        <v>1166.26</v>
      </c>
      <c r="L90" s="91"/>
      <c r="M90" s="92"/>
      <c r="N90" s="92"/>
      <c r="O90" s="93"/>
      <c r="P90" s="94">
        <f t="shared" si="20"/>
        <v>1166.26</v>
      </c>
      <c r="Q90" s="137"/>
      <c r="R90" s="133">
        <v>58.91</v>
      </c>
      <c r="S90" s="133"/>
      <c r="T90" s="133"/>
      <c r="U90" s="133"/>
      <c r="V90" s="133"/>
      <c r="W90" s="138"/>
      <c r="X90" s="138"/>
      <c r="Y90" s="98"/>
      <c r="Z90" s="98">
        <v>0</v>
      </c>
      <c r="AA90" s="94">
        <f t="shared" si="19"/>
        <v>1107.3499999999999</v>
      </c>
      <c r="AB90" s="100">
        <f t="shared" si="16"/>
        <v>0</v>
      </c>
      <c r="AC90" s="94">
        <f t="shared" si="12"/>
        <v>1107.3499999999999</v>
      </c>
      <c r="AD90" s="101">
        <f t="shared" si="13"/>
        <v>116.626</v>
      </c>
      <c r="AE90" s="100">
        <v>10.23</v>
      </c>
      <c r="AF90" s="102">
        <f t="shared" si="14"/>
        <v>1293.116</v>
      </c>
      <c r="AG90" s="103"/>
      <c r="AH90" s="104"/>
      <c r="AI90" s="103"/>
      <c r="AJ90" s="103"/>
      <c r="AK90" s="104"/>
      <c r="AL90" s="103"/>
      <c r="AM90" s="103"/>
    </row>
    <row r="91" spans="1:39">
      <c r="A91" s="88"/>
      <c r="B91" s="88"/>
      <c r="C91" s="88"/>
      <c r="D91" s="129"/>
      <c r="E91" s="88"/>
      <c r="F91" s="88"/>
      <c r="G91" s="89"/>
      <c r="H91" s="89"/>
      <c r="I91" s="91"/>
      <c r="J91" s="89"/>
      <c r="K91" s="91"/>
      <c r="L91" s="91"/>
      <c r="M91" s="92"/>
      <c r="N91" s="92"/>
      <c r="O91" s="93"/>
      <c r="P91" s="94"/>
      <c r="Q91" s="137"/>
      <c r="R91" s="133"/>
      <c r="S91" s="133"/>
      <c r="T91" s="133"/>
      <c r="U91" s="133"/>
      <c r="V91" s="133"/>
      <c r="W91" s="138"/>
      <c r="X91" s="138"/>
      <c r="Y91" s="133"/>
      <c r="Z91" s="98"/>
      <c r="AA91" s="94"/>
      <c r="AB91" s="100"/>
      <c r="AC91" s="94"/>
      <c r="AD91" s="101"/>
      <c r="AE91" s="100"/>
      <c r="AF91" s="102"/>
      <c r="AG91" s="103"/>
      <c r="AH91" s="104"/>
      <c r="AI91" s="103"/>
      <c r="AJ91" s="103"/>
      <c r="AK91" s="103"/>
      <c r="AL91" s="103"/>
      <c r="AM91" s="103"/>
    </row>
    <row r="92" spans="1:39">
      <c r="A92" s="88"/>
      <c r="B92" s="88"/>
      <c r="C92" s="88"/>
      <c r="D92" s="129"/>
      <c r="E92" s="88"/>
      <c r="F92" s="88"/>
      <c r="G92" s="89"/>
      <c r="H92" s="89"/>
      <c r="I92" s="91"/>
      <c r="J92" s="89"/>
      <c r="K92" s="91"/>
      <c r="L92" s="91"/>
      <c r="M92" s="92"/>
      <c r="N92" s="92"/>
      <c r="O92" s="93"/>
      <c r="P92" s="94"/>
      <c r="Q92" s="137"/>
      <c r="R92" s="133"/>
      <c r="S92" s="133"/>
      <c r="T92" s="133"/>
      <c r="U92" s="133"/>
      <c r="V92" s="133"/>
      <c r="W92" s="138"/>
      <c r="X92" s="138"/>
      <c r="Y92" s="133"/>
      <c r="Z92" s="98"/>
      <c r="AA92" s="94"/>
      <c r="AB92" s="100"/>
      <c r="AC92" s="94"/>
      <c r="AD92" s="101"/>
      <c r="AE92" s="100"/>
      <c r="AF92" s="102"/>
      <c r="AG92" s="103"/>
      <c r="AH92" s="104">
        <f t="shared" ref="AH92:AH94" si="21">+AC92-AG92</f>
        <v>0</v>
      </c>
      <c r="AI92" s="103"/>
      <c r="AJ92" s="103"/>
      <c r="AK92" s="103"/>
      <c r="AL92" s="103"/>
      <c r="AM92" s="103"/>
    </row>
    <row r="93" spans="1:39">
      <c r="A93" s="135"/>
      <c r="B93" s="88"/>
      <c r="C93" s="88"/>
      <c r="D93" s="89"/>
      <c r="E93" s="88"/>
      <c r="F93" s="88"/>
      <c r="G93" s="88"/>
      <c r="H93" s="88"/>
      <c r="I93" s="91"/>
      <c r="J93" s="88"/>
      <c r="K93" s="91"/>
      <c r="L93" s="91"/>
      <c r="M93" s="91"/>
      <c r="N93" s="91"/>
      <c r="O93" s="93"/>
      <c r="P93" s="94"/>
      <c r="Q93" s="137"/>
      <c r="R93" s="133"/>
      <c r="S93" s="133"/>
      <c r="T93" s="133"/>
      <c r="U93" s="133"/>
      <c r="V93" s="133"/>
      <c r="W93" s="138"/>
      <c r="X93" s="138"/>
      <c r="Y93" s="133"/>
      <c r="Z93" s="136"/>
      <c r="AA93" s="94"/>
      <c r="AB93" s="100"/>
      <c r="AC93" s="94"/>
      <c r="AD93" s="101"/>
      <c r="AE93" s="100"/>
      <c r="AF93" s="102"/>
      <c r="AG93" s="103"/>
      <c r="AH93" s="104">
        <f t="shared" si="21"/>
        <v>0</v>
      </c>
      <c r="AI93" s="103"/>
      <c r="AJ93" s="103"/>
      <c r="AK93" s="103"/>
      <c r="AL93" s="103"/>
      <c r="AM93" s="103"/>
    </row>
    <row r="94" spans="1:39">
      <c r="A94" s="135"/>
      <c r="B94" s="88"/>
      <c r="C94" s="88"/>
      <c r="D94" s="89"/>
      <c r="E94" s="88"/>
      <c r="F94" s="88"/>
      <c r="G94" s="88"/>
      <c r="H94" s="88"/>
      <c r="I94" s="91"/>
      <c r="J94" s="88"/>
      <c r="K94" s="91"/>
      <c r="L94" s="91"/>
      <c r="M94" s="91"/>
      <c r="N94" s="91"/>
      <c r="O94" s="93"/>
      <c r="P94" s="94"/>
      <c r="Q94" s="137"/>
      <c r="R94" s="133"/>
      <c r="S94" s="133"/>
      <c r="T94" s="133"/>
      <c r="U94" s="133"/>
      <c r="V94" s="133"/>
      <c r="W94" s="138"/>
      <c r="X94" s="138"/>
      <c r="Y94" s="138"/>
      <c r="Z94" s="138"/>
      <c r="AA94" s="94"/>
      <c r="AB94" s="100"/>
      <c r="AC94" s="94"/>
      <c r="AD94" s="101"/>
      <c r="AE94" s="100"/>
      <c r="AF94" s="102"/>
      <c r="AG94" s="103"/>
      <c r="AH94" s="104">
        <f t="shared" si="21"/>
        <v>0</v>
      </c>
      <c r="AI94" s="103"/>
      <c r="AJ94" s="103"/>
      <c r="AK94" s="103"/>
      <c r="AL94" s="103"/>
      <c r="AM94" s="103"/>
    </row>
    <row r="95" spans="1:39" s="103" customFormat="1">
      <c r="A95" s="135"/>
      <c r="B95" s="139"/>
      <c r="C95" s="139"/>
      <c r="D95" s="139"/>
      <c r="E95" s="139"/>
      <c r="F95" s="139"/>
      <c r="G95" s="139"/>
      <c r="H95" s="139"/>
      <c r="I95" s="140"/>
      <c r="J95" s="139"/>
      <c r="K95" s="140"/>
      <c r="L95" s="140"/>
      <c r="M95" s="140"/>
      <c r="N95" s="140"/>
      <c r="O95" s="140"/>
      <c r="P95" s="141"/>
      <c r="Q95" s="140"/>
      <c r="R95" s="140"/>
      <c r="S95" s="140"/>
      <c r="T95" s="140"/>
      <c r="U95" s="140"/>
      <c r="V95" s="140"/>
      <c r="W95" s="100"/>
      <c r="X95" s="100"/>
      <c r="Y95" s="100"/>
      <c r="Z95" s="100"/>
      <c r="AA95" s="142"/>
      <c r="AB95" s="100"/>
      <c r="AC95" s="141"/>
      <c r="AD95" s="100"/>
      <c r="AE95" s="100"/>
      <c r="AF95" s="141"/>
    </row>
    <row r="96" spans="1:39" ht="15.75" thickBot="1">
      <c r="B96" s="143" t="s">
        <v>484</v>
      </c>
      <c r="C96" s="143"/>
      <c r="D96" s="143"/>
      <c r="E96" s="143"/>
      <c r="F96" s="143"/>
      <c r="G96" s="143"/>
      <c r="H96" s="143"/>
      <c r="I96" s="199"/>
      <c r="J96" s="143"/>
      <c r="K96" s="144">
        <f t="shared" ref="K96:Q96" si="22">SUM(K7:K95)</f>
        <v>73736.400000000081</v>
      </c>
      <c r="L96" s="144">
        <f t="shared" si="22"/>
        <v>260886.61000000002</v>
      </c>
      <c r="M96" s="144">
        <f t="shared" si="22"/>
        <v>0</v>
      </c>
      <c r="N96" s="144">
        <f t="shared" si="22"/>
        <v>0</v>
      </c>
      <c r="O96" s="144">
        <f t="shared" si="22"/>
        <v>0</v>
      </c>
      <c r="P96" s="144">
        <f t="shared" si="22"/>
        <v>334623.00999999983</v>
      </c>
      <c r="Q96" s="144">
        <f t="shared" si="22"/>
        <v>0</v>
      </c>
      <c r="R96" s="144"/>
      <c r="S96" s="145">
        <f t="shared" ref="S96:AK96" si="23">SUM(S7:S95)</f>
        <v>4828.2170000000006</v>
      </c>
      <c r="T96" s="145">
        <f t="shared" si="23"/>
        <v>1976.21606</v>
      </c>
      <c r="U96" s="145">
        <f t="shared" si="23"/>
        <v>406.86950000000002</v>
      </c>
      <c r="V96" s="145">
        <f t="shared" si="23"/>
        <v>879.38</v>
      </c>
      <c r="W96" s="144">
        <f t="shared" si="23"/>
        <v>0</v>
      </c>
      <c r="X96" s="144">
        <f t="shared" si="23"/>
        <v>0</v>
      </c>
      <c r="Y96" s="144">
        <f t="shared" si="23"/>
        <v>406.94</v>
      </c>
      <c r="Z96" s="144">
        <f t="shared" si="23"/>
        <v>7262.8375000000005</v>
      </c>
      <c r="AA96" s="144">
        <f t="shared" si="23"/>
        <v>318176.25993999984</v>
      </c>
      <c r="AB96" s="144">
        <f t="shared" si="23"/>
        <v>20983.65</v>
      </c>
      <c r="AC96" s="144">
        <f t="shared" si="23"/>
        <v>297192.60993999999</v>
      </c>
      <c r="AD96" s="144">
        <f t="shared" si="23"/>
        <v>12478.650999999994</v>
      </c>
      <c r="AE96" s="144">
        <f t="shared" si="23"/>
        <v>859.32000000000096</v>
      </c>
      <c r="AF96" s="144">
        <f t="shared" si="23"/>
        <v>347960.98099999991</v>
      </c>
      <c r="AG96" s="144">
        <f t="shared" si="23"/>
        <v>0</v>
      </c>
      <c r="AH96" s="144">
        <f t="shared" si="23"/>
        <v>0</v>
      </c>
      <c r="AI96" s="144">
        <f t="shared" si="23"/>
        <v>0</v>
      </c>
      <c r="AJ96" s="144">
        <f t="shared" si="23"/>
        <v>0</v>
      </c>
      <c r="AK96" s="144">
        <f t="shared" si="23"/>
        <v>0</v>
      </c>
    </row>
    <row r="97" spans="1:37" ht="15.75" thickTop="1">
      <c r="AF97" s="81">
        <f>AF96*0.16</f>
        <v>55673.756959999984</v>
      </c>
      <c r="AG97" s="81"/>
      <c r="AH97" s="81"/>
      <c r="AI97" s="81"/>
      <c r="AJ97" s="81"/>
      <c r="AK97" s="81"/>
    </row>
    <row r="98" spans="1:37">
      <c r="A98" s="418" t="s">
        <v>485</v>
      </c>
      <c r="B98" s="418"/>
      <c r="C98" s="146"/>
      <c r="AF98" s="81">
        <f>+AF96+AF97</f>
        <v>403634.73795999988</v>
      </c>
      <c r="AG98" s="81"/>
      <c r="AH98" s="81"/>
      <c r="AI98" s="81"/>
      <c r="AJ98" s="81"/>
      <c r="AK98" s="81"/>
    </row>
    <row r="99" spans="1:37">
      <c r="A99" s="135"/>
      <c r="B99" s="88"/>
      <c r="C99" s="88"/>
      <c r="D99" s="89"/>
      <c r="E99" s="88"/>
      <c r="F99" s="88"/>
      <c r="G99" s="88"/>
      <c r="H99" s="88"/>
      <c r="I99" s="91"/>
      <c r="J99" s="88"/>
      <c r="K99" s="91"/>
      <c r="L99" s="91"/>
      <c r="M99" s="91"/>
      <c r="N99" s="91"/>
      <c r="O99" s="91"/>
      <c r="P99" s="94">
        <f>SUM(K99:O99)</f>
        <v>0</v>
      </c>
      <c r="Q99" s="137"/>
      <c r="R99" s="137"/>
      <c r="S99" s="147"/>
      <c r="T99" s="147"/>
      <c r="U99" s="147"/>
      <c r="V99" s="147"/>
      <c r="W99" s="148"/>
      <c r="X99" s="148"/>
      <c r="Y99" s="148"/>
      <c r="Z99" s="148"/>
      <c r="AA99" s="94">
        <f>+P99-Q99</f>
        <v>0</v>
      </c>
      <c r="AB99" s="100">
        <f>+AA99*0.05</f>
        <v>0</v>
      </c>
      <c r="AC99" s="94">
        <f>+AA99-W99-Z99</f>
        <v>0</v>
      </c>
      <c r="AD99" s="101">
        <f>IF(AA99&lt;3000,AA99*0.1,0)</f>
        <v>0</v>
      </c>
      <c r="AE99" s="100">
        <v>0</v>
      </c>
      <c r="AF99" s="94">
        <f>+AA99+AD99+AE99</f>
        <v>0</v>
      </c>
      <c r="AG99" s="94">
        <f t="shared" ref="AG99:AK100" si="24">+AB99+AE99+AF99</f>
        <v>0</v>
      </c>
      <c r="AH99" s="94">
        <f t="shared" si="24"/>
        <v>0</v>
      </c>
      <c r="AI99" s="94">
        <f t="shared" si="24"/>
        <v>0</v>
      </c>
      <c r="AJ99" s="94">
        <f t="shared" si="24"/>
        <v>0</v>
      </c>
      <c r="AK99" s="94">
        <f t="shared" si="24"/>
        <v>0</v>
      </c>
    </row>
    <row r="100" spans="1:37">
      <c r="A100" s="135"/>
      <c r="B100" s="89"/>
      <c r="C100" s="89"/>
      <c r="D100" s="89"/>
      <c r="E100" s="89"/>
      <c r="F100" s="89"/>
      <c r="G100" s="89"/>
      <c r="H100" s="89"/>
      <c r="I100" s="92"/>
      <c r="J100" s="89"/>
      <c r="K100" s="92"/>
      <c r="L100" s="92"/>
      <c r="M100" s="92"/>
      <c r="N100" s="92"/>
      <c r="O100" s="92"/>
      <c r="P100" s="94">
        <f>SUM(K100:O100)</f>
        <v>0</v>
      </c>
      <c r="Q100" s="137"/>
      <c r="R100" s="137"/>
      <c r="S100" s="147"/>
      <c r="T100" s="147"/>
      <c r="U100" s="147"/>
      <c r="V100" s="147"/>
      <c r="W100" s="148"/>
      <c r="X100" s="148"/>
      <c r="Y100" s="148"/>
      <c r="Z100" s="148"/>
      <c r="AA100" s="94">
        <f>+P100-Q100</f>
        <v>0</v>
      </c>
      <c r="AB100" s="100">
        <f>+AA100*0.05</f>
        <v>0</v>
      </c>
      <c r="AC100" s="94">
        <f>+AA100-W100-Z100</f>
        <v>0</v>
      </c>
      <c r="AD100" s="101">
        <f>IF(AA100&lt;3000,AA100*0.1,0)</f>
        <v>0</v>
      </c>
      <c r="AE100" s="100">
        <v>0</v>
      </c>
      <c r="AF100" s="94">
        <f>+AA100+AD100+AE100</f>
        <v>0</v>
      </c>
      <c r="AG100" s="94">
        <f t="shared" si="24"/>
        <v>0</v>
      </c>
      <c r="AH100" s="94">
        <f t="shared" si="24"/>
        <v>0</v>
      </c>
      <c r="AI100" s="94">
        <f t="shared" si="24"/>
        <v>0</v>
      </c>
      <c r="AJ100" s="94">
        <f t="shared" si="24"/>
        <v>0</v>
      </c>
      <c r="AK100" s="94">
        <f t="shared" si="24"/>
        <v>0</v>
      </c>
    </row>
    <row r="101" spans="1:37">
      <c r="AF101" s="81">
        <f>SUM(AF99:AF100)</f>
        <v>0</v>
      </c>
    </row>
    <row r="102" spans="1:37">
      <c r="B102" s="149" t="s">
        <v>486</v>
      </c>
      <c r="C102" s="149"/>
      <c r="D102" s="149"/>
      <c r="AF102" s="81">
        <f>+AF101*0.16</f>
        <v>0</v>
      </c>
    </row>
    <row r="103" spans="1:37">
      <c r="B103" s="149"/>
      <c r="C103" s="149"/>
      <c r="D103" s="149"/>
      <c r="AF103" s="81">
        <f>+AF101+AF102</f>
        <v>0</v>
      </c>
    </row>
    <row r="104" spans="1:37">
      <c r="B104" s="149"/>
      <c r="C104" s="149"/>
      <c r="D104" s="149"/>
    </row>
    <row r="105" spans="1:37">
      <c r="B105" s="149" t="s">
        <v>487</v>
      </c>
      <c r="C105" s="149"/>
      <c r="D105" s="149"/>
      <c r="AF105" s="81">
        <f>+AF98+AF103</f>
        <v>403634.73795999988</v>
      </c>
    </row>
    <row r="112" spans="1:37">
      <c r="A112" s="107" t="s">
        <v>488</v>
      </c>
      <c r="B112" s="80"/>
      <c r="C112" s="80"/>
    </row>
    <row r="113" spans="1:3">
      <c r="A113" s="107" t="s">
        <v>489</v>
      </c>
      <c r="B113" s="80"/>
      <c r="C113" s="80"/>
    </row>
    <row r="114" spans="1:3">
      <c r="A114" s="107" t="s">
        <v>490</v>
      </c>
      <c r="B114" s="80"/>
      <c r="C114" s="80"/>
    </row>
    <row r="115" spans="1:3">
      <c r="A115" s="107" t="s">
        <v>491</v>
      </c>
      <c r="B115" s="80"/>
      <c r="C115" s="80"/>
    </row>
    <row r="116" spans="1:3">
      <c r="A116" s="107" t="s">
        <v>492</v>
      </c>
      <c r="B116" s="80"/>
      <c r="C116" s="80"/>
    </row>
    <row r="117" spans="1:3">
      <c r="A117" s="107" t="s">
        <v>493</v>
      </c>
      <c r="B117" s="80"/>
      <c r="C117" s="80"/>
    </row>
    <row r="121" spans="1:3">
      <c r="B121" s="88"/>
      <c r="C121" s="150"/>
    </row>
    <row r="122" spans="1:3">
      <c r="B122" s="88"/>
      <c r="C122" s="150"/>
    </row>
    <row r="123" spans="1:3">
      <c r="B123" s="88"/>
      <c r="C123" s="150"/>
    </row>
  </sheetData>
  <mergeCells count="38"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V5:V6"/>
    <mergeCell ref="W5:W6"/>
    <mergeCell ref="X5:X6"/>
    <mergeCell ref="Y5:Y6"/>
    <mergeCell ref="M5:M6"/>
    <mergeCell ref="N5:N6"/>
    <mergeCell ref="O5:O6"/>
    <mergeCell ref="P5:P6"/>
    <mergeCell ref="Q5:Q6"/>
    <mergeCell ref="S5:S6"/>
    <mergeCell ref="AM5:AM6"/>
    <mergeCell ref="A98:B98"/>
    <mergeCell ref="AF5:AF6"/>
    <mergeCell ref="AG5:AG6"/>
    <mergeCell ref="AH5:AH6"/>
    <mergeCell ref="AI5:AJ5"/>
    <mergeCell ref="AK5:AK6"/>
    <mergeCell ref="AL5:AL6"/>
    <mergeCell ref="Z5:Z6"/>
    <mergeCell ref="AA5:AA6"/>
    <mergeCell ref="AB5:AB6"/>
    <mergeCell ref="AC5:AC6"/>
    <mergeCell ref="AD5:AD6"/>
    <mergeCell ref="AE5:AE6"/>
    <mergeCell ref="T5:T6"/>
    <mergeCell ref="U5:U6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H21" sqref="H21"/>
    </sheetView>
  </sheetViews>
  <sheetFormatPr baseColWidth="10" defaultRowHeight="15"/>
  <cols>
    <col min="1" max="1" width="11.42578125" style="170"/>
    <col min="2" max="2" width="11.42578125" style="215"/>
    <col min="3" max="3" width="10.85546875" style="170" customWidth="1"/>
    <col min="4" max="5" width="11.42578125" style="170"/>
    <col min="10" max="10" width="24.5703125" bestFit="1" customWidth="1"/>
  </cols>
  <sheetData>
    <row r="1" spans="1:11">
      <c r="C1" s="204" t="s">
        <v>712</v>
      </c>
    </row>
    <row r="2" spans="1:11">
      <c r="C2" s="204" t="str">
        <f>+SINDICATO!B3</f>
        <v>Lista de Raya (forma tabular)</v>
      </c>
    </row>
    <row r="3" spans="1:11">
      <c r="C3" s="204" t="str">
        <f>+SINDICATO!B4</f>
        <v>Periodo 10 al 10 Semanal del 02/03/2016 al 08/03/2016</v>
      </c>
    </row>
    <row r="4" spans="1:11">
      <c r="C4" s="215"/>
    </row>
    <row r="6" spans="1:11">
      <c r="B6" s="209" t="s">
        <v>669</v>
      </c>
      <c r="C6" s="59">
        <v>167.44000000000005</v>
      </c>
      <c r="D6" s="21" t="s">
        <v>51</v>
      </c>
    </row>
    <row r="7" spans="1:11">
      <c r="B7" s="176">
        <v>1415043352</v>
      </c>
      <c r="C7" s="59">
        <v>168.05999999999995</v>
      </c>
      <c r="D7" s="21" t="s">
        <v>71</v>
      </c>
      <c r="J7" s="35" t="s">
        <v>120</v>
      </c>
      <c r="K7" s="59">
        <v>381.44000000000005</v>
      </c>
    </row>
    <row r="8" spans="1:11">
      <c r="A8" s="171" t="s">
        <v>494</v>
      </c>
      <c r="B8" s="179">
        <v>2848478236</v>
      </c>
      <c r="C8" s="173">
        <v>1060.4180000000006</v>
      </c>
      <c r="D8" s="170" t="s">
        <v>37</v>
      </c>
      <c r="F8" s="190"/>
      <c r="J8" s="21" t="s">
        <v>126</v>
      </c>
      <c r="K8" s="59">
        <v>473.154</v>
      </c>
    </row>
    <row r="9" spans="1:11">
      <c r="A9" s="171" t="s">
        <v>495</v>
      </c>
      <c r="B9" s="176">
        <v>2958467625</v>
      </c>
      <c r="C9" s="217">
        <v>681.44969000000037</v>
      </c>
      <c r="D9" s="170" t="s">
        <v>39</v>
      </c>
      <c r="F9" s="190"/>
      <c r="J9" s="21" t="s">
        <v>85</v>
      </c>
      <c r="K9" s="59">
        <v>538.06899999999996</v>
      </c>
    </row>
    <row r="10" spans="1:11">
      <c r="A10" s="171" t="s">
        <v>496</v>
      </c>
      <c r="B10" s="176">
        <v>2915275539</v>
      </c>
      <c r="C10" s="217">
        <v>715.92599999999948</v>
      </c>
      <c r="D10" s="170" t="s">
        <v>45</v>
      </c>
      <c r="F10" s="190"/>
      <c r="J10" s="21" t="s">
        <v>73</v>
      </c>
      <c r="K10" s="59">
        <v>543.40000000000055</v>
      </c>
    </row>
    <row r="11" spans="1:11">
      <c r="A11" s="171" t="s">
        <v>497</v>
      </c>
      <c r="B11" s="183">
        <v>2648514364</v>
      </c>
      <c r="C11" s="217">
        <v>791.22399999999925</v>
      </c>
      <c r="D11" s="170" t="s">
        <v>55</v>
      </c>
      <c r="F11" s="190"/>
      <c r="J11" s="21" t="s">
        <v>112</v>
      </c>
      <c r="K11" s="59">
        <v>581.9989999999998</v>
      </c>
    </row>
    <row r="12" spans="1:11">
      <c r="A12" s="171" t="s">
        <v>498</v>
      </c>
      <c r="B12" s="179">
        <v>2759588027</v>
      </c>
      <c r="C12" s="217">
        <v>543.39399999999932</v>
      </c>
      <c r="D12" s="170" t="s">
        <v>73</v>
      </c>
      <c r="F12" s="190"/>
      <c r="J12" s="21" t="s">
        <v>176</v>
      </c>
      <c r="K12" s="59">
        <v>582.09799999999996</v>
      </c>
    </row>
    <row r="13" spans="1:11">
      <c r="A13" s="171" t="s">
        <v>499</v>
      </c>
      <c r="B13" s="179">
        <v>2874790073</v>
      </c>
      <c r="C13" s="217">
        <v>929.0149999999976</v>
      </c>
      <c r="D13" s="170" t="s">
        <v>75</v>
      </c>
      <c r="F13" s="190"/>
      <c r="J13" s="21" t="s">
        <v>110</v>
      </c>
      <c r="K13" s="59">
        <v>596.98700000000008</v>
      </c>
    </row>
    <row r="14" spans="1:11">
      <c r="A14" s="171" t="s">
        <v>80</v>
      </c>
      <c r="B14" s="176">
        <v>2866078516</v>
      </c>
      <c r="C14" s="217">
        <v>897.51700000000073</v>
      </c>
      <c r="D14" s="170" t="s">
        <v>81</v>
      </c>
      <c r="F14" s="190"/>
      <c r="J14" s="21" t="s">
        <v>89</v>
      </c>
      <c r="K14" s="59">
        <v>627.75799999999981</v>
      </c>
    </row>
    <row r="15" spans="1:11">
      <c r="A15" s="171" t="s">
        <v>82</v>
      </c>
      <c r="B15" s="179">
        <v>1457598270</v>
      </c>
      <c r="C15" s="217">
        <v>1173.5110000000004</v>
      </c>
      <c r="D15" s="170" t="s">
        <v>83</v>
      </c>
      <c r="F15" s="190"/>
      <c r="J15" s="21" t="s">
        <v>39</v>
      </c>
      <c r="K15" s="59">
        <v>681.40899999999965</v>
      </c>
    </row>
    <row r="16" spans="1:11">
      <c r="A16" s="171" t="s">
        <v>503</v>
      </c>
      <c r="B16" s="179">
        <v>2970888893</v>
      </c>
      <c r="C16" s="217">
        <v>627.82200000000012</v>
      </c>
      <c r="D16" s="170" t="s">
        <v>89</v>
      </c>
      <c r="F16" s="190"/>
      <c r="J16" s="21" t="s">
        <v>45</v>
      </c>
      <c r="K16" s="59">
        <v>715.76399999999921</v>
      </c>
    </row>
    <row r="17" spans="1:11">
      <c r="A17" s="171" t="s">
        <v>506</v>
      </c>
      <c r="B17" s="179">
        <v>2650346748</v>
      </c>
      <c r="C17" s="217">
        <v>596.88299999999981</v>
      </c>
      <c r="D17" s="170" t="s">
        <v>110</v>
      </c>
      <c r="F17" s="190"/>
      <c r="J17" s="21" t="s">
        <v>55</v>
      </c>
      <c r="K17" s="59">
        <v>791.23599999999988</v>
      </c>
    </row>
    <row r="18" spans="1:11">
      <c r="A18" s="171" t="s">
        <v>111</v>
      </c>
      <c r="B18" s="176">
        <v>2918873607</v>
      </c>
      <c r="C18" s="217">
        <v>581.99100000000044</v>
      </c>
      <c r="D18" s="170" t="s">
        <v>112</v>
      </c>
      <c r="F18" s="190"/>
      <c r="J18" s="21" t="s">
        <v>81</v>
      </c>
      <c r="K18" s="59">
        <v>897.44300000000021</v>
      </c>
    </row>
    <row r="19" spans="1:11">
      <c r="A19" s="171" t="s">
        <v>507</v>
      </c>
      <c r="B19" s="179">
        <v>2695890268</v>
      </c>
      <c r="C19" s="217">
        <v>381.33999999999969</v>
      </c>
      <c r="D19" s="170" t="s">
        <v>120</v>
      </c>
      <c r="F19" s="190"/>
      <c r="J19" s="21" t="s">
        <v>336</v>
      </c>
      <c r="K19" s="59">
        <v>929.05500000000029</v>
      </c>
    </row>
    <row r="20" spans="1:11">
      <c r="A20" s="171" t="s">
        <v>508</v>
      </c>
      <c r="B20" s="176">
        <v>2898414041</v>
      </c>
      <c r="C20" s="217">
        <v>472.98600000000033</v>
      </c>
      <c r="D20" s="170" t="s">
        <v>126</v>
      </c>
      <c r="F20" s="190"/>
      <c r="J20" s="21" t="s">
        <v>37</v>
      </c>
      <c r="K20" s="59">
        <v>1060.402</v>
      </c>
    </row>
    <row r="21" spans="1:11">
      <c r="A21" s="171" t="s">
        <v>513</v>
      </c>
      <c r="B21" s="179">
        <v>2950612421</v>
      </c>
      <c r="C21" s="217">
        <v>1367.1080000000002</v>
      </c>
      <c r="D21" s="170" t="s">
        <v>164</v>
      </c>
      <c r="F21" s="190"/>
      <c r="J21" s="21" t="s">
        <v>83</v>
      </c>
      <c r="K21" s="59">
        <v>1173.4789999999994</v>
      </c>
    </row>
    <row r="22" spans="1:11">
      <c r="A22" s="171" t="s">
        <v>514</v>
      </c>
      <c r="B22" s="176">
        <v>2851650165</v>
      </c>
      <c r="C22" s="217">
        <v>582.08199999999988</v>
      </c>
      <c r="D22" s="170" t="s">
        <v>176</v>
      </c>
      <c r="F22" s="190"/>
      <c r="J22" s="21" t="s">
        <v>164</v>
      </c>
      <c r="K22" s="59">
        <v>1367.0820000000003</v>
      </c>
    </row>
    <row r="23" spans="1:11" ht="15.75" thickBot="1">
      <c r="C23" s="218">
        <f>SUM(C6:C22)</f>
        <v>11738.166689999998</v>
      </c>
      <c r="E23" s="58"/>
      <c r="F23" s="190"/>
    </row>
    <row r="24" spans="1:11" ht="15.75" thickTop="1"/>
    <row r="25" spans="1:11">
      <c r="A25" s="171" t="s">
        <v>502</v>
      </c>
      <c r="B25" s="216"/>
      <c r="C25" s="170" t="s">
        <v>85</v>
      </c>
      <c r="D25" s="217">
        <v>538.02099999999973</v>
      </c>
      <c r="E25" s="215" t="s">
        <v>710</v>
      </c>
    </row>
    <row r="26" spans="1:11" ht="15.75" thickBot="1">
      <c r="D26" s="219">
        <f>SUM(D25)</f>
        <v>538.02099999999973</v>
      </c>
    </row>
    <row r="27" spans="1:11" ht="15.75" thickTop="1"/>
    <row r="28" spans="1:11">
      <c r="C28" s="215" t="s">
        <v>709</v>
      </c>
      <c r="D28" s="169">
        <f>+C23</f>
        <v>11738.166689999998</v>
      </c>
    </row>
    <row r="29" spans="1:11">
      <c r="C29" s="215" t="s">
        <v>710</v>
      </c>
      <c r="D29" s="217">
        <f>+D26</f>
        <v>538.02099999999973</v>
      </c>
      <c r="E29" s="169"/>
    </row>
    <row r="30" spans="1:11" ht="15.75" thickBot="1">
      <c r="D30" s="219">
        <f>+D28+D29</f>
        <v>12276.187689999999</v>
      </c>
    </row>
    <row r="31" spans="1:11" ht="15.75" thickTop="1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FACTURACIÓN</vt:lpstr>
      <vt:lpstr>C&amp;A</vt:lpstr>
      <vt:lpstr>SINDICATO</vt:lpstr>
      <vt:lpstr>BANCO C&amp;A (2)</vt:lpstr>
      <vt:lpstr>BANCO  SINDICATO (2)</vt:lpstr>
      <vt:lpstr>INFONAVIT</vt:lpstr>
      <vt:lpstr>Hoja2</vt:lpstr>
      <vt:lpstr>Hoja4</vt:lpstr>
      <vt:lpstr>Hoja3</vt:lpstr>
      <vt:lpstr>Hoja1</vt:lpstr>
      <vt:lpstr>Hoja5</vt:lpstr>
      <vt:lpstr>Hoja6</vt:lpstr>
      <vt:lpstr>sem 10_11</vt:lpstr>
      <vt:lpstr>Hoja8</vt:lpstr>
      <vt:lpstr>POLIZA</vt:lpstr>
      <vt:lpstr>'C&amp;A'!Área_de_impresión</vt:lpstr>
      <vt:lpstr>Hoja3!Área_de_impresión</vt:lpstr>
      <vt:lpstr>'sem 10_11'!Área_de_impresión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usuario</cp:lastModifiedBy>
  <cp:lastPrinted>2016-03-11T19:32:13Z</cp:lastPrinted>
  <dcterms:created xsi:type="dcterms:W3CDTF">2016-01-16T18:25:25Z</dcterms:created>
  <dcterms:modified xsi:type="dcterms:W3CDTF">2016-05-03T22:52:13Z</dcterms:modified>
</cp:coreProperties>
</file>