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1.107.8.54\g\Grupo LMJS\QUERETARO MOTORS\NOMINA\NOMINA 2016\CONSULTORES\SEMANA\"/>
    </mc:Choice>
  </mc:AlternateContent>
  <bookViews>
    <workbookView xWindow="0" yWindow="0" windowWidth="28800" windowHeight="11445" tabRatio="685" activeTab="6"/>
  </bookViews>
  <sheets>
    <sheet name="FACTURACIÓN" sheetId="1" r:id="rId1"/>
    <sheet name="C&amp;A" sheetId="4" r:id="rId2"/>
    <sheet name="SINDICATO" sheetId="2" r:id="rId3"/>
    <sheet name="BANCO C&amp;A (2)" sheetId="11" r:id="rId4"/>
    <sheet name="BANCO  SINDICATO (2)" sheetId="12" r:id="rId5"/>
    <sheet name="INFONAVIT" sheetId="5" r:id="rId6"/>
    <sheet name="Hoja6" sheetId="14" r:id="rId7"/>
    <sheet name="Hoja2" sheetId="7" state="hidden" r:id="rId8"/>
    <sheet name="Hoja4" sheetId="10" state="hidden" r:id="rId9"/>
    <sheet name="Hoja3" sheetId="9" state="hidden" r:id="rId10"/>
    <sheet name="Hoja1" sheetId="8" state="hidden" r:id="rId11"/>
    <sheet name="Hoja5" sheetId="13" state="hidden" r:id="rId12"/>
  </sheets>
  <definedNames>
    <definedName name="_xlnm._FilterDatabase" localSheetId="0" hidden="1">FACTURACIÓN!$A$8:$BS$91</definedName>
    <definedName name="_xlnm.Print_Area" localSheetId="1">'C&amp;A'!$A$1:$L$95</definedName>
    <definedName name="_xlnm.Print_Area" localSheetId="9">Hoja3!$A$1:$F$31</definedName>
    <definedName name="_xlnm.Print_Area" localSheetId="6">Hoja6!$A$1:$H$26</definedName>
    <definedName name="_xlnm.Print_Area" localSheetId="2">SINDICATO!$A$1:$P$95</definedName>
  </definedNames>
  <calcPr calcId="152511"/>
</workbook>
</file>

<file path=xl/calcChain.xml><?xml version="1.0" encoding="utf-8"?>
<calcChain xmlns="http://schemas.openxmlformats.org/spreadsheetml/2006/main">
  <c r="B16" i="14" l="1"/>
  <c r="B17" i="14" s="1"/>
  <c r="B18" i="14" s="1"/>
  <c r="Q68" i="2" l="1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10" i="2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D94" i="1"/>
  <c r="F94" i="1"/>
  <c r="Q94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S50" i="1"/>
  <c r="CS51" i="1"/>
  <c r="CS52" i="1"/>
  <c r="CS53" i="1"/>
  <c r="CS54" i="1"/>
  <c r="CS55" i="1"/>
  <c r="CS56" i="1"/>
  <c r="CS97" i="1"/>
  <c r="CS57" i="1"/>
  <c r="CS58" i="1"/>
  <c r="CS59" i="1"/>
  <c r="CS60" i="1"/>
  <c r="CS61" i="1"/>
  <c r="CS62" i="1"/>
  <c r="CS63" i="1"/>
  <c r="CS64" i="1"/>
  <c r="CS65" i="1"/>
  <c r="CS66" i="1"/>
  <c r="CS67" i="1"/>
  <c r="CS68" i="1"/>
  <c r="CS69" i="1"/>
  <c r="CS70" i="1"/>
  <c r="CS71" i="1"/>
  <c r="CS72" i="1"/>
  <c r="CS73" i="1"/>
  <c r="CS74" i="1"/>
  <c r="CS75" i="1"/>
  <c r="CS76" i="1"/>
  <c r="CS77" i="1"/>
  <c r="CS78" i="1"/>
  <c r="CS79" i="1"/>
  <c r="CS80" i="1"/>
  <c r="CS81" i="1"/>
  <c r="CS82" i="1"/>
  <c r="CS83" i="1"/>
  <c r="CS84" i="1"/>
  <c r="CS85" i="1"/>
  <c r="CS87" i="1"/>
  <c r="CS88" i="1"/>
  <c r="CS89" i="1"/>
  <c r="CS90" i="1"/>
  <c r="CS91" i="1"/>
  <c r="CS9" i="1"/>
  <c r="BB10" i="1"/>
  <c r="BB12" i="1"/>
  <c r="BB13" i="1"/>
  <c r="BB14" i="1"/>
  <c r="BB15" i="1"/>
  <c r="BB16" i="1"/>
  <c r="BB18" i="1"/>
  <c r="BB19" i="1"/>
  <c r="BB20" i="1"/>
  <c r="BB21" i="1"/>
  <c r="BB23" i="1"/>
  <c r="BB25" i="1"/>
  <c r="BB26" i="1"/>
  <c r="BB27" i="1"/>
  <c r="BB28" i="1"/>
  <c r="BB29" i="1"/>
  <c r="BB30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9" i="1"/>
  <c r="BB50" i="1"/>
  <c r="BB51" i="1"/>
  <c r="BB52" i="1"/>
  <c r="BB53" i="1"/>
  <c r="BB54" i="1"/>
  <c r="BB55" i="1"/>
  <c r="BB56" i="1"/>
  <c r="BB97" i="1"/>
  <c r="BB57" i="1"/>
  <c r="BB58" i="1"/>
  <c r="BB59" i="1"/>
  <c r="BB62" i="1"/>
  <c r="BB64" i="1"/>
  <c r="BB65" i="1"/>
  <c r="BB66" i="1"/>
  <c r="BB67" i="1"/>
  <c r="BB70" i="1"/>
  <c r="BB72" i="1"/>
  <c r="BB73" i="1"/>
  <c r="BB74" i="1"/>
  <c r="BB75" i="1"/>
  <c r="BB76" i="1"/>
  <c r="BB77" i="1"/>
  <c r="BB80" i="1"/>
  <c r="BB81" i="1"/>
  <c r="BB82" i="1"/>
  <c r="BB83" i="1"/>
  <c r="BB84" i="1"/>
  <c r="BB85" i="1"/>
  <c r="BB86" i="1"/>
  <c r="BB87" i="1"/>
  <c r="BB89" i="1"/>
  <c r="BB90" i="1"/>
  <c r="BB91" i="1"/>
  <c r="BB9" i="1"/>
  <c r="AO97" i="1"/>
  <c r="AO46" i="1"/>
  <c r="AO95" i="1"/>
  <c r="AP95" i="1"/>
  <c r="BC10" i="1"/>
  <c r="BC12" i="1"/>
  <c r="BC13" i="1"/>
  <c r="BC14" i="1"/>
  <c r="BC15" i="1"/>
  <c r="BC16" i="1"/>
  <c r="BC18" i="1"/>
  <c r="BC19" i="1"/>
  <c r="BC20" i="1"/>
  <c r="BC21" i="1"/>
  <c r="BC23" i="1"/>
  <c r="BC24" i="1"/>
  <c r="BC25" i="1"/>
  <c r="BC26" i="1"/>
  <c r="BC27" i="1"/>
  <c r="BC28" i="1"/>
  <c r="BC29" i="1"/>
  <c r="BC30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9" i="1"/>
  <c r="BC51" i="1"/>
  <c r="BC52" i="1"/>
  <c r="BC53" i="1"/>
  <c r="BC54" i="1"/>
  <c r="BC55" i="1"/>
  <c r="BC56" i="1"/>
  <c r="BC97" i="1"/>
  <c r="BC57" i="1"/>
  <c r="BC58" i="1"/>
  <c r="BC59" i="1"/>
  <c r="BC60" i="1"/>
  <c r="BC62" i="1"/>
  <c r="BC64" i="1"/>
  <c r="BC65" i="1"/>
  <c r="BC66" i="1"/>
  <c r="BC67" i="1"/>
  <c r="BC70" i="1"/>
  <c r="BC72" i="1"/>
  <c r="BC73" i="1"/>
  <c r="BC74" i="1"/>
  <c r="BC75" i="1"/>
  <c r="BC76" i="1"/>
  <c r="BC77" i="1"/>
  <c r="BC80" i="1"/>
  <c r="BC81" i="1"/>
  <c r="BC82" i="1"/>
  <c r="BC83" i="1"/>
  <c r="BC84" i="1"/>
  <c r="BC85" i="1"/>
  <c r="BC86" i="1"/>
  <c r="BC87" i="1"/>
  <c r="BC89" i="1"/>
  <c r="BC90" i="1"/>
  <c r="BC91" i="1"/>
  <c r="BC9" i="1"/>
  <c r="CN94" i="1"/>
  <c r="AZ95" i="1" s="1"/>
  <c r="AZ94" i="1"/>
  <c r="BH54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97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1" i="1"/>
  <c r="AP72" i="1"/>
  <c r="AP73" i="1"/>
  <c r="AP74" i="1"/>
  <c r="AP75" i="1"/>
  <c r="AP76" i="1"/>
  <c r="AP77" i="1"/>
  <c r="AP78" i="1"/>
  <c r="AP79" i="1"/>
  <c r="AP80" i="1"/>
  <c r="AP81" i="1"/>
  <c r="AP82" i="1"/>
  <c r="AP83" i="1"/>
  <c r="AP84" i="1"/>
  <c r="AP85" i="1"/>
  <c r="AP86" i="1"/>
  <c r="AP87" i="1"/>
  <c r="AP88" i="1"/>
  <c r="AP89" i="1"/>
  <c r="AP90" i="1"/>
  <c r="AP91" i="1"/>
  <c r="AP9" i="1"/>
  <c r="CL98" i="1"/>
  <c r="CW98" i="1" s="1"/>
  <c r="CZ98" i="1" s="1"/>
  <c r="DE94" i="1"/>
  <c r="DD94" i="1"/>
  <c r="DC94" i="1"/>
  <c r="DA94" i="1"/>
  <c r="BM95" i="1" s="1"/>
  <c r="CU94" i="1"/>
  <c r="BG95" i="1" s="1"/>
  <c r="CT94" i="1"/>
  <c r="BF95" i="1" s="1"/>
  <c r="CR94" i="1"/>
  <c r="BD95" i="1" s="1"/>
  <c r="CM94" i="1"/>
  <c r="CK94" i="1"/>
  <c r="AW95" i="1" s="1"/>
  <c r="CJ94" i="1"/>
  <c r="CI94" i="1"/>
  <c r="CZ92" i="1"/>
  <c r="CX92" i="1"/>
  <c r="CF58" i="1"/>
  <c r="CL58" i="1" s="1"/>
  <c r="CF97" i="1"/>
  <c r="CL97" i="1" s="1"/>
  <c r="CD57" i="1"/>
  <c r="CF57" i="1" s="1"/>
  <c r="CL57" i="1" s="1"/>
  <c r="CF38" i="1"/>
  <c r="CL38" i="1" s="1"/>
  <c r="CF85" i="1"/>
  <c r="CL85" i="1" s="1"/>
  <c r="CF70" i="1"/>
  <c r="CL70" i="1" s="1"/>
  <c r="CF91" i="1"/>
  <c r="CL91" i="1" s="1"/>
  <c r="CF90" i="1"/>
  <c r="CL90" i="1" s="1"/>
  <c r="CF89" i="1"/>
  <c r="CL89" i="1" s="1"/>
  <c r="CF88" i="1"/>
  <c r="CL88" i="1" s="1"/>
  <c r="CF87" i="1"/>
  <c r="CL87" i="1" s="1"/>
  <c r="CF86" i="1"/>
  <c r="CL86" i="1" s="1"/>
  <c r="CZ86" i="1" s="1"/>
  <c r="BL86" i="1" s="1"/>
  <c r="CF84" i="1"/>
  <c r="CL84" i="1" s="1"/>
  <c r="CF83" i="1"/>
  <c r="CL83" i="1" s="1"/>
  <c r="CF82" i="1"/>
  <c r="CL82" i="1" s="1"/>
  <c r="CV81" i="1"/>
  <c r="CF81" i="1"/>
  <c r="CL81" i="1" s="1"/>
  <c r="CF80" i="1"/>
  <c r="CL80" i="1" s="1"/>
  <c r="CF79" i="1"/>
  <c r="CL79" i="1" s="1"/>
  <c r="CF78" i="1"/>
  <c r="CL78" i="1" s="1"/>
  <c r="CF77" i="1"/>
  <c r="CL77" i="1" s="1"/>
  <c r="CF76" i="1"/>
  <c r="CL76" i="1" s="1"/>
  <c r="CF75" i="1"/>
  <c r="CL75" i="1" s="1"/>
  <c r="CV74" i="1"/>
  <c r="CF74" i="1"/>
  <c r="CL74" i="1" s="1"/>
  <c r="CF73" i="1"/>
  <c r="CL73" i="1" s="1"/>
  <c r="CF72" i="1"/>
  <c r="CL72" i="1" s="1"/>
  <c r="CF71" i="1"/>
  <c r="CL71" i="1" s="1"/>
  <c r="CF107" i="1"/>
  <c r="CL107" i="1" s="1"/>
  <c r="CF69" i="1"/>
  <c r="CL69" i="1" s="1"/>
  <c r="CF68" i="1"/>
  <c r="CL68" i="1" s="1"/>
  <c r="CF67" i="1"/>
  <c r="CL67" i="1" s="1"/>
  <c r="CF66" i="1"/>
  <c r="CL66" i="1" s="1"/>
  <c r="CF65" i="1"/>
  <c r="CL65" i="1" s="1"/>
  <c r="CF64" i="1"/>
  <c r="CL64" i="1" s="1"/>
  <c r="CF61" i="1"/>
  <c r="CL61" i="1" s="1"/>
  <c r="CF63" i="1"/>
  <c r="CL63" i="1" s="1"/>
  <c r="CF62" i="1"/>
  <c r="CL62" i="1" s="1"/>
  <c r="CF60" i="1"/>
  <c r="CL60" i="1" s="1"/>
  <c r="CF59" i="1"/>
  <c r="CL59" i="1" s="1"/>
  <c r="CF56" i="1"/>
  <c r="CL56" i="1" s="1"/>
  <c r="CF55" i="1"/>
  <c r="CL55" i="1" s="1"/>
  <c r="CF54" i="1"/>
  <c r="CL54" i="1" s="1"/>
  <c r="CF53" i="1"/>
  <c r="CL53" i="1" s="1"/>
  <c r="CF52" i="1"/>
  <c r="CL52" i="1" s="1"/>
  <c r="CF50" i="1"/>
  <c r="CL50" i="1" s="1"/>
  <c r="CF49" i="1"/>
  <c r="CL49" i="1" s="1"/>
  <c r="CF48" i="1"/>
  <c r="CL48" i="1" s="1"/>
  <c r="CF47" i="1"/>
  <c r="CL47" i="1" s="1"/>
  <c r="CF46" i="1"/>
  <c r="CL46" i="1" s="1"/>
  <c r="CF51" i="1"/>
  <c r="CL51" i="1" s="1"/>
  <c r="CF45" i="1"/>
  <c r="CL45" i="1" s="1"/>
  <c r="CZ45" i="1" s="1"/>
  <c r="BL45" i="1" s="1"/>
  <c r="CF44" i="1"/>
  <c r="CL44" i="1" s="1"/>
  <c r="CF43" i="1"/>
  <c r="CL43" i="1" s="1"/>
  <c r="CZ43" i="1" s="1"/>
  <c r="BL43" i="1" s="1"/>
  <c r="CF42" i="1"/>
  <c r="CL42" i="1" s="1"/>
  <c r="CF41" i="1"/>
  <c r="CL41" i="1" s="1"/>
  <c r="CZ41" i="1" s="1"/>
  <c r="BL41" i="1" s="1"/>
  <c r="CF40" i="1"/>
  <c r="CL40" i="1" s="1"/>
  <c r="CF39" i="1"/>
  <c r="CL39" i="1" s="1"/>
  <c r="CF37" i="1"/>
  <c r="CL37" i="1" s="1"/>
  <c r="CG36" i="1"/>
  <c r="CF36" i="1"/>
  <c r="CF35" i="1"/>
  <c r="CL35" i="1" s="1"/>
  <c r="CF34" i="1"/>
  <c r="CL34" i="1" s="1"/>
  <c r="CF33" i="1"/>
  <c r="CL33" i="1" s="1"/>
  <c r="CF32" i="1"/>
  <c r="CL32" i="1" s="1"/>
  <c r="CF31" i="1"/>
  <c r="CL31" i="1" s="1"/>
  <c r="CF30" i="1"/>
  <c r="CL30" i="1" s="1"/>
  <c r="CF29" i="1"/>
  <c r="CL29" i="1" s="1"/>
  <c r="CF28" i="1"/>
  <c r="CL28" i="1" s="1"/>
  <c r="CF27" i="1"/>
  <c r="CL27" i="1" s="1"/>
  <c r="CF26" i="1"/>
  <c r="CL26" i="1" s="1"/>
  <c r="CV25" i="1"/>
  <c r="CF25" i="1"/>
  <c r="CL25" i="1" s="1"/>
  <c r="CF105" i="1"/>
  <c r="CL105" i="1" s="1"/>
  <c r="CF24" i="1"/>
  <c r="CL24" i="1" s="1"/>
  <c r="CF23" i="1"/>
  <c r="CL23" i="1" s="1"/>
  <c r="CF22" i="1"/>
  <c r="CL22" i="1" s="1"/>
  <c r="CF21" i="1"/>
  <c r="CL21" i="1" s="1"/>
  <c r="DH20" i="1"/>
  <c r="CF20" i="1"/>
  <c r="CL20" i="1" s="1"/>
  <c r="CG19" i="1"/>
  <c r="CF19" i="1"/>
  <c r="CF18" i="1"/>
  <c r="CL18" i="1" s="1"/>
  <c r="CF17" i="1"/>
  <c r="CL17" i="1" s="1"/>
  <c r="CZ17" i="1" s="1"/>
  <c r="BL17" i="1" s="1"/>
  <c r="CF15" i="1"/>
  <c r="CL15" i="1" s="1"/>
  <c r="CF16" i="1"/>
  <c r="CL16" i="1" s="1"/>
  <c r="CZ16" i="1" s="1"/>
  <c r="BL16" i="1" s="1"/>
  <c r="CF14" i="1"/>
  <c r="CL14" i="1" s="1"/>
  <c r="CF13" i="1"/>
  <c r="CL13" i="1" s="1"/>
  <c r="CZ13" i="1" s="1"/>
  <c r="BL13" i="1" s="1"/>
  <c r="CF106" i="1"/>
  <c r="CL106" i="1" s="1"/>
  <c r="DB106" i="1" s="1"/>
  <c r="CF12" i="1"/>
  <c r="CL12" i="1" s="1"/>
  <c r="CF11" i="1"/>
  <c r="CL11" i="1" s="1"/>
  <c r="CZ11" i="1" s="1"/>
  <c r="BL11" i="1" s="1"/>
  <c r="CF10" i="1"/>
  <c r="CL10" i="1" s="1"/>
  <c r="CF9" i="1"/>
  <c r="CL9" i="1" s="1"/>
  <c r="CX9" i="1" s="1"/>
  <c r="BJ9" i="1" s="1"/>
  <c r="BE86" i="1"/>
  <c r="R86" i="1" s="1"/>
  <c r="G94" i="4"/>
  <c r="I94" i="4"/>
  <c r="D95" i="2"/>
  <c r="E91" i="4"/>
  <c r="E58" i="4"/>
  <c r="C94" i="4"/>
  <c r="E57" i="4"/>
  <c r="E43" i="4"/>
  <c r="E36" i="4"/>
  <c r="E28" i="4"/>
  <c r="F94" i="4" l="1"/>
  <c r="D94" i="4"/>
  <c r="AP94" i="1"/>
  <c r="AZ96" i="1"/>
  <c r="AQ9" i="1"/>
  <c r="AR9" i="1" s="1"/>
  <c r="CS86" i="1"/>
  <c r="CS94" i="1" s="1"/>
  <c r="BE95" i="1" s="1"/>
  <c r="CG94" i="1"/>
  <c r="CL36" i="1"/>
  <c r="CX36" i="1" s="1"/>
  <c r="BJ36" i="1" s="1"/>
  <c r="CL19" i="1"/>
  <c r="CZ19" i="1" s="1"/>
  <c r="CW10" i="1"/>
  <c r="CZ10" i="1"/>
  <c r="CX10" i="1"/>
  <c r="BJ10" i="1" s="1"/>
  <c r="CW14" i="1"/>
  <c r="CZ14" i="1"/>
  <c r="CX14" i="1"/>
  <c r="BJ14" i="1" s="1"/>
  <c r="CZ18" i="1"/>
  <c r="CX18" i="1"/>
  <c r="BJ18" i="1" s="1"/>
  <c r="CV18" i="1"/>
  <c r="CW18" i="1" s="1"/>
  <c r="CW12" i="1"/>
  <c r="CZ12" i="1"/>
  <c r="CX12" i="1"/>
  <c r="BJ12" i="1" s="1"/>
  <c r="CW15" i="1"/>
  <c r="CZ15" i="1"/>
  <c r="CX15" i="1"/>
  <c r="BJ15" i="1" s="1"/>
  <c r="CW19" i="1"/>
  <c r="CZ20" i="1"/>
  <c r="CX20" i="1"/>
  <c r="BJ20" i="1" s="1"/>
  <c r="CV20" i="1"/>
  <c r="CW20" i="1" s="1"/>
  <c r="CW21" i="1"/>
  <c r="CZ21" i="1"/>
  <c r="CX21" i="1"/>
  <c r="BJ21" i="1" s="1"/>
  <c r="CW23" i="1"/>
  <c r="CZ23" i="1"/>
  <c r="CX23" i="1"/>
  <c r="BJ23" i="1" s="1"/>
  <c r="CW105" i="1"/>
  <c r="DB105" i="1"/>
  <c r="CX105" i="1"/>
  <c r="CZ27" i="1"/>
  <c r="BL27" i="1" s="1"/>
  <c r="CX27" i="1"/>
  <c r="BJ27" i="1" s="1"/>
  <c r="CW27" i="1"/>
  <c r="CZ29" i="1"/>
  <c r="BL29" i="1" s="1"/>
  <c r="CX29" i="1"/>
  <c r="BJ29" i="1" s="1"/>
  <c r="CW29" i="1"/>
  <c r="CZ31" i="1"/>
  <c r="CX31" i="1"/>
  <c r="BJ31" i="1" s="1"/>
  <c r="CQ31" i="1"/>
  <c r="BC31" i="1" s="1"/>
  <c r="CP31" i="1"/>
  <c r="BB31" i="1" s="1"/>
  <c r="CZ35" i="1"/>
  <c r="BL35" i="1" s="1"/>
  <c r="CX35" i="1"/>
  <c r="BJ35" i="1" s="1"/>
  <c r="CW35" i="1"/>
  <c r="CW40" i="1"/>
  <c r="CZ40" i="1"/>
  <c r="CX40" i="1"/>
  <c r="BJ40" i="1" s="1"/>
  <c r="CW44" i="1"/>
  <c r="CZ44" i="1"/>
  <c r="CX44" i="1"/>
  <c r="BJ44" i="1" s="1"/>
  <c r="CZ46" i="1"/>
  <c r="CX46" i="1"/>
  <c r="BJ46" i="1" s="1"/>
  <c r="CQ46" i="1"/>
  <c r="BC46" i="1" s="1"/>
  <c r="CP46" i="1"/>
  <c r="BB46" i="1" s="1"/>
  <c r="CZ48" i="1"/>
  <c r="CX48" i="1"/>
  <c r="BJ48" i="1" s="1"/>
  <c r="CQ48" i="1"/>
  <c r="BC48" i="1" s="1"/>
  <c r="CP48" i="1"/>
  <c r="BB48" i="1" s="1"/>
  <c r="CZ50" i="1"/>
  <c r="CX50" i="1"/>
  <c r="BJ50" i="1" s="1"/>
  <c r="CQ50" i="1"/>
  <c r="CZ54" i="1"/>
  <c r="BL54" i="1" s="1"/>
  <c r="CX54" i="1"/>
  <c r="BJ54" i="1" s="1"/>
  <c r="CW54" i="1"/>
  <c r="CZ60" i="1"/>
  <c r="CX60" i="1"/>
  <c r="BJ60" i="1" s="1"/>
  <c r="CP60" i="1"/>
  <c r="BB60" i="1" s="1"/>
  <c r="CO60" i="1"/>
  <c r="CZ64" i="1"/>
  <c r="BL64" i="1" s="1"/>
  <c r="CX64" i="1"/>
  <c r="BJ64" i="1" s="1"/>
  <c r="CW64" i="1"/>
  <c r="CZ68" i="1"/>
  <c r="CX68" i="1"/>
  <c r="BJ68" i="1" s="1"/>
  <c r="CQ68" i="1"/>
  <c r="BC68" i="1" s="1"/>
  <c r="CP68" i="1"/>
  <c r="BB68" i="1" s="1"/>
  <c r="CZ72" i="1"/>
  <c r="BL72" i="1" s="1"/>
  <c r="CX72" i="1"/>
  <c r="BJ72" i="1" s="1"/>
  <c r="CW72" i="1"/>
  <c r="CZ77" i="1"/>
  <c r="BL77" i="1" s="1"/>
  <c r="CX77" i="1"/>
  <c r="BJ77" i="1" s="1"/>
  <c r="CW77" i="1"/>
  <c r="CW81" i="1"/>
  <c r="CZ81" i="1"/>
  <c r="CX81" i="1"/>
  <c r="BJ81" i="1" s="1"/>
  <c r="CZ82" i="1"/>
  <c r="BL82" i="1" s="1"/>
  <c r="CX82" i="1"/>
  <c r="BJ82" i="1" s="1"/>
  <c r="CW82" i="1"/>
  <c r="CZ88" i="1"/>
  <c r="CX88" i="1"/>
  <c r="BJ88" i="1" s="1"/>
  <c r="CQ88" i="1"/>
  <c r="BC88" i="1" s="1"/>
  <c r="CP88" i="1"/>
  <c r="BB88" i="1" s="1"/>
  <c r="CZ70" i="1"/>
  <c r="BL70" i="1" s="1"/>
  <c r="CX70" i="1"/>
  <c r="BJ70" i="1" s="1"/>
  <c r="CW70" i="1"/>
  <c r="CZ58" i="1"/>
  <c r="BL58" i="1" s="1"/>
  <c r="CX58" i="1"/>
  <c r="BJ58" i="1" s="1"/>
  <c r="CW58" i="1"/>
  <c r="CF94" i="1"/>
  <c r="AQ95" i="1" s="1"/>
  <c r="CW9" i="1"/>
  <c r="CP11" i="1"/>
  <c r="BB11" i="1" s="1"/>
  <c r="DB11" i="1"/>
  <c r="CW106" i="1"/>
  <c r="CW13" i="1"/>
  <c r="DB13" i="1"/>
  <c r="CW16" i="1"/>
  <c r="DB16" i="1"/>
  <c r="CP17" i="1"/>
  <c r="BB17" i="1" s="1"/>
  <c r="DB17" i="1"/>
  <c r="CZ22" i="1"/>
  <c r="CX22" i="1"/>
  <c r="BJ22" i="1" s="1"/>
  <c r="CQ22" i="1"/>
  <c r="BC22" i="1" s="1"/>
  <c r="CP22" i="1"/>
  <c r="BB22" i="1" s="1"/>
  <c r="CZ24" i="1"/>
  <c r="CX24" i="1"/>
  <c r="BJ24" i="1" s="1"/>
  <c r="CP24" i="1"/>
  <c r="BB24" i="1" s="1"/>
  <c r="CO24" i="1"/>
  <c r="CZ25" i="1"/>
  <c r="BL25" i="1" s="1"/>
  <c r="CX25" i="1"/>
  <c r="BJ25" i="1" s="1"/>
  <c r="CW25" i="1"/>
  <c r="CW26" i="1"/>
  <c r="CZ26" i="1"/>
  <c r="CX26" i="1"/>
  <c r="BJ26" i="1" s="1"/>
  <c r="CW28" i="1"/>
  <c r="CZ28" i="1"/>
  <c r="CX28" i="1"/>
  <c r="BJ28" i="1" s="1"/>
  <c r="CW30" i="1"/>
  <c r="CZ30" i="1"/>
  <c r="CX30" i="1"/>
  <c r="BJ30" i="1" s="1"/>
  <c r="CZ33" i="1"/>
  <c r="BL33" i="1" s="1"/>
  <c r="CX33" i="1"/>
  <c r="BJ33" i="1" s="1"/>
  <c r="CW33" i="1"/>
  <c r="CZ39" i="1"/>
  <c r="BL39" i="1" s="1"/>
  <c r="CX39" i="1"/>
  <c r="BJ39" i="1" s="1"/>
  <c r="CW39" i="1"/>
  <c r="CW42" i="1"/>
  <c r="CZ42" i="1"/>
  <c r="CX42" i="1"/>
  <c r="BJ42" i="1" s="1"/>
  <c r="CW51" i="1"/>
  <c r="CZ51" i="1"/>
  <c r="CX51" i="1"/>
  <c r="BJ51" i="1" s="1"/>
  <c r="CP47" i="1"/>
  <c r="BB47" i="1" s="1"/>
  <c r="I47" i="1" s="1"/>
  <c r="CZ47" i="1"/>
  <c r="CX47" i="1"/>
  <c r="BJ47" i="1" s="1"/>
  <c r="CQ47" i="1"/>
  <c r="BC47" i="1" s="1"/>
  <c r="J47" i="1" s="1"/>
  <c r="H48" i="2" s="1"/>
  <c r="CW49" i="1"/>
  <c r="CZ49" i="1"/>
  <c r="CX49" i="1"/>
  <c r="BJ49" i="1" s="1"/>
  <c r="CZ52" i="1"/>
  <c r="BL52" i="1" s="1"/>
  <c r="CX52" i="1"/>
  <c r="BJ52" i="1" s="1"/>
  <c r="CW52" i="1"/>
  <c r="CZ56" i="1"/>
  <c r="BL56" i="1" s="1"/>
  <c r="CX56" i="1"/>
  <c r="BJ56" i="1" s="1"/>
  <c r="CW56" i="1"/>
  <c r="CZ63" i="1"/>
  <c r="CX63" i="1"/>
  <c r="BJ63" i="1" s="1"/>
  <c r="CQ63" i="1"/>
  <c r="BC63" i="1" s="1"/>
  <c r="CP63" i="1"/>
  <c r="BB63" i="1" s="1"/>
  <c r="CZ66" i="1"/>
  <c r="BL66" i="1" s="1"/>
  <c r="CX66" i="1"/>
  <c r="BJ66" i="1" s="1"/>
  <c r="CW66" i="1"/>
  <c r="CY66" i="1" s="1"/>
  <c r="CZ107" i="1"/>
  <c r="DB107" i="1" s="1"/>
  <c r="CX107" i="1"/>
  <c r="CW107" i="1"/>
  <c r="CW74" i="1"/>
  <c r="CZ74" i="1"/>
  <c r="CX74" i="1"/>
  <c r="BJ74" i="1" s="1"/>
  <c r="CZ75" i="1"/>
  <c r="BL75" i="1" s="1"/>
  <c r="CX75" i="1"/>
  <c r="BJ75" i="1" s="1"/>
  <c r="CW75" i="1"/>
  <c r="CZ79" i="1"/>
  <c r="CX79" i="1"/>
  <c r="BJ79" i="1" s="1"/>
  <c r="CQ79" i="1"/>
  <c r="BC79" i="1" s="1"/>
  <c r="CP79" i="1"/>
  <c r="BB79" i="1" s="1"/>
  <c r="CZ84" i="1"/>
  <c r="BL84" i="1" s="1"/>
  <c r="CX84" i="1"/>
  <c r="BJ84" i="1" s="1"/>
  <c r="CW84" i="1"/>
  <c r="CZ90" i="1"/>
  <c r="BL90" i="1" s="1"/>
  <c r="CX90" i="1"/>
  <c r="BJ90" i="1" s="1"/>
  <c r="CW90" i="1"/>
  <c r="CZ38" i="1"/>
  <c r="BL38" i="1" s="1"/>
  <c r="CX38" i="1"/>
  <c r="BJ38" i="1" s="1"/>
  <c r="CW38" i="1"/>
  <c r="CZ57" i="1"/>
  <c r="BL57" i="1" s="1"/>
  <c r="CX57" i="1"/>
  <c r="BJ57" i="1" s="1"/>
  <c r="CW57" i="1"/>
  <c r="CZ9" i="1"/>
  <c r="BL9" i="1" s="1"/>
  <c r="CQ11" i="1"/>
  <c r="BC11" i="1" s="1"/>
  <c r="CX11" i="1"/>
  <c r="BJ11" i="1" s="1"/>
  <c r="CX106" i="1"/>
  <c r="CX13" i="1"/>
  <c r="BJ13" i="1" s="1"/>
  <c r="CX16" i="1"/>
  <c r="BJ16" i="1" s="1"/>
  <c r="CQ17" i="1"/>
  <c r="BC17" i="1" s="1"/>
  <c r="CX17" i="1"/>
  <c r="BJ17" i="1" s="1"/>
  <c r="CQ32" i="1"/>
  <c r="BC32" i="1" s="1"/>
  <c r="CX32" i="1"/>
  <c r="BJ32" i="1" s="1"/>
  <c r="CZ32" i="1"/>
  <c r="CX34" i="1"/>
  <c r="BJ34" i="1" s="1"/>
  <c r="CZ34" i="1"/>
  <c r="CX37" i="1"/>
  <c r="BJ37" i="1" s="1"/>
  <c r="CZ37" i="1"/>
  <c r="CW41" i="1"/>
  <c r="DB41" i="1"/>
  <c r="CW43" i="1"/>
  <c r="DB43" i="1"/>
  <c r="CW45" i="1"/>
  <c r="DB45" i="1"/>
  <c r="CX53" i="1"/>
  <c r="BJ53" i="1" s="1"/>
  <c r="CZ53" i="1"/>
  <c r="CX55" i="1"/>
  <c r="BJ55" i="1" s="1"/>
  <c r="CZ55" i="1"/>
  <c r="CX59" i="1"/>
  <c r="BJ59" i="1" s="1"/>
  <c r="CZ59" i="1"/>
  <c r="CX62" i="1"/>
  <c r="BJ62" i="1" s="1"/>
  <c r="CZ62" i="1"/>
  <c r="CQ61" i="1"/>
  <c r="BC61" i="1" s="1"/>
  <c r="CX61" i="1"/>
  <c r="BJ61" i="1" s="1"/>
  <c r="CZ61" i="1"/>
  <c r="CX65" i="1"/>
  <c r="BJ65" i="1" s="1"/>
  <c r="CZ65" i="1"/>
  <c r="CX67" i="1"/>
  <c r="BJ67" i="1" s="1"/>
  <c r="CZ67" i="1"/>
  <c r="CQ69" i="1"/>
  <c r="BC69" i="1" s="1"/>
  <c r="CX69" i="1"/>
  <c r="BJ69" i="1" s="1"/>
  <c r="CZ69" i="1"/>
  <c r="CQ71" i="1"/>
  <c r="BC71" i="1" s="1"/>
  <c r="CX71" i="1"/>
  <c r="BJ71" i="1" s="1"/>
  <c r="CZ71" i="1"/>
  <c r="CX73" i="1"/>
  <c r="BJ73" i="1" s="1"/>
  <c r="CZ73" i="1"/>
  <c r="CX76" i="1"/>
  <c r="BJ76" i="1" s="1"/>
  <c r="CZ76" i="1"/>
  <c r="CQ78" i="1"/>
  <c r="BC78" i="1" s="1"/>
  <c r="CX78" i="1"/>
  <c r="BJ78" i="1" s="1"/>
  <c r="CZ78" i="1"/>
  <c r="CX80" i="1"/>
  <c r="BJ80" i="1" s="1"/>
  <c r="CZ80" i="1"/>
  <c r="CX83" i="1"/>
  <c r="BJ83" i="1" s="1"/>
  <c r="CZ83" i="1"/>
  <c r="DB86" i="1"/>
  <c r="CX87" i="1"/>
  <c r="BJ87" i="1" s="1"/>
  <c r="CZ87" i="1"/>
  <c r="CX89" i="1"/>
  <c r="BJ89" i="1" s="1"/>
  <c r="CZ89" i="1"/>
  <c r="CX91" i="1"/>
  <c r="BJ91" i="1" s="1"/>
  <c r="CZ91" i="1"/>
  <c r="CX85" i="1"/>
  <c r="BJ85" i="1" s="1"/>
  <c r="CZ85" i="1"/>
  <c r="CX97" i="1"/>
  <c r="BJ97" i="1" s="1"/>
  <c r="CZ97" i="1"/>
  <c r="CY98" i="1"/>
  <c r="DB98" i="1"/>
  <c r="CP32" i="1"/>
  <c r="BB32" i="1" s="1"/>
  <c r="CW34" i="1"/>
  <c r="CY34" i="1" s="1"/>
  <c r="CW37" i="1"/>
  <c r="CX41" i="1"/>
  <c r="BJ41" i="1" s="1"/>
  <c r="CX43" i="1"/>
  <c r="BJ43" i="1" s="1"/>
  <c r="CX45" i="1"/>
  <c r="BJ45" i="1" s="1"/>
  <c r="CW53" i="1"/>
  <c r="CW55" i="1"/>
  <c r="CW59" i="1"/>
  <c r="CW62" i="1"/>
  <c r="CY62" i="1" s="1"/>
  <c r="CP61" i="1"/>
  <c r="BB61" i="1" s="1"/>
  <c r="CW65" i="1"/>
  <c r="CW67" i="1"/>
  <c r="CP69" i="1"/>
  <c r="BB69" i="1" s="1"/>
  <c r="CP71" i="1"/>
  <c r="BB71" i="1" s="1"/>
  <c r="CW73" i="1"/>
  <c r="CW76" i="1"/>
  <c r="CP78" i="1"/>
  <c r="BB78" i="1" s="1"/>
  <c r="CW80" i="1"/>
  <c r="CW83" i="1"/>
  <c r="CV86" i="1"/>
  <c r="CX86" i="1"/>
  <c r="BJ86" i="1" s="1"/>
  <c r="CW87" i="1"/>
  <c r="CW89" i="1"/>
  <c r="CW91" i="1"/>
  <c r="CW85" i="1"/>
  <c r="CW97" i="1"/>
  <c r="CX98" i="1"/>
  <c r="H87" i="4"/>
  <c r="X27" i="1"/>
  <c r="X35" i="1"/>
  <c r="X42" i="1"/>
  <c r="X56" i="1"/>
  <c r="X97" i="1"/>
  <c r="X57" i="1"/>
  <c r="X90" i="1"/>
  <c r="B4" i="4"/>
  <c r="E92" i="4"/>
  <c r="X91" i="1" s="1"/>
  <c r="E90" i="4"/>
  <c r="X89" i="1" s="1"/>
  <c r="E89" i="4"/>
  <c r="X88" i="1" s="1"/>
  <c r="E88" i="4"/>
  <c r="X87" i="1" s="1"/>
  <c r="E87" i="4"/>
  <c r="X86" i="1" s="1"/>
  <c r="E86" i="4"/>
  <c r="X85" i="1" s="1"/>
  <c r="E85" i="4"/>
  <c r="X84" i="1" s="1"/>
  <c r="E84" i="4"/>
  <c r="X83" i="1" s="1"/>
  <c r="E83" i="4"/>
  <c r="X82" i="1" s="1"/>
  <c r="E82" i="4"/>
  <c r="X81" i="1" s="1"/>
  <c r="E81" i="4"/>
  <c r="X80" i="1" s="1"/>
  <c r="E80" i="4"/>
  <c r="X79" i="1" s="1"/>
  <c r="E79" i="4"/>
  <c r="X78" i="1" s="1"/>
  <c r="E78" i="4"/>
  <c r="X77" i="1" s="1"/>
  <c r="E77" i="4"/>
  <c r="X76" i="1" s="1"/>
  <c r="E76" i="4"/>
  <c r="X75" i="1" s="1"/>
  <c r="E75" i="4"/>
  <c r="X74" i="1" s="1"/>
  <c r="E74" i="4"/>
  <c r="X73" i="1" s="1"/>
  <c r="E73" i="4"/>
  <c r="X72" i="1" s="1"/>
  <c r="E72" i="4"/>
  <c r="X71" i="1" s="1"/>
  <c r="E71" i="4"/>
  <c r="X70" i="1" s="1"/>
  <c r="X107" i="1"/>
  <c r="E70" i="4"/>
  <c r="X69" i="1" s="1"/>
  <c r="E69" i="4"/>
  <c r="X68" i="1" s="1"/>
  <c r="E68" i="4"/>
  <c r="X67" i="1" s="1"/>
  <c r="E67" i="4"/>
  <c r="X66" i="1" s="1"/>
  <c r="E66" i="4"/>
  <c r="X65" i="1" s="1"/>
  <c r="E65" i="4"/>
  <c r="X64" i="1" s="1"/>
  <c r="E64" i="4"/>
  <c r="X63" i="1" s="1"/>
  <c r="E63" i="4"/>
  <c r="X62" i="1" s="1"/>
  <c r="E62" i="4"/>
  <c r="X61" i="1" s="1"/>
  <c r="E61" i="4"/>
  <c r="X60" i="1" s="1"/>
  <c r="E60" i="4"/>
  <c r="X59" i="1" s="1"/>
  <c r="E59" i="4"/>
  <c r="X58" i="1" s="1"/>
  <c r="E56" i="4"/>
  <c r="X55" i="1" s="1"/>
  <c r="E55" i="4"/>
  <c r="X54" i="1" s="1"/>
  <c r="E54" i="4"/>
  <c r="X53" i="1" s="1"/>
  <c r="E53" i="4"/>
  <c r="X52" i="1" s="1"/>
  <c r="E52" i="4"/>
  <c r="X51" i="1" s="1"/>
  <c r="E51" i="4"/>
  <c r="X50" i="1" s="1"/>
  <c r="E50" i="4"/>
  <c r="X49" i="1" s="1"/>
  <c r="E49" i="4"/>
  <c r="X48" i="1" s="1"/>
  <c r="E48" i="4"/>
  <c r="X47" i="1" s="1"/>
  <c r="E47" i="4"/>
  <c r="X46" i="1" s="1"/>
  <c r="E46" i="4"/>
  <c r="X45" i="1" s="1"/>
  <c r="E45" i="4"/>
  <c r="X44" i="1" s="1"/>
  <c r="E44" i="4"/>
  <c r="X43" i="1" s="1"/>
  <c r="E42" i="4"/>
  <c r="X41" i="1" s="1"/>
  <c r="E41" i="4"/>
  <c r="X40" i="1" s="1"/>
  <c r="E40" i="4"/>
  <c r="X39" i="1" s="1"/>
  <c r="E39" i="4"/>
  <c r="X38" i="1" s="1"/>
  <c r="E38" i="4"/>
  <c r="X37" i="1" s="1"/>
  <c r="E37" i="4"/>
  <c r="X36" i="1" s="1"/>
  <c r="E35" i="4"/>
  <c r="X34" i="1" s="1"/>
  <c r="E34" i="4"/>
  <c r="X33" i="1" s="1"/>
  <c r="E33" i="4"/>
  <c r="X32" i="1" s="1"/>
  <c r="E32" i="4"/>
  <c r="X31" i="1" s="1"/>
  <c r="E31" i="4"/>
  <c r="X30" i="1" s="1"/>
  <c r="E30" i="4"/>
  <c r="X29" i="1" s="1"/>
  <c r="E29" i="4"/>
  <c r="X28" i="1" s="1"/>
  <c r="E27" i="4"/>
  <c r="X26" i="1" s="1"/>
  <c r="E26" i="4"/>
  <c r="X25" i="1" s="1"/>
  <c r="E25" i="4"/>
  <c r="X24" i="1" s="1"/>
  <c r="E24" i="4"/>
  <c r="X23" i="1" s="1"/>
  <c r="E23" i="4"/>
  <c r="X22" i="1" s="1"/>
  <c r="E22" i="4"/>
  <c r="X21" i="1" s="1"/>
  <c r="E21" i="4"/>
  <c r="X20" i="1" s="1"/>
  <c r="E20" i="4"/>
  <c r="X19" i="1" s="1"/>
  <c r="E19" i="4"/>
  <c r="X18" i="1" s="1"/>
  <c r="E18" i="4"/>
  <c r="X17" i="1" s="1"/>
  <c r="E17" i="4"/>
  <c r="X16" i="1" s="1"/>
  <c r="E16" i="4"/>
  <c r="X15" i="1" s="1"/>
  <c r="E15" i="4"/>
  <c r="X14" i="1" s="1"/>
  <c r="E14" i="4"/>
  <c r="X13" i="1" s="1"/>
  <c r="E13" i="4"/>
  <c r="X12" i="1" s="1"/>
  <c r="E12" i="4"/>
  <c r="X11" i="1" s="1"/>
  <c r="E11" i="4"/>
  <c r="X10" i="1" s="1"/>
  <c r="P10" i="1"/>
  <c r="N11" i="2" s="1"/>
  <c r="P11" i="1"/>
  <c r="N12" i="2" s="1"/>
  <c r="P12" i="1"/>
  <c r="N13" i="2" s="1"/>
  <c r="P13" i="1"/>
  <c r="N14" i="2" s="1"/>
  <c r="P14" i="1"/>
  <c r="N15" i="2" s="1"/>
  <c r="P15" i="1"/>
  <c r="N16" i="2" s="1"/>
  <c r="P16" i="1"/>
  <c r="N17" i="2" s="1"/>
  <c r="P17" i="1"/>
  <c r="N18" i="2" s="1"/>
  <c r="P18" i="1"/>
  <c r="N19" i="2" s="1"/>
  <c r="P19" i="1"/>
  <c r="N20" i="2" s="1"/>
  <c r="P20" i="1"/>
  <c r="N21" i="2" s="1"/>
  <c r="P21" i="1"/>
  <c r="N22" i="2" s="1"/>
  <c r="P22" i="1"/>
  <c r="N23" i="2" s="1"/>
  <c r="P23" i="1"/>
  <c r="N24" i="2" s="1"/>
  <c r="P24" i="1"/>
  <c r="N25" i="2" s="1"/>
  <c r="P25" i="1"/>
  <c r="N26" i="2" s="1"/>
  <c r="P26" i="1"/>
  <c r="N27" i="2" s="1"/>
  <c r="P27" i="1"/>
  <c r="N28" i="2" s="1"/>
  <c r="P28" i="1"/>
  <c r="N29" i="2" s="1"/>
  <c r="P29" i="1"/>
  <c r="N30" i="2" s="1"/>
  <c r="P30" i="1"/>
  <c r="N31" i="2" s="1"/>
  <c r="P31" i="1"/>
  <c r="N32" i="2" s="1"/>
  <c r="P32" i="1"/>
  <c r="N33" i="2" s="1"/>
  <c r="P33" i="1"/>
  <c r="N34" i="2" s="1"/>
  <c r="P34" i="1"/>
  <c r="N35" i="2" s="1"/>
  <c r="P35" i="1"/>
  <c r="N36" i="2" s="1"/>
  <c r="P36" i="1"/>
  <c r="N37" i="2" s="1"/>
  <c r="P37" i="1"/>
  <c r="N38" i="2" s="1"/>
  <c r="P38" i="1"/>
  <c r="N39" i="2" s="1"/>
  <c r="P39" i="1"/>
  <c r="N40" i="2" s="1"/>
  <c r="P40" i="1"/>
  <c r="N41" i="2" s="1"/>
  <c r="P41" i="1"/>
  <c r="N42" i="2" s="1"/>
  <c r="P42" i="1"/>
  <c r="N43" i="2" s="1"/>
  <c r="P43" i="1"/>
  <c r="N44" i="2" s="1"/>
  <c r="P44" i="1"/>
  <c r="N45" i="2" s="1"/>
  <c r="P45" i="1"/>
  <c r="N46" i="2" s="1"/>
  <c r="P46" i="1"/>
  <c r="N47" i="2" s="1"/>
  <c r="P47" i="1"/>
  <c r="N48" i="2" s="1"/>
  <c r="P48" i="1"/>
  <c r="N49" i="2" s="1"/>
  <c r="P49" i="1"/>
  <c r="N50" i="2" s="1"/>
  <c r="P50" i="1"/>
  <c r="N51" i="2" s="1"/>
  <c r="P51" i="1"/>
  <c r="N52" i="2" s="1"/>
  <c r="P52" i="1"/>
  <c r="N53" i="2" s="1"/>
  <c r="P53" i="1"/>
  <c r="N54" i="2" s="1"/>
  <c r="P54" i="1"/>
  <c r="N55" i="2" s="1"/>
  <c r="P55" i="1"/>
  <c r="N56" i="2" s="1"/>
  <c r="P56" i="1"/>
  <c r="N57" i="2" s="1"/>
  <c r="P97" i="1"/>
  <c r="P57" i="1"/>
  <c r="N58" i="2" s="1"/>
  <c r="P58" i="1"/>
  <c r="N59" i="2" s="1"/>
  <c r="P59" i="1"/>
  <c r="N60" i="2" s="1"/>
  <c r="P60" i="1"/>
  <c r="N61" i="2" s="1"/>
  <c r="P61" i="1"/>
  <c r="N62" i="2" s="1"/>
  <c r="P62" i="1"/>
  <c r="N63" i="2" s="1"/>
  <c r="P63" i="1"/>
  <c r="N64" i="2" s="1"/>
  <c r="P64" i="1"/>
  <c r="N65" i="2" s="1"/>
  <c r="P65" i="1"/>
  <c r="N66" i="2" s="1"/>
  <c r="P66" i="1"/>
  <c r="N67" i="2" s="1"/>
  <c r="P67" i="1"/>
  <c r="N68" i="2" s="1"/>
  <c r="P68" i="1"/>
  <c r="N69" i="2" s="1"/>
  <c r="P69" i="1"/>
  <c r="N70" i="2" s="1"/>
  <c r="P107" i="1"/>
  <c r="P70" i="1"/>
  <c r="N71" i="2" s="1"/>
  <c r="P71" i="1"/>
  <c r="N72" i="2" s="1"/>
  <c r="P72" i="1"/>
  <c r="N73" i="2" s="1"/>
  <c r="P73" i="1"/>
  <c r="N74" i="2" s="1"/>
  <c r="P74" i="1"/>
  <c r="N75" i="2" s="1"/>
  <c r="P75" i="1"/>
  <c r="N76" i="2" s="1"/>
  <c r="P76" i="1"/>
  <c r="N77" i="2" s="1"/>
  <c r="P77" i="1"/>
  <c r="N78" i="2" s="1"/>
  <c r="P78" i="1"/>
  <c r="N79" i="2" s="1"/>
  <c r="P79" i="1"/>
  <c r="N80" i="2" s="1"/>
  <c r="P80" i="1"/>
  <c r="N81" i="2" s="1"/>
  <c r="P81" i="1"/>
  <c r="N82" i="2" s="1"/>
  <c r="P82" i="1"/>
  <c r="N83" i="2" s="1"/>
  <c r="P83" i="1"/>
  <c r="N84" i="2" s="1"/>
  <c r="P84" i="1"/>
  <c r="N85" i="2" s="1"/>
  <c r="P85" i="1"/>
  <c r="N86" i="2" s="1"/>
  <c r="P86" i="1"/>
  <c r="N87" i="2" s="1"/>
  <c r="P87" i="1"/>
  <c r="N88" i="2" s="1"/>
  <c r="P88" i="1"/>
  <c r="N89" i="2" s="1"/>
  <c r="P89" i="1"/>
  <c r="N90" i="2" s="1"/>
  <c r="P90" i="1"/>
  <c r="N91" i="2" s="1"/>
  <c r="P91" i="1"/>
  <c r="N92" i="2" s="1"/>
  <c r="P9" i="1"/>
  <c r="R10" i="1"/>
  <c r="H11" i="4" s="1"/>
  <c r="R11" i="1"/>
  <c r="H12" i="4" s="1"/>
  <c r="R12" i="1"/>
  <c r="H13" i="4" s="1"/>
  <c r="R13" i="1"/>
  <c r="H14" i="4" s="1"/>
  <c r="R14" i="1"/>
  <c r="H15" i="4" s="1"/>
  <c r="R15" i="1"/>
  <c r="H16" i="4" s="1"/>
  <c r="R16" i="1"/>
  <c r="H17" i="4" s="1"/>
  <c r="R17" i="1"/>
  <c r="H18" i="4" s="1"/>
  <c r="R18" i="1"/>
  <c r="H19" i="4" s="1"/>
  <c r="R19" i="1"/>
  <c r="H20" i="4" s="1"/>
  <c r="R20" i="1"/>
  <c r="H21" i="4" s="1"/>
  <c r="R21" i="1"/>
  <c r="H22" i="4" s="1"/>
  <c r="R22" i="1"/>
  <c r="H23" i="4" s="1"/>
  <c r="R23" i="1"/>
  <c r="H24" i="4" s="1"/>
  <c r="R24" i="1"/>
  <c r="H25" i="4" s="1"/>
  <c r="R25" i="1"/>
  <c r="H26" i="4" s="1"/>
  <c r="R26" i="1"/>
  <c r="H27" i="4" s="1"/>
  <c r="R27" i="1"/>
  <c r="H28" i="4" s="1"/>
  <c r="R28" i="1"/>
  <c r="H29" i="4" s="1"/>
  <c r="R29" i="1"/>
  <c r="H30" i="4" s="1"/>
  <c r="R30" i="1"/>
  <c r="H31" i="4" s="1"/>
  <c r="R31" i="1"/>
  <c r="H32" i="4" s="1"/>
  <c r="R32" i="1"/>
  <c r="H33" i="4" s="1"/>
  <c r="R33" i="1"/>
  <c r="H34" i="4" s="1"/>
  <c r="R34" i="1"/>
  <c r="H35" i="4" s="1"/>
  <c r="R35" i="1"/>
  <c r="H36" i="4" s="1"/>
  <c r="R36" i="1"/>
  <c r="H37" i="4" s="1"/>
  <c r="R37" i="1"/>
  <c r="H38" i="4" s="1"/>
  <c r="R38" i="1"/>
  <c r="H39" i="4" s="1"/>
  <c r="R39" i="1"/>
  <c r="H40" i="4" s="1"/>
  <c r="R40" i="1"/>
  <c r="H41" i="4" s="1"/>
  <c r="R41" i="1"/>
  <c r="H42" i="4" s="1"/>
  <c r="R42" i="1"/>
  <c r="H43" i="4" s="1"/>
  <c r="R43" i="1"/>
  <c r="H44" i="4" s="1"/>
  <c r="R44" i="1"/>
  <c r="H45" i="4" s="1"/>
  <c r="R45" i="1"/>
  <c r="H46" i="4" s="1"/>
  <c r="R46" i="1"/>
  <c r="H47" i="4" s="1"/>
  <c r="R47" i="1"/>
  <c r="H48" i="4" s="1"/>
  <c r="R48" i="1"/>
  <c r="H49" i="4" s="1"/>
  <c r="R49" i="1"/>
  <c r="H50" i="4" s="1"/>
  <c r="R50" i="1"/>
  <c r="H51" i="4" s="1"/>
  <c r="R51" i="1"/>
  <c r="H52" i="4" s="1"/>
  <c r="R52" i="1"/>
  <c r="H53" i="4" s="1"/>
  <c r="R53" i="1"/>
  <c r="H54" i="4" s="1"/>
  <c r="R54" i="1"/>
  <c r="H55" i="4" s="1"/>
  <c r="R55" i="1"/>
  <c r="R56" i="1"/>
  <c r="H57" i="4" s="1"/>
  <c r="R97" i="1"/>
  <c r="R57" i="1"/>
  <c r="H58" i="4" s="1"/>
  <c r="R58" i="1"/>
  <c r="H59" i="4" s="1"/>
  <c r="R59" i="1"/>
  <c r="H60" i="4" s="1"/>
  <c r="R60" i="1"/>
  <c r="H61" i="4" s="1"/>
  <c r="R61" i="1"/>
  <c r="H62" i="4" s="1"/>
  <c r="R62" i="1"/>
  <c r="H63" i="4" s="1"/>
  <c r="R63" i="1"/>
  <c r="H64" i="4" s="1"/>
  <c r="R64" i="1"/>
  <c r="H65" i="4" s="1"/>
  <c r="R65" i="1"/>
  <c r="H66" i="4" s="1"/>
  <c r="R66" i="1"/>
  <c r="H67" i="4" s="1"/>
  <c r="R67" i="1"/>
  <c r="H68" i="4" s="1"/>
  <c r="R68" i="1"/>
  <c r="H69" i="4" s="1"/>
  <c r="R69" i="1"/>
  <c r="H70" i="4" s="1"/>
  <c r="R107" i="1"/>
  <c r="R70" i="1"/>
  <c r="H71" i="4" s="1"/>
  <c r="R71" i="1"/>
  <c r="H72" i="4" s="1"/>
  <c r="R72" i="1"/>
  <c r="H73" i="4" s="1"/>
  <c r="R73" i="1"/>
  <c r="H74" i="4" s="1"/>
  <c r="R74" i="1"/>
  <c r="H75" i="4" s="1"/>
  <c r="R75" i="1"/>
  <c r="H76" i="4" s="1"/>
  <c r="R76" i="1"/>
  <c r="H77" i="4" s="1"/>
  <c r="R77" i="1"/>
  <c r="H78" i="4" s="1"/>
  <c r="R78" i="1"/>
  <c r="H79" i="4" s="1"/>
  <c r="R79" i="1"/>
  <c r="H80" i="4" s="1"/>
  <c r="R80" i="1"/>
  <c r="H81" i="4" s="1"/>
  <c r="R81" i="1"/>
  <c r="H82" i="4" s="1"/>
  <c r="R82" i="1"/>
  <c r="H83" i="4" s="1"/>
  <c r="R83" i="1"/>
  <c r="H84" i="4" s="1"/>
  <c r="R84" i="1"/>
  <c r="H85" i="4" s="1"/>
  <c r="R85" i="1"/>
  <c r="H86" i="4" s="1"/>
  <c r="R87" i="1"/>
  <c r="H88" i="4" s="1"/>
  <c r="R88" i="1"/>
  <c r="H89" i="4" s="1"/>
  <c r="R89" i="1"/>
  <c r="H90" i="4" s="1"/>
  <c r="R90" i="1"/>
  <c r="H91" i="4" s="1"/>
  <c r="R91" i="1"/>
  <c r="H92" i="4" s="1"/>
  <c r="R9" i="1"/>
  <c r="S10" i="1"/>
  <c r="J11" i="4" s="1"/>
  <c r="S11" i="1"/>
  <c r="J12" i="4" s="1"/>
  <c r="S12" i="1"/>
  <c r="J13" i="4" s="1"/>
  <c r="S13" i="1"/>
  <c r="J14" i="4" s="1"/>
  <c r="S14" i="1"/>
  <c r="J15" i="4" s="1"/>
  <c r="S15" i="1"/>
  <c r="J16" i="4" s="1"/>
  <c r="S16" i="1"/>
  <c r="J17" i="4" s="1"/>
  <c r="S17" i="1"/>
  <c r="J18" i="4" s="1"/>
  <c r="S18" i="1"/>
  <c r="J19" i="4" s="1"/>
  <c r="S19" i="1"/>
  <c r="J20" i="4" s="1"/>
  <c r="S20" i="1"/>
  <c r="J21" i="4" s="1"/>
  <c r="S21" i="1"/>
  <c r="J22" i="4" s="1"/>
  <c r="S22" i="1"/>
  <c r="J23" i="4" s="1"/>
  <c r="S23" i="1"/>
  <c r="J24" i="4" s="1"/>
  <c r="S24" i="1"/>
  <c r="J25" i="4" s="1"/>
  <c r="S25" i="1"/>
  <c r="J26" i="4" s="1"/>
  <c r="S26" i="1"/>
  <c r="J27" i="4" s="1"/>
  <c r="S27" i="1"/>
  <c r="J28" i="4" s="1"/>
  <c r="S28" i="1"/>
  <c r="J29" i="4" s="1"/>
  <c r="S29" i="1"/>
  <c r="J30" i="4" s="1"/>
  <c r="S30" i="1"/>
  <c r="J31" i="4" s="1"/>
  <c r="S31" i="1"/>
  <c r="J32" i="4" s="1"/>
  <c r="S32" i="1"/>
  <c r="J33" i="4" s="1"/>
  <c r="S33" i="1"/>
  <c r="J34" i="4" s="1"/>
  <c r="S34" i="1"/>
  <c r="J35" i="4" s="1"/>
  <c r="S35" i="1"/>
  <c r="J36" i="4" s="1"/>
  <c r="S36" i="1"/>
  <c r="J37" i="4" s="1"/>
  <c r="S37" i="1"/>
  <c r="J38" i="4" s="1"/>
  <c r="S38" i="1"/>
  <c r="J39" i="4" s="1"/>
  <c r="S39" i="1"/>
  <c r="J40" i="4" s="1"/>
  <c r="S40" i="1"/>
  <c r="J41" i="4" s="1"/>
  <c r="S41" i="1"/>
  <c r="J42" i="4" s="1"/>
  <c r="S42" i="1"/>
  <c r="J43" i="4" s="1"/>
  <c r="S43" i="1"/>
  <c r="J44" i="4" s="1"/>
  <c r="S44" i="1"/>
  <c r="J45" i="4" s="1"/>
  <c r="S45" i="1"/>
  <c r="J46" i="4" s="1"/>
  <c r="S46" i="1"/>
  <c r="J47" i="4" s="1"/>
  <c r="S47" i="1"/>
  <c r="J48" i="4" s="1"/>
  <c r="S48" i="1"/>
  <c r="J49" i="4" s="1"/>
  <c r="S49" i="1"/>
  <c r="J50" i="4" s="1"/>
  <c r="S50" i="1"/>
  <c r="J51" i="4" s="1"/>
  <c r="S51" i="1"/>
  <c r="J52" i="4" s="1"/>
  <c r="S52" i="1"/>
  <c r="J53" i="4" s="1"/>
  <c r="S53" i="1"/>
  <c r="J54" i="4" s="1"/>
  <c r="S54" i="1"/>
  <c r="J55" i="4" s="1"/>
  <c r="S55" i="1"/>
  <c r="J56" i="4" s="1"/>
  <c r="S56" i="1"/>
  <c r="J57" i="4" s="1"/>
  <c r="S97" i="1"/>
  <c r="S57" i="1"/>
  <c r="J58" i="4" s="1"/>
  <c r="S58" i="1"/>
  <c r="J59" i="4" s="1"/>
  <c r="S59" i="1"/>
  <c r="J60" i="4" s="1"/>
  <c r="S60" i="1"/>
  <c r="J61" i="4" s="1"/>
  <c r="S61" i="1"/>
  <c r="J62" i="4" s="1"/>
  <c r="S62" i="1"/>
  <c r="J63" i="4" s="1"/>
  <c r="S63" i="1"/>
  <c r="J64" i="4" s="1"/>
  <c r="S64" i="1"/>
  <c r="J65" i="4" s="1"/>
  <c r="S65" i="1"/>
  <c r="J66" i="4" s="1"/>
  <c r="S66" i="1"/>
  <c r="J67" i="4" s="1"/>
  <c r="S67" i="1"/>
  <c r="J68" i="4" s="1"/>
  <c r="S68" i="1"/>
  <c r="J69" i="4" s="1"/>
  <c r="S69" i="1"/>
  <c r="J70" i="4" s="1"/>
  <c r="S107" i="1"/>
  <c r="S70" i="1"/>
  <c r="J71" i="4" s="1"/>
  <c r="S71" i="1"/>
  <c r="J72" i="4" s="1"/>
  <c r="S72" i="1"/>
  <c r="J73" i="4" s="1"/>
  <c r="S73" i="1"/>
  <c r="J74" i="4" s="1"/>
  <c r="S74" i="1"/>
  <c r="J75" i="4" s="1"/>
  <c r="S75" i="1"/>
  <c r="J76" i="4" s="1"/>
  <c r="S76" i="1"/>
  <c r="J77" i="4" s="1"/>
  <c r="S77" i="1"/>
  <c r="J78" i="4" s="1"/>
  <c r="S78" i="1"/>
  <c r="J79" i="4" s="1"/>
  <c r="S79" i="1"/>
  <c r="J80" i="4" s="1"/>
  <c r="S80" i="1"/>
  <c r="J81" i="4" s="1"/>
  <c r="S81" i="1"/>
  <c r="J82" i="4" s="1"/>
  <c r="S82" i="1"/>
  <c r="J83" i="4" s="1"/>
  <c r="S83" i="1"/>
  <c r="J84" i="4" s="1"/>
  <c r="S84" i="1"/>
  <c r="J85" i="4" s="1"/>
  <c r="S85" i="1"/>
  <c r="J86" i="4" s="1"/>
  <c r="S86" i="1"/>
  <c r="J87" i="4" s="1"/>
  <c r="S87" i="1"/>
  <c r="J88" i="4" s="1"/>
  <c r="S88" i="1"/>
  <c r="J89" i="4" s="1"/>
  <c r="S89" i="1"/>
  <c r="J90" i="4" s="1"/>
  <c r="S90" i="1"/>
  <c r="J91" i="4" s="1"/>
  <c r="S91" i="1"/>
  <c r="J92" i="4" s="1"/>
  <c r="S9" i="1"/>
  <c r="N10" i="1"/>
  <c r="L11" i="2" s="1"/>
  <c r="N11" i="1"/>
  <c r="L12" i="2" s="1"/>
  <c r="N12" i="1"/>
  <c r="L13" i="2" s="1"/>
  <c r="N13" i="1"/>
  <c r="L14" i="2" s="1"/>
  <c r="N14" i="1"/>
  <c r="L15" i="2" s="1"/>
  <c r="N15" i="1"/>
  <c r="L16" i="2" s="1"/>
  <c r="N16" i="1"/>
  <c r="L17" i="2" s="1"/>
  <c r="N17" i="1"/>
  <c r="L18" i="2" s="1"/>
  <c r="N19" i="1"/>
  <c r="L20" i="2" s="1"/>
  <c r="N21" i="1"/>
  <c r="L22" i="2" s="1"/>
  <c r="N22" i="1"/>
  <c r="L23" i="2" s="1"/>
  <c r="N23" i="1"/>
  <c r="L24" i="2" s="1"/>
  <c r="N24" i="1"/>
  <c r="L25" i="2" s="1"/>
  <c r="N26" i="1"/>
  <c r="L27" i="2" s="1"/>
  <c r="N27" i="1"/>
  <c r="L28" i="2" s="1"/>
  <c r="N28" i="1"/>
  <c r="L29" i="2" s="1"/>
  <c r="N29" i="1"/>
  <c r="L30" i="2" s="1"/>
  <c r="N30" i="1"/>
  <c r="L31" i="2" s="1"/>
  <c r="N31" i="1"/>
  <c r="L32" i="2" s="1"/>
  <c r="N32" i="1"/>
  <c r="L33" i="2" s="1"/>
  <c r="N33" i="1"/>
  <c r="L34" i="2" s="1"/>
  <c r="N34" i="1"/>
  <c r="L35" i="2" s="1"/>
  <c r="N35" i="1"/>
  <c r="L36" i="2" s="1"/>
  <c r="N36" i="1"/>
  <c r="L37" i="2" s="1"/>
  <c r="N37" i="1"/>
  <c r="L38" i="2" s="1"/>
  <c r="N38" i="1"/>
  <c r="L39" i="2" s="1"/>
  <c r="N39" i="1"/>
  <c r="L40" i="2" s="1"/>
  <c r="N40" i="1"/>
  <c r="L41" i="2" s="1"/>
  <c r="N41" i="1"/>
  <c r="L42" i="2" s="1"/>
  <c r="N42" i="1"/>
  <c r="L43" i="2" s="1"/>
  <c r="N43" i="1"/>
  <c r="L44" i="2" s="1"/>
  <c r="N44" i="1"/>
  <c r="L45" i="2" s="1"/>
  <c r="N45" i="1"/>
  <c r="L46" i="2" s="1"/>
  <c r="N46" i="1"/>
  <c r="L47" i="2" s="1"/>
  <c r="N47" i="1"/>
  <c r="L48" i="2" s="1"/>
  <c r="N48" i="1"/>
  <c r="L49" i="2" s="1"/>
  <c r="N49" i="1"/>
  <c r="L50" i="2" s="1"/>
  <c r="N50" i="1"/>
  <c r="L51" i="2" s="1"/>
  <c r="N51" i="1"/>
  <c r="L52" i="2" s="1"/>
  <c r="N52" i="1"/>
  <c r="L53" i="2" s="1"/>
  <c r="N53" i="1"/>
  <c r="L54" i="2" s="1"/>
  <c r="N55" i="1"/>
  <c r="L56" i="2" s="1"/>
  <c r="N56" i="1"/>
  <c r="L57" i="2" s="1"/>
  <c r="N97" i="1"/>
  <c r="N57" i="1"/>
  <c r="L58" i="2" s="1"/>
  <c r="N58" i="1"/>
  <c r="L59" i="2" s="1"/>
  <c r="N59" i="1"/>
  <c r="L60" i="2" s="1"/>
  <c r="N60" i="1"/>
  <c r="L61" i="2" s="1"/>
  <c r="N61" i="1"/>
  <c r="L62" i="2" s="1"/>
  <c r="N62" i="1"/>
  <c r="L63" i="2" s="1"/>
  <c r="N63" i="1"/>
  <c r="L64" i="2" s="1"/>
  <c r="N64" i="1"/>
  <c r="L65" i="2" s="1"/>
  <c r="N65" i="1"/>
  <c r="L66" i="2" s="1"/>
  <c r="N66" i="1"/>
  <c r="L67" i="2" s="1"/>
  <c r="N67" i="1"/>
  <c r="L68" i="2" s="1"/>
  <c r="N68" i="1"/>
  <c r="L69" i="2" s="1"/>
  <c r="N69" i="1"/>
  <c r="L70" i="2" s="1"/>
  <c r="N107" i="1"/>
  <c r="N70" i="1"/>
  <c r="L71" i="2" s="1"/>
  <c r="N71" i="1"/>
  <c r="L72" i="2" s="1"/>
  <c r="N72" i="1"/>
  <c r="L73" i="2" s="1"/>
  <c r="N73" i="1"/>
  <c r="L74" i="2" s="1"/>
  <c r="N75" i="1"/>
  <c r="L76" i="2" s="1"/>
  <c r="N76" i="1"/>
  <c r="L77" i="2" s="1"/>
  <c r="N77" i="1"/>
  <c r="L78" i="2" s="1"/>
  <c r="N78" i="1"/>
  <c r="L79" i="2" s="1"/>
  <c r="N79" i="1"/>
  <c r="L80" i="2" s="1"/>
  <c r="N80" i="1"/>
  <c r="L81" i="2" s="1"/>
  <c r="N82" i="1"/>
  <c r="L83" i="2" s="1"/>
  <c r="N83" i="1"/>
  <c r="L84" i="2" s="1"/>
  <c r="N84" i="1"/>
  <c r="L85" i="2" s="1"/>
  <c r="N85" i="1"/>
  <c r="L86" i="2" s="1"/>
  <c r="N87" i="1"/>
  <c r="L88" i="2" s="1"/>
  <c r="N88" i="1"/>
  <c r="L89" i="2" s="1"/>
  <c r="N89" i="1"/>
  <c r="L90" i="2" s="1"/>
  <c r="N90" i="1"/>
  <c r="L91" i="2" s="1"/>
  <c r="N91" i="1"/>
  <c r="L92" i="2" s="1"/>
  <c r="N9" i="1"/>
  <c r="L10" i="2" s="1"/>
  <c r="M10" i="1"/>
  <c r="K11" i="2" s="1"/>
  <c r="M11" i="1"/>
  <c r="K12" i="2" s="1"/>
  <c r="M12" i="1"/>
  <c r="K13" i="2" s="1"/>
  <c r="M13" i="1"/>
  <c r="K14" i="2" s="1"/>
  <c r="M14" i="1"/>
  <c r="K15" i="2" s="1"/>
  <c r="M15" i="1"/>
  <c r="K16" i="2" s="1"/>
  <c r="M16" i="1"/>
  <c r="K17" i="2" s="1"/>
  <c r="M17" i="1"/>
  <c r="K18" i="2" s="1"/>
  <c r="M18" i="1"/>
  <c r="K19" i="2" s="1"/>
  <c r="M19" i="1"/>
  <c r="K20" i="2" s="1"/>
  <c r="M20" i="1"/>
  <c r="K21" i="2" s="1"/>
  <c r="M21" i="1"/>
  <c r="K22" i="2" s="1"/>
  <c r="M22" i="1"/>
  <c r="K23" i="2" s="1"/>
  <c r="M23" i="1"/>
  <c r="K24" i="2" s="1"/>
  <c r="M24" i="1"/>
  <c r="K25" i="2" s="1"/>
  <c r="M25" i="1"/>
  <c r="K26" i="2" s="1"/>
  <c r="M26" i="1"/>
  <c r="K27" i="2" s="1"/>
  <c r="M27" i="1"/>
  <c r="K28" i="2" s="1"/>
  <c r="M28" i="1"/>
  <c r="K29" i="2" s="1"/>
  <c r="M29" i="1"/>
  <c r="K30" i="2" s="1"/>
  <c r="M30" i="1"/>
  <c r="K31" i="2" s="1"/>
  <c r="M31" i="1"/>
  <c r="K32" i="2" s="1"/>
  <c r="M32" i="1"/>
  <c r="K33" i="2" s="1"/>
  <c r="M33" i="1"/>
  <c r="K34" i="2" s="1"/>
  <c r="M34" i="1"/>
  <c r="K35" i="2" s="1"/>
  <c r="M35" i="1"/>
  <c r="K36" i="2" s="1"/>
  <c r="M36" i="1"/>
  <c r="K37" i="2" s="1"/>
  <c r="M37" i="1"/>
  <c r="K38" i="2" s="1"/>
  <c r="M38" i="1"/>
  <c r="K39" i="2" s="1"/>
  <c r="M39" i="1"/>
  <c r="K40" i="2" s="1"/>
  <c r="M40" i="1"/>
  <c r="K41" i="2" s="1"/>
  <c r="M41" i="1"/>
  <c r="K42" i="2" s="1"/>
  <c r="M42" i="1"/>
  <c r="K43" i="2" s="1"/>
  <c r="M43" i="1"/>
  <c r="K44" i="2" s="1"/>
  <c r="M44" i="1"/>
  <c r="K45" i="2" s="1"/>
  <c r="M45" i="1"/>
  <c r="K46" i="2" s="1"/>
  <c r="M46" i="1"/>
  <c r="K47" i="2" s="1"/>
  <c r="M47" i="1"/>
  <c r="K48" i="2" s="1"/>
  <c r="M48" i="1"/>
  <c r="K49" i="2" s="1"/>
  <c r="M49" i="1"/>
  <c r="K50" i="2" s="1"/>
  <c r="M50" i="1"/>
  <c r="K51" i="2" s="1"/>
  <c r="M51" i="1"/>
  <c r="K52" i="2" s="1"/>
  <c r="M52" i="1"/>
  <c r="K53" i="2" s="1"/>
  <c r="M53" i="1"/>
  <c r="K54" i="2" s="1"/>
  <c r="M54" i="1"/>
  <c r="K55" i="2" s="1"/>
  <c r="M55" i="1"/>
  <c r="K56" i="2" s="1"/>
  <c r="M56" i="1"/>
  <c r="K57" i="2" s="1"/>
  <c r="M97" i="1"/>
  <c r="M57" i="1"/>
  <c r="K58" i="2" s="1"/>
  <c r="M58" i="1"/>
  <c r="K59" i="2" s="1"/>
  <c r="M59" i="1"/>
  <c r="K60" i="2" s="1"/>
  <c r="M60" i="1"/>
  <c r="K61" i="2" s="1"/>
  <c r="M61" i="1"/>
  <c r="K62" i="2" s="1"/>
  <c r="M62" i="1"/>
  <c r="K63" i="2" s="1"/>
  <c r="M63" i="1"/>
  <c r="K64" i="2" s="1"/>
  <c r="M64" i="1"/>
  <c r="K65" i="2" s="1"/>
  <c r="M65" i="1"/>
  <c r="K66" i="2" s="1"/>
  <c r="M66" i="1"/>
  <c r="K67" i="2" s="1"/>
  <c r="M67" i="1"/>
  <c r="K68" i="2" s="1"/>
  <c r="M68" i="1"/>
  <c r="K69" i="2" s="1"/>
  <c r="M69" i="1"/>
  <c r="K70" i="2" s="1"/>
  <c r="M107" i="1"/>
  <c r="M70" i="1"/>
  <c r="K71" i="2" s="1"/>
  <c r="M71" i="1"/>
  <c r="K72" i="2" s="1"/>
  <c r="M72" i="1"/>
  <c r="K73" i="2" s="1"/>
  <c r="M73" i="1"/>
  <c r="K74" i="2" s="1"/>
  <c r="M74" i="1"/>
  <c r="K75" i="2" s="1"/>
  <c r="M75" i="1"/>
  <c r="K76" i="2" s="1"/>
  <c r="M76" i="1"/>
  <c r="K77" i="2" s="1"/>
  <c r="M77" i="1"/>
  <c r="K78" i="2" s="1"/>
  <c r="M78" i="1"/>
  <c r="K79" i="2" s="1"/>
  <c r="M79" i="1"/>
  <c r="K80" i="2" s="1"/>
  <c r="M80" i="1"/>
  <c r="K81" i="2" s="1"/>
  <c r="M81" i="1"/>
  <c r="K82" i="2" s="1"/>
  <c r="M82" i="1"/>
  <c r="K83" i="2" s="1"/>
  <c r="M83" i="1"/>
  <c r="K84" i="2" s="1"/>
  <c r="M84" i="1"/>
  <c r="K85" i="2" s="1"/>
  <c r="M85" i="1"/>
  <c r="K86" i="2" s="1"/>
  <c r="M86" i="1"/>
  <c r="K87" i="2" s="1"/>
  <c r="M87" i="1"/>
  <c r="K88" i="2" s="1"/>
  <c r="M88" i="1"/>
  <c r="K89" i="2" s="1"/>
  <c r="M89" i="1"/>
  <c r="K90" i="2" s="1"/>
  <c r="M90" i="1"/>
  <c r="K91" i="2" s="1"/>
  <c r="M91" i="1"/>
  <c r="K92" i="2" s="1"/>
  <c r="M9" i="1"/>
  <c r="L10" i="1"/>
  <c r="J11" i="2" s="1"/>
  <c r="L11" i="1"/>
  <c r="J12" i="2" s="1"/>
  <c r="L12" i="1"/>
  <c r="J13" i="2" s="1"/>
  <c r="L13" i="1"/>
  <c r="J14" i="2" s="1"/>
  <c r="L14" i="1"/>
  <c r="J15" i="2" s="1"/>
  <c r="L15" i="1"/>
  <c r="J16" i="2" s="1"/>
  <c r="L16" i="1"/>
  <c r="J17" i="2" s="1"/>
  <c r="L17" i="1"/>
  <c r="J18" i="2" s="1"/>
  <c r="L18" i="1"/>
  <c r="J19" i="2" s="1"/>
  <c r="L19" i="1"/>
  <c r="J20" i="2" s="1"/>
  <c r="L20" i="1"/>
  <c r="J21" i="2" s="1"/>
  <c r="L21" i="1"/>
  <c r="J22" i="2" s="1"/>
  <c r="L22" i="1"/>
  <c r="J23" i="2" s="1"/>
  <c r="L23" i="1"/>
  <c r="J24" i="2" s="1"/>
  <c r="L24" i="1"/>
  <c r="J25" i="2" s="1"/>
  <c r="L25" i="1"/>
  <c r="J26" i="2" s="1"/>
  <c r="L26" i="1"/>
  <c r="J27" i="2" s="1"/>
  <c r="L27" i="1"/>
  <c r="J28" i="2" s="1"/>
  <c r="L28" i="1"/>
  <c r="J29" i="2" s="1"/>
  <c r="L29" i="1"/>
  <c r="J30" i="2" s="1"/>
  <c r="L30" i="1"/>
  <c r="J31" i="2" s="1"/>
  <c r="L31" i="1"/>
  <c r="J32" i="2" s="1"/>
  <c r="L32" i="1"/>
  <c r="J33" i="2" s="1"/>
  <c r="L33" i="1"/>
  <c r="J34" i="2" s="1"/>
  <c r="L34" i="1"/>
  <c r="J35" i="2" s="1"/>
  <c r="L35" i="1"/>
  <c r="J36" i="2" s="1"/>
  <c r="L36" i="1"/>
  <c r="J37" i="2" s="1"/>
  <c r="L37" i="1"/>
  <c r="J38" i="2" s="1"/>
  <c r="L38" i="1"/>
  <c r="J39" i="2" s="1"/>
  <c r="L39" i="1"/>
  <c r="J40" i="2" s="1"/>
  <c r="L40" i="1"/>
  <c r="J41" i="2" s="1"/>
  <c r="L41" i="1"/>
  <c r="J42" i="2" s="1"/>
  <c r="L42" i="1"/>
  <c r="J43" i="2" s="1"/>
  <c r="L43" i="1"/>
  <c r="J44" i="2" s="1"/>
  <c r="L44" i="1"/>
  <c r="J45" i="2" s="1"/>
  <c r="L45" i="1"/>
  <c r="J46" i="2" s="1"/>
  <c r="L46" i="1"/>
  <c r="J47" i="2" s="1"/>
  <c r="L47" i="1"/>
  <c r="J48" i="2" s="1"/>
  <c r="L48" i="1"/>
  <c r="J49" i="2" s="1"/>
  <c r="L49" i="1"/>
  <c r="J50" i="2" s="1"/>
  <c r="L50" i="1"/>
  <c r="J51" i="2" s="1"/>
  <c r="L51" i="1"/>
  <c r="J52" i="2" s="1"/>
  <c r="L52" i="1"/>
  <c r="J53" i="2" s="1"/>
  <c r="L53" i="1"/>
  <c r="J54" i="2" s="1"/>
  <c r="L54" i="1"/>
  <c r="J55" i="2" s="1"/>
  <c r="L55" i="1"/>
  <c r="J56" i="2" s="1"/>
  <c r="L56" i="1"/>
  <c r="J57" i="2" s="1"/>
  <c r="L97" i="1"/>
  <c r="L57" i="1"/>
  <c r="J58" i="2" s="1"/>
  <c r="L58" i="1"/>
  <c r="J59" i="2" s="1"/>
  <c r="L59" i="1"/>
  <c r="J60" i="2" s="1"/>
  <c r="L60" i="1"/>
  <c r="J61" i="2" s="1"/>
  <c r="L61" i="1"/>
  <c r="J62" i="2" s="1"/>
  <c r="L62" i="1"/>
  <c r="J63" i="2" s="1"/>
  <c r="L63" i="1"/>
  <c r="J64" i="2" s="1"/>
  <c r="L64" i="1"/>
  <c r="J65" i="2" s="1"/>
  <c r="L65" i="1"/>
  <c r="J66" i="2" s="1"/>
  <c r="L66" i="1"/>
  <c r="J67" i="2" s="1"/>
  <c r="L67" i="1"/>
  <c r="J68" i="2" s="1"/>
  <c r="L68" i="1"/>
  <c r="J69" i="2" s="1"/>
  <c r="L69" i="1"/>
  <c r="J70" i="2" s="1"/>
  <c r="L107" i="1"/>
  <c r="L70" i="1"/>
  <c r="J71" i="2" s="1"/>
  <c r="L71" i="1"/>
  <c r="J72" i="2" s="1"/>
  <c r="L72" i="1"/>
  <c r="J73" i="2" s="1"/>
  <c r="L73" i="1"/>
  <c r="J74" i="2" s="1"/>
  <c r="L74" i="1"/>
  <c r="J75" i="2" s="1"/>
  <c r="L75" i="1"/>
  <c r="J76" i="2" s="1"/>
  <c r="L76" i="1"/>
  <c r="J77" i="2" s="1"/>
  <c r="L77" i="1"/>
  <c r="J78" i="2" s="1"/>
  <c r="L78" i="1"/>
  <c r="J79" i="2" s="1"/>
  <c r="L79" i="1"/>
  <c r="J80" i="2" s="1"/>
  <c r="L80" i="1"/>
  <c r="J81" i="2" s="1"/>
  <c r="L81" i="1"/>
  <c r="J82" i="2" s="1"/>
  <c r="L82" i="1"/>
  <c r="J83" i="2" s="1"/>
  <c r="L83" i="1"/>
  <c r="J84" i="2" s="1"/>
  <c r="L84" i="1"/>
  <c r="J85" i="2" s="1"/>
  <c r="L85" i="1"/>
  <c r="J86" i="2" s="1"/>
  <c r="L86" i="1"/>
  <c r="J87" i="2" s="1"/>
  <c r="L87" i="1"/>
  <c r="J88" i="2" s="1"/>
  <c r="L88" i="1"/>
  <c r="J89" i="2" s="1"/>
  <c r="L89" i="1"/>
  <c r="J90" i="2" s="1"/>
  <c r="L90" i="1"/>
  <c r="J91" i="2" s="1"/>
  <c r="L91" i="1"/>
  <c r="J92" i="2" s="1"/>
  <c r="L9" i="1"/>
  <c r="H10" i="1"/>
  <c r="F11" i="2" s="1"/>
  <c r="I10" i="1"/>
  <c r="G11" i="2" s="1"/>
  <c r="J10" i="1"/>
  <c r="H11" i="2" s="1"/>
  <c r="K10" i="1"/>
  <c r="I11" i="2" s="1"/>
  <c r="H11" i="1"/>
  <c r="F12" i="2" s="1"/>
  <c r="K11" i="1"/>
  <c r="I12" i="2" s="1"/>
  <c r="H12" i="1"/>
  <c r="F13" i="2" s="1"/>
  <c r="I12" i="1"/>
  <c r="G13" i="2" s="1"/>
  <c r="J12" i="1"/>
  <c r="H13" i="2" s="1"/>
  <c r="K12" i="1"/>
  <c r="I13" i="2" s="1"/>
  <c r="H13" i="1"/>
  <c r="F14" i="2" s="1"/>
  <c r="I13" i="1"/>
  <c r="J13" i="1"/>
  <c r="H14" i="2" s="1"/>
  <c r="K13" i="1"/>
  <c r="I14" i="2" s="1"/>
  <c r="H14" i="1"/>
  <c r="F15" i="2" s="1"/>
  <c r="I14" i="1"/>
  <c r="G15" i="2" s="1"/>
  <c r="J14" i="1"/>
  <c r="H15" i="2" s="1"/>
  <c r="K14" i="1"/>
  <c r="I15" i="2" s="1"/>
  <c r="H15" i="1"/>
  <c r="F16" i="2" s="1"/>
  <c r="I15" i="1"/>
  <c r="J15" i="1"/>
  <c r="H16" i="2" s="1"/>
  <c r="K15" i="1"/>
  <c r="I16" i="2" s="1"/>
  <c r="H16" i="1"/>
  <c r="F17" i="2" s="1"/>
  <c r="I16" i="1"/>
  <c r="G17" i="2" s="1"/>
  <c r="J16" i="1"/>
  <c r="H17" i="2" s="1"/>
  <c r="K16" i="1"/>
  <c r="I17" i="2" s="1"/>
  <c r="H17" i="1"/>
  <c r="F18" i="2" s="1"/>
  <c r="K17" i="1"/>
  <c r="I18" i="2" s="1"/>
  <c r="H18" i="1"/>
  <c r="F19" i="2" s="1"/>
  <c r="I18" i="1"/>
  <c r="G19" i="2" s="1"/>
  <c r="J18" i="1"/>
  <c r="H19" i="2" s="1"/>
  <c r="K18" i="1"/>
  <c r="I19" i="2" s="1"/>
  <c r="H19" i="1"/>
  <c r="F20" i="2" s="1"/>
  <c r="I19" i="1"/>
  <c r="J19" i="1"/>
  <c r="H20" i="2" s="1"/>
  <c r="K19" i="1"/>
  <c r="I20" i="2" s="1"/>
  <c r="H20" i="1"/>
  <c r="F21" i="2" s="1"/>
  <c r="I20" i="1"/>
  <c r="G21" i="2" s="1"/>
  <c r="J20" i="1"/>
  <c r="H21" i="2" s="1"/>
  <c r="K20" i="1"/>
  <c r="I21" i="2" s="1"/>
  <c r="H21" i="1"/>
  <c r="F22" i="2" s="1"/>
  <c r="I21" i="1"/>
  <c r="J21" i="1"/>
  <c r="H22" i="2" s="1"/>
  <c r="K21" i="1"/>
  <c r="I22" i="2" s="1"/>
  <c r="H22" i="1"/>
  <c r="F23" i="2" s="1"/>
  <c r="K22" i="1"/>
  <c r="I23" i="2" s="1"/>
  <c r="H23" i="1"/>
  <c r="F24" i="2" s="1"/>
  <c r="I23" i="1"/>
  <c r="J23" i="1"/>
  <c r="H24" i="2" s="1"/>
  <c r="K23" i="1"/>
  <c r="I24" i="2" s="1"/>
  <c r="J24" i="1"/>
  <c r="H25" i="2" s="1"/>
  <c r="K24" i="1"/>
  <c r="I25" i="2" s="1"/>
  <c r="H25" i="1"/>
  <c r="F26" i="2" s="1"/>
  <c r="I25" i="1"/>
  <c r="J25" i="1"/>
  <c r="H26" i="2" s="1"/>
  <c r="K25" i="1"/>
  <c r="I26" i="2" s="1"/>
  <c r="H26" i="1"/>
  <c r="F27" i="2" s="1"/>
  <c r="I26" i="1"/>
  <c r="G27" i="2" s="1"/>
  <c r="J26" i="1"/>
  <c r="H27" i="2" s="1"/>
  <c r="K26" i="1"/>
  <c r="I27" i="2" s="1"/>
  <c r="H27" i="1"/>
  <c r="F28" i="2" s="1"/>
  <c r="I27" i="1"/>
  <c r="J27" i="1"/>
  <c r="H28" i="2" s="1"/>
  <c r="K27" i="1"/>
  <c r="I28" i="2" s="1"/>
  <c r="H28" i="1"/>
  <c r="F29" i="2" s="1"/>
  <c r="I28" i="1"/>
  <c r="G29" i="2" s="1"/>
  <c r="J28" i="1"/>
  <c r="H29" i="2" s="1"/>
  <c r="K28" i="1"/>
  <c r="I29" i="2" s="1"/>
  <c r="H29" i="1"/>
  <c r="F30" i="2" s="1"/>
  <c r="I29" i="1"/>
  <c r="J29" i="1"/>
  <c r="H30" i="2" s="1"/>
  <c r="K29" i="1"/>
  <c r="I30" i="2" s="1"/>
  <c r="H30" i="1"/>
  <c r="F31" i="2" s="1"/>
  <c r="I30" i="1"/>
  <c r="G31" i="2" s="1"/>
  <c r="J30" i="1"/>
  <c r="H31" i="2" s="1"/>
  <c r="K30" i="1"/>
  <c r="I31" i="2" s="1"/>
  <c r="H31" i="1"/>
  <c r="F32" i="2" s="1"/>
  <c r="K31" i="1"/>
  <c r="I32" i="2" s="1"/>
  <c r="H32" i="1"/>
  <c r="F33" i="2" s="1"/>
  <c r="K32" i="1"/>
  <c r="I33" i="2" s="1"/>
  <c r="H33" i="1"/>
  <c r="F34" i="2" s="1"/>
  <c r="I33" i="1"/>
  <c r="J33" i="1"/>
  <c r="H34" i="2" s="1"/>
  <c r="K33" i="1"/>
  <c r="I34" i="2" s="1"/>
  <c r="H34" i="1"/>
  <c r="F35" i="2" s="1"/>
  <c r="I34" i="1"/>
  <c r="G35" i="2" s="1"/>
  <c r="J34" i="1"/>
  <c r="H35" i="2" s="1"/>
  <c r="K34" i="1"/>
  <c r="I35" i="2" s="1"/>
  <c r="H35" i="1"/>
  <c r="F36" i="2" s="1"/>
  <c r="I35" i="1"/>
  <c r="J35" i="1"/>
  <c r="H36" i="2" s="1"/>
  <c r="K35" i="1"/>
  <c r="I36" i="2" s="1"/>
  <c r="H36" i="1"/>
  <c r="F37" i="2" s="1"/>
  <c r="I36" i="1"/>
  <c r="G37" i="2" s="1"/>
  <c r="J36" i="1"/>
  <c r="H37" i="2" s="1"/>
  <c r="K36" i="1"/>
  <c r="I37" i="2" s="1"/>
  <c r="H37" i="1"/>
  <c r="F38" i="2" s="1"/>
  <c r="I37" i="1"/>
  <c r="J37" i="1"/>
  <c r="H38" i="2" s="1"/>
  <c r="K37" i="1"/>
  <c r="I38" i="2" s="1"/>
  <c r="H38" i="1"/>
  <c r="F39" i="2" s="1"/>
  <c r="I38" i="1"/>
  <c r="G39" i="2" s="1"/>
  <c r="J38" i="1"/>
  <c r="H39" i="2" s="1"/>
  <c r="K38" i="1"/>
  <c r="I39" i="2" s="1"/>
  <c r="H39" i="1"/>
  <c r="F40" i="2" s="1"/>
  <c r="I39" i="1"/>
  <c r="J39" i="1"/>
  <c r="H40" i="2" s="1"/>
  <c r="K39" i="1"/>
  <c r="I40" i="2" s="1"/>
  <c r="H40" i="1"/>
  <c r="F41" i="2" s="1"/>
  <c r="I40" i="1"/>
  <c r="G41" i="2" s="1"/>
  <c r="J40" i="1"/>
  <c r="H41" i="2" s="1"/>
  <c r="K40" i="1"/>
  <c r="I41" i="2" s="1"/>
  <c r="H41" i="1"/>
  <c r="F42" i="2" s="1"/>
  <c r="I41" i="1"/>
  <c r="J41" i="1"/>
  <c r="H42" i="2" s="1"/>
  <c r="K41" i="1"/>
  <c r="I42" i="2" s="1"/>
  <c r="H42" i="1"/>
  <c r="F43" i="2" s="1"/>
  <c r="I42" i="1"/>
  <c r="G43" i="2" s="1"/>
  <c r="J42" i="1"/>
  <c r="H43" i="2" s="1"/>
  <c r="K42" i="1"/>
  <c r="I43" i="2" s="1"/>
  <c r="H43" i="1"/>
  <c r="F44" i="2" s="1"/>
  <c r="I43" i="1"/>
  <c r="J43" i="1"/>
  <c r="H44" i="2" s="1"/>
  <c r="K43" i="1"/>
  <c r="I44" i="2" s="1"/>
  <c r="H44" i="1"/>
  <c r="F45" i="2" s="1"/>
  <c r="I44" i="1"/>
  <c r="G45" i="2" s="1"/>
  <c r="J44" i="1"/>
  <c r="H45" i="2" s="1"/>
  <c r="K44" i="1"/>
  <c r="I45" i="2" s="1"/>
  <c r="H45" i="1"/>
  <c r="F46" i="2" s="1"/>
  <c r="I45" i="1"/>
  <c r="J45" i="1"/>
  <c r="H46" i="2" s="1"/>
  <c r="K45" i="1"/>
  <c r="I46" i="2" s="1"/>
  <c r="H46" i="1"/>
  <c r="F47" i="2" s="1"/>
  <c r="K46" i="1"/>
  <c r="I47" i="2" s="1"/>
  <c r="H47" i="1"/>
  <c r="F48" i="2" s="1"/>
  <c r="K47" i="1"/>
  <c r="I48" i="2" s="1"/>
  <c r="H48" i="1"/>
  <c r="F49" i="2" s="1"/>
  <c r="K48" i="1"/>
  <c r="I49" i="2" s="1"/>
  <c r="H49" i="1"/>
  <c r="F50" i="2" s="1"/>
  <c r="I49" i="1"/>
  <c r="J49" i="1"/>
  <c r="H50" i="2" s="1"/>
  <c r="K49" i="1"/>
  <c r="I50" i="2" s="1"/>
  <c r="H50" i="1"/>
  <c r="F51" i="2" s="1"/>
  <c r="I50" i="1"/>
  <c r="G51" i="2" s="1"/>
  <c r="K50" i="1"/>
  <c r="I51" i="2" s="1"/>
  <c r="H51" i="1"/>
  <c r="F52" i="2" s="1"/>
  <c r="I51" i="1"/>
  <c r="J51" i="1"/>
  <c r="H52" i="2" s="1"/>
  <c r="K51" i="1"/>
  <c r="I52" i="2" s="1"/>
  <c r="H52" i="1"/>
  <c r="F53" i="2" s="1"/>
  <c r="I52" i="1"/>
  <c r="G53" i="2" s="1"/>
  <c r="J52" i="1"/>
  <c r="H53" i="2" s="1"/>
  <c r="K52" i="1"/>
  <c r="I53" i="2" s="1"/>
  <c r="H53" i="1"/>
  <c r="F54" i="2" s="1"/>
  <c r="I53" i="1"/>
  <c r="J53" i="1"/>
  <c r="H54" i="2" s="1"/>
  <c r="K53" i="1"/>
  <c r="I54" i="2" s="1"/>
  <c r="H54" i="1"/>
  <c r="F55" i="2" s="1"/>
  <c r="I54" i="1"/>
  <c r="G55" i="2" s="1"/>
  <c r="J54" i="1"/>
  <c r="H55" i="2" s="1"/>
  <c r="K54" i="1"/>
  <c r="I55" i="2" s="1"/>
  <c r="H55" i="1"/>
  <c r="F56" i="2" s="1"/>
  <c r="I55" i="1"/>
  <c r="J55" i="1"/>
  <c r="H56" i="2" s="1"/>
  <c r="K55" i="1"/>
  <c r="I56" i="2" s="1"/>
  <c r="H56" i="1"/>
  <c r="F57" i="2" s="1"/>
  <c r="I56" i="1"/>
  <c r="G57" i="2" s="1"/>
  <c r="J56" i="1"/>
  <c r="H57" i="2" s="1"/>
  <c r="K56" i="1"/>
  <c r="I57" i="2" s="1"/>
  <c r="H97" i="1"/>
  <c r="I97" i="1"/>
  <c r="J97" i="1"/>
  <c r="K97" i="1"/>
  <c r="H57" i="1"/>
  <c r="F58" i="2" s="1"/>
  <c r="I57" i="1"/>
  <c r="G58" i="2" s="1"/>
  <c r="J57" i="1"/>
  <c r="H58" i="2" s="1"/>
  <c r="K57" i="1"/>
  <c r="I58" i="2" s="1"/>
  <c r="H58" i="1"/>
  <c r="F59" i="2" s="1"/>
  <c r="I58" i="1"/>
  <c r="J58" i="1"/>
  <c r="H59" i="2" s="1"/>
  <c r="K58" i="1"/>
  <c r="I59" i="2" s="1"/>
  <c r="H59" i="1"/>
  <c r="F60" i="2" s="1"/>
  <c r="I59" i="1"/>
  <c r="G60" i="2" s="1"/>
  <c r="J59" i="1"/>
  <c r="H60" i="2" s="1"/>
  <c r="K59" i="1"/>
  <c r="I60" i="2" s="1"/>
  <c r="J60" i="1"/>
  <c r="H61" i="2" s="1"/>
  <c r="K60" i="1"/>
  <c r="I61" i="2" s="1"/>
  <c r="H61" i="1"/>
  <c r="F62" i="2" s="1"/>
  <c r="K61" i="1"/>
  <c r="I62" i="2" s="1"/>
  <c r="H62" i="1"/>
  <c r="F63" i="2" s="1"/>
  <c r="I62" i="1"/>
  <c r="G63" i="2" s="1"/>
  <c r="J62" i="1"/>
  <c r="H63" i="2" s="1"/>
  <c r="K62" i="1"/>
  <c r="I63" i="2" s="1"/>
  <c r="H63" i="1"/>
  <c r="F64" i="2" s="1"/>
  <c r="K63" i="1"/>
  <c r="I64" i="2" s="1"/>
  <c r="H64" i="1"/>
  <c r="F65" i="2" s="1"/>
  <c r="I64" i="1"/>
  <c r="J64" i="1"/>
  <c r="H65" i="2" s="1"/>
  <c r="K64" i="1"/>
  <c r="I65" i="2" s="1"/>
  <c r="H65" i="1"/>
  <c r="F66" i="2" s="1"/>
  <c r="I65" i="1"/>
  <c r="G66" i="2" s="1"/>
  <c r="J65" i="1"/>
  <c r="H66" i="2" s="1"/>
  <c r="K65" i="1"/>
  <c r="I66" i="2" s="1"/>
  <c r="H66" i="1"/>
  <c r="F67" i="2" s="1"/>
  <c r="I66" i="1"/>
  <c r="J66" i="1"/>
  <c r="H67" i="2" s="1"/>
  <c r="K66" i="1"/>
  <c r="I67" i="2" s="1"/>
  <c r="H67" i="1"/>
  <c r="F68" i="2" s="1"/>
  <c r="I67" i="1"/>
  <c r="G68" i="2" s="1"/>
  <c r="J67" i="1"/>
  <c r="H68" i="2" s="1"/>
  <c r="K67" i="1"/>
  <c r="I68" i="2" s="1"/>
  <c r="H68" i="1"/>
  <c r="F69" i="2" s="1"/>
  <c r="K68" i="1"/>
  <c r="I69" i="2" s="1"/>
  <c r="H69" i="1"/>
  <c r="F70" i="2" s="1"/>
  <c r="K69" i="1"/>
  <c r="I70" i="2" s="1"/>
  <c r="H107" i="1"/>
  <c r="I107" i="1"/>
  <c r="J107" i="1"/>
  <c r="K107" i="1"/>
  <c r="H70" i="1"/>
  <c r="F71" i="2" s="1"/>
  <c r="I70" i="1"/>
  <c r="G71" i="2" s="1"/>
  <c r="J70" i="1"/>
  <c r="H71" i="2" s="1"/>
  <c r="K70" i="1"/>
  <c r="I71" i="2" s="1"/>
  <c r="H71" i="1"/>
  <c r="F72" i="2" s="1"/>
  <c r="K71" i="1"/>
  <c r="I72" i="2" s="1"/>
  <c r="H72" i="1"/>
  <c r="F73" i="2" s="1"/>
  <c r="I72" i="1"/>
  <c r="J72" i="1"/>
  <c r="H73" i="2" s="1"/>
  <c r="K72" i="1"/>
  <c r="H73" i="1"/>
  <c r="F74" i="2" s="1"/>
  <c r="I73" i="1"/>
  <c r="G74" i="2" s="1"/>
  <c r="J73" i="1"/>
  <c r="H74" i="2" s="1"/>
  <c r="K73" i="1"/>
  <c r="I74" i="2" s="1"/>
  <c r="H74" i="1"/>
  <c r="F75" i="2" s="1"/>
  <c r="I74" i="1"/>
  <c r="J74" i="1"/>
  <c r="H75" i="2" s="1"/>
  <c r="K74" i="1"/>
  <c r="I75" i="2" s="1"/>
  <c r="H75" i="1"/>
  <c r="F76" i="2" s="1"/>
  <c r="I75" i="1"/>
  <c r="G76" i="2" s="1"/>
  <c r="J75" i="1"/>
  <c r="H76" i="2" s="1"/>
  <c r="K75" i="1"/>
  <c r="I76" i="2" s="1"/>
  <c r="H76" i="1"/>
  <c r="F77" i="2" s="1"/>
  <c r="I76" i="1"/>
  <c r="J76" i="1"/>
  <c r="H77" i="2" s="1"/>
  <c r="K76" i="1"/>
  <c r="I77" i="2" s="1"/>
  <c r="H77" i="1"/>
  <c r="F78" i="2" s="1"/>
  <c r="I77" i="1"/>
  <c r="G78" i="2" s="1"/>
  <c r="J77" i="1"/>
  <c r="H78" i="2" s="1"/>
  <c r="K77" i="1"/>
  <c r="I78" i="2" s="1"/>
  <c r="H78" i="1"/>
  <c r="F79" i="2" s="1"/>
  <c r="K78" i="1"/>
  <c r="I79" i="2" s="1"/>
  <c r="H79" i="1"/>
  <c r="F80" i="2" s="1"/>
  <c r="K79" i="1"/>
  <c r="I80" i="2" s="1"/>
  <c r="H80" i="1"/>
  <c r="F81" i="2" s="1"/>
  <c r="I80" i="1"/>
  <c r="J80" i="1"/>
  <c r="H81" i="2" s="1"/>
  <c r="K80" i="1"/>
  <c r="I81" i="2" s="1"/>
  <c r="H81" i="1"/>
  <c r="F82" i="2" s="1"/>
  <c r="I81" i="1"/>
  <c r="G82" i="2" s="1"/>
  <c r="J81" i="1"/>
  <c r="H82" i="2" s="1"/>
  <c r="K81" i="1"/>
  <c r="I82" i="2" s="1"/>
  <c r="H82" i="1"/>
  <c r="F83" i="2" s="1"/>
  <c r="I82" i="1"/>
  <c r="J82" i="1"/>
  <c r="H83" i="2" s="1"/>
  <c r="K82" i="1"/>
  <c r="I83" i="2" s="1"/>
  <c r="H83" i="1"/>
  <c r="F84" i="2" s="1"/>
  <c r="I83" i="1"/>
  <c r="G84" i="2" s="1"/>
  <c r="J83" i="1"/>
  <c r="H84" i="2" s="1"/>
  <c r="K83" i="1"/>
  <c r="I84" i="2" s="1"/>
  <c r="H84" i="1"/>
  <c r="F85" i="2" s="1"/>
  <c r="I84" i="1"/>
  <c r="J84" i="1"/>
  <c r="H85" i="2" s="1"/>
  <c r="K84" i="1"/>
  <c r="I85" i="2" s="1"/>
  <c r="H85" i="1"/>
  <c r="F86" i="2" s="1"/>
  <c r="I85" i="1"/>
  <c r="G86" i="2" s="1"/>
  <c r="J85" i="1"/>
  <c r="H86" i="2" s="1"/>
  <c r="K85" i="1"/>
  <c r="I86" i="2" s="1"/>
  <c r="H86" i="1"/>
  <c r="F87" i="2" s="1"/>
  <c r="I86" i="1"/>
  <c r="J86" i="1"/>
  <c r="H87" i="2" s="1"/>
  <c r="K86" i="1"/>
  <c r="I87" i="2" s="1"/>
  <c r="H87" i="1"/>
  <c r="F88" i="2" s="1"/>
  <c r="I87" i="1"/>
  <c r="G88" i="2" s="1"/>
  <c r="J87" i="1"/>
  <c r="H88" i="2" s="1"/>
  <c r="K87" i="1"/>
  <c r="I88" i="2" s="1"/>
  <c r="H88" i="1"/>
  <c r="F89" i="2" s="1"/>
  <c r="K88" i="1"/>
  <c r="I89" i="2" s="1"/>
  <c r="H89" i="1"/>
  <c r="F90" i="2" s="1"/>
  <c r="I89" i="1"/>
  <c r="J89" i="1"/>
  <c r="H90" i="2" s="1"/>
  <c r="K89" i="1"/>
  <c r="I90" i="2" s="1"/>
  <c r="H90" i="1"/>
  <c r="F91" i="2" s="1"/>
  <c r="I90" i="1"/>
  <c r="G91" i="2" s="1"/>
  <c r="J90" i="1"/>
  <c r="H91" i="2" s="1"/>
  <c r="K90" i="1"/>
  <c r="I91" i="2" s="1"/>
  <c r="H91" i="1"/>
  <c r="F92" i="2" s="1"/>
  <c r="I91" i="1"/>
  <c r="J91" i="1"/>
  <c r="H92" i="2" s="1"/>
  <c r="K91" i="1"/>
  <c r="I92" i="2" s="1"/>
  <c r="I9" i="1"/>
  <c r="G10" i="2" s="1"/>
  <c r="J9" i="1"/>
  <c r="H10" i="2" s="1"/>
  <c r="K9" i="1"/>
  <c r="H9" i="1"/>
  <c r="E10" i="1"/>
  <c r="E11" i="1"/>
  <c r="E12" i="1"/>
  <c r="E106" i="1"/>
  <c r="E13" i="1"/>
  <c r="E14" i="1"/>
  <c r="E15" i="1"/>
  <c r="E16" i="1"/>
  <c r="E17" i="1"/>
  <c r="E18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97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107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" i="1"/>
  <c r="D106" i="1"/>
  <c r="AF107" i="1"/>
  <c r="AF106" i="1"/>
  <c r="AF102" i="1"/>
  <c r="AX98" i="1"/>
  <c r="BI98" i="1" s="1"/>
  <c r="BQ94" i="1"/>
  <c r="BP94" i="1"/>
  <c r="BO94" i="1"/>
  <c r="BM94" i="1"/>
  <c r="BM96" i="1" s="1"/>
  <c r="BG94" i="1"/>
  <c r="BG96" i="1" s="1"/>
  <c r="BF94" i="1"/>
  <c r="BF96" i="1" s="1"/>
  <c r="BE94" i="1"/>
  <c r="BD94" i="1"/>
  <c r="BD96" i="1" s="1"/>
  <c r="AY94" i="1"/>
  <c r="AW94" i="1"/>
  <c r="AW96" i="1" s="1"/>
  <c r="AV94" i="1"/>
  <c r="AU94" i="1"/>
  <c r="BL92" i="1"/>
  <c r="BJ92" i="1"/>
  <c r="AQ58" i="1"/>
  <c r="AR58" i="1" s="1"/>
  <c r="AQ97" i="1"/>
  <c r="AO57" i="1"/>
  <c r="AQ38" i="1"/>
  <c r="AR38" i="1" s="1"/>
  <c r="AQ85" i="1"/>
  <c r="AR85" i="1" s="1"/>
  <c r="AQ70" i="1"/>
  <c r="AR70" i="1" s="1"/>
  <c r="AQ91" i="1"/>
  <c r="AR91" i="1" s="1"/>
  <c r="AQ90" i="1"/>
  <c r="AR90" i="1" s="1"/>
  <c r="AQ89" i="1"/>
  <c r="AR89" i="1" s="1"/>
  <c r="AQ88" i="1"/>
  <c r="AR88" i="1" s="1"/>
  <c r="AQ87" i="1"/>
  <c r="AR87" i="1" s="1"/>
  <c r="AQ86" i="1"/>
  <c r="AR86" i="1" s="1"/>
  <c r="AQ84" i="1"/>
  <c r="AR84" i="1" s="1"/>
  <c r="AQ83" i="1"/>
  <c r="AR83" i="1" s="1"/>
  <c r="AQ82" i="1"/>
  <c r="AR82" i="1" s="1"/>
  <c r="BH81" i="1"/>
  <c r="N81" i="1" s="1"/>
  <c r="L82" i="2" s="1"/>
  <c r="AQ81" i="1"/>
  <c r="AR81" i="1" s="1"/>
  <c r="AQ80" i="1"/>
  <c r="AR80" i="1" s="1"/>
  <c r="AQ79" i="1"/>
  <c r="AR79" i="1" s="1"/>
  <c r="AQ78" i="1"/>
  <c r="AR78" i="1" s="1"/>
  <c r="AQ77" i="1"/>
  <c r="AR77" i="1" s="1"/>
  <c r="AQ76" i="1"/>
  <c r="AR76" i="1" s="1"/>
  <c r="AQ75" i="1"/>
  <c r="AR75" i="1" s="1"/>
  <c r="BH74" i="1"/>
  <c r="N74" i="1" s="1"/>
  <c r="L75" i="2" s="1"/>
  <c r="AQ74" i="1"/>
  <c r="AR74" i="1" s="1"/>
  <c r="AQ73" i="1"/>
  <c r="AR73" i="1" s="1"/>
  <c r="AQ72" i="1"/>
  <c r="AR72" i="1" s="1"/>
  <c r="AQ71" i="1"/>
  <c r="AR71" i="1" s="1"/>
  <c r="AQ107" i="1"/>
  <c r="AX107" i="1" s="1"/>
  <c r="BL107" i="1" s="1"/>
  <c r="W107" i="1" s="1"/>
  <c r="AQ69" i="1"/>
  <c r="AR69" i="1" s="1"/>
  <c r="AQ68" i="1"/>
  <c r="AR68" i="1" s="1"/>
  <c r="AQ67" i="1"/>
  <c r="AR67" i="1" s="1"/>
  <c r="AQ66" i="1"/>
  <c r="AR66" i="1" s="1"/>
  <c r="AQ65" i="1"/>
  <c r="AR65" i="1" s="1"/>
  <c r="AQ64" i="1"/>
  <c r="AR64" i="1" s="1"/>
  <c r="AQ61" i="1"/>
  <c r="AR61" i="1" s="1"/>
  <c r="AQ63" i="1"/>
  <c r="AR63" i="1" s="1"/>
  <c r="AQ62" i="1"/>
  <c r="AR62" i="1" s="1"/>
  <c r="AQ60" i="1"/>
  <c r="AR60" i="1" s="1"/>
  <c r="AQ59" i="1"/>
  <c r="AR59" i="1" s="1"/>
  <c r="AQ56" i="1"/>
  <c r="AR56" i="1" s="1"/>
  <c r="AQ55" i="1"/>
  <c r="AR55" i="1" s="1"/>
  <c r="AQ54" i="1"/>
  <c r="AR54" i="1" s="1"/>
  <c r="AQ53" i="1"/>
  <c r="AR53" i="1" s="1"/>
  <c r="AQ52" i="1"/>
  <c r="AR52" i="1" s="1"/>
  <c r="AQ50" i="1"/>
  <c r="AR50" i="1" s="1"/>
  <c r="AQ49" i="1"/>
  <c r="AR49" i="1" s="1"/>
  <c r="AQ48" i="1"/>
  <c r="AR48" i="1" s="1"/>
  <c r="AQ47" i="1"/>
  <c r="AR47" i="1" s="1"/>
  <c r="AQ46" i="1"/>
  <c r="AR46" i="1" s="1"/>
  <c r="AQ51" i="1"/>
  <c r="AR51" i="1" s="1"/>
  <c r="AQ45" i="1"/>
  <c r="AR45" i="1" s="1"/>
  <c r="AQ44" i="1"/>
  <c r="AR44" i="1" s="1"/>
  <c r="AQ43" i="1"/>
  <c r="AR43" i="1" s="1"/>
  <c r="AQ42" i="1"/>
  <c r="AR42" i="1" s="1"/>
  <c r="AQ41" i="1"/>
  <c r="AR41" i="1" s="1"/>
  <c r="AQ40" i="1"/>
  <c r="AR40" i="1" s="1"/>
  <c r="AQ39" i="1"/>
  <c r="AR39" i="1" s="1"/>
  <c r="AQ37" i="1"/>
  <c r="AR37" i="1" s="1"/>
  <c r="AS36" i="1"/>
  <c r="E36" i="1" s="1"/>
  <c r="AQ36" i="1"/>
  <c r="AR36" i="1" s="1"/>
  <c r="AQ35" i="1"/>
  <c r="AR35" i="1" s="1"/>
  <c r="AQ34" i="1"/>
  <c r="AR34" i="1" s="1"/>
  <c r="AQ33" i="1"/>
  <c r="AR33" i="1" s="1"/>
  <c r="AQ32" i="1"/>
  <c r="AR32" i="1" s="1"/>
  <c r="AQ31" i="1"/>
  <c r="AR31" i="1" s="1"/>
  <c r="AQ30" i="1"/>
  <c r="AR30" i="1" s="1"/>
  <c r="AQ29" i="1"/>
  <c r="AR29" i="1" s="1"/>
  <c r="AQ28" i="1"/>
  <c r="AR28" i="1" s="1"/>
  <c r="AQ27" i="1"/>
  <c r="AR27" i="1" s="1"/>
  <c r="AQ26" i="1"/>
  <c r="AR26" i="1" s="1"/>
  <c r="BH25" i="1"/>
  <c r="N25" i="1" s="1"/>
  <c r="L26" i="2" s="1"/>
  <c r="AQ25" i="1"/>
  <c r="AR25" i="1" s="1"/>
  <c r="AQ102" i="1"/>
  <c r="AX102" i="1" s="1"/>
  <c r="BN102" i="1" s="1"/>
  <c r="AQ24" i="1"/>
  <c r="AR24" i="1" s="1"/>
  <c r="AQ23" i="1"/>
  <c r="AR23" i="1" s="1"/>
  <c r="AQ22" i="1"/>
  <c r="AR22" i="1" s="1"/>
  <c r="AQ21" i="1"/>
  <c r="AR21" i="1" s="1"/>
  <c r="BT20" i="1"/>
  <c r="AQ20" i="1"/>
  <c r="AR20" i="1" s="1"/>
  <c r="AS19" i="1"/>
  <c r="E19" i="1" s="1"/>
  <c r="AQ19" i="1"/>
  <c r="AR19" i="1" s="1"/>
  <c r="AQ18" i="1"/>
  <c r="AR18" i="1" s="1"/>
  <c r="AQ17" i="1"/>
  <c r="AR17" i="1" s="1"/>
  <c r="AQ15" i="1"/>
  <c r="AR15" i="1" s="1"/>
  <c r="AQ16" i="1"/>
  <c r="AR16" i="1" s="1"/>
  <c r="AQ14" i="1"/>
  <c r="AR14" i="1" s="1"/>
  <c r="AQ13" i="1"/>
  <c r="AR13" i="1" s="1"/>
  <c r="AQ106" i="1"/>
  <c r="AX106" i="1" s="1"/>
  <c r="BI106" i="1" s="1"/>
  <c r="AQ12" i="1"/>
  <c r="AR12" i="1" s="1"/>
  <c r="AQ11" i="1"/>
  <c r="AR11" i="1" s="1"/>
  <c r="AQ10" i="1"/>
  <c r="D5" i="13"/>
  <c r="B2" i="12"/>
  <c r="D26" i="9"/>
  <c r="D29" i="9" s="1"/>
  <c r="C23" i="9"/>
  <c r="D28" i="9" s="1"/>
  <c r="C2" i="9"/>
  <c r="M10" i="4"/>
  <c r="C98" i="12"/>
  <c r="C102" i="12" s="1"/>
  <c r="C93" i="12"/>
  <c r="C101" i="12" s="1"/>
  <c r="C89" i="12"/>
  <c r="C100" i="12" s="1"/>
  <c r="C89" i="11"/>
  <c r="C101" i="11"/>
  <c r="C100" i="11"/>
  <c r="C98" i="11"/>
  <c r="C102" i="11" s="1"/>
  <c r="C103" i="11" s="1"/>
  <c r="C93" i="11"/>
  <c r="CY83" i="1" l="1"/>
  <c r="CY55" i="1"/>
  <c r="CY52" i="1"/>
  <c r="DB25" i="1"/>
  <c r="DB33" i="1"/>
  <c r="CY25" i="1"/>
  <c r="DB58" i="1"/>
  <c r="DB70" i="1"/>
  <c r="DB82" i="1"/>
  <c r="DB35" i="1"/>
  <c r="DB29" i="1"/>
  <c r="DB27" i="1"/>
  <c r="CY56" i="1"/>
  <c r="L94" i="1"/>
  <c r="CY107" i="1"/>
  <c r="J10" i="4"/>
  <c r="J94" i="4" s="1"/>
  <c r="S94" i="1"/>
  <c r="K10" i="2"/>
  <c r="K95" i="2" s="1"/>
  <c r="M94" i="1"/>
  <c r="H10" i="4"/>
  <c r="R94" i="1"/>
  <c r="N10" i="2"/>
  <c r="N95" i="2" s="1"/>
  <c r="P94" i="1"/>
  <c r="C103" i="12"/>
  <c r="CY57" i="1"/>
  <c r="CY38" i="1"/>
  <c r="CY90" i="1"/>
  <c r="CY84" i="1"/>
  <c r="CY75" i="1"/>
  <c r="DB66" i="1"/>
  <c r="DB56" i="1"/>
  <c r="DB52" i="1"/>
  <c r="CY39" i="1"/>
  <c r="CZ36" i="1"/>
  <c r="BL36" i="1" s="1"/>
  <c r="CY77" i="1"/>
  <c r="CY72" i="1"/>
  <c r="CY64" i="1"/>
  <c r="CY54" i="1"/>
  <c r="I10" i="2"/>
  <c r="K94" i="1"/>
  <c r="D30" i="9"/>
  <c r="E94" i="1"/>
  <c r="E96" i="1" s="1"/>
  <c r="CW86" i="1"/>
  <c r="CY86" i="1" s="1"/>
  <c r="DB57" i="1"/>
  <c r="DB38" i="1"/>
  <c r="DB90" i="1"/>
  <c r="DB84" i="1"/>
  <c r="DB75" i="1"/>
  <c r="DB39" i="1"/>
  <c r="CY33" i="1"/>
  <c r="CY58" i="1"/>
  <c r="CY70" i="1"/>
  <c r="CY82" i="1"/>
  <c r="DB77" i="1"/>
  <c r="DB72" i="1"/>
  <c r="DB64" i="1"/>
  <c r="DB54" i="1"/>
  <c r="CY35" i="1"/>
  <c r="CY29" i="1"/>
  <c r="CY27" i="1"/>
  <c r="AR97" i="1"/>
  <c r="C97" i="1"/>
  <c r="G97" i="1" s="1"/>
  <c r="V97" i="1" s="1"/>
  <c r="AR10" i="1"/>
  <c r="AX10" i="1" s="1"/>
  <c r="BI10" i="1" s="1"/>
  <c r="CW50" i="1"/>
  <c r="CY50" i="1" s="1"/>
  <c r="BC50" i="1"/>
  <c r="BE96" i="1"/>
  <c r="AQ57" i="1"/>
  <c r="AR57" i="1" s="1"/>
  <c r="AO94" i="1"/>
  <c r="E95" i="1"/>
  <c r="AS95" i="1"/>
  <c r="DB83" i="1"/>
  <c r="BL83" i="1"/>
  <c r="DB80" i="1"/>
  <c r="BL80" i="1"/>
  <c r="DB78" i="1"/>
  <c r="BL78" i="1"/>
  <c r="DB69" i="1"/>
  <c r="BL69" i="1"/>
  <c r="DB62" i="1"/>
  <c r="BL62" i="1"/>
  <c r="DB59" i="1"/>
  <c r="BL59" i="1"/>
  <c r="DB55" i="1"/>
  <c r="BL55" i="1"/>
  <c r="DB53" i="1"/>
  <c r="BL53" i="1"/>
  <c r="DB37" i="1"/>
  <c r="BL37" i="1"/>
  <c r="DB34" i="1"/>
  <c r="BL34" i="1"/>
  <c r="DB32" i="1"/>
  <c r="BL32" i="1"/>
  <c r="DB79" i="1"/>
  <c r="BL79" i="1"/>
  <c r="DB74" i="1"/>
  <c r="BL74" i="1"/>
  <c r="DB51" i="1"/>
  <c r="BL51" i="1"/>
  <c r="DB30" i="1"/>
  <c r="BL30" i="1"/>
  <c r="DB26" i="1"/>
  <c r="BL26" i="1"/>
  <c r="DB88" i="1"/>
  <c r="BL88" i="1"/>
  <c r="DB81" i="1"/>
  <c r="BL81" i="1"/>
  <c r="DB50" i="1"/>
  <c r="BL50" i="1"/>
  <c r="DB48" i="1"/>
  <c r="BL48" i="1"/>
  <c r="DB46" i="1"/>
  <c r="BL46" i="1"/>
  <c r="DB44" i="1"/>
  <c r="BL44" i="1"/>
  <c r="DB31" i="1"/>
  <c r="BL31" i="1"/>
  <c r="DB21" i="1"/>
  <c r="BL21" i="1"/>
  <c r="W21" i="1" s="1"/>
  <c r="DB20" i="1"/>
  <c r="BL20" i="1"/>
  <c r="DB12" i="1"/>
  <c r="BL12" i="1"/>
  <c r="DB18" i="1"/>
  <c r="BL18" i="1"/>
  <c r="DB14" i="1"/>
  <c r="BL14" i="1"/>
  <c r="DB97" i="1"/>
  <c r="DB99" i="1" s="1"/>
  <c r="BL97" i="1"/>
  <c r="DB85" i="1"/>
  <c r="BL85" i="1"/>
  <c r="DB91" i="1"/>
  <c r="BL91" i="1"/>
  <c r="DB89" i="1"/>
  <c r="BL89" i="1"/>
  <c r="DB87" i="1"/>
  <c r="BL87" i="1"/>
  <c r="DB76" i="1"/>
  <c r="BL76" i="1"/>
  <c r="DB73" i="1"/>
  <c r="BL73" i="1"/>
  <c r="DB71" i="1"/>
  <c r="BL71" i="1"/>
  <c r="DB67" i="1"/>
  <c r="BL67" i="1"/>
  <c r="DB65" i="1"/>
  <c r="BL65" i="1"/>
  <c r="DB61" i="1"/>
  <c r="BL61" i="1"/>
  <c r="DB63" i="1"/>
  <c r="BL63" i="1"/>
  <c r="DB49" i="1"/>
  <c r="BL49" i="1"/>
  <c r="DB47" i="1"/>
  <c r="BL47" i="1"/>
  <c r="DB42" i="1"/>
  <c r="BL42" i="1"/>
  <c r="DB28" i="1"/>
  <c r="BL28" i="1"/>
  <c r="DB24" i="1"/>
  <c r="BL24" i="1"/>
  <c r="DB22" i="1"/>
  <c r="BL22" i="1"/>
  <c r="DB68" i="1"/>
  <c r="BL68" i="1"/>
  <c r="DB60" i="1"/>
  <c r="BL60" i="1"/>
  <c r="DB40" i="1"/>
  <c r="BL40" i="1"/>
  <c r="DB23" i="1"/>
  <c r="BL23" i="1"/>
  <c r="W23" i="1" s="1"/>
  <c r="DB15" i="1"/>
  <c r="BL15" i="1"/>
  <c r="W15" i="1" s="1"/>
  <c r="DB10" i="1"/>
  <c r="BL10" i="1"/>
  <c r="DB19" i="1"/>
  <c r="BL19" i="1"/>
  <c r="AX11" i="1"/>
  <c r="J11" i="1" s="1"/>
  <c r="H12" i="2" s="1"/>
  <c r="AF11" i="1"/>
  <c r="AX14" i="1"/>
  <c r="BI14" i="1" s="1"/>
  <c r="AF14" i="1"/>
  <c r="AX15" i="1"/>
  <c r="BI15" i="1" s="1"/>
  <c r="BK15" i="1" s="1"/>
  <c r="AF15" i="1"/>
  <c r="AX18" i="1"/>
  <c r="BH18" i="1" s="1"/>
  <c r="AF18" i="1"/>
  <c r="AX22" i="1"/>
  <c r="AF22" i="1"/>
  <c r="AX24" i="1"/>
  <c r="BA24" i="1" s="1"/>
  <c r="H24" i="1" s="1"/>
  <c r="AF24" i="1"/>
  <c r="AX25" i="1"/>
  <c r="AF25" i="1"/>
  <c r="AX26" i="1"/>
  <c r="AF26" i="1"/>
  <c r="AX28" i="1"/>
  <c r="BI28" i="1" s="1"/>
  <c r="AF28" i="1"/>
  <c r="AX30" i="1"/>
  <c r="AF30" i="1"/>
  <c r="AX32" i="1"/>
  <c r="AF32" i="1"/>
  <c r="AX34" i="1"/>
  <c r="AF34" i="1"/>
  <c r="C36" i="1"/>
  <c r="G36" i="1" s="1"/>
  <c r="V36" i="1" s="1"/>
  <c r="AF36" i="1"/>
  <c r="AX37" i="1"/>
  <c r="AF37" i="1"/>
  <c r="AX40" i="1"/>
  <c r="BI40" i="1" s="1"/>
  <c r="AF40" i="1"/>
  <c r="C42" i="1"/>
  <c r="G42" i="1" s="1"/>
  <c r="V42" i="1" s="1"/>
  <c r="AF42" i="1"/>
  <c r="AX44" i="1"/>
  <c r="AF44" i="1"/>
  <c r="AX51" i="1"/>
  <c r="AF51" i="1"/>
  <c r="AX47" i="1"/>
  <c r="BI47" i="1" s="1"/>
  <c r="AF47" i="1"/>
  <c r="AX49" i="1"/>
  <c r="AF49" i="1"/>
  <c r="AX52" i="1"/>
  <c r="BI52" i="1" s="1"/>
  <c r="AF52" i="1"/>
  <c r="AX54" i="1"/>
  <c r="AF54" i="1"/>
  <c r="AX56" i="1"/>
  <c r="W56" i="1" s="1"/>
  <c r="AF56" i="1"/>
  <c r="AX60" i="1"/>
  <c r="AF60" i="1"/>
  <c r="AX63" i="1"/>
  <c r="AF63" i="1"/>
  <c r="AX64" i="1"/>
  <c r="W64" i="1" s="1"/>
  <c r="AF64" i="1"/>
  <c r="AX66" i="1"/>
  <c r="W66" i="1" s="1"/>
  <c r="AF66" i="1"/>
  <c r="AX68" i="1"/>
  <c r="AF68" i="1"/>
  <c r="AX72" i="1"/>
  <c r="W72" i="1" s="1"/>
  <c r="AF72" i="1"/>
  <c r="AX74" i="1"/>
  <c r="BI74" i="1" s="1"/>
  <c r="AF74" i="1"/>
  <c r="AX75" i="1"/>
  <c r="W75" i="1" s="1"/>
  <c r="AF75" i="1"/>
  <c r="AX77" i="1"/>
  <c r="W77" i="1" s="1"/>
  <c r="AF77" i="1"/>
  <c r="AX79" i="1"/>
  <c r="AF79" i="1"/>
  <c r="AX81" i="1"/>
  <c r="BI81" i="1" s="1"/>
  <c r="AF81" i="1"/>
  <c r="AX82" i="1"/>
  <c r="W82" i="1" s="1"/>
  <c r="AF82" i="1"/>
  <c r="AX84" i="1"/>
  <c r="W84" i="1" s="1"/>
  <c r="AF84" i="1"/>
  <c r="AX87" i="1"/>
  <c r="BI87" i="1" s="1"/>
  <c r="AF87" i="1"/>
  <c r="AX89" i="1"/>
  <c r="BI89" i="1" s="1"/>
  <c r="AF89" i="1"/>
  <c r="AX91" i="1"/>
  <c r="BI91" i="1" s="1"/>
  <c r="BK91" i="1" s="1"/>
  <c r="AF91" i="1"/>
  <c r="AX85" i="1"/>
  <c r="BI85" i="1" s="1"/>
  <c r="AF85" i="1"/>
  <c r="AX58" i="1"/>
  <c r="W58" i="1" s="1"/>
  <c r="AF58" i="1"/>
  <c r="AF10" i="1"/>
  <c r="AX12" i="1"/>
  <c r="BI12" i="1" s="1"/>
  <c r="AF12" i="1"/>
  <c r="AX13" i="1"/>
  <c r="BI13" i="1" s="1"/>
  <c r="AF13" i="1"/>
  <c r="AX16" i="1"/>
  <c r="BI16" i="1" s="1"/>
  <c r="AF16" i="1"/>
  <c r="AX17" i="1"/>
  <c r="O17" i="1" s="1"/>
  <c r="M18" i="2" s="1"/>
  <c r="AF17" i="1"/>
  <c r="C19" i="1"/>
  <c r="G19" i="1" s="1"/>
  <c r="V19" i="1" s="1"/>
  <c r="AF19" i="1"/>
  <c r="AX20" i="1"/>
  <c r="BH20" i="1" s="1"/>
  <c r="AF20" i="1"/>
  <c r="AX21" i="1"/>
  <c r="BI21" i="1" s="1"/>
  <c r="BK21" i="1" s="1"/>
  <c r="AF21" i="1"/>
  <c r="AX23" i="1"/>
  <c r="BN23" i="1" s="1"/>
  <c r="AF23" i="1"/>
  <c r="AX27" i="1"/>
  <c r="BI27" i="1" s="1"/>
  <c r="AF27" i="1"/>
  <c r="AX29" i="1"/>
  <c r="BI29" i="1" s="1"/>
  <c r="AF29" i="1"/>
  <c r="AX31" i="1"/>
  <c r="AF31" i="1"/>
  <c r="AX33" i="1"/>
  <c r="BI33" i="1" s="1"/>
  <c r="AF33" i="1"/>
  <c r="AX35" i="1"/>
  <c r="BI35" i="1" s="1"/>
  <c r="AF35" i="1"/>
  <c r="AX39" i="1"/>
  <c r="BI39" i="1" s="1"/>
  <c r="AF39" i="1"/>
  <c r="AX41" i="1"/>
  <c r="BI41" i="1" s="1"/>
  <c r="AF41" i="1"/>
  <c r="AX43" i="1"/>
  <c r="BI43" i="1" s="1"/>
  <c r="AF43" i="1"/>
  <c r="AX45" i="1"/>
  <c r="BI45" i="1" s="1"/>
  <c r="AF45" i="1"/>
  <c r="AX46" i="1"/>
  <c r="AF46" i="1"/>
  <c r="AX48" i="1"/>
  <c r="AF48" i="1"/>
  <c r="AX50" i="1"/>
  <c r="AF50" i="1"/>
  <c r="AX53" i="1"/>
  <c r="BI53" i="1" s="1"/>
  <c r="AF53" i="1"/>
  <c r="AX55" i="1"/>
  <c r="BI55" i="1" s="1"/>
  <c r="AF55" i="1"/>
  <c r="AX59" i="1"/>
  <c r="BI59" i="1" s="1"/>
  <c r="AF59" i="1"/>
  <c r="AX62" i="1"/>
  <c r="BI62" i="1" s="1"/>
  <c r="AF62" i="1"/>
  <c r="AX61" i="1"/>
  <c r="AF61" i="1"/>
  <c r="AX65" i="1"/>
  <c r="BI65" i="1" s="1"/>
  <c r="AF65" i="1"/>
  <c r="AX67" i="1"/>
  <c r="BI67" i="1" s="1"/>
  <c r="AF67" i="1"/>
  <c r="AX69" i="1"/>
  <c r="AF69" i="1"/>
  <c r="AX71" i="1"/>
  <c r="AF71" i="1"/>
  <c r="AX73" i="1"/>
  <c r="BI73" i="1" s="1"/>
  <c r="AF73" i="1"/>
  <c r="AX76" i="1"/>
  <c r="BI76" i="1" s="1"/>
  <c r="AF76" i="1"/>
  <c r="AX78" i="1"/>
  <c r="AF78" i="1"/>
  <c r="AX80" i="1"/>
  <c r="BI80" i="1" s="1"/>
  <c r="AF80" i="1"/>
  <c r="AX83" i="1"/>
  <c r="BI83" i="1" s="1"/>
  <c r="AF83" i="1"/>
  <c r="AX86" i="1"/>
  <c r="BH86" i="1" s="1"/>
  <c r="AF86" i="1"/>
  <c r="AX88" i="1"/>
  <c r="AF88" i="1"/>
  <c r="AX90" i="1"/>
  <c r="W90" i="1" s="1"/>
  <c r="AF90" i="1"/>
  <c r="AX70" i="1"/>
  <c r="W70" i="1" s="1"/>
  <c r="AF70" i="1"/>
  <c r="AX38" i="1"/>
  <c r="W38" i="1" s="1"/>
  <c r="AF38" i="1"/>
  <c r="AX97" i="1"/>
  <c r="BI97" i="1" s="1"/>
  <c r="AF97" i="1"/>
  <c r="AX9" i="1"/>
  <c r="BI9" i="1" s="1"/>
  <c r="AF9" i="1"/>
  <c r="CW36" i="1"/>
  <c r="CY36" i="1" s="1"/>
  <c r="CW88" i="1"/>
  <c r="CY88" i="1" s="1"/>
  <c r="CW48" i="1"/>
  <c r="CY48" i="1" s="1"/>
  <c r="K87" i="4"/>
  <c r="L87" i="4" s="1"/>
  <c r="CW17" i="1"/>
  <c r="CY17" i="1" s="1"/>
  <c r="CL94" i="1"/>
  <c r="AX95" i="1" s="1"/>
  <c r="CW78" i="1"/>
  <c r="CY78" i="1" s="1"/>
  <c r="CW69" i="1"/>
  <c r="CY69" i="1" s="1"/>
  <c r="CW71" i="1"/>
  <c r="CY71" i="1" s="1"/>
  <c r="CW61" i="1"/>
  <c r="CY61" i="1" s="1"/>
  <c r="CW46" i="1"/>
  <c r="CY46" i="1" s="1"/>
  <c r="CW31" i="1"/>
  <c r="CY31" i="1" s="1"/>
  <c r="CX19" i="1"/>
  <c r="BJ19" i="1" s="1"/>
  <c r="CY85" i="1"/>
  <c r="CY89" i="1"/>
  <c r="CY76" i="1"/>
  <c r="CY67" i="1"/>
  <c r="CW63" i="1"/>
  <c r="CY63" i="1" s="1"/>
  <c r="CW68" i="1"/>
  <c r="CY68" i="1" s="1"/>
  <c r="K71" i="4"/>
  <c r="L71" i="4" s="1"/>
  <c r="K70" i="4"/>
  <c r="L70" i="4" s="1"/>
  <c r="K68" i="4"/>
  <c r="L68" i="4" s="1"/>
  <c r="K66" i="4"/>
  <c r="L66" i="4" s="1"/>
  <c r="K64" i="4"/>
  <c r="L64" i="4" s="1"/>
  <c r="K62" i="4"/>
  <c r="L62" i="4" s="1"/>
  <c r="K60" i="4"/>
  <c r="L60" i="4" s="1"/>
  <c r="K58" i="4"/>
  <c r="L58" i="4" s="1"/>
  <c r="K57" i="4"/>
  <c r="L57" i="4" s="1"/>
  <c r="K55" i="4"/>
  <c r="L55" i="4" s="1"/>
  <c r="K53" i="4"/>
  <c r="L53" i="4" s="1"/>
  <c r="K51" i="4"/>
  <c r="L51" i="4" s="1"/>
  <c r="K49" i="4"/>
  <c r="L49" i="4" s="1"/>
  <c r="K47" i="4"/>
  <c r="L47" i="4" s="1"/>
  <c r="K45" i="4"/>
  <c r="L45" i="4" s="1"/>
  <c r="K43" i="4"/>
  <c r="L43" i="4" s="1"/>
  <c r="K41" i="4"/>
  <c r="L41" i="4" s="1"/>
  <c r="K39" i="4"/>
  <c r="L39" i="4" s="1"/>
  <c r="K37" i="4"/>
  <c r="L37" i="4" s="1"/>
  <c r="K35" i="4"/>
  <c r="L35" i="4" s="1"/>
  <c r="K33" i="4"/>
  <c r="L33" i="4" s="1"/>
  <c r="K31" i="4"/>
  <c r="L31" i="4" s="1"/>
  <c r="K29" i="4"/>
  <c r="L29" i="4" s="1"/>
  <c r="K27" i="4"/>
  <c r="L27" i="4" s="1"/>
  <c r="K25" i="4"/>
  <c r="L25" i="4" s="1"/>
  <c r="K23" i="4"/>
  <c r="L23" i="4" s="1"/>
  <c r="K21" i="4"/>
  <c r="L21" i="4" s="1"/>
  <c r="K19" i="4"/>
  <c r="L19" i="4" s="1"/>
  <c r="K17" i="4"/>
  <c r="L17" i="4" s="1"/>
  <c r="K15" i="4"/>
  <c r="L15" i="4" s="1"/>
  <c r="K13" i="4"/>
  <c r="L13" i="4" s="1"/>
  <c r="K11" i="4"/>
  <c r="L11" i="4" s="1"/>
  <c r="CW79" i="1"/>
  <c r="CY79" i="1" s="1"/>
  <c r="CW47" i="1"/>
  <c r="CY47" i="1" s="1"/>
  <c r="CW22" i="1"/>
  <c r="CY22" i="1" s="1"/>
  <c r="CW11" i="1"/>
  <c r="CY11" i="1" s="1"/>
  <c r="CW60" i="1"/>
  <c r="CY60" i="1" s="1"/>
  <c r="K72" i="4"/>
  <c r="L72" i="4" s="1"/>
  <c r="K69" i="4"/>
  <c r="L69" i="4" s="1"/>
  <c r="K67" i="4"/>
  <c r="L67" i="4" s="1"/>
  <c r="K65" i="4"/>
  <c r="L65" i="4" s="1"/>
  <c r="K63" i="4"/>
  <c r="L63" i="4" s="1"/>
  <c r="K61" i="4"/>
  <c r="L61" i="4" s="1"/>
  <c r="K59" i="4"/>
  <c r="L59" i="4" s="1"/>
  <c r="K54" i="4"/>
  <c r="L54" i="4" s="1"/>
  <c r="K52" i="4"/>
  <c r="L52" i="4" s="1"/>
  <c r="K50" i="4"/>
  <c r="L50" i="4" s="1"/>
  <c r="K48" i="4"/>
  <c r="L48" i="4" s="1"/>
  <c r="K46" i="4"/>
  <c r="L46" i="4" s="1"/>
  <c r="K44" i="4"/>
  <c r="L44" i="4" s="1"/>
  <c r="K42" i="4"/>
  <c r="L42" i="4" s="1"/>
  <c r="K40" i="4"/>
  <c r="L40" i="4" s="1"/>
  <c r="K38" i="4"/>
  <c r="L38" i="4" s="1"/>
  <c r="K36" i="4"/>
  <c r="L36" i="4" s="1"/>
  <c r="K34" i="4"/>
  <c r="L34" i="4" s="1"/>
  <c r="K32" i="4"/>
  <c r="L32" i="4" s="1"/>
  <c r="K30" i="4"/>
  <c r="L30" i="4" s="1"/>
  <c r="K28" i="4"/>
  <c r="L28" i="4" s="1"/>
  <c r="K26" i="4"/>
  <c r="L26" i="4" s="1"/>
  <c r="K24" i="4"/>
  <c r="L24" i="4" s="1"/>
  <c r="K22" i="4"/>
  <c r="L22" i="4" s="1"/>
  <c r="K20" i="4"/>
  <c r="L20" i="4" s="1"/>
  <c r="K18" i="4"/>
  <c r="L18" i="4" s="1"/>
  <c r="K16" i="4"/>
  <c r="L16" i="4" s="1"/>
  <c r="K14" i="4"/>
  <c r="L14" i="4" s="1"/>
  <c r="K12" i="4"/>
  <c r="L12" i="4" s="1"/>
  <c r="H56" i="4"/>
  <c r="K56" i="4" s="1"/>
  <c r="L56" i="4" s="1"/>
  <c r="K91" i="4"/>
  <c r="L91" i="4" s="1"/>
  <c r="K89" i="4"/>
  <c r="L89" i="4" s="1"/>
  <c r="K86" i="4"/>
  <c r="L86" i="4" s="1"/>
  <c r="K84" i="4"/>
  <c r="L84" i="4" s="1"/>
  <c r="K82" i="4"/>
  <c r="L82" i="4" s="1"/>
  <c r="K80" i="4"/>
  <c r="L80" i="4" s="1"/>
  <c r="K78" i="4"/>
  <c r="L78" i="4" s="1"/>
  <c r="K76" i="4"/>
  <c r="L76" i="4" s="1"/>
  <c r="K74" i="4"/>
  <c r="L74" i="4" s="1"/>
  <c r="Y9" i="1"/>
  <c r="Y87" i="1"/>
  <c r="Y83" i="1"/>
  <c r="Y77" i="1"/>
  <c r="Y73" i="1"/>
  <c r="Y67" i="1"/>
  <c r="Y62" i="1"/>
  <c r="Y57" i="1"/>
  <c r="Y54" i="1"/>
  <c r="Y50" i="1"/>
  <c r="Y42" i="1"/>
  <c r="Y38" i="1"/>
  <c r="Y34" i="1"/>
  <c r="Y30" i="1"/>
  <c r="Y26" i="1"/>
  <c r="Y18" i="1"/>
  <c r="Y14" i="1"/>
  <c r="Y10" i="1"/>
  <c r="F10" i="2"/>
  <c r="G92" i="2"/>
  <c r="Y91" i="1"/>
  <c r="G90" i="2"/>
  <c r="Y89" i="1"/>
  <c r="G87" i="2"/>
  <c r="Y86" i="1"/>
  <c r="G85" i="2"/>
  <c r="Y84" i="1"/>
  <c r="G83" i="2"/>
  <c r="Y82" i="1"/>
  <c r="G81" i="2"/>
  <c r="Y80" i="1"/>
  <c r="G77" i="2"/>
  <c r="Y76" i="1"/>
  <c r="G75" i="2"/>
  <c r="Y74" i="1"/>
  <c r="I73" i="2"/>
  <c r="I95" i="2" s="1"/>
  <c r="G73" i="2"/>
  <c r="Y72" i="1"/>
  <c r="Y107" i="1"/>
  <c r="G67" i="2"/>
  <c r="Y66" i="1"/>
  <c r="G65" i="2"/>
  <c r="Y64" i="1"/>
  <c r="G59" i="2"/>
  <c r="Y58" i="1"/>
  <c r="Y97" i="1"/>
  <c r="G56" i="2"/>
  <c r="Y55" i="1"/>
  <c r="G54" i="2"/>
  <c r="Y53" i="1"/>
  <c r="G52" i="2"/>
  <c r="Y51" i="1"/>
  <c r="G50" i="2"/>
  <c r="Y49" i="1"/>
  <c r="G48" i="2"/>
  <c r="Y47" i="1"/>
  <c r="G46" i="2"/>
  <c r="Y45" i="1"/>
  <c r="G44" i="2"/>
  <c r="Y43" i="1"/>
  <c r="G42" i="2"/>
  <c r="Y41" i="1"/>
  <c r="G40" i="2"/>
  <c r="Y39" i="1"/>
  <c r="G38" i="2"/>
  <c r="Y37" i="1"/>
  <c r="G36" i="2"/>
  <c r="Y35" i="1"/>
  <c r="G34" i="2"/>
  <c r="Y33" i="1"/>
  <c r="G30" i="2"/>
  <c r="Y29" i="1"/>
  <c r="G28" i="2"/>
  <c r="Y27" i="1"/>
  <c r="G26" i="2"/>
  <c r="Y25" i="1"/>
  <c r="G24" i="2"/>
  <c r="Y23" i="1"/>
  <c r="G22" i="2"/>
  <c r="Y21" i="1"/>
  <c r="G20" i="2"/>
  <c r="Y19" i="1"/>
  <c r="G16" i="2"/>
  <c r="Y15" i="1"/>
  <c r="G14" i="2"/>
  <c r="Y13" i="1"/>
  <c r="J10" i="2"/>
  <c r="J95" i="2" s="1"/>
  <c r="AX42" i="1"/>
  <c r="K90" i="4"/>
  <c r="L90" i="4" s="1"/>
  <c r="K88" i="4"/>
  <c r="L88" i="4" s="1"/>
  <c r="K85" i="4"/>
  <c r="L85" i="4" s="1"/>
  <c r="K83" i="4"/>
  <c r="L83" i="4" s="1"/>
  <c r="K81" i="4"/>
  <c r="L81" i="4" s="1"/>
  <c r="K79" i="4"/>
  <c r="L79" i="4" s="1"/>
  <c r="K77" i="4"/>
  <c r="L77" i="4" s="1"/>
  <c r="K75" i="4"/>
  <c r="L75" i="4" s="1"/>
  <c r="K73" i="4"/>
  <c r="L73" i="4" s="1"/>
  <c r="Y90" i="1"/>
  <c r="Y85" i="1"/>
  <c r="Y81" i="1"/>
  <c r="Y75" i="1"/>
  <c r="Y70" i="1"/>
  <c r="Y65" i="1"/>
  <c r="Y59" i="1"/>
  <c r="Y56" i="1"/>
  <c r="Y52" i="1"/>
  <c r="Y44" i="1"/>
  <c r="Y40" i="1"/>
  <c r="Y36" i="1"/>
  <c r="Y28" i="1"/>
  <c r="Y20" i="1"/>
  <c r="Y16" i="1"/>
  <c r="Y12" i="1"/>
  <c r="CY73" i="1"/>
  <c r="CY65" i="1"/>
  <c r="CW32" i="1"/>
  <c r="CY32" i="1" s="1"/>
  <c r="CY43" i="1"/>
  <c r="CO94" i="1"/>
  <c r="BA95" i="1" s="1"/>
  <c r="CY106" i="1"/>
  <c r="CY97" i="1"/>
  <c r="CY91" i="1"/>
  <c r="CY87" i="1"/>
  <c r="CY80" i="1"/>
  <c r="CY59" i="1"/>
  <c r="CY53" i="1"/>
  <c r="CY37" i="1"/>
  <c r="CQ94" i="1"/>
  <c r="BC95" i="1" s="1"/>
  <c r="CW24" i="1"/>
  <c r="CY24" i="1" s="1"/>
  <c r="CY16" i="1"/>
  <c r="CY13" i="1"/>
  <c r="CP94" i="1"/>
  <c r="BB95" i="1" s="1"/>
  <c r="CY81" i="1"/>
  <c r="CY23" i="1"/>
  <c r="CY21" i="1"/>
  <c r="CY15" i="1"/>
  <c r="CY12" i="1"/>
  <c r="CY18" i="1"/>
  <c r="CV94" i="1"/>
  <c r="BH95" i="1" s="1"/>
  <c r="CY9" i="1"/>
  <c r="CY45" i="1"/>
  <c r="CY41" i="1"/>
  <c r="CY74" i="1"/>
  <c r="CY49" i="1"/>
  <c r="CY51" i="1"/>
  <c r="CY42" i="1"/>
  <c r="CY30" i="1"/>
  <c r="CY28" i="1"/>
  <c r="CY26" i="1"/>
  <c r="CY44" i="1"/>
  <c r="CY40" i="1"/>
  <c r="CY105" i="1"/>
  <c r="CY20" i="1"/>
  <c r="DB9" i="1"/>
  <c r="CY14" i="1"/>
  <c r="CY10" i="1"/>
  <c r="K92" i="4"/>
  <c r="L92" i="4" s="1"/>
  <c r="C9" i="1"/>
  <c r="C90" i="1"/>
  <c r="G90" i="1" s="1"/>
  <c r="V90" i="1" s="1"/>
  <c r="C88" i="1"/>
  <c r="G88" i="1" s="1"/>
  <c r="V88" i="1" s="1"/>
  <c r="C86" i="1"/>
  <c r="G86" i="1" s="1"/>
  <c r="V86" i="1" s="1"/>
  <c r="C84" i="1"/>
  <c r="G84" i="1" s="1"/>
  <c r="V84" i="1" s="1"/>
  <c r="C82" i="1"/>
  <c r="G82" i="1" s="1"/>
  <c r="V82" i="1" s="1"/>
  <c r="C80" i="1"/>
  <c r="G80" i="1" s="1"/>
  <c r="V80" i="1" s="1"/>
  <c r="C78" i="1"/>
  <c r="G78" i="1" s="1"/>
  <c r="V78" i="1" s="1"/>
  <c r="C76" i="1"/>
  <c r="G76" i="1" s="1"/>
  <c r="V76" i="1" s="1"/>
  <c r="C74" i="1"/>
  <c r="G74" i="1" s="1"/>
  <c r="V74" i="1" s="1"/>
  <c r="C72" i="1"/>
  <c r="G72" i="1" s="1"/>
  <c r="V72" i="1" s="1"/>
  <c r="C70" i="1"/>
  <c r="G70" i="1" s="1"/>
  <c r="V70" i="1" s="1"/>
  <c r="C69" i="1"/>
  <c r="G69" i="1" s="1"/>
  <c r="V69" i="1" s="1"/>
  <c r="C67" i="1"/>
  <c r="G67" i="1" s="1"/>
  <c r="V67" i="1" s="1"/>
  <c r="C65" i="1"/>
  <c r="G65" i="1" s="1"/>
  <c r="V65" i="1" s="1"/>
  <c r="C63" i="1"/>
  <c r="G63" i="1" s="1"/>
  <c r="V63" i="1" s="1"/>
  <c r="C61" i="1"/>
  <c r="C59" i="1"/>
  <c r="G59" i="1" s="1"/>
  <c r="V59" i="1" s="1"/>
  <c r="C56" i="1"/>
  <c r="G56" i="1" s="1"/>
  <c r="V56" i="1" s="1"/>
  <c r="C54" i="1"/>
  <c r="G54" i="1" s="1"/>
  <c r="V54" i="1" s="1"/>
  <c r="C52" i="1"/>
  <c r="G52" i="1" s="1"/>
  <c r="V52" i="1" s="1"/>
  <c r="C50" i="1"/>
  <c r="G50" i="1" s="1"/>
  <c r="V50" i="1" s="1"/>
  <c r="C48" i="1"/>
  <c r="G48" i="1" s="1"/>
  <c r="V48" i="1" s="1"/>
  <c r="C46" i="1"/>
  <c r="G46" i="1" s="1"/>
  <c r="V46" i="1" s="1"/>
  <c r="C44" i="1"/>
  <c r="G44" i="1" s="1"/>
  <c r="V44" i="1" s="1"/>
  <c r="C40" i="1"/>
  <c r="G40" i="1" s="1"/>
  <c r="V40" i="1" s="1"/>
  <c r="C38" i="1"/>
  <c r="G38" i="1" s="1"/>
  <c r="V38" i="1" s="1"/>
  <c r="C34" i="1"/>
  <c r="G34" i="1" s="1"/>
  <c r="V34" i="1" s="1"/>
  <c r="C32" i="1"/>
  <c r="G32" i="1" s="1"/>
  <c r="V32" i="1" s="1"/>
  <c r="C30" i="1"/>
  <c r="G30" i="1" s="1"/>
  <c r="V30" i="1" s="1"/>
  <c r="C28" i="1"/>
  <c r="G28" i="1" s="1"/>
  <c r="C26" i="1"/>
  <c r="G26" i="1" s="1"/>
  <c r="V26" i="1" s="1"/>
  <c r="C24" i="1"/>
  <c r="G24" i="1" s="1"/>
  <c r="V24" i="1" s="1"/>
  <c r="C22" i="1"/>
  <c r="G22" i="1" s="1"/>
  <c r="V22" i="1" s="1"/>
  <c r="C20" i="1"/>
  <c r="G20" i="1" s="1"/>
  <c r="V20" i="1" s="1"/>
  <c r="C18" i="1"/>
  <c r="G18" i="1" s="1"/>
  <c r="V18" i="1" s="1"/>
  <c r="C16" i="1"/>
  <c r="G16" i="1" s="1"/>
  <c r="V16" i="1" s="1"/>
  <c r="C14" i="1"/>
  <c r="G14" i="1" s="1"/>
  <c r="V14" i="1" s="1"/>
  <c r="C106" i="1"/>
  <c r="C11" i="1"/>
  <c r="G11" i="1" s="1"/>
  <c r="V11" i="1" s="1"/>
  <c r="C91" i="1"/>
  <c r="G91" i="1" s="1"/>
  <c r="V91" i="1" s="1"/>
  <c r="C89" i="1"/>
  <c r="G89" i="1" s="1"/>
  <c r="V89" i="1" s="1"/>
  <c r="C87" i="1"/>
  <c r="G87" i="1" s="1"/>
  <c r="V87" i="1" s="1"/>
  <c r="C85" i="1"/>
  <c r="G85" i="1" s="1"/>
  <c r="V85" i="1" s="1"/>
  <c r="C83" i="1"/>
  <c r="G83" i="1" s="1"/>
  <c r="V83" i="1" s="1"/>
  <c r="C81" i="1"/>
  <c r="G81" i="1" s="1"/>
  <c r="V81" i="1" s="1"/>
  <c r="C79" i="1"/>
  <c r="G79" i="1" s="1"/>
  <c r="V79" i="1" s="1"/>
  <c r="C77" i="1"/>
  <c r="G77" i="1" s="1"/>
  <c r="V77" i="1" s="1"/>
  <c r="C75" i="1"/>
  <c r="G75" i="1" s="1"/>
  <c r="V75" i="1" s="1"/>
  <c r="C73" i="1"/>
  <c r="G73" i="1" s="1"/>
  <c r="V73" i="1" s="1"/>
  <c r="C71" i="1"/>
  <c r="G71" i="1" s="1"/>
  <c r="V71" i="1" s="1"/>
  <c r="C107" i="1"/>
  <c r="G107" i="1" s="1"/>
  <c r="C68" i="1"/>
  <c r="G68" i="1" s="1"/>
  <c r="V68" i="1" s="1"/>
  <c r="C66" i="1"/>
  <c r="G66" i="1" s="1"/>
  <c r="V66" i="1" s="1"/>
  <c r="C64" i="1"/>
  <c r="G64" i="1" s="1"/>
  <c r="V64" i="1" s="1"/>
  <c r="C62" i="1"/>
  <c r="G62" i="1" s="1"/>
  <c r="V62" i="1" s="1"/>
  <c r="C60" i="1"/>
  <c r="G60" i="1" s="1"/>
  <c r="V60" i="1" s="1"/>
  <c r="C58" i="1"/>
  <c r="G58" i="1" s="1"/>
  <c r="V58" i="1" s="1"/>
  <c r="C55" i="1"/>
  <c r="G55" i="1" s="1"/>
  <c r="V55" i="1" s="1"/>
  <c r="C53" i="1"/>
  <c r="G53" i="1" s="1"/>
  <c r="C51" i="1"/>
  <c r="G51" i="1" s="1"/>
  <c r="V51" i="1" s="1"/>
  <c r="C49" i="1"/>
  <c r="G49" i="1" s="1"/>
  <c r="C47" i="1"/>
  <c r="G47" i="1" s="1"/>
  <c r="V47" i="1" s="1"/>
  <c r="C45" i="1"/>
  <c r="G45" i="1" s="1"/>
  <c r="V45" i="1" s="1"/>
  <c r="C43" i="1"/>
  <c r="G43" i="1" s="1"/>
  <c r="V43" i="1" s="1"/>
  <c r="C41" i="1"/>
  <c r="G41" i="1" s="1"/>
  <c r="V41" i="1" s="1"/>
  <c r="C39" i="1"/>
  <c r="G39" i="1" s="1"/>
  <c r="V39" i="1" s="1"/>
  <c r="C37" i="1"/>
  <c r="G37" i="1" s="1"/>
  <c r="C35" i="1"/>
  <c r="G35" i="1" s="1"/>
  <c r="V35" i="1" s="1"/>
  <c r="C33" i="1"/>
  <c r="G33" i="1" s="1"/>
  <c r="V33" i="1" s="1"/>
  <c r="C31" i="1"/>
  <c r="G31" i="1" s="1"/>
  <c r="V31" i="1" s="1"/>
  <c r="C29" i="1"/>
  <c r="G29" i="1" s="1"/>
  <c r="V29" i="1" s="1"/>
  <c r="C27" i="1"/>
  <c r="G27" i="1" s="1"/>
  <c r="V27" i="1" s="1"/>
  <c r="C25" i="1"/>
  <c r="G25" i="1" s="1"/>
  <c r="V25" i="1" s="1"/>
  <c r="C23" i="1"/>
  <c r="G23" i="1" s="1"/>
  <c r="V23" i="1" s="1"/>
  <c r="C21" i="1"/>
  <c r="G21" i="1" s="1"/>
  <c r="V21" i="1" s="1"/>
  <c r="C17" i="1"/>
  <c r="G17" i="1" s="1"/>
  <c r="V17" i="1" s="1"/>
  <c r="C15" i="1"/>
  <c r="G15" i="1" s="1"/>
  <c r="V15" i="1" s="1"/>
  <c r="C13" i="1"/>
  <c r="G13" i="1" s="1"/>
  <c r="V13" i="1" s="1"/>
  <c r="C12" i="1"/>
  <c r="G12" i="1" s="1"/>
  <c r="V12" i="1" s="1"/>
  <c r="C10" i="1"/>
  <c r="G10" i="1" s="1"/>
  <c r="V10" i="1" s="1"/>
  <c r="AS94" i="1"/>
  <c r="AX19" i="1"/>
  <c r="AX36" i="1"/>
  <c r="BI36" i="1" s="1"/>
  <c r="O10" i="1"/>
  <c r="M11" i="2" s="1"/>
  <c r="O11" i="2" s="1"/>
  <c r="O14" i="1"/>
  <c r="M15" i="2" s="1"/>
  <c r="O15" i="2" s="1"/>
  <c r="O18" i="1"/>
  <c r="M19" i="2" s="1"/>
  <c r="O12" i="1"/>
  <c r="M13" i="2" s="1"/>
  <c r="O13" i="2" s="1"/>
  <c r="O15" i="1"/>
  <c r="M16" i="2" s="1"/>
  <c r="I22" i="1"/>
  <c r="O22" i="1"/>
  <c r="M23" i="2" s="1"/>
  <c r="J22" i="1"/>
  <c r="H23" i="2" s="1"/>
  <c r="O20" i="1"/>
  <c r="M21" i="2" s="1"/>
  <c r="O21" i="1"/>
  <c r="M22" i="2" s="1"/>
  <c r="O23" i="1"/>
  <c r="M24" i="2" s="1"/>
  <c r="O29" i="1"/>
  <c r="M30" i="2" s="1"/>
  <c r="O33" i="1"/>
  <c r="M34" i="2" s="1"/>
  <c r="O39" i="1"/>
  <c r="M40" i="2" s="1"/>
  <c r="O43" i="1"/>
  <c r="M44" i="2" s="1"/>
  <c r="I46" i="1"/>
  <c r="O46" i="1"/>
  <c r="M47" i="2" s="1"/>
  <c r="J46" i="1"/>
  <c r="H47" i="2" s="1"/>
  <c r="O50" i="1"/>
  <c r="M51" i="2" s="1"/>
  <c r="O54" i="1"/>
  <c r="M55" i="2" s="1"/>
  <c r="O59" i="1"/>
  <c r="M60" i="2" s="1"/>
  <c r="O60" i="2" s="1"/>
  <c r="I61" i="1"/>
  <c r="O61" i="1"/>
  <c r="J61" i="1"/>
  <c r="O67" i="1"/>
  <c r="M68" i="2" s="1"/>
  <c r="I71" i="1"/>
  <c r="G72" i="2" s="1"/>
  <c r="O71" i="1"/>
  <c r="M72" i="2" s="1"/>
  <c r="J71" i="1"/>
  <c r="H72" i="2" s="1"/>
  <c r="I78" i="1"/>
  <c r="G79" i="2" s="1"/>
  <c r="O78" i="1"/>
  <c r="M79" i="2" s="1"/>
  <c r="J78" i="1"/>
  <c r="H79" i="2" s="1"/>
  <c r="O86" i="1"/>
  <c r="M87" i="2" s="1"/>
  <c r="O89" i="1"/>
  <c r="M90" i="2" s="1"/>
  <c r="O85" i="1"/>
  <c r="M86" i="2" s="1"/>
  <c r="O97" i="1"/>
  <c r="BL98" i="1"/>
  <c r="BN98" i="1" s="1"/>
  <c r="BJ98" i="1"/>
  <c r="BK98" i="1"/>
  <c r="O9" i="1"/>
  <c r="M10" i="2" s="1"/>
  <c r="O11" i="1"/>
  <c r="M12" i="2" s="1"/>
  <c r="W11" i="1"/>
  <c r="BJ106" i="1"/>
  <c r="BK106" i="1" s="1"/>
  <c r="BN106" i="1"/>
  <c r="O13" i="1"/>
  <c r="M14" i="2" s="1"/>
  <c r="O16" i="1"/>
  <c r="M17" i="2" s="1"/>
  <c r="O17" i="2" s="1"/>
  <c r="J17" i="1"/>
  <c r="H18" i="2" s="1"/>
  <c r="O24" i="1"/>
  <c r="M25" i="2" s="1"/>
  <c r="I24" i="1"/>
  <c r="O27" i="1"/>
  <c r="M28" i="2" s="1"/>
  <c r="I31" i="1"/>
  <c r="O31" i="1"/>
  <c r="M32" i="2" s="1"/>
  <c r="J31" i="1"/>
  <c r="H32" i="2" s="1"/>
  <c r="O35" i="1"/>
  <c r="M36" i="2" s="1"/>
  <c r="O41" i="1"/>
  <c r="M42" i="2" s="1"/>
  <c r="O45" i="1"/>
  <c r="M46" i="2" s="1"/>
  <c r="I48" i="1"/>
  <c r="O48" i="1"/>
  <c r="M49" i="2" s="1"/>
  <c r="J48" i="1"/>
  <c r="H49" i="2" s="1"/>
  <c r="O52" i="1"/>
  <c r="M53" i="2" s="1"/>
  <c r="O53" i="2" s="1"/>
  <c r="O55" i="1"/>
  <c r="M56" i="2" s="1"/>
  <c r="O62" i="1"/>
  <c r="M63" i="2" s="1"/>
  <c r="O65" i="1"/>
  <c r="M66" i="2" s="1"/>
  <c r="I69" i="1"/>
  <c r="G70" i="2" s="1"/>
  <c r="O69" i="1"/>
  <c r="M70" i="2" s="1"/>
  <c r="J69" i="1"/>
  <c r="H70" i="2" s="1"/>
  <c r="O73" i="1"/>
  <c r="M74" i="2" s="1"/>
  <c r="O76" i="1"/>
  <c r="M77" i="2" s="1"/>
  <c r="O80" i="1"/>
  <c r="M81" i="2" s="1"/>
  <c r="O83" i="1"/>
  <c r="M84" i="2" s="1"/>
  <c r="O87" i="1"/>
  <c r="M88" i="2" s="1"/>
  <c r="O91" i="1"/>
  <c r="M92" i="2" s="1"/>
  <c r="W57" i="1"/>
  <c r="O57" i="1"/>
  <c r="M58" i="2" s="1"/>
  <c r="O58" i="2" s="1"/>
  <c r="W9" i="1"/>
  <c r="BI102" i="1"/>
  <c r="O25" i="1"/>
  <c r="M26" i="2" s="1"/>
  <c r="I32" i="1"/>
  <c r="I63" i="1"/>
  <c r="G64" i="2" s="1"/>
  <c r="I68" i="1"/>
  <c r="G69" i="2" s="1"/>
  <c r="BI107" i="1"/>
  <c r="BN107" i="1"/>
  <c r="O74" i="1"/>
  <c r="M75" i="2" s="1"/>
  <c r="I79" i="1"/>
  <c r="G80" i="2" s="1"/>
  <c r="O81" i="1"/>
  <c r="M82" i="2" s="1"/>
  <c r="I88" i="1"/>
  <c r="G89" i="2" s="1"/>
  <c r="BJ102" i="1"/>
  <c r="BI25" i="1"/>
  <c r="O26" i="1"/>
  <c r="M27" i="2" s="1"/>
  <c r="O27" i="2" s="1"/>
  <c r="O28" i="1"/>
  <c r="M29" i="2" s="1"/>
  <c r="O29" i="2" s="1"/>
  <c r="O30" i="1"/>
  <c r="M31" i="2" s="1"/>
  <c r="O31" i="2" s="1"/>
  <c r="J32" i="1"/>
  <c r="H33" i="2" s="1"/>
  <c r="O32" i="1"/>
  <c r="M33" i="2" s="1"/>
  <c r="O34" i="1"/>
  <c r="M35" i="2" s="1"/>
  <c r="O35" i="2" s="1"/>
  <c r="O37" i="1"/>
  <c r="M38" i="2" s="1"/>
  <c r="O40" i="1"/>
  <c r="M41" i="2" s="1"/>
  <c r="O41" i="2" s="1"/>
  <c r="O42" i="1"/>
  <c r="M43" i="2" s="1"/>
  <c r="O43" i="2" s="1"/>
  <c r="O44" i="1"/>
  <c r="M45" i="2" s="1"/>
  <c r="O45" i="2" s="1"/>
  <c r="O51" i="1"/>
  <c r="M52" i="2" s="1"/>
  <c r="O47" i="1"/>
  <c r="M48" i="2" s="1"/>
  <c r="O49" i="1"/>
  <c r="M50" i="2" s="1"/>
  <c r="O53" i="1"/>
  <c r="M54" i="2" s="1"/>
  <c r="O56" i="1"/>
  <c r="M57" i="2" s="1"/>
  <c r="O57" i="2" s="1"/>
  <c r="I60" i="1"/>
  <c r="O60" i="1"/>
  <c r="M61" i="2" s="1"/>
  <c r="J63" i="1"/>
  <c r="H64" i="2" s="1"/>
  <c r="O63" i="1"/>
  <c r="M64" i="2" s="1"/>
  <c r="O64" i="1"/>
  <c r="M65" i="2" s="1"/>
  <c r="O66" i="1"/>
  <c r="M67" i="2" s="1"/>
  <c r="J68" i="1"/>
  <c r="H69" i="2" s="1"/>
  <c r="O68" i="1"/>
  <c r="M69" i="2" s="1"/>
  <c r="BJ107" i="1"/>
  <c r="O107" i="1" s="1"/>
  <c r="O72" i="1"/>
  <c r="M73" i="2" s="1"/>
  <c r="O75" i="1"/>
  <c r="M76" i="2" s="1"/>
  <c r="O77" i="1"/>
  <c r="M78" i="2" s="1"/>
  <c r="J79" i="1"/>
  <c r="H80" i="2" s="1"/>
  <c r="O79" i="1"/>
  <c r="M80" i="2" s="1"/>
  <c r="O82" i="1"/>
  <c r="M83" i="2" s="1"/>
  <c r="O84" i="1"/>
  <c r="M85" i="2" s="1"/>
  <c r="J88" i="1"/>
  <c r="H89" i="2" s="1"/>
  <c r="O88" i="1"/>
  <c r="M89" i="2" s="1"/>
  <c r="O90" i="1"/>
  <c r="M91" i="2" s="1"/>
  <c r="O70" i="1"/>
  <c r="M71" i="2" s="1"/>
  <c r="O38" i="1"/>
  <c r="M39" i="2" s="1"/>
  <c r="O39" i="2" s="1"/>
  <c r="O58" i="1"/>
  <c r="M59" i="2" s="1"/>
  <c r="S106" i="1"/>
  <c r="S105" i="1"/>
  <c r="F105" i="1"/>
  <c r="F106" i="1"/>
  <c r="P106" i="1"/>
  <c r="P105" i="1"/>
  <c r="N106" i="1"/>
  <c r="H106" i="1"/>
  <c r="I106" i="1"/>
  <c r="J106" i="1"/>
  <c r="K106" i="1"/>
  <c r="H105" i="1"/>
  <c r="I105" i="1"/>
  <c r="J105" i="1"/>
  <c r="K105" i="1"/>
  <c r="M106" i="1"/>
  <c r="M105" i="1"/>
  <c r="L106" i="1"/>
  <c r="L105" i="1"/>
  <c r="E105" i="1"/>
  <c r="P100" i="10"/>
  <c r="AA100" i="10" s="1"/>
  <c r="P99" i="10"/>
  <c r="AA99" i="10" s="1"/>
  <c r="AK96" i="10"/>
  <c r="AJ96" i="10"/>
  <c r="AI96" i="10"/>
  <c r="AG96" i="10"/>
  <c r="AE96" i="10"/>
  <c r="Y96" i="10"/>
  <c r="X96" i="10"/>
  <c r="W96" i="10"/>
  <c r="V96" i="10"/>
  <c r="Q96" i="10"/>
  <c r="O96" i="10"/>
  <c r="N96" i="10"/>
  <c r="M96" i="10"/>
  <c r="AH94" i="10"/>
  <c r="AH93" i="10"/>
  <c r="AH96" i="10" s="1"/>
  <c r="AH92" i="10"/>
  <c r="K90" i="10"/>
  <c r="P90" i="10" s="1"/>
  <c r="K89" i="10"/>
  <c r="P89" i="10" s="1"/>
  <c r="AD89" i="10" s="1"/>
  <c r="K88" i="10"/>
  <c r="P88" i="10" s="1"/>
  <c r="P87" i="10"/>
  <c r="AD87" i="10" s="1"/>
  <c r="K87" i="10"/>
  <c r="K86" i="10"/>
  <c r="P86" i="10" s="1"/>
  <c r="K85" i="10"/>
  <c r="P85" i="10" s="1"/>
  <c r="AD85" i="10" s="1"/>
  <c r="K84" i="10"/>
  <c r="P84" i="10" s="1"/>
  <c r="P83" i="10"/>
  <c r="AD83" i="10" s="1"/>
  <c r="K83" i="10"/>
  <c r="Z82" i="10"/>
  <c r="K82" i="10"/>
  <c r="P82" i="10" s="1"/>
  <c r="K81" i="10"/>
  <c r="P81" i="10" s="1"/>
  <c r="P80" i="10"/>
  <c r="AD80" i="10" s="1"/>
  <c r="K80" i="10"/>
  <c r="K79" i="10"/>
  <c r="P79" i="10" s="1"/>
  <c r="Z78" i="10"/>
  <c r="K78" i="10"/>
  <c r="P78" i="10" s="1"/>
  <c r="K77" i="10"/>
  <c r="P77" i="10" s="1"/>
  <c r="AD77" i="10" s="1"/>
  <c r="K76" i="10"/>
  <c r="P76" i="10" s="1"/>
  <c r="P75" i="10"/>
  <c r="AD75" i="10" s="1"/>
  <c r="K75" i="10"/>
  <c r="L74" i="10"/>
  <c r="K74" i="10"/>
  <c r="K73" i="10"/>
  <c r="P73" i="10" s="1"/>
  <c r="K72" i="10"/>
  <c r="P72" i="10" s="1"/>
  <c r="AD72" i="10" s="1"/>
  <c r="Z71" i="10"/>
  <c r="L71" i="10"/>
  <c r="K71" i="10"/>
  <c r="P70" i="10"/>
  <c r="AD70" i="10" s="1"/>
  <c r="K70" i="10"/>
  <c r="K69" i="10"/>
  <c r="P69" i="10" s="1"/>
  <c r="K68" i="10"/>
  <c r="P68" i="10" s="1"/>
  <c r="AD68" i="10" s="1"/>
  <c r="K67" i="10"/>
  <c r="P67" i="10" s="1"/>
  <c r="P66" i="10"/>
  <c r="AD66" i="10" s="1"/>
  <c r="K66" i="10"/>
  <c r="K65" i="10"/>
  <c r="P65" i="10" s="1"/>
  <c r="K64" i="10"/>
  <c r="P64" i="10" s="1"/>
  <c r="AD64" i="10" s="1"/>
  <c r="K63" i="10"/>
  <c r="P63" i="10" s="1"/>
  <c r="P62" i="10"/>
  <c r="AD62" i="10" s="1"/>
  <c r="K62" i="10"/>
  <c r="K61" i="10"/>
  <c r="P61" i="10" s="1"/>
  <c r="K60" i="10"/>
  <c r="P60" i="10" s="1"/>
  <c r="AD60" i="10" s="1"/>
  <c r="K59" i="10"/>
  <c r="P59" i="10" s="1"/>
  <c r="P58" i="10"/>
  <c r="AD58" i="10" s="1"/>
  <c r="K58" i="10"/>
  <c r="K57" i="10"/>
  <c r="P57" i="10" s="1"/>
  <c r="K56" i="10"/>
  <c r="P56" i="10" s="1"/>
  <c r="AD56" i="10" s="1"/>
  <c r="K55" i="10"/>
  <c r="P55" i="10" s="1"/>
  <c r="P54" i="10"/>
  <c r="AD54" i="10" s="1"/>
  <c r="K54" i="10"/>
  <c r="P53" i="10"/>
  <c r="K53" i="10"/>
  <c r="L52" i="10"/>
  <c r="K52" i="10"/>
  <c r="L51" i="10"/>
  <c r="K51" i="10"/>
  <c r="P50" i="10"/>
  <c r="K50" i="10"/>
  <c r="K49" i="10"/>
  <c r="P49" i="10" s="1"/>
  <c r="K48" i="10"/>
  <c r="P48" i="10" s="1"/>
  <c r="AD48" i="10" s="1"/>
  <c r="K47" i="10"/>
  <c r="P47" i="10" s="1"/>
  <c r="P46" i="10"/>
  <c r="AD46" i="10" s="1"/>
  <c r="K46" i="10"/>
  <c r="K45" i="10"/>
  <c r="P45" i="10" s="1"/>
  <c r="L44" i="10"/>
  <c r="K44" i="10"/>
  <c r="P44" i="10" s="1"/>
  <c r="K43" i="10"/>
  <c r="P43" i="10" s="1"/>
  <c r="AD43" i="10" s="1"/>
  <c r="L42" i="10"/>
  <c r="K42" i="10"/>
  <c r="P42" i="10" s="1"/>
  <c r="K41" i="10"/>
  <c r="P41" i="10" s="1"/>
  <c r="L40" i="10"/>
  <c r="K40" i="10"/>
  <c r="L39" i="10"/>
  <c r="K39" i="10"/>
  <c r="P38" i="10"/>
  <c r="AD38" i="10" s="1"/>
  <c r="K38" i="10"/>
  <c r="K37" i="10"/>
  <c r="P37" i="10" s="1"/>
  <c r="L36" i="10"/>
  <c r="K36" i="10"/>
  <c r="P36" i="10" s="1"/>
  <c r="K35" i="10"/>
  <c r="P35" i="10" s="1"/>
  <c r="AD35" i="10" s="1"/>
  <c r="K34" i="10"/>
  <c r="P34" i="10" s="1"/>
  <c r="P33" i="10"/>
  <c r="AD33" i="10" s="1"/>
  <c r="K33" i="10"/>
  <c r="K32" i="10"/>
  <c r="P32" i="10" s="1"/>
  <c r="K31" i="10"/>
  <c r="P31" i="10" s="1"/>
  <c r="AD31" i="10" s="1"/>
  <c r="K30" i="10"/>
  <c r="P30" i="10" s="1"/>
  <c r="P29" i="10"/>
  <c r="AD29" i="10" s="1"/>
  <c r="K29" i="10"/>
  <c r="K28" i="10"/>
  <c r="P28" i="10" s="1"/>
  <c r="K27" i="10"/>
  <c r="P27" i="10" s="1"/>
  <c r="AD27" i="10" s="1"/>
  <c r="K26" i="10"/>
  <c r="P26" i="10" s="1"/>
  <c r="Z25" i="10"/>
  <c r="L25" i="10"/>
  <c r="K25" i="10"/>
  <c r="P25" i="10" s="1"/>
  <c r="Z24" i="10"/>
  <c r="P24" i="10"/>
  <c r="K24" i="10"/>
  <c r="K23" i="10"/>
  <c r="P23" i="10" s="1"/>
  <c r="K22" i="10"/>
  <c r="P22" i="10" s="1"/>
  <c r="AD22" i="10" s="1"/>
  <c r="K21" i="10"/>
  <c r="P21" i="10" s="1"/>
  <c r="K20" i="10"/>
  <c r="P20" i="10" s="1"/>
  <c r="L19" i="10"/>
  <c r="K19" i="10"/>
  <c r="P19" i="10" s="1"/>
  <c r="K18" i="10"/>
  <c r="P18" i="10" s="1"/>
  <c r="AM17" i="10"/>
  <c r="K17" i="10"/>
  <c r="P17" i="10" s="1"/>
  <c r="K16" i="10"/>
  <c r="P16" i="10" s="1"/>
  <c r="K15" i="10"/>
  <c r="P15" i="10" s="1"/>
  <c r="P14" i="10"/>
  <c r="K14" i="10"/>
  <c r="K13" i="10"/>
  <c r="P13" i="10" s="1"/>
  <c r="K12" i="10"/>
  <c r="P12" i="10" s="1"/>
  <c r="AD12" i="10" s="1"/>
  <c r="K11" i="10"/>
  <c r="P11" i="10" s="1"/>
  <c r="K10" i="10"/>
  <c r="P10" i="10" s="1"/>
  <c r="K9" i="10"/>
  <c r="P9" i="10" s="1"/>
  <c r="AD9" i="10" s="1"/>
  <c r="K8" i="10"/>
  <c r="P8" i="10" s="1"/>
  <c r="P7" i="10"/>
  <c r="K7" i="10"/>
  <c r="BN26" i="1" l="1"/>
  <c r="BI38" i="1"/>
  <c r="BK38" i="1" s="1"/>
  <c r="BI23" i="1"/>
  <c r="BK23" i="1" s="1"/>
  <c r="BI56" i="1"/>
  <c r="BK56" i="1" s="1"/>
  <c r="BN44" i="1"/>
  <c r="BN21" i="1"/>
  <c r="BI70" i="1"/>
  <c r="BK70" i="1" s="1"/>
  <c r="W60" i="1"/>
  <c r="W51" i="1"/>
  <c r="W34" i="1"/>
  <c r="Z34" i="1" s="1"/>
  <c r="AA34" i="1" s="1"/>
  <c r="AB34" i="1" s="1"/>
  <c r="W26" i="1"/>
  <c r="BN11" i="1"/>
  <c r="CZ94" i="1"/>
  <c r="BL95" i="1" s="1"/>
  <c r="O59" i="2"/>
  <c r="BN58" i="1"/>
  <c r="BI90" i="1"/>
  <c r="BK90" i="1" s="1"/>
  <c r="BN66" i="1"/>
  <c r="BI44" i="1"/>
  <c r="BK44" i="1" s="1"/>
  <c r="W30" i="1"/>
  <c r="BI58" i="1"/>
  <c r="BK58" i="1" s="1"/>
  <c r="BN15" i="1"/>
  <c r="BN28" i="1"/>
  <c r="BN47" i="1"/>
  <c r="BN63" i="1"/>
  <c r="DB36" i="1"/>
  <c r="DB94" i="1" s="1"/>
  <c r="BN95" i="1" s="1"/>
  <c r="BN51" i="1"/>
  <c r="O38" i="2"/>
  <c r="BN70" i="1"/>
  <c r="BN56" i="1"/>
  <c r="O19" i="1"/>
  <c r="M20" i="2" s="1"/>
  <c r="O20" i="2" s="1"/>
  <c r="BN40" i="1"/>
  <c r="BN88" i="1"/>
  <c r="BN32" i="1"/>
  <c r="W42" i="1"/>
  <c r="Z42" i="1" s="1"/>
  <c r="AA42" i="1" s="1"/>
  <c r="AB42" i="1" s="1"/>
  <c r="W68" i="1"/>
  <c r="W49" i="1"/>
  <c r="W37" i="1"/>
  <c r="O50" i="2"/>
  <c r="W88" i="1"/>
  <c r="BN53" i="1"/>
  <c r="BN38" i="1"/>
  <c r="BN90" i="1"/>
  <c r="BN60" i="1"/>
  <c r="O42" i="2"/>
  <c r="BN49" i="1"/>
  <c r="BN37" i="1"/>
  <c r="CX94" i="1"/>
  <c r="BJ95" i="1" s="1"/>
  <c r="BN84" i="1"/>
  <c r="BN34" i="1"/>
  <c r="W79" i="1"/>
  <c r="W47" i="1"/>
  <c r="Z47" i="1" s="1"/>
  <c r="AA47" i="1" s="1"/>
  <c r="AB47" i="1" s="1"/>
  <c r="W44" i="1"/>
  <c r="Z44" i="1" s="1"/>
  <c r="AA44" i="1" s="1"/>
  <c r="AB44" i="1" s="1"/>
  <c r="W40" i="1"/>
  <c r="Z40" i="1" s="1"/>
  <c r="AA40" i="1" s="1"/>
  <c r="AB40" i="1" s="1"/>
  <c r="W32" i="1"/>
  <c r="W28" i="1"/>
  <c r="BN30" i="1"/>
  <c r="C57" i="1"/>
  <c r="G57" i="1" s="1"/>
  <c r="V57" i="1" s="1"/>
  <c r="Z57" i="1" s="1"/>
  <c r="AA57" i="1" s="1"/>
  <c r="AB57" i="1" s="1"/>
  <c r="CY19" i="1"/>
  <c r="CY94" i="1" s="1"/>
  <c r="BK95" i="1" s="1"/>
  <c r="O52" i="2"/>
  <c r="W53" i="1"/>
  <c r="C94" i="1"/>
  <c r="AX57" i="1"/>
  <c r="AX94" i="1" s="1"/>
  <c r="L96" i="10"/>
  <c r="P39" i="10"/>
  <c r="P51" i="10"/>
  <c r="P71" i="10"/>
  <c r="BA60" i="1"/>
  <c r="H60" i="1" s="1"/>
  <c r="H94" i="1" s="1"/>
  <c r="BI37" i="1"/>
  <c r="BK37" i="1" s="1"/>
  <c r="P40" i="10"/>
  <c r="P52" i="10"/>
  <c r="P74" i="10"/>
  <c r="AB74" i="10" s="1"/>
  <c r="BI77" i="1"/>
  <c r="BK77" i="1" s="1"/>
  <c r="BN68" i="1"/>
  <c r="BI49" i="1"/>
  <c r="BK49" i="1" s="1"/>
  <c r="BI51" i="1"/>
  <c r="BK51" i="1" s="1"/>
  <c r="BI34" i="1"/>
  <c r="BK34" i="1" s="1"/>
  <c r="BI30" i="1"/>
  <c r="BK30" i="1" s="1"/>
  <c r="BI26" i="1"/>
  <c r="BK26" i="1" s="1"/>
  <c r="BI19" i="1"/>
  <c r="BK19" i="1" s="1"/>
  <c r="BN82" i="1"/>
  <c r="BI75" i="1"/>
  <c r="BK75" i="1" s="1"/>
  <c r="BN72" i="1"/>
  <c r="BN64" i="1"/>
  <c r="O28" i="2"/>
  <c r="W63" i="1"/>
  <c r="BI84" i="1"/>
  <c r="BK84" i="1" s="1"/>
  <c r="BI82" i="1"/>
  <c r="BK82" i="1" s="1"/>
  <c r="BN79" i="1"/>
  <c r="BN77" i="1"/>
  <c r="BN75" i="1"/>
  <c r="BI72" i="1"/>
  <c r="BK72" i="1" s="1"/>
  <c r="BI66" i="1"/>
  <c r="BK66" i="1" s="1"/>
  <c r="BI64" i="1"/>
  <c r="BK64" i="1" s="1"/>
  <c r="G62" i="2"/>
  <c r="M62" i="2"/>
  <c r="H62" i="2"/>
  <c r="H94" i="4"/>
  <c r="AF57" i="1"/>
  <c r="AS96" i="1"/>
  <c r="AQ94" i="1"/>
  <c r="C95" i="1" s="1"/>
  <c r="V37" i="1"/>
  <c r="V49" i="1"/>
  <c r="V53" i="1"/>
  <c r="V28" i="1"/>
  <c r="Z38" i="1"/>
  <c r="AA38" i="1" s="1"/>
  <c r="AB38" i="1" s="1"/>
  <c r="C37" i="2"/>
  <c r="E37" i="2" s="1"/>
  <c r="AE36" i="1" s="1"/>
  <c r="O54" i="2"/>
  <c r="O48" i="2"/>
  <c r="BI42" i="1"/>
  <c r="O26" i="2"/>
  <c r="O56" i="2"/>
  <c r="O46" i="2"/>
  <c r="O36" i="2"/>
  <c r="O14" i="2"/>
  <c r="O40" i="2"/>
  <c r="O30" i="2"/>
  <c r="CW94" i="1"/>
  <c r="BI95" i="1" s="1"/>
  <c r="O44" i="2"/>
  <c r="O34" i="2"/>
  <c r="O24" i="2"/>
  <c r="O22" i="2"/>
  <c r="O16" i="2"/>
  <c r="C25" i="2"/>
  <c r="E25" i="2" s="1"/>
  <c r="C11" i="2"/>
  <c r="E11" i="2" s="1"/>
  <c r="P11" i="2" s="1"/>
  <c r="Z58" i="1"/>
  <c r="AA58" i="1" s="1"/>
  <c r="AB58" i="1" s="1"/>
  <c r="C15" i="2"/>
  <c r="E15" i="2" s="1"/>
  <c r="P15" i="2" s="1"/>
  <c r="C41" i="2"/>
  <c r="E41" i="2" s="1"/>
  <c r="C47" i="2"/>
  <c r="E47" i="2" s="1"/>
  <c r="C51" i="2"/>
  <c r="E51" i="2" s="1"/>
  <c r="AE50" i="1" s="1"/>
  <c r="C33" i="2"/>
  <c r="E33" i="2" s="1"/>
  <c r="AE32" i="1" s="1"/>
  <c r="C29" i="2"/>
  <c r="E29" i="2" s="1"/>
  <c r="P29" i="2" s="1"/>
  <c r="T28" i="1"/>
  <c r="T44" i="1"/>
  <c r="U44" i="1" s="1"/>
  <c r="T23" i="1"/>
  <c r="T43" i="1"/>
  <c r="T59" i="1"/>
  <c r="U59" i="1" s="1"/>
  <c r="Z21" i="1"/>
  <c r="AA21" i="1" s="1"/>
  <c r="AB21" i="1" s="1"/>
  <c r="U23" i="1"/>
  <c r="U43" i="1"/>
  <c r="U28" i="1"/>
  <c r="C21" i="2"/>
  <c r="E21" i="2" s="1"/>
  <c r="T40" i="1"/>
  <c r="U40" i="1" s="1"/>
  <c r="T52" i="1"/>
  <c r="U52" i="1" s="1"/>
  <c r="T15" i="1"/>
  <c r="U15" i="1" s="1"/>
  <c r="T27" i="1"/>
  <c r="U27" i="1" s="1"/>
  <c r="T47" i="1"/>
  <c r="U47" i="1" s="1"/>
  <c r="G33" i="2"/>
  <c r="O33" i="2" s="1"/>
  <c r="Y32" i="1"/>
  <c r="BN52" i="1"/>
  <c r="W52" i="1"/>
  <c r="Z52" i="1" s="1"/>
  <c r="AA52" i="1" s="1"/>
  <c r="AB52" i="1" s="1"/>
  <c r="BN48" i="1"/>
  <c r="W48" i="1"/>
  <c r="BN41" i="1"/>
  <c r="W41" i="1"/>
  <c r="Z41" i="1" s="1"/>
  <c r="AA41" i="1" s="1"/>
  <c r="AB41" i="1" s="1"/>
  <c r="G32" i="2"/>
  <c r="O32" i="2" s="1"/>
  <c r="Y31" i="1"/>
  <c r="BN27" i="1"/>
  <c r="W27" i="1"/>
  <c r="G25" i="2"/>
  <c r="Y24" i="1"/>
  <c r="BN24" i="1"/>
  <c r="W24" i="1"/>
  <c r="BI17" i="1"/>
  <c r="BK17" i="1" s="1"/>
  <c r="I17" i="1"/>
  <c r="BI11" i="1"/>
  <c r="BK11" i="1" s="1"/>
  <c r="I11" i="1"/>
  <c r="BN59" i="1"/>
  <c r="W59" i="1"/>
  <c r="BI50" i="1"/>
  <c r="BK50" i="1" s="1"/>
  <c r="J50" i="1"/>
  <c r="J94" i="1" s="1"/>
  <c r="BN50" i="1"/>
  <c r="W50" i="1"/>
  <c r="G47" i="2"/>
  <c r="O47" i="2" s="1"/>
  <c r="Y46" i="1"/>
  <c r="BN43" i="1"/>
  <c r="W43" i="1"/>
  <c r="BN33" i="1"/>
  <c r="W33" i="1"/>
  <c r="Z33" i="1" s="1"/>
  <c r="AA33" i="1" s="1"/>
  <c r="AB33" i="1" s="1"/>
  <c r="BN22" i="1"/>
  <c r="W22" i="1"/>
  <c r="BI18" i="1"/>
  <c r="BK18" i="1" s="1"/>
  <c r="N18" i="1"/>
  <c r="BN18" i="1"/>
  <c r="W18" i="1"/>
  <c r="G9" i="1"/>
  <c r="C61" i="2"/>
  <c r="E61" i="2" s="1"/>
  <c r="AE60" i="1" s="1"/>
  <c r="C54" i="2"/>
  <c r="E54" i="2" s="1"/>
  <c r="C50" i="2"/>
  <c r="E50" i="2" s="1"/>
  <c r="C46" i="2"/>
  <c r="E46" i="2" s="1"/>
  <c r="AE45" i="1" s="1"/>
  <c r="C42" i="2"/>
  <c r="E42" i="2" s="1"/>
  <c r="C38" i="2"/>
  <c r="E38" i="2" s="1"/>
  <c r="C32" i="2"/>
  <c r="E32" i="2" s="1"/>
  <c r="C26" i="2"/>
  <c r="E26" i="2" s="1"/>
  <c r="C22" i="2"/>
  <c r="E22" i="2" s="1"/>
  <c r="C18" i="2"/>
  <c r="E18" i="2" s="1"/>
  <c r="AE17" i="1" s="1"/>
  <c r="C14" i="2"/>
  <c r="E14" i="2" s="1"/>
  <c r="G61" i="2"/>
  <c r="Y60" i="1"/>
  <c r="BN25" i="1"/>
  <c r="W25" i="1"/>
  <c r="Z25" i="1" s="1"/>
  <c r="AA25" i="1" s="1"/>
  <c r="AB25" i="1" s="1"/>
  <c r="BN55" i="1"/>
  <c r="W55" i="1"/>
  <c r="Z55" i="1" s="1"/>
  <c r="AA55" i="1" s="1"/>
  <c r="AB55" i="1" s="1"/>
  <c r="G49" i="2"/>
  <c r="O49" i="2" s="1"/>
  <c r="Y48" i="1"/>
  <c r="BN45" i="1"/>
  <c r="W45" i="1"/>
  <c r="Z45" i="1" s="1"/>
  <c r="AA45" i="1" s="1"/>
  <c r="AB45" i="1" s="1"/>
  <c r="BN35" i="1"/>
  <c r="W35" i="1"/>
  <c r="BN31" i="1"/>
  <c r="W31" i="1"/>
  <c r="F25" i="2"/>
  <c r="T24" i="1"/>
  <c r="U24" i="1" s="1"/>
  <c r="BN17" i="1"/>
  <c r="W17" i="1"/>
  <c r="BN16" i="1"/>
  <c r="W16" i="1"/>
  <c r="Z16" i="1" s="1"/>
  <c r="AA16" i="1" s="1"/>
  <c r="AB16" i="1" s="1"/>
  <c r="BN13" i="1"/>
  <c r="W13" i="1"/>
  <c r="Z13" i="1" s="1"/>
  <c r="AA13" i="1" s="1"/>
  <c r="AB13" i="1" s="1"/>
  <c r="BN97" i="1"/>
  <c r="BN99" i="1" s="1"/>
  <c r="BN100" i="1" s="1"/>
  <c r="BN101" i="1" s="1"/>
  <c r="W97" i="1"/>
  <c r="Z97" i="1" s="1"/>
  <c r="AA97" i="1" s="1"/>
  <c r="AB97" i="1" s="1"/>
  <c r="BI54" i="1"/>
  <c r="BK54" i="1" s="1"/>
  <c r="N54" i="1"/>
  <c r="BN54" i="1"/>
  <c r="W54" i="1"/>
  <c r="BN46" i="1"/>
  <c r="W46" i="1"/>
  <c r="BN39" i="1"/>
  <c r="W39" i="1"/>
  <c r="BN29" i="1"/>
  <c r="W29" i="1"/>
  <c r="Z29" i="1" s="1"/>
  <c r="AA29" i="1" s="1"/>
  <c r="AB29" i="1" s="1"/>
  <c r="BI20" i="1"/>
  <c r="BK20" i="1" s="1"/>
  <c r="N20" i="1"/>
  <c r="BN20" i="1"/>
  <c r="W20" i="1"/>
  <c r="Z20" i="1" s="1"/>
  <c r="AA20" i="1" s="1"/>
  <c r="AB20" i="1" s="1"/>
  <c r="G23" i="2"/>
  <c r="O23" i="2" s="1"/>
  <c r="Y22" i="1"/>
  <c r="BN12" i="1"/>
  <c r="W12" i="1"/>
  <c r="Z12" i="1" s="1"/>
  <c r="AA12" i="1" s="1"/>
  <c r="AB12" i="1" s="1"/>
  <c r="BN14" i="1"/>
  <c r="W14" i="1"/>
  <c r="BN10" i="1"/>
  <c r="W10" i="1"/>
  <c r="Z10" i="1" s="1"/>
  <c r="AA10" i="1" s="1"/>
  <c r="AB10" i="1" s="1"/>
  <c r="C57" i="2"/>
  <c r="E57" i="2" s="1"/>
  <c r="P57" i="2" s="1"/>
  <c r="C43" i="2"/>
  <c r="E43" i="2" s="1"/>
  <c r="P43" i="2" s="1"/>
  <c r="C17" i="2"/>
  <c r="E17" i="2" s="1"/>
  <c r="P17" i="2" s="1"/>
  <c r="BK10" i="1"/>
  <c r="Z26" i="1"/>
  <c r="AA26" i="1" s="1"/>
  <c r="AB26" i="1" s="1"/>
  <c r="Z30" i="1"/>
  <c r="AA30" i="1" s="1"/>
  <c r="AB30" i="1" s="1"/>
  <c r="T10" i="1"/>
  <c r="U10" i="1" s="1"/>
  <c r="T14" i="1"/>
  <c r="U14" i="1" s="1"/>
  <c r="T22" i="1"/>
  <c r="U22" i="1" s="1"/>
  <c r="T32" i="1"/>
  <c r="U32" i="1" s="1"/>
  <c r="T48" i="1"/>
  <c r="U48" i="1" s="1"/>
  <c r="T97" i="1"/>
  <c r="U97" i="1" s="1"/>
  <c r="T31" i="1"/>
  <c r="U31" i="1" s="1"/>
  <c r="T35" i="1"/>
  <c r="U35" i="1" s="1"/>
  <c r="T39" i="1"/>
  <c r="U39" i="1" s="1"/>
  <c r="T51" i="1"/>
  <c r="U51" i="1" s="1"/>
  <c r="T56" i="1"/>
  <c r="U56" i="1" s="1"/>
  <c r="T55" i="1"/>
  <c r="U55" i="1" s="1"/>
  <c r="BN42" i="1"/>
  <c r="Z15" i="1"/>
  <c r="AA15" i="1" s="1"/>
  <c r="AB15" i="1" s="1"/>
  <c r="Z23" i="1"/>
  <c r="AA23" i="1" s="1"/>
  <c r="AB23" i="1" s="1"/>
  <c r="Z51" i="1"/>
  <c r="AA51" i="1" s="1"/>
  <c r="AB51" i="1" s="1"/>
  <c r="Z56" i="1"/>
  <c r="AA56" i="1" s="1"/>
  <c r="AB56" i="1" s="1"/>
  <c r="T12" i="1"/>
  <c r="U12" i="1" s="1"/>
  <c r="T16" i="1"/>
  <c r="U16" i="1" s="1"/>
  <c r="T26" i="1"/>
  <c r="U26" i="1" s="1"/>
  <c r="T30" i="1"/>
  <c r="U30" i="1" s="1"/>
  <c r="T34" i="1"/>
  <c r="U34" i="1" s="1"/>
  <c r="T38" i="1"/>
  <c r="U38" i="1" s="1"/>
  <c r="T42" i="1"/>
  <c r="U42" i="1" s="1"/>
  <c r="T46" i="1"/>
  <c r="U46" i="1" s="1"/>
  <c r="T58" i="1"/>
  <c r="U58" i="1" s="1"/>
  <c r="T9" i="1"/>
  <c r="T13" i="1"/>
  <c r="U13" i="1" s="1"/>
  <c r="T21" i="1"/>
  <c r="U21" i="1" s="1"/>
  <c r="T25" i="1"/>
  <c r="U25" i="1" s="1"/>
  <c r="T29" i="1"/>
  <c r="U29" i="1" s="1"/>
  <c r="T33" i="1"/>
  <c r="U33" i="1" s="1"/>
  <c r="T37" i="1"/>
  <c r="U37" i="1" s="1"/>
  <c r="T41" i="1"/>
  <c r="U41" i="1" s="1"/>
  <c r="T45" i="1"/>
  <c r="U45" i="1" s="1"/>
  <c r="T49" i="1"/>
  <c r="U49" i="1" s="1"/>
  <c r="T53" i="1"/>
  <c r="U53" i="1" s="1"/>
  <c r="T57" i="1"/>
  <c r="DB100" i="1"/>
  <c r="DB101" i="1" s="1"/>
  <c r="C13" i="2"/>
  <c r="E13" i="2" s="1"/>
  <c r="P13" i="2" s="1"/>
  <c r="C19" i="2"/>
  <c r="E19" i="2" s="1"/>
  <c r="C23" i="2"/>
  <c r="E23" i="2" s="1"/>
  <c r="C27" i="2"/>
  <c r="E27" i="2" s="1"/>
  <c r="P27" i="2" s="1"/>
  <c r="C31" i="2"/>
  <c r="E31" i="2" s="1"/>
  <c r="P31" i="2" s="1"/>
  <c r="C35" i="2"/>
  <c r="E35" i="2" s="1"/>
  <c r="P35" i="2" s="1"/>
  <c r="C39" i="2"/>
  <c r="E39" i="2" s="1"/>
  <c r="P39" i="2" s="1"/>
  <c r="C45" i="2"/>
  <c r="E45" i="2" s="1"/>
  <c r="P45" i="2" s="1"/>
  <c r="C49" i="2"/>
  <c r="E49" i="2" s="1"/>
  <c r="C53" i="2"/>
  <c r="E53" i="2" s="1"/>
  <c r="P53" i="2" s="1"/>
  <c r="C60" i="2"/>
  <c r="E60" i="2" s="1"/>
  <c r="P60" i="2" s="1"/>
  <c r="C12" i="2"/>
  <c r="E12" i="2" s="1"/>
  <c r="C16" i="2"/>
  <c r="E16" i="2" s="1"/>
  <c r="C20" i="2"/>
  <c r="E20" i="2" s="1"/>
  <c r="C24" i="2"/>
  <c r="E24" i="2" s="1"/>
  <c r="C30" i="2"/>
  <c r="E30" i="2" s="1"/>
  <c r="C34" i="2"/>
  <c r="E34" i="2" s="1"/>
  <c r="C40" i="2"/>
  <c r="E40" i="2" s="1"/>
  <c r="C44" i="2"/>
  <c r="E44" i="2" s="1"/>
  <c r="C48" i="2"/>
  <c r="E48" i="2" s="1"/>
  <c r="C52" i="2"/>
  <c r="E52" i="2" s="1"/>
  <c r="C56" i="2"/>
  <c r="E56" i="2" s="1"/>
  <c r="C59" i="2"/>
  <c r="E59" i="2" s="1"/>
  <c r="C55" i="2"/>
  <c r="E55" i="2" s="1"/>
  <c r="C36" i="2"/>
  <c r="E36" i="2" s="1"/>
  <c r="C28" i="2"/>
  <c r="E28" i="2" s="1"/>
  <c r="Z64" i="1"/>
  <c r="AA64" i="1" s="1"/>
  <c r="AB64" i="1" s="1"/>
  <c r="C65" i="2"/>
  <c r="E65" i="2" s="1"/>
  <c r="AE64" i="1" s="1"/>
  <c r="C69" i="2"/>
  <c r="E69" i="2" s="1"/>
  <c r="AE68" i="1" s="1"/>
  <c r="C72" i="2"/>
  <c r="E72" i="2" s="1"/>
  <c r="AE71" i="1" s="1"/>
  <c r="Z75" i="1"/>
  <c r="AA75" i="1" s="1"/>
  <c r="AB75" i="1" s="1"/>
  <c r="C76" i="2"/>
  <c r="E76" i="2" s="1"/>
  <c r="AE75" i="1" s="1"/>
  <c r="C80" i="2"/>
  <c r="E80" i="2" s="1"/>
  <c r="AE79" i="1" s="1"/>
  <c r="C84" i="2"/>
  <c r="E84" i="2" s="1"/>
  <c r="AE83" i="1" s="1"/>
  <c r="C88" i="2"/>
  <c r="E88" i="2" s="1"/>
  <c r="AE87" i="1" s="1"/>
  <c r="C92" i="2"/>
  <c r="E92" i="2" s="1"/>
  <c r="AE91" i="1" s="1"/>
  <c r="C64" i="2"/>
  <c r="E64" i="2" s="1"/>
  <c r="AE63" i="1" s="1"/>
  <c r="C68" i="2"/>
  <c r="E68" i="2" s="1"/>
  <c r="Z70" i="1"/>
  <c r="AA70" i="1" s="1"/>
  <c r="AB70" i="1" s="1"/>
  <c r="C71" i="2"/>
  <c r="E71" i="2" s="1"/>
  <c r="AE70" i="1" s="1"/>
  <c r="C75" i="2"/>
  <c r="E75" i="2" s="1"/>
  <c r="AE74" i="1" s="1"/>
  <c r="C79" i="2"/>
  <c r="E79" i="2" s="1"/>
  <c r="AE78" i="1" s="1"/>
  <c r="Z82" i="1"/>
  <c r="AA82" i="1" s="1"/>
  <c r="AB82" i="1" s="1"/>
  <c r="C83" i="2"/>
  <c r="E83" i="2" s="1"/>
  <c r="AE82" i="1" s="1"/>
  <c r="C87" i="2"/>
  <c r="Z90" i="1"/>
  <c r="AA90" i="1" s="1"/>
  <c r="AB90" i="1" s="1"/>
  <c r="C91" i="2"/>
  <c r="E91" i="2" s="1"/>
  <c r="AE90" i="1" s="1"/>
  <c r="C63" i="2"/>
  <c r="E63" i="2" s="1"/>
  <c r="AE62" i="1" s="1"/>
  <c r="Z66" i="1"/>
  <c r="AA66" i="1" s="1"/>
  <c r="AB66" i="1" s="1"/>
  <c r="C67" i="2"/>
  <c r="E67" i="2" s="1"/>
  <c r="AE66" i="1" s="1"/>
  <c r="V107" i="1"/>
  <c r="Z107" i="1" s="1"/>
  <c r="AA107" i="1" s="1"/>
  <c r="AB107" i="1" s="1"/>
  <c r="AE107" i="1"/>
  <c r="C74" i="2"/>
  <c r="E74" i="2" s="1"/>
  <c r="AE73" i="1" s="1"/>
  <c r="Z77" i="1"/>
  <c r="AA77" i="1" s="1"/>
  <c r="AB77" i="1" s="1"/>
  <c r="C78" i="2"/>
  <c r="E78" i="2" s="1"/>
  <c r="AE77" i="1" s="1"/>
  <c r="C82" i="2"/>
  <c r="E82" i="2" s="1"/>
  <c r="AE81" i="1" s="1"/>
  <c r="C86" i="2"/>
  <c r="E86" i="2" s="1"/>
  <c r="AE85" i="1" s="1"/>
  <c r="C90" i="2"/>
  <c r="E90" i="2" s="1"/>
  <c r="AE89" i="1" s="1"/>
  <c r="C66" i="2"/>
  <c r="E66" i="2" s="1"/>
  <c r="AE65" i="1" s="1"/>
  <c r="C70" i="2"/>
  <c r="E70" i="2" s="1"/>
  <c r="AE69" i="1" s="1"/>
  <c r="Z72" i="1"/>
  <c r="AA72" i="1" s="1"/>
  <c r="AB72" i="1" s="1"/>
  <c r="C73" i="2"/>
  <c r="E73" i="2" s="1"/>
  <c r="AE72" i="1" s="1"/>
  <c r="C77" i="2"/>
  <c r="E77" i="2" s="1"/>
  <c r="AE76" i="1" s="1"/>
  <c r="C81" i="2"/>
  <c r="E81" i="2" s="1"/>
  <c r="AE80" i="1" s="1"/>
  <c r="Z84" i="1"/>
  <c r="AA84" i="1" s="1"/>
  <c r="AB84" i="1" s="1"/>
  <c r="C85" i="2"/>
  <c r="E85" i="2" s="1"/>
  <c r="AE84" i="1" s="1"/>
  <c r="C89" i="2"/>
  <c r="E89" i="2" s="1"/>
  <c r="AE88" i="1" s="1"/>
  <c r="T90" i="1"/>
  <c r="U90" i="1" s="1"/>
  <c r="O91" i="2"/>
  <c r="T82" i="1"/>
  <c r="U82" i="1" s="1"/>
  <c r="O83" i="2"/>
  <c r="T77" i="1"/>
  <c r="U77" i="1" s="1"/>
  <c r="O78" i="2"/>
  <c r="T107" i="1"/>
  <c r="U107" i="1" s="1"/>
  <c r="T64" i="1"/>
  <c r="U64" i="1" s="1"/>
  <c r="O65" i="2"/>
  <c r="T87" i="1"/>
  <c r="U87" i="1" s="1"/>
  <c r="O88" i="2"/>
  <c r="T80" i="1"/>
  <c r="U80" i="1" s="1"/>
  <c r="O81" i="2"/>
  <c r="T73" i="1"/>
  <c r="U73" i="1" s="1"/>
  <c r="O74" i="2"/>
  <c r="Y69" i="1"/>
  <c r="O70" i="2"/>
  <c r="T62" i="1"/>
  <c r="U62" i="1" s="1"/>
  <c r="O63" i="2"/>
  <c r="T85" i="1"/>
  <c r="U85" i="1" s="1"/>
  <c r="O86" i="2"/>
  <c r="Y78" i="1"/>
  <c r="O79" i="2"/>
  <c r="Y71" i="1"/>
  <c r="O72" i="2"/>
  <c r="T70" i="1"/>
  <c r="U70" i="1" s="1"/>
  <c r="O71" i="2"/>
  <c r="T84" i="1"/>
  <c r="U84" i="1" s="1"/>
  <c r="O85" i="2"/>
  <c r="T75" i="1"/>
  <c r="U75" i="1" s="1"/>
  <c r="O76" i="2"/>
  <c r="T72" i="1"/>
  <c r="U72" i="1" s="1"/>
  <c r="O73" i="2"/>
  <c r="T66" i="1"/>
  <c r="U66" i="1" s="1"/>
  <c r="O67" i="2"/>
  <c r="O89" i="2"/>
  <c r="Y88" i="1"/>
  <c r="T81" i="1"/>
  <c r="U81" i="1" s="1"/>
  <c r="O82" i="2"/>
  <c r="Y79" i="1"/>
  <c r="O80" i="2"/>
  <c r="T74" i="1"/>
  <c r="U74" i="1" s="1"/>
  <c r="O75" i="2"/>
  <c r="Y68" i="1"/>
  <c r="O69" i="2"/>
  <c r="Y63" i="1"/>
  <c r="O64" i="2"/>
  <c r="T91" i="1"/>
  <c r="U91" i="1" s="1"/>
  <c r="O92" i="2"/>
  <c r="T83" i="1"/>
  <c r="U83" i="1" s="1"/>
  <c r="O84" i="2"/>
  <c r="T76" i="1"/>
  <c r="U76" i="1" s="1"/>
  <c r="O77" i="2"/>
  <c r="T65" i="1"/>
  <c r="U65" i="1" s="1"/>
  <c r="O66" i="2"/>
  <c r="T89" i="1"/>
  <c r="U89" i="1" s="1"/>
  <c r="O90" i="2"/>
  <c r="T67" i="1"/>
  <c r="U67" i="1" s="1"/>
  <c r="O68" i="2"/>
  <c r="Y61" i="1"/>
  <c r="BN87" i="1"/>
  <c r="W87" i="1"/>
  <c r="BN80" i="1"/>
  <c r="W80" i="1"/>
  <c r="BN73" i="1"/>
  <c r="W73" i="1"/>
  <c r="BN69" i="1"/>
  <c r="W69" i="1"/>
  <c r="BN62" i="1"/>
  <c r="W62" i="1"/>
  <c r="BN85" i="1"/>
  <c r="W85" i="1"/>
  <c r="BN78" i="1"/>
  <c r="W78" i="1"/>
  <c r="BN71" i="1"/>
  <c r="W71" i="1"/>
  <c r="T61" i="1"/>
  <c r="G61" i="1"/>
  <c r="V61" i="1" s="1"/>
  <c r="T88" i="1"/>
  <c r="U88" i="1" s="1"/>
  <c r="T79" i="1"/>
  <c r="U79" i="1" s="1"/>
  <c r="T68" i="1"/>
  <c r="U68" i="1" s="1"/>
  <c r="T63" i="1"/>
  <c r="U63" i="1" s="1"/>
  <c r="BN81" i="1"/>
  <c r="W81" i="1"/>
  <c r="BN74" i="1"/>
  <c r="W74" i="1"/>
  <c r="BN91" i="1"/>
  <c r="W91" i="1"/>
  <c r="BN83" i="1"/>
  <c r="W83" i="1"/>
  <c r="BN76" i="1"/>
  <c r="W76" i="1"/>
  <c r="BN65" i="1"/>
  <c r="W65" i="1"/>
  <c r="BN89" i="1"/>
  <c r="W89" i="1"/>
  <c r="BI86" i="1"/>
  <c r="BK86" i="1" s="1"/>
  <c r="N86" i="1"/>
  <c r="BN86" i="1"/>
  <c r="W86" i="1"/>
  <c r="BN67" i="1"/>
  <c r="W67" i="1"/>
  <c r="BN61" i="1"/>
  <c r="W61" i="1"/>
  <c r="T69" i="1"/>
  <c r="U69" i="1" s="1"/>
  <c r="T78" i="1"/>
  <c r="U78" i="1" s="1"/>
  <c r="T71" i="1"/>
  <c r="U71" i="1" s="1"/>
  <c r="BI68" i="1"/>
  <c r="BK68" i="1" s="1"/>
  <c r="BK14" i="1"/>
  <c r="BK16" i="1"/>
  <c r="BI61" i="1"/>
  <c r="BK61" i="1" s="1"/>
  <c r="BI88" i="1"/>
  <c r="BK88" i="1" s="1"/>
  <c r="BI79" i="1"/>
  <c r="BK79" i="1" s="1"/>
  <c r="BI69" i="1"/>
  <c r="BK69" i="1" s="1"/>
  <c r="BI71" i="1"/>
  <c r="BK71" i="1" s="1"/>
  <c r="BK81" i="1"/>
  <c r="BI63" i="1"/>
  <c r="BK63" i="1" s="1"/>
  <c r="BI48" i="1"/>
  <c r="BK48" i="1" s="1"/>
  <c r="BI31" i="1"/>
  <c r="BK31" i="1" s="1"/>
  <c r="BC94" i="1"/>
  <c r="BC96" i="1" s="1"/>
  <c r="BI78" i="1"/>
  <c r="BK78" i="1" s="1"/>
  <c r="BI46" i="1"/>
  <c r="BK46" i="1" s="1"/>
  <c r="BI22" i="1"/>
  <c r="BK22" i="1" s="1"/>
  <c r="BK107" i="1"/>
  <c r="BI32" i="1"/>
  <c r="BK32" i="1" s="1"/>
  <c r="BK28" i="1"/>
  <c r="Y105" i="1"/>
  <c r="Y106" i="1"/>
  <c r="BK9" i="1"/>
  <c r="BK74" i="1"/>
  <c r="BK25" i="1"/>
  <c r="BK53" i="1"/>
  <c r="BK47" i="1"/>
  <c r="BK42" i="1"/>
  <c r="BK40" i="1"/>
  <c r="BK102" i="1"/>
  <c r="BK87" i="1"/>
  <c r="BK83" i="1"/>
  <c r="BK80" i="1"/>
  <c r="BK76" i="1"/>
  <c r="BK73" i="1"/>
  <c r="BK65" i="1"/>
  <c r="BK62" i="1"/>
  <c r="BK55" i="1"/>
  <c r="BK52" i="1"/>
  <c r="BK45" i="1"/>
  <c r="BK41" i="1"/>
  <c r="BK35" i="1"/>
  <c r="BK27" i="1"/>
  <c r="BI24" i="1"/>
  <c r="BK24" i="1" s="1"/>
  <c r="BK13" i="1"/>
  <c r="BK67" i="1"/>
  <c r="BK59" i="1"/>
  <c r="BK43" i="1"/>
  <c r="BK39" i="1"/>
  <c r="BK33" i="1"/>
  <c r="BK29" i="1"/>
  <c r="BK12" i="1"/>
  <c r="BH94" i="1"/>
  <c r="BH96" i="1" s="1"/>
  <c r="BB94" i="1"/>
  <c r="BB96" i="1" s="1"/>
  <c r="BK97" i="1"/>
  <c r="BK85" i="1"/>
  <c r="BK89" i="1"/>
  <c r="BN9" i="1"/>
  <c r="AD10" i="10"/>
  <c r="AF10" i="10" s="1"/>
  <c r="AA10" i="10"/>
  <c r="AC10" i="10" s="1"/>
  <c r="AF13" i="10"/>
  <c r="AD13" i="10"/>
  <c r="AB13" i="10"/>
  <c r="AA13" i="10"/>
  <c r="AD8" i="10"/>
  <c r="AB8" i="10"/>
  <c r="AF8" i="10"/>
  <c r="AA8" i="10"/>
  <c r="AC8" i="10" s="1"/>
  <c r="AF11" i="10"/>
  <c r="AD11" i="10"/>
  <c r="AB11" i="10"/>
  <c r="AA11" i="10"/>
  <c r="AF15" i="10"/>
  <c r="AD15" i="10"/>
  <c r="AB15" i="10"/>
  <c r="AA15" i="10"/>
  <c r="AA16" i="10"/>
  <c r="AC16" i="10" s="1"/>
  <c r="T16" i="10"/>
  <c r="AD16" i="10"/>
  <c r="AF16" i="10" s="1"/>
  <c r="AB16" i="10"/>
  <c r="AD17" i="10"/>
  <c r="AF17" i="10" s="1"/>
  <c r="AB17" i="10"/>
  <c r="Z17" i="10"/>
  <c r="AA17" i="10" s="1"/>
  <c r="AC17" i="10" s="1"/>
  <c r="AD20" i="10"/>
  <c r="AF20" i="10" s="1"/>
  <c r="AB20" i="10"/>
  <c r="AA20" i="10"/>
  <c r="AC20" i="10" s="1"/>
  <c r="S23" i="10"/>
  <c r="AD23" i="10"/>
  <c r="AF23" i="10" s="1"/>
  <c r="AB23" i="10"/>
  <c r="T23" i="10"/>
  <c r="AA23" i="10" s="1"/>
  <c r="AC23" i="10" s="1"/>
  <c r="AD25" i="10"/>
  <c r="AF25" i="10" s="1"/>
  <c r="AB25" i="10"/>
  <c r="AA25" i="10"/>
  <c r="AC25" i="10" s="1"/>
  <c r="AD36" i="10"/>
  <c r="AF36" i="10" s="1"/>
  <c r="AB36" i="10"/>
  <c r="AA36" i="10"/>
  <c r="AC36" i="10" s="1"/>
  <c r="AD44" i="10"/>
  <c r="AF44" i="10" s="1"/>
  <c r="AB44" i="10"/>
  <c r="AA44" i="10"/>
  <c r="AC44" i="10" s="1"/>
  <c r="AA49" i="10"/>
  <c r="AD49" i="10"/>
  <c r="AF49" i="10" s="1"/>
  <c r="AB49" i="10"/>
  <c r="T21" i="10"/>
  <c r="AD21" i="10"/>
  <c r="AF21" i="10" s="1"/>
  <c r="AB21" i="10"/>
  <c r="U21" i="10"/>
  <c r="AA26" i="10"/>
  <c r="AD26" i="10"/>
  <c r="AF26" i="10" s="1"/>
  <c r="AB26" i="10"/>
  <c r="AA30" i="10"/>
  <c r="AD30" i="10"/>
  <c r="AF30" i="10" s="1"/>
  <c r="AB30" i="10"/>
  <c r="AA34" i="10"/>
  <c r="AD34" i="10"/>
  <c r="AF34" i="10" s="1"/>
  <c r="AB34" i="10"/>
  <c r="AD39" i="10"/>
  <c r="AF39" i="10" s="1"/>
  <c r="AB39" i="10"/>
  <c r="AA39" i="10"/>
  <c r="AC39" i="10" s="1"/>
  <c r="AD40" i="10"/>
  <c r="AF40" i="10" s="1"/>
  <c r="AB40" i="10"/>
  <c r="AA40" i="10"/>
  <c r="AC40" i="10" s="1"/>
  <c r="AA41" i="10"/>
  <c r="AD41" i="10"/>
  <c r="AF41" i="10" s="1"/>
  <c r="AB41" i="10"/>
  <c r="AA47" i="10"/>
  <c r="AD47" i="10"/>
  <c r="AF47" i="10" s="1"/>
  <c r="AB47" i="10"/>
  <c r="AA51" i="10"/>
  <c r="AD51" i="10"/>
  <c r="AF51" i="10" s="1"/>
  <c r="AB51" i="10"/>
  <c r="AA52" i="10"/>
  <c r="AD52" i="10"/>
  <c r="AF52" i="10" s="1"/>
  <c r="AB52" i="10"/>
  <c r="AA55" i="10"/>
  <c r="AD55" i="10"/>
  <c r="AF55" i="10" s="1"/>
  <c r="AB55" i="10"/>
  <c r="T59" i="10"/>
  <c r="AD59" i="10"/>
  <c r="AF59" i="10" s="1"/>
  <c r="AB59" i="10"/>
  <c r="U59" i="10"/>
  <c r="AA63" i="10"/>
  <c r="AD63" i="10"/>
  <c r="AF63" i="10" s="1"/>
  <c r="AB63" i="10"/>
  <c r="AA67" i="10"/>
  <c r="AD67" i="10"/>
  <c r="AF67" i="10" s="1"/>
  <c r="AB67" i="10"/>
  <c r="AA71" i="10"/>
  <c r="AD71" i="10"/>
  <c r="AF71" i="10" s="1"/>
  <c r="AB71" i="10"/>
  <c r="AA74" i="10"/>
  <c r="AD74" i="10"/>
  <c r="AF74" i="10" s="1"/>
  <c r="T76" i="10"/>
  <c r="AD76" i="10"/>
  <c r="AF76" i="10" s="1"/>
  <c r="AB76" i="10"/>
  <c r="U76" i="10"/>
  <c r="AA81" i="10"/>
  <c r="AD81" i="10"/>
  <c r="AF81" i="10" s="1"/>
  <c r="AB81" i="10"/>
  <c r="T84" i="10"/>
  <c r="AD84" i="10"/>
  <c r="AF84" i="10" s="1"/>
  <c r="AB84" i="10"/>
  <c r="U84" i="10"/>
  <c r="AA84" i="10" s="1"/>
  <c r="AC84" i="10" s="1"/>
  <c r="AA88" i="10"/>
  <c r="AD88" i="10"/>
  <c r="AF88" i="10" s="1"/>
  <c r="AB88" i="10"/>
  <c r="AD99" i="10"/>
  <c r="AB99" i="10"/>
  <c r="AF99" i="10"/>
  <c r="AC99" i="10"/>
  <c r="P96" i="10"/>
  <c r="AB7" i="10"/>
  <c r="AD7" i="10"/>
  <c r="U9" i="10"/>
  <c r="AB9" i="10"/>
  <c r="AB12" i="10"/>
  <c r="AB14" i="10"/>
  <c r="AD14" i="10"/>
  <c r="AF14" i="10" s="1"/>
  <c r="K96" i="10"/>
  <c r="AA7" i="10"/>
  <c r="AF7" i="10"/>
  <c r="T9" i="10"/>
  <c r="AA9" i="10"/>
  <c r="AC9" i="10" s="1"/>
  <c r="AF9" i="10"/>
  <c r="AA12" i="10"/>
  <c r="AC12" i="10" s="1"/>
  <c r="AF12" i="10"/>
  <c r="AA14" i="10"/>
  <c r="U16" i="10"/>
  <c r="AF100" i="10"/>
  <c r="AA19" i="10"/>
  <c r="AD19" i="10"/>
  <c r="AF19" i="10" s="1"/>
  <c r="AB19" i="10"/>
  <c r="AA28" i="10"/>
  <c r="AD28" i="10"/>
  <c r="AF28" i="10" s="1"/>
  <c r="AB28" i="10"/>
  <c r="T32" i="10"/>
  <c r="AD32" i="10"/>
  <c r="AF32" i="10" s="1"/>
  <c r="AB32" i="10"/>
  <c r="U32" i="10"/>
  <c r="AA32" i="10" s="1"/>
  <c r="AC32" i="10" s="1"/>
  <c r="AA37" i="10"/>
  <c r="AD37" i="10"/>
  <c r="AF37" i="10" s="1"/>
  <c r="AB37" i="10"/>
  <c r="AA42" i="10"/>
  <c r="AD42" i="10"/>
  <c r="AF42" i="10" s="1"/>
  <c r="AB42" i="10"/>
  <c r="AA45" i="10"/>
  <c r="AD45" i="10"/>
  <c r="AF45" i="10" s="1"/>
  <c r="AB45" i="10"/>
  <c r="S57" i="10"/>
  <c r="AD57" i="10"/>
  <c r="AF57" i="10" s="1"/>
  <c r="AB57" i="10"/>
  <c r="T57" i="10"/>
  <c r="AA61" i="10"/>
  <c r="AC61" i="10" s="1"/>
  <c r="AD61" i="10"/>
  <c r="AF61" i="10" s="1"/>
  <c r="AB61" i="10"/>
  <c r="T65" i="10"/>
  <c r="AD65" i="10"/>
  <c r="AF65" i="10" s="1"/>
  <c r="AB65" i="10"/>
  <c r="U65" i="10"/>
  <c r="AA65" i="10" s="1"/>
  <c r="AC65" i="10" s="1"/>
  <c r="AA69" i="10"/>
  <c r="AD69" i="10"/>
  <c r="AF69" i="10" s="1"/>
  <c r="AB69" i="10"/>
  <c r="AA73" i="10"/>
  <c r="AD73" i="10"/>
  <c r="AF73" i="10" s="1"/>
  <c r="AB73" i="10"/>
  <c r="AD78" i="10"/>
  <c r="AF78" i="10" s="1"/>
  <c r="AB78" i="10"/>
  <c r="AA78" i="10"/>
  <c r="AC78" i="10" s="1"/>
  <c r="AA79" i="10"/>
  <c r="AD79" i="10"/>
  <c r="AF79" i="10" s="1"/>
  <c r="AB79" i="10"/>
  <c r="AA86" i="10"/>
  <c r="AD86" i="10"/>
  <c r="AF86" i="10" s="1"/>
  <c r="AB86" i="10"/>
  <c r="AA90" i="10"/>
  <c r="AD90" i="10"/>
  <c r="AF90" i="10" s="1"/>
  <c r="AB90" i="10"/>
  <c r="AB18" i="10"/>
  <c r="AD18" i="10"/>
  <c r="AF18" i="10" s="1"/>
  <c r="AA22" i="10"/>
  <c r="AF22" i="10"/>
  <c r="AB24" i="10"/>
  <c r="AD24" i="10"/>
  <c r="AF24" i="10" s="1"/>
  <c r="AA27" i="10"/>
  <c r="AF27" i="10"/>
  <c r="AA29" i="10"/>
  <c r="AF29" i="10"/>
  <c r="T31" i="10"/>
  <c r="AA31" i="10" s="1"/>
  <c r="AF31" i="10"/>
  <c r="AA33" i="10"/>
  <c r="AF33" i="10"/>
  <c r="AA35" i="10"/>
  <c r="AF35" i="10"/>
  <c r="AA38" i="10"/>
  <c r="AF38" i="10"/>
  <c r="AA43" i="10"/>
  <c r="AF43" i="10"/>
  <c r="T46" i="10"/>
  <c r="AF46" i="10"/>
  <c r="T48" i="10"/>
  <c r="AA48" i="10"/>
  <c r="AF48" i="10"/>
  <c r="U50" i="10"/>
  <c r="AA50" i="10" s="1"/>
  <c r="AC50" i="10" s="1"/>
  <c r="AB50" i="10"/>
  <c r="AD50" i="10"/>
  <c r="AF50" i="10" s="1"/>
  <c r="Z53" i="10"/>
  <c r="AB53" i="10"/>
  <c r="AD53" i="10"/>
  <c r="AF53" i="10" s="1"/>
  <c r="AA54" i="10"/>
  <c r="AF54" i="10"/>
  <c r="AA56" i="10"/>
  <c r="AF56" i="10"/>
  <c r="AA58" i="10"/>
  <c r="AF58" i="10"/>
  <c r="T60" i="10"/>
  <c r="AA60" i="10" s="1"/>
  <c r="AF60" i="10"/>
  <c r="AA62" i="10"/>
  <c r="AF62" i="10"/>
  <c r="AA64" i="10"/>
  <c r="AF64" i="10"/>
  <c r="T66" i="10"/>
  <c r="AF66" i="10"/>
  <c r="T68" i="10"/>
  <c r="AA68" i="10" s="1"/>
  <c r="AC68" i="10" s="1"/>
  <c r="AF68" i="10"/>
  <c r="AA70" i="10"/>
  <c r="AF70" i="10"/>
  <c r="AA72" i="10"/>
  <c r="AF72" i="10"/>
  <c r="T75" i="10"/>
  <c r="AF75" i="10"/>
  <c r="AA77" i="10"/>
  <c r="AF77" i="10"/>
  <c r="AA80" i="10"/>
  <c r="AF80" i="10"/>
  <c r="AB82" i="10"/>
  <c r="AD82" i="10"/>
  <c r="AF82" i="10" s="1"/>
  <c r="AA83" i="10"/>
  <c r="AF83" i="10"/>
  <c r="AA85" i="10"/>
  <c r="AF85" i="10"/>
  <c r="AA87" i="10"/>
  <c r="AF87" i="10"/>
  <c r="AA89" i="10"/>
  <c r="AF89" i="10"/>
  <c r="AB100" i="10"/>
  <c r="AD100" i="10"/>
  <c r="AA18" i="10"/>
  <c r="AC18" i="10" s="1"/>
  <c r="AB22" i="10"/>
  <c r="AA24" i="10"/>
  <c r="AC24" i="10" s="1"/>
  <c r="AB27" i="10"/>
  <c r="AB29" i="10"/>
  <c r="U31" i="10"/>
  <c r="AB31" i="10"/>
  <c r="AB33" i="10"/>
  <c r="AB35" i="10"/>
  <c r="AB38" i="10"/>
  <c r="AB43" i="10"/>
  <c r="U46" i="10"/>
  <c r="AB46" i="10"/>
  <c r="U48" i="10"/>
  <c r="AB48" i="10"/>
  <c r="AA53" i="10"/>
  <c r="AB54" i="10"/>
  <c r="AB56" i="10"/>
  <c r="AB58" i="10"/>
  <c r="U60" i="10"/>
  <c r="AB60" i="10"/>
  <c r="AB62" i="10"/>
  <c r="AB64" i="10"/>
  <c r="U66" i="10"/>
  <c r="AB66" i="10"/>
  <c r="U68" i="10"/>
  <c r="AB68" i="10"/>
  <c r="AB70" i="10"/>
  <c r="AB72" i="10"/>
  <c r="U75" i="10"/>
  <c r="AB75" i="10"/>
  <c r="AB77" i="10"/>
  <c r="AB80" i="10"/>
  <c r="AA82" i="10"/>
  <c r="AB83" i="10"/>
  <c r="AB85" i="10"/>
  <c r="AB87" i="10"/>
  <c r="AB89" i="10"/>
  <c r="AC100" i="10"/>
  <c r="N105" i="1"/>
  <c r="BA94" i="1" l="1"/>
  <c r="BA96" i="1" s="1"/>
  <c r="Z28" i="1"/>
  <c r="AA28" i="1" s="1"/>
  <c r="AB28" i="1" s="1"/>
  <c r="T19" i="1"/>
  <c r="U19" i="1" s="1"/>
  <c r="AC19" i="1" s="1"/>
  <c r="AC52" i="1"/>
  <c r="Z60" i="1"/>
  <c r="AA60" i="1" s="1"/>
  <c r="AB60" i="1" s="1"/>
  <c r="I94" i="1"/>
  <c r="P59" i="2"/>
  <c r="DO58" i="1" s="1"/>
  <c r="Z53" i="1"/>
  <c r="AA53" i="1" s="1"/>
  <c r="AB53" i="1" s="1"/>
  <c r="U57" i="1"/>
  <c r="BI60" i="1"/>
  <c r="BK60" i="1" s="1"/>
  <c r="P52" i="2"/>
  <c r="AD51" i="1" s="1"/>
  <c r="DB95" i="1"/>
  <c r="DB96" i="1" s="1"/>
  <c r="DB103" i="1" s="1"/>
  <c r="DO16" i="1"/>
  <c r="P38" i="2"/>
  <c r="DO37" i="1" s="1"/>
  <c r="Z37" i="1"/>
  <c r="AA37" i="1" s="1"/>
  <c r="AB37" i="1" s="1"/>
  <c r="N94" i="1"/>
  <c r="DO34" i="1"/>
  <c r="DO14" i="1"/>
  <c r="P50" i="2"/>
  <c r="DO49" i="1" s="1"/>
  <c r="AC28" i="1"/>
  <c r="DO56" i="1"/>
  <c r="C58" i="2"/>
  <c r="E58" i="2" s="1"/>
  <c r="P58" i="2" s="1"/>
  <c r="Z49" i="1"/>
  <c r="AA49" i="1" s="1"/>
  <c r="AB49" i="1" s="1"/>
  <c r="DO30" i="1"/>
  <c r="DO10" i="1"/>
  <c r="P14" i="2"/>
  <c r="DO13" i="1" s="1"/>
  <c r="AQ96" i="1"/>
  <c r="P28" i="2"/>
  <c r="DO27" i="1" s="1"/>
  <c r="F61" i="2"/>
  <c r="O61" i="2" s="1"/>
  <c r="P61" i="2" s="1"/>
  <c r="DO52" i="1"/>
  <c r="AC60" i="10"/>
  <c r="V9" i="1"/>
  <c r="V94" i="1" s="1"/>
  <c r="G94" i="1"/>
  <c r="O62" i="2"/>
  <c r="AA66" i="10"/>
  <c r="AC66" i="10" s="1"/>
  <c r="AC53" i="10"/>
  <c r="AA46" i="10"/>
  <c r="AC46" i="10" s="1"/>
  <c r="AC38" i="10"/>
  <c r="AC33" i="10"/>
  <c r="AA57" i="10"/>
  <c r="AC57" i="10" s="1"/>
  <c r="AG99" i="10"/>
  <c r="AH99" i="10" s="1"/>
  <c r="AA76" i="10"/>
  <c r="AC76" i="10" s="1"/>
  <c r="AA59" i="10"/>
  <c r="AC59" i="10" s="1"/>
  <c r="AA21" i="10"/>
  <c r="AC21" i="10" s="1"/>
  <c r="AC43" i="1"/>
  <c r="DO42" i="1"/>
  <c r="DO26" i="1"/>
  <c r="AC23" i="1"/>
  <c r="BI57" i="1"/>
  <c r="BK57" i="1" s="1"/>
  <c r="BN57" i="1"/>
  <c r="AG100" i="10"/>
  <c r="AI100" i="10" s="1"/>
  <c r="AC83" i="10"/>
  <c r="AC58" i="10"/>
  <c r="AC54" i="10"/>
  <c r="AC42" i="10"/>
  <c r="AC14" i="10"/>
  <c r="DO38" i="1"/>
  <c r="DO44" i="1"/>
  <c r="AC87" i="10"/>
  <c r="AC80" i="10"/>
  <c r="AC82" i="10"/>
  <c r="AA75" i="10"/>
  <c r="AC75" i="10" s="1"/>
  <c r="DO12" i="1"/>
  <c r="T60" i="1"/>
  <c r="U60" i="1" s="1"/>
  <c r="AC15" i="1"/>
  <c r="DO28" i="1"/>
  <c r="DO59" i="1"/>
  <c r="P36" i="2"/>
  <c r="DO35" i="1" s="1"/>
  <c r="P34" i="2"/>
  <c r="DO33" i="1" s="1"/>
  <c r="P49" i="2"/>
  <c r="AD48" i="1" s="1"/>
  <c r="P23" i="2"/>
  <c r="AD22" i="1" s="1"/>
  <c r="P22" i="2"/>
  <c r="AD21" i="1" s="1"/>
  <c r="P32" i="2"/>
  <c r="DO31" i="1" s="1"/>
  <c r="P47" i="2"/>
  <c r="DO46" i="1" s="1"/>
  <c r="P48" i="2"/>
  <c r="DO47" i="1" s="1"/>
  <c r="P40" i="2"/>
  <c r="DO39" i="1" s="1"/>
  <c r="P20" i="2"/>
  <c r="AE40" i="1"/>
  <c r="P41" i="2"/>
  <c r="AD40" i="1" s="1"/>
  <c r="C96" i="1"/>
  <c r="O25" i="2"/>
  <c r="P25" i="2" s="1"/>
  <c r="AD24" i="1" s="1"/>
  <c r="G95" i="1"/>
  <c r="AX96" i="1"/>
  <c r="Z50" i="1"/>
  <c r="AA50" i="1" s="1"/>
  <c r="AB50" i="1" s="1"/>
  <c r="Z18" i="1"/>
  <c r="AA18" i="1" s="1"/>
  <c r="AB18" i="1" s="1"/>
  <c r="AD97" i="1"/>
  <c r="AE41" i="1"/>
  <c r="P42" i="2"/>
  <c r="AD41" i="1" s="1"/>
  <c r="Z67" i="1"/>
  <c r="AA67" i="1" s="1"/>
  <c r="AB67" i="1" s="1"/>
  <c r="Z86" i="1"/>
  <c r="AA86" i="1" s="1"/>
  <c r="AB86" i="1" s="1"/>
  <c r="Z83" i="1"/>
  <c r="AA83" i="1" s="1"/>
  <c r="AB83" i="1" s="1"/>
  <c r="Z91" i="1"/>
  <c r="AA91" i="1" s="1"/>
  <c r="AB91" i="1" s="1"/>
  <c r="Z74" i="1"/>
  <c r="AA74" i="1" s="1"/>
  <c r="AB74" i="1" s="1"/>
  <c r="Z81" i="1"/>
  <c r="AA81" i="1" s="1"/>
  <c r="AB81" i="1" s="1"/>
  <c r="Z71" i="1"/>
  <c r="AA71" i="1" s="1"/>
  <c r="AB71" i="1" s="1"/>
  <c r="Z78" i="1"/>
  <c r="AA78" i="1" s="1"/>
  <c r="AB78" i="1" s="1"/>
  <c r="Z87" i="1"/>
  <c r="AA87" i="1" s="1"/>
  <c r="AB87" i="1" s="1"/>
  <c r="Z63" i="1"/>
  <c r="AA63" i="1" s="1"/>
  <c r="AB63" i="1" s="1"/>
  <c r="Z68" i="1"/>
  <c r="AA68" i="1" s="1"/>
  <c r="AB68" i="1" s="1"/>
  <c r="Z79" i="1"/>
  <c r="AA79" i="1" s="1"/>
  <c r="AB79" i="1" s="1"/>
  <c r="P44" i="2"/>
  <c r="AD43" i="1" s="1"/>
  <c r="P24" i="2"/>
  <c r="AD23" i="1" s="1"/>
  <c r="P16" i="2"/>
  <c r="AD15" i="1" s="1"/>
  <c r="AD28" i="1"/>
  <c r="AD38" i="1"/>
  <c r="Z32" i="1"/>
  <c r="AA32" i="1" s="1"/>
  <c r="AB32" i="1" s="1"/>
  <c r="Z43" i="1"/>
  <c r="AA43" i="1" s="1"/>
  <c r="AB43" i="1" s="1"/>
  <c r="Z35" i="1"/>
  <c r="AA35" i="1" s="1"/>
  <c r="AB35" i="1" s="1"/>
  <c r="Z27" i="1"/>
  <c r="AA27" i="1" s="1"/>
  <c r="AB27" i="1" s="1"/>
  <c r="P54" i="2"/>
  <c r="AD53" i="1" s="1"/>
  <c r="AE25" i="1"/>
  <c r="P26" i="2"/>
  <c r="AD25" i="1" s="1"/>
  <c r="AC55" i="1"/>
  <c r="AC44" i="1"/>
  <c r="P56" i="2"/>
  <c r="AD55" i="1" s="1"/>
  <c r="P30" i="2"/>
  <c r="AD29" i="1" s="1"/>
  <c r="AD52" i="1"/>
  <c r="AD44" i="1"/>
  <c r="AD16" i="1"/>
  <c r="P33" i="2"/>
  <c r="AD32" i="1" s="1"/>
  <c r="AD12" i="1"/>
  <c r="P83" i="2"/>
  <c r="AD82" i="1" s="1"/>
  <c r="P46" i="2"/>
  <c r="AD45" i="1" s="1"/>
  <c r="AC35" i="1"/>
  <c r="AC47" i="1"/>
  <c r="AC59" i="1"/>
  <c r="AC27" i="1"/>
  <c r="AD14" i="1"/>
  <c r="Z88" i="1"/>
  <c r="AA88" i="1" s="1"/>
  <c r="AB88" i="1" s="1"/>
  <c r="Z89" i="1"/>
  <c r="AA89" i="1" s="1"/>
  <c r="AB89" i="1" s="1"/>
  <c r="P68" i="2"/>
  <c r="AD67" i="1" s="1"/>
  <c r="AC29" i="1"/>
  <c r="AC58" i="1"/>
  <c r="AC34" i="1"/>
  <c r="AC26" i="1"/>
  <c r="AE46" i="1"/>
  <c r="AC51" i="1"/>
  <c r="AE15" i="1"/>
  <c r="AE43" i="1"/>
  <c r="AE58" i="1"/>
  <c r="AC24" i="1"/>
  <c r="AE13" i="1"/>
  <c r="AE97" i="1"/>
  <c r="Z48" i="1"/>
  <c r="AA48" i="1" s="1"/>
  <c r="AB48" i="1" s="1"/>
  <c r="AD59" i="1"/>
  <c r="AC49" i="1"/>
  <c r="AC33" i="1"/>
  <c r="AC25" i="1"/>
  <c r="AC30" i="1"/>
  <c r="AC56" i="1"/>
  <c r="AC39" i="1"/>
  <c r="AC31" i="1"/>
  <c r="AC48" i="1"/>
  <c r="AC22" i="1"/>
  <c r="AC40" i="1"/>
  <c r="AE23" i="1"/>
  <c r="AE51" i="1"/>
  <c r="AE42" i="1"/>
  <c r="AC41" i="1"/>
  <c r="AC53" i="1"/>
  <c r="AC45" i="1"/>
  <c r="AC37" i="1"/>
  <c r="AD37" i="1"/>
  <c r="AC21" i="1"/>
  <c r="AC10" i="1"/>
  <c r="AD10" i="1"/>
  <c r="BN36" i="1"/>
  <c r="W36" i="1"/>
  <c r="Z36" i="1" s="1"/>
  <c r="AA36" i="1" s="1"/>
  <c r="AB36" i="1" s="1"/>
  <c r="AC42" i="1"/>
  <c r="AD42" i="1"/>
  <c r="L21" i="2"/>
  <c r="O21" i="2" s="1"/>
  <c r="P21" i="2" s="1"/>
  <c r="T20" i="1"/>
  <c r="U20" i="1" s="1"/>
  <c r="L55" i="2"/>
  <c r="O55" i="2" s="1"/>
  <c r="P55" i="2" s="1"/>
  <c r="T54" i="1"/>
  <c r="U54" i="1" s="1"/>
  <c r="U9" i="1"/>
  <c r="L19" i="2"/>
  <c r="T18" i="1"/>
  <c r="U18" i="1" s="1"/>
  <c r="H51" i="2"/>
  <c r="T50" i="1"/>
  <c r="U50" i="1" s="1"/>
  <c r="G12" i="2"/>
  <c r="Y11" i="1"/>
  <c r="Z11" i="1" s="1"/>
  <c r="T11" i="1"/>
  <c r="U11" i="1" s="1"/>
  <c r="G18" i="2"/>
  <c r="O18" i="2" s="1"/>
  <c r="P18" i="2" s="1"/>
  <c r="Y17" i="1"/>
  <c r="Z17" i="1" s="1"/>
  <c r="AA17" i="1" s="1"/>
  <c r="AB17" i="1" s="1"/>
  <c r="T17" i="1"/>
  <c r="U17" i="1" s="1"/>
  <c r="BJ94" i="1"/>
  <c r="BJ96" i="1" s="1"/>
  <c r="O36" i="1"/>
  <c r="O94" i="1" s="1"/>
  <c r="BN19" i="1"/>
  <c r="W19" i="1"/>
  <c r="Z19" i="1" s="1"/>
  <c r="AA19" i="1" s="1"/>
  <c r="AB19" i="1" s="1"/>
  <c r="L87" i="2"/>
  <c r="O87" i="2" s="1"/>
  <c r="P79" i="2"/>
  <c r="AD78" i="1" s="1"/>
  <c r="AD56" i="1"/>
  <c r="AD30" i="1"/>
  <c r="AC12" i="1"/>
  <c r="AE10" i="1"/>
  <c r="AE14" i="1"/>
  <c r="AE20" i="1"/>
  <c r="AE24" i="1"/>
  <c r="AE28" i="1"/>
  <c r="AE54" i="1"/>
  <c r="AC46" i="1"/>
  <c r="AC14" i="1"/>
  <c r="AE29" i="1"/>
  <c r="AE35" i="1"/>
  <c r="AE16" i="1"/>
  <c r="AE56" i="1"/>
  <c r="AE21" i="1"/>
  <c r="AE31" i="1"/>
  <c r="AE37" i="1"/>
  <c r="AE49" i="1"/>
  <c r="AE53" i="1"/>
  <c r="AC13" i="1"/>
  <c r="Z65" i="1"/>
  <c r="AA65" i="1" s="1"/>
  <c r="AB65" i="1" s="1"/>
  <c r="Z76" i="1"/>
  <c r="AA76" i="1" s="1"/>
  <c r="AB76" i="1" s="1"/>
  <c r="Z85" i="1"/>
  <c r="AA85" i="1" s="1"/>
  <c r="AB85" i="1" s="1"/>
  <c r="Z62" i="1"/>
  <c r="AA62" i="1" s="1"/>
  <c r="AB62" i="1" s="1"/>
  <c r="Z69" i="1"/>
  <c r="AA69" i="1" s="1"/>
  <c r="AB69" i="1" s="1"/>
  <c r="Z73" i="1"/>
  <c r="AA73" i="1" s="1"/>
  <c r="AB73" i="1" s="1"/>
  <c r="Z80" i="1"/>
  <c r="AA80" i="1" s="1"/>
  <c r="AB80" i="1" s="1"/>
  <c r="AD34" i="1"/>
  <c r="AD26" i="1"/>
  <c r="AC38" i="1"/>
  <c r="AC16" i="1"/>
  <c r="Z59" i="1"/>
  <c r="AA59" i="1" s="1"/>
  <c r="AB59" i="1" s="1"/>
  <c r="Z24" i="1"/>
  <c r="AA24" i="1" s="1"/>
  <c r="AB24" i="1" s="1"/>
  <c r="Z39" i="1"/>
  <c r="AA39" i="1" s="1"/>
  <c r="AB39" i="1" s="1"/>
  <c r="Z31" i="1"/>
  <c r="AA31" i="1" s="1"/>
  <c r="AB31" i="1" s="1"/>
  <c r="AE12" i="1"/>
  <c r="AE18" i="1"/>
  <c r="AE22" i="1"/>
  <c r="AE26" i="1"/>
  <c r="AE30" i="1"/>
  <c r="AE34" i="1"/>
  <c r="AE38" i="1"/>
  <c r="AE44" i="1"/>
  <c r="AE48" i="1"/>
  <c r="AE52" i="1"/>
  <c r="AE59" i="1"/>
  <c r="AE67" i="1"/>
  <c r="AC97" i="1"/>
  <c r="AC32" i="1"/>
  <c r="Z54" i="1"/>
  <c r="AA54" i="1" s="1"/>
  <c r="AB54" i="1" s="1"/>
  <c r="Z46" i="1"/>
  <c r="AA46" i="1" s="1"/>
  <c r="AB46" i="1" s="1"/>
  <c r="Z22" i="1"/>
  <c r="AA22" i="1" s="1"/>
  <c r="AB22" i="1" s="1"/>
  <c r="Z14" i="1"/>
  <c r="AA14" i="1" s="1"/>
  <c r="AB14" i="1" s="1"/>
  <c r="AE11" i="1"/>
  <c r="AE19" i="1"/>
  <c r="AE27" i="1"/>
  <c r="AE33" i="1"/>
  <c r="AE39" i="1"/>
  <c r="AE47" i="1"/>
  <c r="AE55" i="1"/>
  <c r="P89" i="2"/>
  <c r="AD88" i="1" s="1"/>
  <c r="P72" i="2"/>
  <c r="AD71" i="1" s="1"/>
  <c r="P77" i="2"/>
  <c r="DO76" i="1" s="1"/>
  <c r="P84" i="2"/>
  <c r="AD83" i="1" s="1"/>
  <c r="P64" i="2"/>
  <c r="AD63" i="1" s="1"/>
  <c r="P69" i="2"/>
  <c r="AD68" i="1" s="1"/>
  <c r="P75" i="2"/>
  <c r="AD74" i="1" s="1"/>
  <c r="P80" i="2"/>
  <c r="AD79" i="1" s="1"/>
  <c r="P73" i="2"/>
  <c r="AD72" i="1" s="1"/>
  <c r="P76" i="2"/>
  <c r="AD75" i="1" s="1"/>
  <c r="P85" i="2"/>
  <c r="AD84" i="1" s="1"/>
  <c r="P71" i="2"/>
  <c r="AD70" i="1" s="1"/>
  <c r="P88" i="2"/>
  <c r="AD87" i="1" s="1"/>
  <c r="P91" i="2"/>
  <c r="AD90" i="1" s="1"/>
  <c r="E87" i="2"/>
  <c r="AE86" i="1" s="1"/>
  <c r="P65" i="2"/>
  <c r="AD64" i="1" s="1"/>
  <c r="P86" i="2"/>
  <c r="AD85" i="1" s="1"/>
  <c r="P63" i="2"/>
  <c r="AD62" i="1" s="1"/>
  <c r="P70" i="2"/>
  <c r="AD69" i="1" s="1"/>
  <c r="P74" i="2"/>
  <c r="AD73" i="1" s="1"/>
  <c r="P81" i="2"/>
  <c r="AD80" i="1" s="1"/>
  <c r="AD107" i="1"/>
  <c r="P78" i="2"/>
  <c r="AD77" i="1" s="1"/>
  <c r="C62" i="2"/>
  <c r="E62" i="2" s="1"/>
  <c r="P90" i="2"/>
  <c r="AD89" i="1" s="1"/>
  <c r="P66" i="2"/>
  <c r="AD65" i="1" s="1"/>
  <c r="P92" i="2"/>
  <c r="AD91" i="1" s="1"/>
  <c r="P82" i="2"/>
  <c r="AD81" i="1" s="1"/>
  <c r="P67" i="2"/>
  <c r="AD66" i="1" s="1"/>
  <c r="Z61" i="1"/>
  <c r="AC82" i="1"/>
  <c r="AC67" i="1"/>
  <c r="AC63" i="1"/>
  <c r="AC79" i="1"/>
  <c r="AC91" i="1"/>
  <c r="AC83" i="1"/>
  <c r="AC71" i="1"/>
  <c r="AC69" i="1"/>
  <c r="T86" i="1"/>
  <c r="U86" i="1" s="1"/>
  <c r="AC78" i="1"/>
  <c r="AC70" i="1"/>
  <c r="AC87" i="1"/>
  <c r="AC64" i="1"/>
  <c r="AC88" i="1"/>
  <c r="AC80" i="1"/>
  <c r="AC72" i="1"/>
  <c r="AC65" i="1"/>
  <c r="AC85" i="1"/>
  <c r="AC77" i="1"/>
  <c r="AC107" i="1"/>
  <c r="AC62" i="1"/>
  <c r="U61" i="1"/>
  <c r="AC90" i="1"/>
  <c r="AC74" i="1"/>
  <c r="AC75" i="1"/>
  <c r="AC68" i="1"/>
  <c r="AC84" i="1"/>
  <c r="AC76" i="1"/>
  <c r="AC89" i="1"/>
  <c r="AC81" i="1"/>
  <c r="AC73" i="1"/>
  <c r="AC66" i="1"/>
  <c r="BL94" i="1"/>
  <c r="BL96" i="1" s="1"/>
  <c r="BK36" i="1"/>
  <c r="C105" i="1"/>
  <c r="O106" i="1"/>
  <c r="AC7" i="10"/>
  <c r="AF101" i="10"/>
  <c r="AC89" i="10"/>
  <c r="AC48" i="10"/>
  <c r="AC43" i="10"/>
  <c r="AC35" i="10"/>
  <c r="AC31" i="10"/>
  <c r="AC90" i="10"/>
  <c r="AC79" i="10"/>
  <c r="AC73" i="10"/>
  <c r="AC69" i="10"/>
  <c r="AC37" i="10"/>
  <c r="AF96" i="10"/>
  <c r="AH100" i="10"/>
  <c r="AC72" i="10"/>
  <c r="AC70" i="10"/>
  <c r="AC64" i="10"/>
  <c r="AC62" i="10"/>
  <c r="AC29" i="10"/>
  <c r="AC27" i="10"/>
  <c r="AC22" i="10"/>
  <c r="T96" i="10"/>
  <c r="AD96" i="10"/>
  <c r="S96" i="10"/>
  <c r="AC15" i="10"/>
  <c r="AC11" i="10"/>
  <c r="AC13" i="10"/>
  <c r="AC85" i="10"/>
  <c r="AC77" i="10"/>
  <c r="AC56" i="10"/>
  <c r="AC86" i="10"/>
  <c r="AC45" i="10"/>
  <c r="AC28" i="10"/>
  <c r="AC19" i="10"/>
  <c r="U96" i="10"/>
  <c r="AB96" i="10"/>
  <c r="AC88" i="10"/>
  <c r="AC81" i="10"/>
  <c r="AC74" i="10"/>
  <c r="AC71" i="10"/>
  <c r="AC67" i="10"/>
  <c r="AC63" i="10"/>
  <c r="AC55" i="10"/>
  <c r="AC52" i="10"/>
  <c r="AC51" i="10"/>
  <c r="AC47" i="10"/>
  <c r="AC41" i="10"/>
  <c r="AC34" i="10"/>
  <c r="AC30" i="10"/>
  <c r="AC26" i="10"/>
  <c r="AC49" i="10"/>
  <c r="Z96" i="10"/>
  <c r="O105" i="1"/>
  <c r="DO19" i="1" l="1"/>
  <c r="AD57" i="1"/>
  <c r="AC57" i="1"/>
  <c r="AD58" i="1"/>
  <c r="DO51" i="1"/>
  <c r="AE57" i="1"/>
  <c r="AD27" i="1"/>
  <c r="DO90" i="1"/>
  <c r="DO75" i="1"/>
  <c r="BI94" i="1"/>
  <c r="BI96" i="1" s="1"/>
  <c r="AD13" i="1"/>
  <c r="BK94" i="1"/>
  <c r="BK96" i="1" s="1"/>
  <c r="AD35" i="1"/>
  <c r="F95" i="2"/>
  <c r="DO57" i="1"/>
  <c r="DO21" i="1"/>
  <c r="AD49" i="1"/>
  <c r="AD47" i="1"/>
  <c r="DO23" i="1"/>
  <c r="DO66" i="1"/>
  <c r="AD33" i="1"/>
  <c r="AD31" i="1"/>
  <c r="DO60" i="1"/>
  <c r="DO29" i="1"/>
  <c r="AD39" i="1"/>
  <c r="DO87" i="1"/>
  <c r="DO65" i="1"/>
  <c r="DO24" i="1"/>
  <c r="DO78" i="1"/>
  <c r="DO48" i="1"/>
  <c r="DO72" i="1"/>
  <c r="DO64" i="1"/>
  <c r="DO25" i="1"/>
  <c r="DO81" i="1"/>
  <c r="DO84" i="1"/>
  <c r="DO20" i="1"/>
  <c r="DO73" i="1"/>
  <c r="DO63" i="1"/>
  <c r="DO32" i="1"/>
  <c r="DO43" i="1"/>
  <c r="DO89" i="1"/>
  <c r="AI99" i="10"/>
  <c r="Y94" i="1"/>
  <c r="AD60" i="1"/>
  <c r="AC9" i="1"/>
  <c r="AA96" i="10"/>
  <c r="AC11" i="1"/>
  <c r="AC54" i="1"/>
  <c r="DO54" i="1"/>
  <c r="AD46" i="1"/>
  <c r="DO15" i="1"/>
  <c r="DO68" i="1"/>
  <c r="DO22" i="1"/>
  <c r="DO62" i="1"/>
  <c r="DO74" i="1"/>
  <c r="DO40" i="1"/>
  <c r="DO82" i="1"/>
  <c r="DO55" i="1"/>
  <c r="DO80" i="1"/>
  <c r="DO91" i="1"/>
  <c r="DO71" i="1"/>
  <c r="AD76" i="1"/>
  <c r="AC17" i="1"/>
  <c r="DO17" i="1"/>
  <c r="AC18" i="1"/>
  <c r="AD19" i="1"/>
  <c r="DO45" i="1"/>
  <c r="DO70" i="1"/>
  <c r="DO83" i="1"/>
  <c r="DO69" i="1"/>
  <c r="DO88" i="1"/>
  <c r="DO85" i="1"/>
  <c r="AC60" i="1"/>
  <c r="W94" i="1"/>
  <c r="DO41" i="1"/>
  <c r="DO77" i="1"/>
  <c r="DO67" i="1"/>
  <c r="DO53" i="1"/>
  <c r="DO79" i="1"/>
  <c r="AC61" i="1"/>
  <c r="AA61" i="1"/>
  <c r="AA11" i="1"/>
  <c r="AB11" i="1" s="1"/>
  <c r="AD54" i="1"/>
  <c r="BN94" i="1"/>
  <c r="BN96" i="1" s="1"/>
  <c r="P87" i="2"/>
  <c r="DO86" i="1" s="1"/>
  <c r="P62" i="2"/>
  <c r="AD61" i="1" s="1"/>
  <c r="AE61" i="1"/>
  <c r="G95" i="2"/>
  <c r="O12" i="2"/>
  <c r="P12" i="2" s="1"/>
  <c r="AD11" i="1" s="1"/>
  <c r="O51" i="2"/>
  <c r="P51" i="2" s="1"/>
  <c r="AD50" i="1" s="1"/>
  <c r="H95" i="2"/>
  <c r="O19" i="2"/>
  <c r="P19" i="2" s="1"/>
  <c r="AD18" i="1" s="1"/>
  <c r="L95" i="2"/>
  <c r="AC20" i="1"/>
  <c r="AD20" i="1"/>
  <c r="M37" i="2"/>
  <c r="T36" i="1"/>
  <c r="T94" i="1" s="1"/>
  <c r="AC50" i="1"/>
  <c r="AD17" i="1"/>
  <c r="AC86" i="1"/>
  <c r="AD86" i="1"/>
  <c r="Q105" i="1"/>
  <c r="W106" i="1"/>
  <c r="W105" i="1"/>
  <c r="AF102" i="10"/>
  <c r="AF103" i="10" s="1"/>
  <c r="AJ100" i="10"/>
  <c r="AK100" i="10" s="1"/>
  <c r="AF97" i="10"/>
  <c r="AF98" i="10"/>
  <c r="AC96" i="10"/>
  <c r="O10" i="2"/>
  <c r="DO11" i="1" l="1"/>
  <c r="DO18" i="1"/>
  <c r="AF105" i="10"/>
  <c r="DO61" i="1"/>
  <c r="DO50" i="1"/>
  <c r="AJ99" i="10"/>
  <c r="AK99" i="10" s="1"/>
  <c r="AB61" i="1"/>
  <c r="U36" i="1"/>
  <c r="O37" i="2"/>
  <c r="P37" i="2" s="1"/>
  <c r="M95" i="2"/>
  <c r="AD36" i="1" l="1"/>
  <c r="AC36" i="1"/>
  <c r="AC94" i="1" s="1"/>
  <c r="DO36" i="1"/>
  <c r="U94" i="1"/>
  <c r="O95" i="2"/>
  <c r="D105" i="1"/>
  <c r="M4" i="8"/>
  <c r="M5" i="8"/>
  <c r="M6" i="8"/>
  <c r="M7" i="8"/>
  <c r="M8" i="8"/>
  <c r="M9" i="8"/>
  <c r="M10" i="8"/>
  <c r="M11" i="8"/>
  <c r="M12" i="8"/>
  <c r="M13" i="8"/>
  <c r="M14" i="8"/>
  <c r="M15" i="8"/>
  <c r="M3" i="8"/>
  <c r="M2" i="8"/>
  <c r="M1" i="8"/>
  <c r="V105" i="1" l="1"/>
  <c r="U105" i="1"/>
  <c r="U106" i="1"/>
  <c r="V106" i="1"/>
  <c r="X106" i="1" l="1"/>
  <c r="X105" i="1"/>
  <c r="E105" i="4"/>
  <c r="E106" i="4"/>
  <c r="E107" i="4"/>
  <c r="E108" i="4"/>
  <c r="E109" i="4"/>
  <c r="K109" i="4"/>
  <c r="K105" i="4"/>
  <c r="K106" i="4"/>
  <c r="K107" i="4"/>
  <c r="K108" i="4"/>
  <c r="E10" i="4"/>
  <c r="X9" i="1" l="1"/>
  <c r="E94" i="4"/>
  <c r="Z105" i="1"/>
  <c r="AA105" i="1" s="1"/>
  <c r="AB105" i="1" s="1"/>
  <c r="Z106" i="1"/>
  <c r="AA106" i="1" s="1"/>
  <c r="AB106" i="1" s="1"/>
  <c r="L105" i="4"/>
  <c r="L109" i="4"/>
  <c r="L108" i="4"/>
  <c r="L107" i="4"/>
  <c r="L106" i="4"/>
  <c r="Z9" i="1" l="1"/>
  <c r="X94" i="1"/>
  <c r="Z94" i="1" l="1"/>
  <c r="AA9" i="1"/>
  <c r="P100" i="7"/>
  <c r="Z100" i="7" s="1"/>
  <c r="P99" i="7"/>
  <c r="Z99" i="7" s="1"/>
  <c r="AI96" i="7"/>
  <c r="AH96" i="7"/>
  <c r="AF96" i="7"/>
  <c r="X96" i="7"/>
  <c r="W96" i="7"/>
  <c r="V96" i="7"/>
  <c r="U96" i="7"/>
  <c r="R96" i="7"/>
  <c r="Q96" i="7"/>
  <c r="O96" i="7"/>
  <c r="N96" i="7"/>
  <c r="M96" i="7"/>
  <c r="AG94" i="7"/>
  <c r="AG93" i="7"/>
  <c r="AG92" i="7"/>
  <c r="AG91" i="7"/>
  <c r="AD90" i="7"/>
  <c r="K90" i="7"/>
  <c r="P90" i="7" s="1"/>
  <c r="AD89" i="7"/>
  <c r="K89" i="7"/>
  <c r="P89" i="7" s="1"/>
  <c r="AD88" i="7"/>
  <c r="K88" i="7"/>
  <c r="P88" i="7" s="1"/>
  <c r="AD87" i="7"/>
  <c r="L87" i="7"/>
  <c r="K87" i="7"/>
  <c r="P87" i="7" s="1"/>
  <c r="AD86" i="7"/>
  <c r="P86" i="7"/>
  <c r="K86" i="7"/>
  <c r="AD85" i="7"/>
  <c r="K85" i="7"/>
  <c r="P85" i="7" s="1"/>
  <c r="AD84" i="7"/>
  <c r="P84" i="7"/>
  <c r="K84" i="7"/>
  <c r="AD83" i="7"/>
  <c r="K83" i="7"/>
  <c r="P83" i="7" s="1"/>
  <c r="AD82" i="7"/>
  <c r="P82" i="7"/>
  <c r="K82" i="7"/>
  <c r="AD81" i="7"/>
  <c r="K81" i="7"/>
  <c r="P81" i="7" s="1"/>
  <c r="AD80" i="7"/>
  <c r="P80" i="7"/>
  <c r="K80" i="7"/>
  <c r="AD79" i="7"/>
  <c r="K79" i="7"/>
  <c r="P79" i="7" s="1"/>
  <c r="AD78" i="7"/>
  <c r="P78" i="7"/>
  <c r="K78" i="7"/>
  <c r="AD77" i="7"/>
  <c r="K77" i="7"/>
  <c r="P77" i="7" s="1"/>
  <c r="AD76" i="7"/>
  <c r="P76" i="7"/>
  <c r="K76" i="7"/>
  <c r="AD75" i="7"/>
  <c r="L75" i="7"/>
  <c r="K75" i="7"/>
  <c r="P75" i="7" s="1"/>
  <c r="AD74" i="7"/>
  <c r="K74" i="7"/>
  <c r="P74" i="7" s="1"/>
  <c r="AD73" i="7"/>
  <c r="K73" i="7"/>
  <c r="P73" i="7" s="1"/>
  <c r="AD72" i="7"/>
  <c r="K72" i="7"/>
  <c r="P72" i="7" s="1"/>
  <c r="AD71" i="7"/>
  <c r="K71" i="7"/>
  <c r="P71" i="7" s="1"/>
  <c r="AD70" i="7"/>
  <c r="K70" i="7"/>
  <c r="P70" i="7" s="1"/>
  <c r="AD69" i="7"/>
  <c r="K69" i="7"/>
  <c r="P69" i="7" s="1"/>
  <c r="AD68" i="7"/>
  <c r="K68" i="7"/>
  <c r="P68" i="7" s="1"/>
  <c r="AD67" i="7"/>
  <c r="K67" i="7"/>
  <c r="P67" i="7" s="1"/>
  <c r="AD66" i="7"/>
  <c r="K66" i="7"/>
  <c r="P66" i="7" s="1"/>
  <c r="AD65" i="7"/>
  <c r="K65" i="7"/>
  <c r="P65" i="7" s="1"/>
  <c r="AD64" i="7"/>
  <c r="K64" i="7"/>
  <c r="P64" i="7" s="1"/>
  <c r="AD63" i="7"/>
  <c r="K63" i="7"/>
  <c r="P63" i="7" s="1"/>
  <c r="AD62" i="7"/>
  <c r="K62" i="7"/>
  <c r="P62" i="7" s="1"/>
  <c r="AD61" i="7"/>
  <c r="K61" i="7"/>
  <c r="P61" i="7" s="1"/>
  <c r="AD60" i="7"/>
  <c r="K60" i="7"/>
  <c r="P60" i="7" s="1"/>
  <c r="AD59" i="7"/>
  <c r="K59" i="7"/>
  <c r="P59" i="7" s="1"/>
  <c r="AD58" i="7"/>
  <c r="K58" i="7"/>
  <c r="P58" i="7" s="1"/>
  <c r="AD57" i="7"/>
  <c r="K57" i="7"/>
  <c r="P57" i="7" s="1"/>
  <c r="AD56" i="7"/>
  <c r="K56" i="7"/>
  <c r="P56" i="7" s="1"/>
  <c r="AD55" i="7"/>
  <c r="K55" i="7"/>
  <c r="P55" i="7" s="1"/>
  <c r="AD54" i="7"/>
  <c r="K54" i="7"/>
  <c r="P54" i="7" s="1"/>
  <c r="AD53" i="7"/>
  <c r="L53" i="7"/>
  <c r="K53" i="7"/>
  <c r="AD52" i="7"/>
  <c r="K52" i="7"/>
  <c r="P52" i="7" s="1"/>
  <c r="AD51" i="7"/>
  <c r="P51" i="7"/>
  <c r="K51" i="7"/>
  <c r="AD50" i="7"/>
  <c r="K50" i="7"/>
  <c r="P50" i="7" s="1"/>
  <c r="AD49" i="7"/>
  <c r="K49" i="7"/>
  <c r="P49" i="7" s="1"/>
  <c r="AD48" i="7"/>
  <c r="K48" i="7"/>
  <c r="P48" i="7" s="1"/>
  <c r="AD47" i="7"/>
  <c r="L47" i="7"/>
  <c r="K47" i="7"/>
  <c r="AD46" i="7"/>
  <c r="K46" i="7"/>
  <c r="P46" i="7" s="1"/>
  <c r="AD45" i="7"/>
  <c r="P45" i="7"/>
  <c r="K45" i="7"/>
  <c r="AD44" i="7"/>
  <c r="K44" i="7"/>
  <c r="P44" i="7" s="1"/>
  <c r="AD43" i="7"/>
  <c r="P43" i="7"/>
  <c r="K43" i="7"/>
  <c r="AD42" i="7"/>
  <c r="K42" i="7"/>
  <c r="P42" i="7" s="1"/>
  <c r="AD41" i="7"/>
  <c r="P41" i="7"/>
  <c r="K41" i="7"/>
  <c r="AD40" i="7"/>
  <c r="K40" i="7"/>
  <c r="P40" i="7" s="1"/>
  <c r="AD39" i="7"/>
  <c r="P39" i="7"/>
  <c r="K39" i="7"/>
  <c r="AD38" i="7"/>
  <c r="K38" i="7"/>
  <c r="P38" i="7" s="1"/>
  <c r="AD37" i="7"/>
  <c r="P37" i="7"/>
  <c r="K37" i="7"/>
  <c r="AD36" i="7"/>
  <c r="K36" i="7"/>
  <c r="P36" i="7" s="1"/>
  <c r="AD35" i="7"/>
  <c r="P35" i="7"/>
  <c r="K35" i="7"/>
  <c r="AD34" i="7"/>
  <c r="K34" i="7"/>
  <c r="P34" i="7" s="1"/>
  <c r="AD33" i="7"/>
  <c r="P33" i="7"/>
  <c r="K33" i="7"/>
  <c r="AD32" i="7"/>
  <c r="K32" i="7"/>
  <c r="P32" i="7" s="1"/>
  <c r="AD31" i="7"/>
  <c r="P31" i="7"/>
  <c r="K31" i="7"/>
  <c r="AD30" i="7"/>
  <c r="K30" i="7"/>
  <c r="P30" i="7" s="1"/>
  <c r="AD29" i="7"/>
  <c r="P29" i="7"/>
  <c r="K29" i="7"/>
  <c r="AD28" i="7"/>
  <c r="K28" i="7"/>
  <c r="P28" i="7" s="1"/>
  <c r="AD27" i="7"/>
  <c r="P27" i="7"/>
  <c r="K27" i="7"/>
  <c r="AD26" i="7"/>
  <c r="K26" i="7"/>
  <c r="P26" i="7" s="1"/>
  <c r="AD25" i="7"/>
  <c r="P25" i="7"/>
  <c r="K25" i="7"/>
  <c r="AD24" i="7"/>
  <c r="Y24" i="7"/>
  <c r="L24" i="7"/>
  <c r="K24" i="7"/>
  <c r="AD23" i="7"/>
  <c r="K23" i="7"/>
  <c r="P23" i="7" s="1"/>
  <c r="AD22" i="7"/>
  <c r="P22" i="7"/>
  <c r="K22" i="7"/>
  <c r="AD21" i="7"/>
  <c r="K21" i="7"/>
  <c r="P21" i="7" s="1"/>
  <c r="AD20" i="7"/>
  <c r="P20" i="7"/>
  <c r="K20" i="7"/>
  <c r="AD19" i="7"/>
  <c r="K19" i="7"/>
  <c r="P19" i="7" s="1"/>
  <c r="AD18" i="7"/>
  <c r="P18" i="7"/>
  <c r="K18" i="7"/>
  <c r="AD17" i="7"/>
  <c r="K17" i="7"/>
  <c r="P17" i="7" s="1"/>
  <c r="AD16" i="7"/>
  <c r="Y16" i="7"/>
  <c r="Y96" i="7" s="1"/>
  <c r="L16" i="7"/>
  <c r="K16" i="7"/>
  <c r="P16" i="7" s="1"/>
  <c r="AD15" i="7"/>
  <c r="P15" i="7"/>
  <c r="K15" i="7"/>
  <c r="AD14" i="7"/>
  <c r="L14" i="7"/>
  <c r="K14" i="7"/>
  <c r="P14" i="7" s="1"/>
  <c r="AC14" i="7" s="1"/>
  <c r="AD13" i="7"/>
  <c r="K13" i="7"/>
  <c r="P13" i="7" s="1"/>
  <c r="AD12" i="7"/>
  <c r="K12" i="7"/>
  <c r="P12" i="7" s="1"/>
  <c r="AD11" i="7"/>
  <c r="K11" i="7"/>
  <c r="P11" i="7" s="1"/>
  <c r="AD10" i="7"/>
  <c r="K10" i="7"/>
  <c r="P10" i="7" s="1"/>
  <c r="AD9" i="7"/>
  <c r="P9" i="7"/>
  <c r="T9" i="7" s="1"/>
  <c r="K9" i="7"/>
  <c r="AD8" i="7"/>
  <c r="K8" i="7"/>
  <c r="P8" i="7" s="1"/>
  <c r="Z8" i="7" s="1"/>
  <c r="AD7" i="7"/>
  <c r="P7" i="7"/>
  <c r="K7" i="7"/>
  <c r="P47" i="7" l="1"/>
  <c r="P53" i="7"/>
  <c r="AC53" i="7" s="1"/>
  <c r="AE53" i="7" s="1"/>
  <c r="P24" i="7"/>
  <c r="AA24" i="7" s="1"/>
  <c r="AA94" i="1"/>
  <c r="AB9" i="1"/>
  <c r="AB94" i="1" s="1"/>
  <c r="AA16" i="7"/>
  <c r="Z16" i="7"/>
  <c r="AC16" i="7"/>
  <c r="AE16" i="7" s="1"/>
  <c r="AC11" i="7"/>
  <c r="AE11" i="7" s="1"/>
  <c r="AA11" i="7"/>
  <c r="Z11" i="7"/>
  <c r="Z12" i="7"/>
  <c r="AC12" i="7"/>
  <c r="AE12" i="7" s="1"/>
  <c r="AA12" i="7"/>
  <c r="AA13" i="7"/>
  <c r="AC13" i="7"/>
  <c r="AE13" i="7" s="1"/>
  <c r="AC24" i="7"/>
  <c r="AE24" i="7" s="1"/>
  <c r="Z24" i="7"/>
  <c r="S47" i="7"/>
  <c r="AC47" i="7"/>
  <c r="AE47" i="7" s="1"/>
  <c r="AA47" i="7"/>
  <c r="T47" i="7"/>
  <c r="AA53" i="7"/>
  <c r="Z88" i="7"/>
  <c r="AE88" i="7"/>
  <c r="AC88" i="7"/>
  <c r="AA88" i="7"/>
  <c r="Z89" i="7"/>
  <c r="AE89" i="7"/>
  <c r="AC89" i="7"/>
  <c r="AA89" i="7"/>
  <c r="Z90" i="7"/>
  <c r="AE90" i="7"/>
  <c r="AC90" i="7"/>
  <c r="AA90" i="7"/>
  <c r="AC99" i="7"/>
  <c r="AE99" i="7" s="1"/>
  <c r="AA99" i="7"/>
  <c r="AB99" i="7"/>
  <c r="AC7" i="7"/>
  <c r="AE7" i="7" s="1"/>
  <c r="AA8" i="7"/>
  <c r="AB8" i="7" s="1"/>
  <c r="AG8" i="7" s="1"/>
  <c r="AJ8" i="7" s="1"/>
  <c r="AC8" i="7"/>
  <c r="AE8" i="7" s="1"/>
  <c r="AA9" i="7"/>
  <c r="AC9" i="7"/>
  <c r="AE9" i="7" s="1"/>
  <c r="AA14" i="7"/>
  <c r="AE14" i="7"/>
  <c r="AC17" i="7"/>
  <c r="AE17" i="7" s="1"/>
  <c r="K96" i="7"/>
  <c r="Z7" i="7"/>
  <c r="AD96" i="7"/>
  <c r="S9" i="7"/>
  <c r="Z9" i="7" s="1"/>
  <c r="AB9" i="7" s="1"/>
  <c r="AG9" i="7" s="1"/>
  <c r="AJ9" i="7" s="1"/>
  <c r="Z10" i="7"/>
  <c r="AB10" i="7" s="1"/>
  <c r="AC10" i="7"/>
  <c r="AE10" i="7" s="1"/>
  <c r="L96" i="7"/>
  <c r="Z14" i="7"/>
  <c r="S15" i="7"/>
  <c r="Z17" i="7"/>
  <c r="Z18" i="7"/>
  <c r="Z19" i="7"/>
  <c r="AB19" i="7" s="1"/>
  <c r="AG19" i="7" s="1"/>
  <c r="AJ19" i="7" s="1"/>
  <c r="S20" i="7"/>
  <c r="Z21" i="7"/>
  <c r="Z22" i="7"/>
  <c r="Z23" i="7"/>
  <c r="Z25" i="7"/>
  <c r="Z26" i="7"/>
  <c r="Z27" i="7"/>
  <c r="Z28" i="7"/>
  <c r="Z29" i="7"/>
  <c r="S30" i="7"/>
  <c r="Z31" i="7"/>
  <c r="S32" i="7"/>
  <c r="AC33" i="7"/>
  <c r="AE33" i="7" s="1"/>
  <c r="AA33" i="7"/>
  <c r="Z33" i="7"/>
  <c r="AB33" i="7" s="1"/>
  <c r="AG33" i="7" s="1"/>
  <c r="AJ33" i="7" s="1"/>
  <c r="Z48" i="7"/>
  <c r="AE48" i="7"/>
  <c r="AC48" i="7"/>
  <c r="AA48" i="7"/>
  <c r="AC49" i="7"/>
  <c r="AE49" i="7" s="1"/>
  <c r="AA49" i="7"/>
  <c r="T49" i="7"/>
  <c r="Z49" i="7" s="1"/>
  <c r="Z54" i="7"/>
  <c r="AB54" i="7" s="1"/>
  <c r="AG54" i="7" s="1"/>
  <c r="AJ54" i="7" s="1"/>
  <c r="AC54" i="7"/>
  <c r="AE54" i="7" s="1"/>
  <c r="AA54" i="7"/>
  <c r="Z55" i="7"/>
  <c r="AB55" i="7" s="1"/>
  <c r="AG55" i="7" s="1"/>
  <c r="AJ55" i="7" s="1"/>
  <c r="AC55" i="7"/>
  <c r="AE55" i="7" s="1"/>
  <c r="AA55" i="7"/>
  <c r="Z56" i="7"/>
  <c r="AC56" i="7"/>
  <c r="AE56" i="7" s="1"/>
  <c r="AA56" i="7"/>
  <c r="S57" i="7"/>
  <c r="Z57" i="7" s="1"/>
  <c r="AC57" i="7"/>
  <c r="AE57" i="7" s="1"/>
  <c r="AA57" i="7"/>
  <c r="T57" i="7"/>
  <c r="S58" i="7"/>
  <c r="Z58" i="7" s="1"/>
  <c r="AC58" i="7"/>
  <c r="AE58" i="7" s="1"/>
  <c r="AA58" i="7"/>
  <c r="T58" i="7"/>
  <c r="Z59" i="7"/>
  <c r="AC59" i="7"/>
  <c r="AE59" i="7" s="1"/>
  <c r="AA59" i="7"/>
  <c r="Z60" i="7"/>
  <c r="AB60" i="7" s="1"/>
  <c r="AG60" i="7" s="1"/>
  <c r="AJ60" i="7" s="1"/>
  <c r="AC60" i="7"/>
  <c r="AE60" i="7" s="1"/>
  <c r="AA60" i="7"/>
  <c r="Z61" i="7"/>
  <c r="AB61" i="7" s="1"/>
  <c r="AG61" i="7" s="1"/>
  <c r="AJ61" i="7" s="1"/>
  <c r="AC61" i="7"/>
  <c r="AE61" i="7" s="1"/>
  <c r="AA61" i="7"/>
  <c r="Z62" i="7"/>
  <c r="AC62" i="7"/>
  <c r="AE62" i="7" s="1"/>
  <c r="AA62" i="7"/>
  <c r="S63" i="7"/>
  <c r="Z63" i="7" s="1"/>
  <c r="AC63" i="7"/>
  <c r="AE63" i="7" s="1"/>
  <c r="AA63" i="7"/>
  <c r="T63" i="7"/>
  <c r="S64" i="7"/>
  <c r="Z64" i="7" s="1"/>
  <c r="AC64" i="7"/>
  <c r="AE64" i="7" s="1"/>
  <c r="AA64" i="7"/>
  <c r="T64" i="7"/>
  <c r="Z65" i="7"/>
  <c r="AC65" i="7"/>
  <c r="AE65" i="7" s="1"/>
  <c r="AA65" i="7"/>
  <c r="Z66" i="7"/>
  <c r="S66" i="7"/>
  <c r="AE66" i="7"/>
  <c r="AC66" i="7"/>
  <c r="AA66" i="7"/>
  <c r="T66" i="7"/>
  <c r="Z67" i="7"/>
  <c r="AC67" i="7"/>
  <c r="AE67" i="7" s="1"/>
  <c r="AA67" i="7"/>
  <c r="Z68" i="7"/>
  <c r="AC68" i="7"/>
  <c r="AE68" i="7" s="1"/>
  <c r="AA68" i="7"/>
  <c r="Z69" i="7"/>
  <c r="AB69" i="7" s="1"/>
  <c r="AG69" i="7" s="1"/>
  <c r="AJ69" i="7" s="1"/>
  <c r="AC69" i="7"/>
  <c r="AE69" i="7" s="1"/>
  <c r="AA69" i="7"/>
  <c r="Z70" i="7"/>
  <c r="AB70" i="7" s="1"/>
  <c r="AG70" i="7" s="1"/>
  <c r="AJ70" i="7" s="1"/>
  <c r="AC70" i="7"/>
  <c r="AE70" i="7" s="1"/>
  <c r="AA70" i="7"/>
  <c r="Z71" i="7"/>
  <c r="AC71" i="7"/>
  <c r="AE71" i="7" s="1"/>
  <c r="AA71" i="7"/>
  <c r="Z72" i="7"/>
  <c r="AC72" i="7"/>
  <c r="AE72" i="7" s="1"/>
  <c r="AA72" i="7"/>
  <c r="Z73" i="7"/>
  <c r="AB73" i="7" s="1"/>
  <c r="AG73" i="7" s="1"/>
  <c r="AJ73" i="7" s="1"/>
  <c r="AC73" i="7"/>
  <c r="AE73" i="7" s="1"/>
  <c r="AA73" i="7"/>
  <c r="S74" i="7"/>
  <c r="Z74" i="7" s="1"/>
  <c r="AC74" i="7"/>
  <c r="AE74" i="7" s="1"/>
  <c r="AA74" i="7"/>
  <c r="T74" i="7"/>
  <c r="AC75" i="7"/>
  <c r="AE75" i="7" s="1"/>
  <c r="AA75" i="7"/>
  <c r="T75" i="7"/>
  <c r="S75" i="7"/>
  <c r="Z75" i="7" s="1"/>
  <c r="AB75" i="7" s="1"/>
  <c r="AG75" i="7" s="1"/>
  <c r="AJ75" i="7" s="1"/>
  <c r="Z87" i="7"/>
  <c r="AB87" i="7" s="1"/>
  <c r="AG87" i="7" s="1"/>
  <c r="AJ87" i="7" s="1"/>
  <c r="AC87" i="7"/>
  <c r="AE87" i="7" s="1"/>
  <c r="AA87" i="7"/>
  <c r="AA7" i="7"/>
  <c r="T15" i="7"/>
  <c r="AA15" i="7"/>
  <c r="AC15" i="7"/>
  <c r="AE15" i="7" s="1"/>
  <c r="AA17" i="7"/>
  <c r="AA18" i="7"/>
  <c r="AC18" i="7"/>
  <c r="AE18" i="7" s="1"/>
  <c r="AA19" i="7"/>
  <c r="AC19" i="7"/>
  <c r="AE19" i="7" s="1"/>
  <c r="T20" i="7"/>
  <c r="Z20" i="7" s="1"/>
  <c r="AA20" i="7"/>
  <c r="AC20" i="7"/>
  <c r="AE20" i="7" s="1"/>
  <c r="AA21" i="7"/>
  <c r="AC21" i="7"/>
  <c r="AE21" i="7" s="1"/>
  <c r="AA22" i="7"/>
  <c r="AC22" i="7"/>
  <c r="AE22" i="7" s="1"/>
  <c r="AA23" i="7"/>
  <c r="AC23" i="7"/>
  <c r="AE23" i="7" s="1"/>
  <c r="AA25" i="7"/>
  <c r="AC25" i="7"/>
  <c r="AE25" i="7" s="1"/>
  <c r="AA26" i="7"/>
  <c r="AC26" i="7"/>
  <c r="AE26" i="7" s="1"/>
  <c r="AA27" i="7"/>
  <c r="AC27" i="7"/>
  <c r="AE27" i="7" s="1"/>
  <c r="AA28" i="7"/>
  <c r="AC28" i="7"/>
  <c r="AE28" i="7" s="1"/>
  <c r="AA29" i="7"/>
  <c r="AC29" i="7"/>
  <c r="AE29" i="7" s="1"/>
  <c r="T30" i="7"/>
  <c r="Z30" i="7" s="1"/>
  <c r="AB30" i="7" s="1"/>
  <c r="AG30" i="7" s="1"/>
  <c r="AJ30" i="7" s="1"/>
  <c r="AA30" i="7"/>
  <c r="AC30" i="7"/>
  <c r="AE30" i="7" s="1"/>
  <c r="AA31" i="7"/>
  <c r="AC31" i="7"/>
  <c r="AE31" i="7" s="1"/>
  <c r="T32" i="7"/>
  <c r="AA32" i="7"/>
  <c r="AC32" i="7"/>
  <c r="AE32" i="7" s="1"/>
  <c r="AE35" i="7"/>
  <c r="AE43" i="7"/>
  <c r="Z34" i="7"/>
  <c r="Z35" i="7"/>
  <c r="Z36" i="7"/>
  <c r="Z37" i="7"/>
  <c r="Z38" i="7"/>
  <c r="Z39" i="7"/>
  <c r="Z40" i="7"/>
  <c r="Z41" i="7"/>
  <c r="Z42" i="7"/>
  <c r="Z43" i="7"/>
  <c r="Z44" i="7"/>
  <c r="Z45" i="7"/>
  <c r="S46" i="7"/>
  <c r="Z50" i="7"/>
  <c r="Z51" i="7"/>
  <c r="AB51" i="7" s="1"/>
  <c r="AG51" i="7" s="1"/>
  <c r="AJ51" i="7" s="1"/>
  <c r="Z52" i="7"/>
  <c r="Z76" i="7"/>
  <c r="AB76" i="7" s="1"/>
  <c r="AG76" i="7" s="1"/>
  <c r="AJ76" i="7" s="1"/>
  <c r="Z77" i="7"/>
  <c r="Z78" i="7"/>
  <c r="AB78" i="7" s="1"/>
  <c r="Z79" i="7"/>
  <c r="Z80" i="7"/>
  <c r="AB80" i="7" s="1"/>
  <c r="AG80" i="7" s="1"/>
  <c r="AJ80" i="7" s="1"/>
  <c r="Z81" i="7"/>
  <c r="Z82" i="7"/>
  <c r="AB82" i="7" s="1"/>
  <c r="AG82" i="7" s="1"/>
  <c r="AJ82" i="7" s="1"/>
  <c r="S83" i="7"/>
  <c r="Z83" i="7"/>
  <c r="Z84" i="7"/>
  <c r="Z85" i="7"/>
  <c r="Z86" i="7"/>
  <c r="AA100" i="7"/>
  <c r="AC100" i="7"/>
  <c r="AA34" i="7"/>
  <c r="AC34" i="7"/>
  <c r="AE34" i="7" s="1"/>
  <c r="AA35" i="7"/>
  <c r="AC35" i="7"/>
  <c r="AA36" i="7"/>
  <c r="AC36" i="7"/>
  <c r="AE36" i="7" s="1"/>
  <c r="AA37" i="7"/>
  <c r="AC37" i="7"/>
  <c r="AE37" i="7" s="1"/>
  <c r="AA38" i="7"/>
  <c r="AC38" i="7"/>
  <c r="AE38" i="7" s="1"/>
  <c r="AA39" i="7"/>
  <c r="AC39" i="7"/>
  <c r="AE39" i="7" s="1"/>
  <c r="AA40" i="7"/>
  <c r="AC40" i="7"/>
  <c r="AE40" i="7" s="1"/>
  <c r="AA41" i="7"/>
  <c r="AC41" i="7"/>
  <c r="AE41" i="7" s="1"/>
  <c r="AA42" i="7"/>
  <c r="AC42" i="7"/>
  <c r="AE42" i="7" s="1"/>
  <c r="AA43" i="7"/>
  <c r="AC43" i="7"/>
  <c r="AA44" i="7"/>
  <c r="AC44" i="7"/>
  <c r="AE44" i="7" s="1"/>
  <c r="AA45" i="7"/>
  <c r="AC45" i="7"/>
  <c r="AE45" i="7" s="1"/>
  <c r="T46" i="7"/>
  <c r="Z46" i="7" s="1"/>
  <c r="AB46" i="7" s="1"/>
  <c r="AG46" i="7" s="1"/>
  <c r="AJ46" i="7" s="1"/>
  <c r="AA46" i="7"/>
  <c r="AC46" i="7"/>
  <c r="AE46" i="7" s="1"/>
  <c r="AA50" i="7"/>
  <c r="AC50" i="7"/>
  <c r="AE50" i="7" s="1"/>
  <c r="AA51" i="7"/>
  <c r="AC51" i="7"/>
  <c r="AE51" i="7" s="1"/>
  <c r="AA52" i="7"/>
  <c r="AC52" i="7"/>
  <c r="AE52" i="7" s="1"/>
  <c r="AA76" i="7"/>
  <c r="AC76" i="7"/>
  <c r="AE76" i="7" s="1"/>
  <c r="AA77" i="7"/>
  <c r="AC77" i="7"/>
  <c r="AE77" i="7" s="1"/>
  <c r="AA78" i="7"/>
  <c r="AC78" i="7"/>
  <c r="AE78" i="7" s="1"/>
  <c r="AA79" i="7"/>
  <c r="AC79" i="7"/>
  <c r="AE79" i="7" s="1"/>
  <c r="AA80" i="7"/>
  <c r="AC80" i="7"/>
  <c r="AE80" i="7" s="1"/>
  <c r="AA81" i="7"/>
  <c r="AC81" i="7"/>
  <c r="AE81" i="7" s="1"/>
  <c r="AA82" i="7"/>
  <c r="AC82" i="7"/>
  <c r="AE82" i="7" s="1"/>
  <c r="T83" i="7"/>
  <c r="AA83" i="7"/>
  <c r="AC83" i="7"/>
  <c r="AE83" i="7" s="1"/>
  <c r="AA84" i="7"/>
  <c r="AC84" i="7"/>
  <c r="AE84" i="7" s="1"/>
  <c r="AA85" i="7"/>
  <c r="AC85" i="7"/>
  <c r="AE85" i="7" s="1"/>
  <c r="AA86" i="7"/>
  <c r="AC86" i="7"/>
  <c r="AE86" i="7" s="1"/>
  <c r="AB100" i="7"/>
  <c r="AF99" i="7" l="1"/>
  <c r="T96" i="7"/>
  <c r="AB49" i="7"/>
  <c r="P96" i="7"/>
  <c r="Z53" i="7"/>
  <c r="Z47" i="7"/>
  <c r="AB47" i="7" s="1"/>
  <c r="AG47" i="7" s="1"/>
  <c r="AJ47" i="7" s="1"/>
  <c r="AB11" i="7"/>
  <c r="AG11" i="7" s="1"/>
  <c r="AJ11" i="7" s="1"/>
  <c r="AB71" i="7"/>
  <c r="AG71" i="7" s="1"/>
  <c r="AJ71" i="7" s="1"/>
  <c r="AB67" i="7"/>
  <c r="AG67" i="7" s="1"/>
  <c r="AJ67" i="7" s="1"/>
  <c r="AB62" i="7"/>
  <c r="AG62" i="7" s="1"/>
  <c r="AJ62" i="7" s="1"/>
  <c r="AB56" i="7"/>
  <c r="AG56" i="7" s="1"/>
  <c r="AJ56" i="7" s="1"/>
  <c r="AG99" i="7"/>
  <c r="AB72" i="7"/>
  <c r="AG72" i="7" s="1"/>
  <c r="AJ72" i="7" s="1"/>
  <c r="AB68" i="7"/>
  <c r="AB65" i="7"/>
  <c r="AG65" i="7" s="1"/>
  <c r="AJ65" i="7" s="1"/>
  <c r="AB59" i="7"/>
  <c r="AG59" i="7" s="1"/>
  <c r="AJ59" i="7" s="1"/>
  <c r="Z32" i="7"/>
  <c r="AB32" i="7" s="1"/>
  <c r="AG32" i="7" s="1"/>
  <c r="AJ32" i="7" s="1"/>
  <c r="Z15" i="7"/>
  <c r="AB15" i="7" s="1"/>
  <c r="AG15" i="7" s="1"/>
  <c r="AJ15" i="7" s="1"/>
  <c r="AE96" i="7"/>
  <c r="AE101" i="7"/>
  <c r="AB85" i="7"/>
  <c r="AG85" i="7" s="1"/>
  <c r="AJ85" i="7" s="1"/>
  <c r="AB45" i="7"/>
  <c r="AB43" i="7"/>
  <c r="AG43" i="7" s="1"/>
  <c r="AJ43" i="7" s="1"/>
  <c r="AB39" i="7"/>
  <c r="AG39" i="7" s="1"/>
  <c r="AJ39" i="7" s="1"/>
  <c r="AB35" i="7"/>
  <c r="AG35" i="7" s="1"/>
  <c r="AJ35" i="7" s="1"/>
  <c r="AB74" i="7"/>
  <c r="AG74" i="7" s="1"/>
  <c r="AJ74" i="7" s="1"/>
  <c r="AB86" i="7"/>
  <c r="AG86" i="7" s="1"/>
  <c r="AJ86" i="7" s="1"/>
  <c r="AB84" i="7"/>
  <c r="AG84" i="7" s="1"/>
  <c r="AJ84" i="7" s="1"/>
  <c r="AB81" i="7"/>
  <c r="AG81" i="7" s="1"/>
  <c r="AJ81" i="7" s="1"/>
  <c r="AB79" i="7"/>
  <c r="AG79" i="7" s="1"/>
  <c r="AJ79" i="7" s="1"/>
  <c r="AB77" i="7"/>
  <c r="AG77" i="7" s="1"/>
  <c r="AJ77" i="7" s="1"/>
  <c r="AB52" i="7"/>
  <c r="AG52" i="7" s="1"/>
  <c r="AJ52" i="7" s="1"/>
  <c r="AB50" i="7"/>
  <c r="AG50" i="7" s="1"/>
  <c r="AJ50" i="7" s="1"/>
  <c r="AB44" i="7"/>
  <c r="AG44" i="7" s="1"/>
  <c r="AJ44" i="7" s="1"/>
  <c r="AB42" i="7"/>
  <c r="AG42" i="7" s="1"/>
  <c r="AJ42" i="7" s="1"/>
  <c r="AB40" i="7"/>
  <c r="AG40" i="7" s="1"/>
  <c r="AJ40" i="7" s="1"/>
  <c r="AB38" i="7"/>
  <c r="AG38" i="7" s="1"/>
  <c r="AJ38" i="7" s="1"/>
  <c r="AB36" i="7"/>
  <c r="AG36" i="7" s="1"/>
  <c r="AJ36" i="7" s="1"/>
  <c r="AB34" i="7"/>
  <c r="AB48" i="7"/>
  <c r="AG48" i="7" s="1"/>
  <c r="AJ48" i="7" s="1"/>
  <c r="AB31" i="7"/>
  <c r="AG31" i="7" s="1"/>
  <c r="AJ31" i="7" s="1"/>
  <c r="AB28" i="7"/>
  <c r="AG28" i="7" s="1"/>
  <c r="AJ28" i="7" s="1"/>
  <c r="AB26" i="7"/>
  <c r="AG26" i="7" s="1"/>
  <c r="AJ26" i="7" s="1"/>
  <c r="AB23" i="7"/>
  <c r="AG23" i="7" s="1"/>
  <c r="AJ23" i="7" s="1"/>
  <c r="AB21" i="7"/>
  <c r="AG21" i="7" s="1"/>
  <c r="AJ21" i="7" s="1"/>
  <c r="AB18" i="7"/>
  <c r="AG18" i="7" s="1"/>
  <c r="AJ18" i="7" s="1"/>
  <c r="AB14" i="7"/>
  <c r="AG14" i="7" s="1"/>
  <c r="AJ14" i="7" s="1"/>
  <c r="AH99" i="7"/>
  <c r="AB90" i="7"/>
  <c r="AG90" i="7" s="1"/>
  <c r="AJ90" i="7" s="1"/>
  <c r="AB89" i="7"/>
  <c r="AG89" i="7" s="1"/>
  <c r="AJ89" i="7" s="1"/>
  <c r="AB88" i="7"/>
  <c r="AG88" i="7" s="1"/>
  <c r="AJ88" i="7" s="1"/>
  <c r="AB53" i="7"/>
  <c r="AG53" i="7" s="1"/>
  <c r="AJ53" i="7" s="1"/>
  <c r="AB24" i="7"/>
  <c r="AG24" i="7" s="1"/>
  <c r="AJ24" i="7" s="1"/>
  <c r="AB12" i="7"/>
  <c r="AG12" i="7" s="1"/>
  <c r="AJ12" i="7" s="1"/>
  <c r="AB16" i="7"/>
  <c r="AG16" i="7" s="1"/>
  <c r="AJ16" i="7" s="1"/>
  <c r="Z96" i="7"/>
  <c r="AB7" i="7"/>
  <c r="AB83" i="7"/>
  <c r="AG83" i="7" s="1"/>
  <c r="AJ83" i="7" s="1"/>
  <c r="AB41" i="7"/>
  <c r="AG41" i="7" s="1"/>
  <c r="AJ41" i="7" s="1"/>
  <c r="AB37" i="7"/>
  <c r="AG37" i="7" s="1"/>
  <c r="AJ37" i="7" s="1"/>
  <c r="AA96" i="7"/>
  <c r="AB66" i="7"/>
  <c r="AG66" i="7" s="1"/>
  <c r="AJ66" i="7" s="1"/>
  <c r="AB64" i="7"/>
  <c r="AG64" i="7" s="1"/>
  <c r="AJ64" i="7" s="1"/>
  <c r="AB63" i="7"/>
  <c r="AG63" i="7" s="1"/>
  <c r="AJ63" i="7" s="1"/>
  <c r="AB58" i="7"/>
  <c r="AG58" i="7" s="1"/>
  <c r="AJ58" i="7" s="1"/>
  <c r="AB57" i="7"/>
  <c r="AG57" i="7" s="1"/>
  <c r="AJ57" i="7" s="1"/>
  <c r="AE100" i="7"/>
  <c r="AB29" i="7"/>
  <c r="AG29" i="7" s="1"/>
  <c r="AJ29" i="7" s="1"/>
  <c r="AB27" i="7"/>
  <c r="AG27" i="7" s="1"/>
  <c r="AJ27" i="7" s="1"/>
  <c r="AB25" i="7"/>
  <c r="AG25" i="7" s="1"/>
  <c r="AJ25" i="7" s="1"/>
  <c r="AB22" i="7"/>
  <c r="AG22" i="7" s="1"/>
  <c r="AJ22" i="7" s="1"/>
  <c r="AB20" i="7"/>
  <c r="AG20" i="7" s="1"/>
  <c r="AJ20" i="7" s="1"/>
  <c r="AB17" i="7"/>
  <c r="AG17" i="7" s="1"/>
  <c r="AJ17" i="7" s="1"/>
  <c r="S96" i="7"/>
  <c r="AC96" i="7"/>
  <c r="AI99" i="7"/>
  <c r="K10" i="4"/>
  <c r="K94" i="4" s="1"/>
  <c r="AJ99" i="7" l="1"/>
  <c r="L10" i="4"/>
  <c r="AB96" i="7"/>
  <c r="AG7" i="7"/>
  <c r="AE97" i="7"/>
  <c r="AE98" i="7"/>
  <c r="AF100" i="7"/>
  <c r="AE102" i="7"/>
  <c r="AE103" i="7" s="1"/>
  <c r="C10" i="2" l="1"/>
  <c r="C95" i="2" s="1"/>
  <c r="L94" i="4"/>
  <c r="AG100" i="7"/>
  <c r="AG96" i="7"/>
  <c r="AJ7" i="7"/>
  <c r="AJ96" i="7" s="1"/>
  <c r="AE105" i="7"/>
  <c r="E10" i="2" l="1"/>
  <c r="E95" i="2" s="1"/>
  <c r="AH100" i="7"/>
  <c r="P10" i="2" l="1"/>
  <c r="AE9" i="1"/>
  <c r="AI100" i="7"/>
  <c r="AJ100" i="7" s="1"/>
  <c r="AD9" i="1" l="1"/>
  <c r="DO9" i="1"/>
  <c r="P95" i="2"/>
  <c r="U102" i="1"/>
  <c r="X102" i="1" s="1"/>
  <c r="B4" i="2" l="1"/>
  <c r="C3" i="9" s="1"/>
</calcChain>
</file>

<file path=xl/comments1.xml><?xml version="1.0" encoding="utf-8"?>
<comments xmlns="http://schemas.openxmlformats.org/spreadsheetml/2006/main">
  <authors>
    <author>contabilidad qm</author>
    <author>ljimenez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contabilidad qm:</t>
        </r>
        <r>
          <rPr>
            <sz val="9"/>
            <color indexed="81"/>
            <rFont val="Tahoma"/>
            <family val="2"/>
          </rPr>
          <t xml:space="preserve">
INGRESO EL DIA 16 FEB</t>
        </r>
      </text>
    </comment>
    <comment ref="V32" authorId="1" shapeId="0">
      <text>
        <r>
          <rPr>
            <b/>
            <sz val="9"/>
            <color indexed="81"/>
            <rFont val="Tahoma"/>
            <family val="2"/>
          </rPr>
          <t>ljimenez:</t>
        </r>
        <r>
          <rPr>
            <sz val="9"/>
            <color indexed="81"/>
            <rFont val="Tahoma"/>
            <family val="2"/>
          </rPr>
          <t xml:space="preserve">
$300 durante 36 sem 2/36</t>
        </r>
      </text>
    </comment>
    <comment ref="B35" authorId="0" shapeId="0">
      <text>
        <r>
          <rPr>
            <b/>
            <sz val="9"/>
            <color indexed="81"/>
            <rFont val="Tahoma"/>
            <family val="2"/>
          </rPr>
          <t>contabilidad qm:</t>
        </r>
        <r>
          <rPr>
            <sz val="9"/>
            <color indexed="81"/>
            <rFont val="Tahoma"/>
            <family val="2"/>
          </rPr>
          <t xml:space="preserve">
INGRESO EL DIA 16 FEB</t>
        </r>
      </text>
    </comment>
    <comment ref="B45" authorId="0" shapeId="0">
      <text>
        <r>
          <rPr>
            <b/>
            <sz val="9"/>
            <color indexed="81"/>
            <rFont val="Tahoma"/>
            <family val="2"/>
          </rPr>
          <t>contabilidad qm:</t>
        </r>
        <r>
          <rPr>
            <sz val="9"/>
            <color indexed="81"/>
            <rFont val="Tahoma"/>
            <family val="2"/>
          </rPr>
          <t xml:space="preserve">
INGRESO EL DIA 13 FEB</t>
        </r>
      </text>
    </comment>
    <comment ref="B50" authorId="0" shapeId="0">
      <text>
        <r>
          <rPr>
            <b/>
            <sz val="9"/>
            <color indexed="81"/>
            <rFont val="Tahoma"/>
            <family val="2"/>
          </rPr>
          <t>contabilidad qm:</t>
        </r>
        <r>
          <rPr>
            <sz val="9"/>
            <color indexed="81"/>
            <rFont val="Tahoma"/>
            <family val="2"/>
          </rPr>
          <t xml:space="preserve">
INGRESO EL DIA 16 FEB</t>
        </r>
      </text>
    </comment>
    <comment ref="B70" authorId="0" shapeId="0">
      <text>
        <r>
          <rPr>
            <b/>
            <sz val="9"/>
            <color indexed="81"/>
            <rFont val="Tahoma"/>
            <family val="2"/>
          </rPr>
          <t>contabilidad qm:</t>
        </r>
        <r>
          <rPr>
            <sz val="9"/>
            <color indexed="81"/>
            <rFont val="Tahoma"/>
            <family val="2"/>
          </rPr>
          <t xml:space="preserve">
INGRESO EL DIA 16 FEB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contabilidad qm:</t>
        </r>
        <r>
          <rPr>
            <sz val="9"/>
            <color indexed="81"/>
            <rFont val="Tahoma"/>
            <family val="2"/>
          </rPr>
          <t xml:space="preserve">
ENTRO EL DIA 10 FEB
</t>
        </r>
      </text>
    </comment>
  </commentList>
</comments>
</file>

<file path=xl/sharedStrings.xml><?xml version="1.0" encoding="utf-8"?>
<sst xmlns="http://schemas.openxmlformats.org/spreadsheetml/2006/main" count="3912" uniqueCount="792">
  <si>
    <t>CONTPAQ i</t>
  </si>
  <si>
    <t xml:space="preserve">      NÓMINAS</t>
  </si>
  <si>
    <t>Lista de Raya (forma tabular)</t>
  </si>
  <si>
    <t>Reg Pat IMSS: 00000000000,B4251548102</t>
  </si>
  <si>
    <t xml:space="preserve">RFC: C&amp;A -050406-NL0 </t>
  </si>
  <si>
    <t>Código</t>
  </si>
  <si>
    <t>Empleado</t>
  </si>
  <si>
    <t>Sueldo</t>
  </si>
  <si>
    <t>*TOTAL* *PERCEPCIONES*</t>
  </si>
  <si>
    <t>Subsidio al Empleo (sp)</t>
  </si>
  <si>
    <t>Ajuste al neto</t>
  </si>
  <si>
    <t>*TOTAL* *DEDUCCIONES*</t>
  </si>
  <si>
    <t>*NETO*</t>
  </si>
  <si>
    <t xml:space="preserve">    Reg. Pat. IMSS:  B4251548102</t>
  </si>
  <si>
    <t>AC19</t>
  </si>
  <si>
    <t>0018</t>
  </si>
  <si>
    <t xml:space="preserve">  =============</t>
  </si>
  <si>
    <t>Total Gral.</t>
  </si>
  <si>
    <t xml:space="preserve"> </t>
  </si>
  <si>
    <t>TOTAL</t>
  </si>
  <si>
    <t>IVA</t>
  </si>
  <si>
    <t>SUELDO BASE</t>
  </si>
  <si>
    <t>COMISIONES</t>
  </si>
  <si>
    <t>Comision 10%</t>
  </si>
  <si>
    <t>2% S/N</t>
  </si>
  <si>
    <t>SUBTOTAL</t>
  </si>
  <si>
    <t>SUBSIDO ENTREGADO</t>
  </si>
  <si>
    <t>Apoyo Sindicato Apoyo 23 c.c.</t>
  </si>
  <si>
    <t>Apoyo Extra</t>
  </si>
  <si>
    <t>SGV</t>
  </si>
  <si>
    <t>ANAEL</t>
  </si>
  <si>
    <t>MOISES</t>
  </si>
  <si>
    <t>ARTURO</t>
  </si>
  <si>
    <t>MALDONADO HERNANDEZ</t>
  </si>
  <si>
    <t>AB27</t>
  </si>
  <si>
    <t>Aguilar Bravo Cristian Saul</t>
  </si>
  <si>
    <t>AG07</t>
  </si>
  <si>
    <t>Aguilar Gonzalez Anael</t>
  </si>
  <si>
    <t>AL17</t>
  </si>
  <si>
    <t>Alavez Lopez Inocencio</t>
  </si>
  <si>
    <t>AOR15</t>
  </si>
  <si>
    <t>Alvarez Ortiz Ricardo</t>
  </si>
  <si>
    <t>00016</t>
  </si>
  <si>
    <t>Arenas Vargas Moises</t>
  </si>
  <si>
    <t>AZ14</t>
  </si>
  <si>
    <t>Arroyo Zarazua Gilberto</t>
  </si>
  <si>
    <t>Arvizu Rodriguez Alejandro Uriel</t>
  </si>
  <si>
    <t>Ayala Contreras Hector Manuel</t>
  </si>
  <si>
    <t>BC22</t>
  </si>
  <si>
    <t>Barcenas Comenero Jorge Alejandro</t>
  </si>
  <si>
    <t>BL011</t>
  </si>
  <si>
    <t>Berdeja Leon Francisco Gerardo</t>
  </si>
  <si>
    <t>Calderon Martinez Mario Raul</t>
  </si>
  <si>
    <t>CR14</t>
  </si>
  <si>
    <t>Cancino Rodriguez Gregorio</t>
  </si>
  <si>
    <t>Carrasco Tovar Arturo</t>
  </si>
  <si>
    <t>CT26</t>
  </si>
  <si>
    <t>Castañon Tavares Manuel</t>
  </si>
  <si>
    <t>CR06</t>
  </si>
  <si>
    <t>Castellanos Rocha Lucia Marcela</t>
  </si>
  <si>
    <t>CO24</t>
  </si>
  <si>
    <t>Castillo Ordoñez Jorge</t>
  </si>
  <si>
    <t>CHG</t>
  </si>
  <si>
    <t>Cortes Hernandez German</t>
  </si>
  <si>
    <t>CM22</t>
  </si>
  <si>
    <t>Cortes Miranda Carlos Armando</t>
  </si>
  <si>
    <t>CO02</t>
  </si>
  <si>
    <t>Cortez Ovando Faustino Ali</t>
  </si>
  <si>
    <t>CO16</t>
  </si>
  <si>
    <t>Cruz Ortiz Juan Antonio</t>
  </si>
  <si>
    <t>DC20</t>
  </si>
  <si>
    <t>De Jesus Cruz Juan Carlos</t>
  </si>
  <si>
    <t>ER14</t>
  </si>
  <si>
    <t>Enriquez Rubio Fernando</t>
  </si>
  <si>
    <t>EB11</t>
  </si>
  <si>
    <t>Escarcega Bustamante  Jorge</t>
  </si>
  <si>
    <t>FG14</t>
  </si>
  <si>
    <t>Fonseca Gillen Jose Felipe</t>
  </si>
  <si>
    <t>GZ20</t>
  </si>
  <si>
    <t>Galicia Zarate Sergio</t>
  </si>
  <si>
    <t>GO001</t>
  </si>
  <si>
    <t>Gutierrez Olvera Marihuri</t>
  </si>
  <si>
    <t>HCG28</t>
  </si>
  <si>
    <t>Hernandez Carreon Gregorio</t>
  </si>
  <si>
    <t>HG04</t>
  </si>
  <si>
    <t>Hernandez Gomez Mario Alberto</t>
  </si>
  <si>
    <t>HS11</t>
  </si>
  <si>
    <t>Hernandez Silva Edgar Samuel</t>
  </si>
  <si>
    <t>HS08</t>
  </si>
  <si>
    <t>Hernandez Solis Gumecindo</t>
  </si>
  <si>
    <t>JH19</t>
  </si>
  <si>
    <t>Jimenez Hernandez Julio Cesar</t>
  </si>
  <si>
    <t>LO14</t>
  </si>
  <si>
    <t>Lara Oviedo Soraya</t>
  </si>
  <si>
    <t>LR05</t>
  </si>
  <si>
    <t>Lobato Recamier Rosselin Catalina</t>
  </si>
  <si>
    <t>LL19</t>
  </si>
  <si>
    <t>Lopez De Leon Daniel</t>
  </si>
  <si>
    <t>LR09</t>
  </si>
  <si>
    <t>MH09</t>
  </si>
  <si>
    <t>Maldonado Hernandez Erick</t>
  </si>
  <si>
    <t>MA08</t>
  </si>
  <si>
    <t>Martinez Alvarado  Adrian</t>
  </si>
  <si>
    <t>MG14</t>
  </si>
  <si>
    <t>Martinez Guerrero Leonel</t>
  </si>
  <si>
    <t>ML23</t>
  </si>
  <si>
    <t>Martinez Lorenzo Luis Alejandro</t>
  </si>
  <si>
    <t>MC14</t>
  </si>
  <si>
    <t>Medina Castro Carlos Manuel</t>
  </si>
  <si>
    <t>0030</t>
  </si>
  <si>
    <t>Melendez Padilla Claudia Cristina</t>
  </si>
  <si>
    <t>MPJ04</t>
  </si>
  <si>
    <t>Miranda Peon Julio Cesar</t>
  </si>
  <si>
    <t>NB02</t>
  </si>
  <si>
    <t>Noria Badillo Juan Jose</t>
  </si>
  <si>
    <t>NS26</t>
  </si>
  <si>
    <t>Nuñez De Jesus Jose Daniel</t>
  </si>
  <si>
    <t>OB15</t>
  </si>
  <si>
    <t>Olvera Bautista J. Dolores  Gilberto</t>
  </si>
  <si>
    <t>OH11</t>
  </si>
  <si>
    <t>Olvera Hernandez Jose Tomas</t>
  </si>
  <si>
    <t>OS06</t>
  </si>
  <si>
    <t>Olvera  Soto Luis Angel</t>
  </si>
  <si>
    <t>PG04</t>
  </si>
  <si>
    <t>Paleta Guadarrama Ricardo</t>
  </si>
  <si>
    <t>PP05</t>
  </si>
  <si>
    <t>Perez Perez Ismael</t>
  </si>
  <si>
    <t>PJ03</t>
  </si>
  <si>
    <t>Piña Juarez Jose Martin</t>
  </si>
  <si>
    <t>RB08</t>
  </si>
  <si>
    <t>Ramirez Bautista Marcos Samuel</t>
  </si>
  <si>
    <t>RCJ07</t>
  </si>
  <si>
    <t>Resendiz Crespo Jose David</t>
  </si>
  <si>
    <t>RE14</t>
  </si>
  <si>
    <t>Resendiz Echeverria Mario Alberto</t>
  </si>
  <si>
    <t>RS03</t>
  </si>
  <si>
    <t>Resendiz Soto Emilio</t>
  </si>
  <si>
    <t>RZ014</t>
  </si>
  <si>
    <t>Reyes Hurtado Guillermo</t>
  </si>
  <si>
    <t>RA13</t>
  </si>
  <si>
    <t>Rivera Aguilar Gabriel</t>
  </si>
  <si>
    <t>RG12</t>
  </si>
  <si>
    <t>Rivera Gonzalez Jose Adan</t>
  </si>
  <si>
    <t>RR02</t>
  </si>
  <si>
    <t>Rodriguez Rodriguez Rodolfo Anuar</t>
  </si>
  <si>
    <t>RO21</t>
  </si>
  <si>
    <t>0021</t>
  </si>
  <si>
    <t>Romo Parga Alejandro</t>
  </si>
  <si>
    <t>RR05</t>
  </si>
  <si>
    <t>Ruiz Rodriguez Omar</t>
  </si>
  <si>
    <t>SG005</t>
  </si>
  <si>
    <t>Saldaña Garcia Marco Antonio</t>
  </si>
  <si>
    <t>SH17</t>
  </si>
  <si>
    <t>Sanchez Hurtado Carlos</t>
  </si>
  <si>
    <t>Sanchez Rodriguez Fredy</t>
  </si>
  <si>
    <t>SC25</t>
  </si>
  <si>
    <t>Sereno Cuellar Juvenal</t>
  </si>
  <si>
    <t>SL08</t>
  </si>
  <si>
    <t>Suarez Luna Efren Agustin</t>
  </si>
  <si>
    <t>TG06</t>
  </si>
  <si>
    <t>Tellez Gaytan Daniel</t>
  </si>
  <si>
    <t>TL20</t>
  </si>
  <si>
    <t>Tinoco Lopez Alfredo</t>
  </si>
  <si>
    <t>TS31</t>
  </si>
  <si>
    <t>Tirado Saavedra Carlos Alejandro</t>
  </si>
  <si>
    <t>TDA18</t>
  </si>
  <si>
    <t>Toribio Del Angel Oscar</t>
  </si>
  <si>
    <t>VM14</t>
  </si>
  <si>
    <t>Valdez Martinez Jose Martin</t>
  </si>
  <si>
    <t>VR23</t>
  </si>
  <si>
    <t>Vega Rivera Ismael</t>
  </si>
  <si>
    <t>VG25</t>
  </si>
  <si>
    <t>Vera Garcia Gerardo</t>
  </si>
  <si>
    <t>VM21</t>
  </si>
  <si>
    <t>Vigueras Martinez Juan Carlos</t>
  </si>
  <si>
    <t>ZM22</t>
  </si>
  <si>
    <t>Zamorano Mendoza Elias David</t>
  </si>
  <si>
    <t>HOJALATERO</t>
  </si>
  <si>
    <t>Alfaro Lazaro Isaac</t>
  </si>
  <si>
    <t>ASESOR DE SERVICIO</t>
  </si>
  <si>
    <t>CMM24</t>
  </si>
  <si>
    <t>PREPARADOR</t>
  </si>
  <si>
    <t>SR27</t>
  </si>
  <si>
    <t>ARMADOR</t>
  </si>
  <si>
    <t>PINTOR</t>
  </si>
  <si>
    <t>AYUDANTE GENERAL</t>
  </si>
  <si>
    <t>VIGILANTE</t>
  </si>
  <si>
    <t>MANTENIMIENTO</t>
  </si>
  <si>
    <t>RV23</t>
  </si>
  <si>
    <t>ASESOR DE VENTAS</t>
  </si>
  <si>
    <t>AYUDANTE DE MECANICO</t>
  </si>
  <si>
    <t>AR01</t>
  </si>
  <si>
    <t>OPERARIO B</t>
  </si>
  <si>
    <t>OPERARIO A</t>
  </si>
  <si>
    <t>AYUDANTE DE PREVIAS</t>
  </si>
  <si>
    <t>ESTETICAS</t>
  </si>
  <si>
    <t>MH25</t>
  </si>
  <si>
    <t>HC24</t>
  </si>
  <si>
    <t>Hernandez Chavez Pedro</t>
  </si>
  <si>
    <t>RF27</t>
  </si>
  <si>
    <t>S10-01/2016</t>
  </si>
  <si>
    <t xml:space="preserve">         An</t>
  </si>
  <si>
    <t>Clave</t>
  </si>
  <si>
    <t xml:space="preserve"> Nombre</t>
  </si>
  <si>
    <t>nfonavit  p</t>
  </si>
  <si>
    <t xml:space="preserve"> AGUILAR BRAVO CRISTI</t>
  </si>
  <si>
    <t xml:space="preserve"> ALVAREZ ORTIZ RICARD</t>
  </si>
  <si>
    <t xml:space="preserve"> CALDERON MARTINEZ MA</t>
  </si>
  <si>
    <t xml:space="preserve"> GALICIA ZARATE SERGI</t>
  </si>
  <si>
    <t>MR27</t>
  </si>
  <si>
    <t xml:space="preserve"> MOLINA RAMIREZ JESUS</t>
  </si>
  <si>
    <t xml:space="preserve"> RODRIGUEZ RODRIGUEZ</t>
  </si>
  <si>
    <t xml:space="preserve"> TINOCO LOPEZ ALFREDO</t>
  </si>
  <si>
    <t xml:space="preserve"> CORTES HERNANDEZ GER</t>
  </si>
  <si>
    <t xml:space="preserve"> HERNANDEZ SILVA EDGA</t>
  </si>
  <si>
    <t xml:space="preserve"> MARTINEZ LORENZO LUI</t>
  </si>
  <si>
    <t>NL23</t>
  </si>
  <si>
    <t xml:space="preserve"> NUÑEZ LUJAN ANGEL DA</t>
  </si>
  <si>
    <t xml:space="preserve"> OLVERA BAUTISTA J. D</t>
  </si>
  <si>
    <t xml:space="preserve"> PEREZ PEREZ ISMAEL</t>
  </si>
  <si>
    <t xml:space="preserve"> RAMIREZ BAUTISTA MAR</t>
  </si>
  <si>
    <t xml:space="preserve"> ROMERO OLVERA MIGUEL</t>
  </si>
  <si>
    <t xml:space="preserve"> SUAREZ LUNA EFREN AG</t>
  </si>
  <si>
    <t xml:space="preserve"> SANCHEZ RODRIGUEZ FR</t>
  </si>
  <si>
    <t xml:space="preserve"> TELLEZ GAYTAN DANIEL</t>
  </si>
  <si>
    <t xml:space="preserve"> VIGUERAS MARTINEZ JU</t>
  </si>
  <si>
    <t xml:space="preserve"> VEGA RIVERA ISMAEL</t>
  </si>
  <si>
    <t xml:space="preserve"> BARCENAS COMENERO JO</t>
  </si>
  <si>
    <t xml:space="preserve"> CRUZ ORTIZ JUAN ANTO</t>
  </si>
  <si>
    <t xml:space="preserve"> CASTELLANOS ROCHA LU</t>
  </si>
  <si>
    <t xml:space="preserve"> CORTEZ OVANDO FAUSTI</t>
  </si>
  <si>
    <t xml:space="preserve"> DE JESUS CRUZ JUAN C</t>
  </si>
  <si>
    <t xml:space="preserve"> LOPEZ DE LEON DANIEL</t>
  </si>
  <si>
    <t xml:space="preserve"> RIVERA AGUILAR GABRI</t>
  </si>
  <si>
    <t xml:space="preserve"> RESENDIZ SOTO EMILIO</t>
  </si>
  <si>
    <t xml:space="preserve"> SERENO CUELLAR JUVEN</t>
  </si>
  <si>
    <t>AC14</t>
  </si>
  <si>
    <t xml:space="preserve"> AVILA CASTELLANOS JE</t>
  </si>
  <si>
    <t xml:space="preserve"> CORTES MIRANDA CARLO</t>
  </si>
  <si>
    <t xml:space="preserve"> CASTILLO ORDOÑEZ JOR</t>
  </si>
  <si>
    <t xml:space="preserve"> HERNANDEZ GOMEZ MARI</t>
  </si>
  <si>
    <t xml:space="preserve"> LARA OVIEDO SORAYA</t>
  </si>
  <si>
    <t xml:space="preserve"> MIRANDA PEON JULIO C</t>
  </si>
  <si>
    <t xml:space="preserve"> PIÑA JUAREZ JOSE MAR</t>
  </si>
  <si>
    <t xml:space="preserve"> TORIBIO DEL ANGEL OS</t>
  </si>
  <si>
    <t xml:space="preserve"> ALAVEZ LOPEZ INOCENC</t>
  </si>
  <si>
    <t xml:space="preserve"> ARVIZU RODRIGUEZ  AL</t>
  </si>
  <si>
    <t xml:space="preserve"> CANCINO RODRIGUEZ GR</t>
  </si>
  <si>
    <t xml:space="preserve"> CASTAÑON TAVARES MAN</t>
  </si>
  <si>
    <t xml:space="preserve"> ENRIQUEZ RUBIO FERNA</t>
  </si>
  <si>
    <t xml:space="preserve"> FONSECA GUILLEN JOSE</t>
  </si>
  <si>
    <t xml:space="preserve"> MARTINEZ ALVARADO AD</t>
  </si>
  <si>
    <t xml:space="preserve"> MARTINEZ GUERRERO LE</t>
  </si>
  <si>
    <t xml:space="preserve"> NUÑEZ DE JESUS JOSE</t>
  </si>
  <si>
    <t xml:space="preserve"> OLVERA HERNANDEZ JOS</t>
  </si>
  <si>
    <t xml:space="preserve"> OLVERA SOTO LUIS ANG</t>
  </si>
  <si>
    <t xml:space="preserve"> RESENDIZ CRESPO JOSE</t>
  </si>
  <si>
    <t xml:space="preserve"> RESENDIZ ECHEVERRIA</t>
  </si>
  <si>
    <t xml:space="preserve"> RIVERA GONZALEZ JOSE</t>
  </si>
  <si>
    <t>RH14</t>
  </si>
  <si>
    <t xml:space="preserve"> REYES HURTADO GUILLE</t>
  </si>
  <si>
    <t>SG05</t>
  </si>
  <si>
    <t xml:space="preserve"> SALDAñA GARCIA MARCO</t>
  </si>
  <si>
    <t xml:space="preserve"> SANCHEZ HURTADO CARL</t>
  </si>
  <si>
    <t xml:space="preserve"> VALDEZ MARTINEZ MART</t>
  </si>
  <si>
    <t xml:space="preserve"> ARENAS VARGAS MOISES</t>
  </si>
  <si>
    <t xml:space="preserve"> CARRASCO TOVAR ARTUR</t>
  </si>
  <si>
    <t xml:space="preserve"> ROMO PARGA ALEJANDRO</t>
  </si>
  <si>
    <t xml:space="preserve"> MELENDEZ PADILLA CLA</t>
  </si>
  <si>
    <t xml:space="preserve"> AYALA CONTRERAS HECT</t>
  </si>
  <si>
    <t xml:space="preserve"> AGUILAR GONZALEZ ANA</t>
  </si>
  <si>
    <t xml:space="preserve"> BERDEJA LEON FRANCIS</t>
  </si>
  <si>
    <t xml:space="preserve"> ESCARCEGA BUSTAMANTE</t>
  </si>
  <si>
    <t>GO01</t>
  </si>
  <si>
    <t xml:space="preserve"> GUTIERREZ OLVERA MAR</t>
  </si>
  <si>
    <t xml:space="preserve"> HERNANDEZ CHAVEZ PED</t>
  </si>
  <si>
    <t xml:space="preserve"> HERNANDEZ CARREON GR</t>
  </si>
  <si>
    <t xml:space="preserve"> HERNANDEZ SOLIS GUME</t>
  </si>
  <si>
    <t xml:space="preserve"> JIMENEZ HERNANDEZ JU</t>
  </si>
  <si>
    <t xml:space="preserve"> LOBATO RECAMIER ROSS</t>
  </si>
  <si>
    <t xml:space="preserve"> LOPEZ ROSETE VICTOR</t>
  </si>
  <si>
    <t xml:space="preserve"> MEDINA CASTRO CARLOS</t>
  </si>
  <si>
    <t xml:space="preserve"> MALDONADO HERNANDEZ</t>
  </si>
  <si>
    <t xml:space="preserve"> NORIA BADILLO JUAN J</t>
  </si>
  <si>
    <t xml:space="preserve"> PALETA GUADARRAMA RI</t>
  </si>
  <si>
    <t xml:space="preserve"> RUIZ RODRIGUEZ OMAR</t>
  </si>
  <si>
    <t xml:space="preserve"> TIRADO SAAVEDRA CARL</t>
  </si>
  <si>
    <t xml:space="preserve"> VERA GARCIA GERARDO</t>
  </si>
  <si>
    <t xml:space="preserve"> ZAMORANO MENDOZA ELI</t>
  </si>
  <si>
    <t>AL26</t>
  </si>
  <si>
    <t>AR001</t>
  </si>
  <si>
    <t>CM024</t>
  </si>
  <si>
    <t>HMP14</t>
  </si>
  <si>
    <t>Hernandez Martinez Paulino</t>
  </si>
  <si>
    <t>HM17</t>
  </si>
  <si>
    <t>Hernandez Medina Diego Omar</t>
  </si>
  <si>
    <t>Mijangos Hernandez Julio Cesar</t>
  </si>
  <si>
    <t>OS05</t>
  </si>
  <si>
    <t>Orozco Sandoval Luis Enrique</t>
  </si>
  <si>
    <t>PR05</t>
  </si>
  <si>
    <t>Parra Rodriguez Javier Sebastian</t>
  </si>
  <si>
    <t>PB05</t>
  </si>
  <si>
    <t>Pino Blanco Gustavo</t>
  </si>
  <si>
    <t>RHO14</t>
  </si>
  <si>
    <t>Resendiz Huerta Oscar</t>
  </si>
  <si>
    <t>RA22</t>
  </si>
  <si>
    <t>Reyes Alcala Luz</t>
  </si>
  <si>
    <t>RA06</t>
  </si>
  <si>
    <t>Reyes Armadillo Jorge Andres</t>
  </si>
  <si>
    <t>Reyes Flores Alan Ricardo</t>
  </si>
  <si>
    <t>RP19</t>
  </si>
  <si>
    <t>Rios Perales David</t>
  </si>
  <si>
    <t>RF22</t>
  </si>
  <si>
    <t>Rodriguez Fernandez De Jauregui Mauricio</t>
  </si>
  <si>
    <t>Rodriguez Ventura Carlos Javier</t>
  </si>
  <si>
    <t>RGG01</t>
  </si>
  <si>
    <t>Rosas Guillen Gina Elizabeth</t>
  </si>
  <si>
    <t>SR027</t>
  </si>
  <si>
    <t>SP14</t>
  </si>
  <si>
    <t>Sierra Polina Cesar Alan</t>
  </si>
  <si>
    <t>TN15</t>
  </si>
  <si>
    <t>Tirado Navarrete Edgar</t>
  </si>
  <si>
    <t>VZ31</t>
  </si>
  <si>
    <t>Valdelamar Zuñiga Jose Sixto Carl</t>
  </si>
  <si>
    <t>VZ23</t>
  </si>
  <si>
    <t>Vega Zuñiga Joel Omar</t>
  </si>
  <si>
    <t>VC30</t>
  </si>
  <si>
    <t>Velazquez Calva Humberto Carlos</t>
  </si>
  <si>
    <t>11 CONSULTORES &amp; ASESORES INTEGRALES SC</t>
  </si>
  <si>
    <t>Reg Pat IMSS: E2375841103</t>
  </si>
  <si>
    <t>Séptimo día</t>
  </si>
  <si>
    <t>Préstamo Infonavit</t>
  </si>
  <si>
    <t>Pension Alimenticia</t>
  </si>
  <si>
    <t>INFONAVIT</t>
  </si>
  <si>
    <t>FACTURACIÓN</t>
  </si>
  <si>
    <t>ESPECIAL</t>
  </si>
  <si>
    <t>Escarcega Bustamante Jorge</t>
  </si>
  <si>
    <t>Consultores &amp; Asesores Integrales S.C.</t>
  </si>
  <si>
    <t>Servicios Prestados a : QUERETARO MOTORS, SA</t>
  </si>
  <si>
    <t>Periodo Semana 07</t>
  </si>
  <si>
    <t>10/02/2016 AL 16/02/2016</t>
  </si>
  <si>
    <t>Area</t>
  </si>
  <si>
    <t>Nombre</t>
  </si>
  <si>
    <t>Suc</t>
  </si>
  <si>
    <t>Puesto</t>
  </si>
  <si>
    <t>FECHA DE INICIO</t>
  </si>
  <si>
    <t>FIJO / VARIABLE</t>
  </si>
  <si>
    <t>sub   S/N</t>
  </si>
  <si>
    <t>CONSULTORES</t>
  </si>
  <si>
    <t>SINDICATO</t>
  </si>
  <si>
    <t>Sueldo Quincenal</t>
  </si>
  <si>
    <t>COMISION</t>
  </si>
  <si>
    <t>Prima Vacacional</t>
  </si>
  <si>
    <t>Dias de Vacaciones</t>
  </si>
  <si>
    <t>SEGURO DE VIDA (-)</t>
  </si>
  <si>
    <t>Total Percepciones</t>
  </si>
  <si>
    <t>Descuentos Cta 254</t>
  </si>
  <si>
    <t>AHORRO CTM</t>
  </si>
  <si>
    <t>FONDO DE AHORRO 4.9%</t>
  </si>
  <si>
    <t>CUOTA SINDICAL 1%</t>
  </si>
  <si>
    <t>PRESTAMO CTM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</si>
  <si>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</si>
  <si>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</si>
  <si>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</si>
  <si>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</si>
  <si>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</si>
  <si>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</si>
  <si>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</si>
  <si>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</si>
  <si>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</si>
  <si>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</si>
  <si>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PAGADO</t>
  </si>
  <si>
    <t>DIF</t>
  </si>
  <si>
    <t>DISPERCION</t>
  </si>
  <si>
    <t>DIFERENCIA</t>
  </si>
  <si>
    <t>SERVICIO</t>
  </si>
  <si>
    <t>AGUILAR BRAVO CRISTIAN SAUL</t>
  </si>
  <si>
    <t>VENTAS</t>
  </si>
  <si>
    <t>AGUILAR GONZALEZ ANAEL</t>
  </si>
  <si>
    <t>COACH</t>
  </si>
  <si>
    <t>COACH DE VENTAS</t>
  </si>
  <si>
    <t>COSTO</t>
  </si>
  <si>
    <t>ALAVEZ LOPEZ INOCENCIO</t>
  </si>
  <si>
    <t>HOJALATERIA</t>
  </si>
  <si>
    <t>ALFARO LAZARO ISAAC</t>
  </si>
  <si>
    <t>AYUDANTE DE HOJALATE</t>
  </si>
  <si>
    <t>ALVAREZ ORTIZ RICARDO</t>
  </si>
  <si>
    <t>ARENAS VARGAS MOISES</t>
  </si>
  <si>
    <t>ASISTENTE F&amp;I</t>
  </si>
  <si>
    <t>SEMINUEVOS</t>
  </si>
  <si>
    <t>ARTEAGA SILVA ALFREDO</t>
  </si>
  <si>
    <t>MARTIN</t>
  </si>
  <si>
    <t>ASESOR DE VENTAS SEM</t>
  </si>
  <si>
    <t>ARROYO ZARAZUA GILBERTO</t>
  </si>
  <si>
    <t>ARVIZU RODRIGUEZ  ALEJANDRO</t>
  </si>
  <si>
    <t>AYALA CONTRERAS HECTOR</t>
  </si>
  <si>
    <t>ADMON SERVICIO</t>
  </si>
  <si>
    <t>BARCENAS COMENERO JO</t>
  </si>
  <si>
    <t>TELEMARKETING</t>
  </si>
  <si>
    <t>BERDEJA LEON FRANCIS</t>
  </si>
  <si>
    <t>CALDERON MARTINEZ MARIO</t>
  </si>
  <si>
    <t>CANCINO RODRIGUEZ GREGORIO</t>
  </si>
  <si>
    <t>CARRASCO TOVAR ARTUR</t>
  </si>
  <si>
    <t>COACH DE PISO</t>
  </si>
  <si>
    <t>CASTAÑON TAVARES MAN</t>
  </si>
  <si>
    <t>AYUDANTE DE GENERAL</t>
  </si>
  <si>
    <t>CASTELLANOS ROCHA LUCIA</t>
  </si>
  <si>
    <t>CASTILLO ORDOÑEZ JORGE</t>
  </si>
  <si>
    <t>CORTES HERNANDEZ GERMAN</t>
  </si>
  <si>
    <t>HOJALATERO Y PINTOR</t>
  </si>
  <si>
    <t>CORTES MIRANDA CARLOS</t>
  </si>
  <si>
    <t>CORTEZ OVANDO FAUSTINO</t>
  </si>
  <si>
    <t>CRUZ ORTIZ JUAN ANTONIO</t>
  </si>
  <si>
    <t>CONTACT CENTER</t>
  </si>
  <si>
    <t>ADMON VENTAS</t>
  </si>
  <si>
    <t>DE JESUS CRUZ JUAN CARLOS</t>
  </si>
  <si>
    <t>ENRIQUEZ RUBIO FERNADO</t>
  </si>
  <si>
    <t>ESCARCEGA BUSTAMANTE JORGE</t>
  </si>
  <si>
    <t>FONSECA GUILLEN JOSE FELIPE</t>
  </si>
  <si>
    <t>OPARARIO C</t>
  </si>
  <si>
    <t>GALICIA ZARATE SERGIO</t>
  </si>
  <si>
    <t>GRANADOS PEREZ BRENDA</t>
  </si>
  <si>
    <t>GUTIERREZ OLVERA MARIURI</t>
  </si>
  <si>
    <t>HERNANDEZ CARREON GREGORIO</t>
  </si>
  <si>
    <t>HERNANDEZ GOMEZ MARIO ALBERTO</t>
  </si>
  <si>
    <t>HERNANDEZ SILVA EDGAR SAMUEL</t>
  </si>
  <si>
    <t>HERNANDEZ SOLIS GUMERCINDO</t>
  </si>
  <si>
    <t>JIMENEZ HERNANDEZ JULIO</t>
  </si>
  <si>
    <t>LARA OVIEDO SORAYA</t>
  </si>
  <si>
    <t>LOBATO RECAMIER ROSELLIN</t>
  </si>
  <si>
    <t>LOPEZ DE LEON DANIEL</t>
  </si>
  <si>
    <t>ADMINISTRACION</t>
  </si>
  <si>
    <t>MATA GONZALEZ ALEJANDRO</t>
  </si>
  <si>
    <t>MARTINEZ ALVARADO ADRIAN</t>
  </si>
  <si>
    <t>MARTINEZ GUERRERO LEONEL</t>
  </si>
  <si>
    <t>MARTINEZ LORENZO LUIS ALEJANDRO</t>
  </si>
  <si>
    <t xml:space="preserve">MARTINEZ MONTOYA EFRAIN </t>
  </si>
  <si>
    <t>MEDINA CASTRO CARLOS</t>
  </si>
  <si>
    <t>MELENDEZ PADILLA CLAUDIA</t>
  </si>
  <si>
    <t>MIJANGOS HERNANDEZ JULIO CESAR</t>
  </si>
  <si>
    <t>MIRANDA PEON JULIO CESAR</t>
  </si>
  <si>
    <t>NORIA BADILLO JUAN J</t>
  </si>
  <si>
    <t>NUÑEZ DE JESUS JOSE DANIEL</t>
  </si>
  <si>
    <t>AYUDANTE GENERAL DE</t>
  </si>
  <si>
    <t>OLVERA BAUTISTA J. D</t>
  </si>
  <si>
    <t>OLVERA HERNANDEZ JOSE TOMAS</t>
  </si>
  <si>
    <t>OLVERA SOTO LUIS ANGEL</t>
  </si>
  <si>
    <t>PALETA GUADARRAMA RI</t>
  </si>
  <si>
    <t>PEREZ PEREZ ISMAEL</t>
  </si>
  <si>
    <t>HOJALATERO PINTOR</t>
  </si>
  <si>
    <t>PIÑA JUAREZ JOSE MAR</t>
  </si>
  <si>
    <t>GERENTE DE SEMINUEVO</t>
  </si>
  <si>
    <t>RAMIREZ BAUTISTA MARCOS SAMUEL</t>
  </si>
  <si>
    <t>RESENDIZ CRESPO JOSE</t>
  </si>
  <si>
    <t>TECNICO C</t>
  </si>
  <si>
    <t>RESENDIZ ECHEVERRIA MARIO</t>
  </si>
  <si>
    <t>RESENDIZ SOTO EMILIO</t>
  </si>
  <si>
    <t>REYES HURTADO GUILLERMO</t>
  </si>
  <si>
    <t>RIVERA AGUILAR GABRIEL</t>
  </si>
  <si>
    <t>RIVERA GALLEGOS FRANCISCO</t>
  </si>
  <si>
    <t>RIVERA GONZALEZ JOSE ADAN</t>
  </si>
  <si>
    <t>RODRIGUEZ RODRIGUEZ ANUAR</t>
  </si>
  <si>
    <t>RODRIGUEZ VENTURA CA</t>
  </si>
  <si>
    <t>ROMO PARGA ALEJANDRO</t>
  </si>
  <si>
    <t>RUIZ RODRIGUEZ OMAR</t>
  </si>
  <si>
    <t>SALDAñA GARCIA MARCO</t>
  </si>
  <si>
    <t>OPERARIO</t>
  </si>
  <si>
    <t>SANCHEZ HURTADO CARLOS</t>
  </si>
  <si>
    <t>SANCHEZ RODRIGUEZ FREDY</t>
  </si>
  <si>
    <t>SERENO CUELLAR JUVEN</t>
  </si>
  <si>
    <t>SERVIN CHAVEZ OSCAR ERIC</t>
  </si>
  <si>
    <t>SUAREZ LUNA EFREN AG</t>
  </si>
  <si>
    <t>TELLEZ GAYTAN DANIEL</t>
  </si>
  <si>
    <t>TIRADO SAAVEDRA CARL</t>
  </si>
  <si>
    <t>TORIBIO DEL ANGEL OS</t>
  </si>
  <si>
    <t>VALDEZ MARTINEZ MARTIN</t>
  </si>
  <si>
    <t>VEGA RIVERA ISMAEL</t>
  </si>
  <si>
    <t>VERA GARCIA GERARDO</t>
  </si>
  <si>
    <t>VIGUERAS MARTINEZ JUAN CARLOS</t>
  </si>
  <si>
    <t>ZAMORANO MENDOZA ELIAS</t>
  </si>
  <si>
    <t>REYES FLORES ALAN RICARDO</t>
  </si>
  <si>
    <t>TINOCO LOPEZ ALFREDO</t>
  </si>
  <si>
    <t>ASESOR SERVICIO</t>
  </si>
  <si>
    <t xml:space="preserve">HERNANDEZ CHAVEZ PEDRO </t>
  </si>
  <si>
    <t>TOTAL NOMINA</t>
  </si>
  <si>
    <t>INCAPACIDAD</t>
  </si>
  <si>
    <t>PASA A NOMINA SEMANAL</t>
  </si>
  <si>
    <t>BAJAS DURANTE LA QUINCENA</t>
  </si>
  <si>
    <t>700-070 VENTAS</t>
  </si>
  <si>
    <t>701-070 USADOS</t>
  </si>
  <si>
    <t>703-070 ADMON</t>
  </si>
  <si>
    <t>704-070 REFACC</t>
  </si>
  <si>
    <t>705-001-070 SERV</t>
  </si>
  <si>
    <t>683-001-001 COSTO</t>
  </si>
  <si>
    <t>0AG07</t>
  </si>
  <si>
    <t>0AL17</t>
  </si>
  <si>
    <t>0AZ14</t>
  </si>
  <si>
    <t>00018</t>
  </si>
  <si>
    <t>0ER14</t>
  </si>
  <si>
    <t>0EB11</t>
  </si>
  <si>
    <t>GPB13</t>
  </si>
  <si>
    <t>Granados Perez Brenda Laura</t>
  </si>
  <si>
    <t>0HG04</t>
  </si>
  <si>
    <t>0HS08</t>
  </si>
  <si>
    <t>MGA13</t>
  </si>
  <si>
    <t>Mata Gonzalez Alejandro</t>
  </si>
  <si>
    <t xml:space="preserve"> 0030</t>
  </si>
  <si>
    <t xml:space="preserve"> OH11</t>
  </si>
  <si>
    <t>0PP05</t>
  </si>
  <si>
    <t>RGF13</t>
  </si>
  <si>
    <t>Rivera Gallegos Francisco Alejandro</t>
  </si>
  <si>
    <t>SCO10</t>
  </si>
  <si>
    <t>Servin Chavez Oscar Eric</t>
  </si>
  <si>
    <t>0TS31</t>
  </si>
  <si>
    <t>0ZM22</t>
  </si>
  <si>
    <t>Martinez Montoya Efrain Esaul</t>
  </si>
  <si>
    <t>MME16</t>
  </si>
  <si>
    <t>Arteaga Silva Alfredo</t>
  </si>
  <si>
    <t>ASA16</t>
  </si>
  <si>
    <t>NETO A RECIBIR EMPLEADO</t>
  </si>
  <si>
    <t>COMISION EMPLEADO</t>
  </si>
  <si>
    <t>DEVOLUCIÓN EN CH.</t>
  </si>
  <si>
    <t>CHEQUES</t>
  </si>
  <si>
    <t>BBVA BANCOMER</t>
  </si>
  <si>
    <t>OP</t>
  </si>
  <si>
    <t xml:space="preserve">OPERACION EXITOSA </t>
  </si>
  <si>
    <t xml:space="preserve">De Jesus Cruz Juan Carlos </t>
  </si>
  <si>
    <t xml:space="preserve">Olvera Bautista J Dolores Gilberto </t>
  </si>
  <si>
    <t xml:space="preserve">Toribio Del Angel Oscar </t>
  </si>
  <si>
    <t xml:space="preserve">Castanon Tavares Manuel </t>
  </si>
  <si>
    <t xml:space="preserve">Carrasco Tovar Arturo </t>
  </si>
  <si>
    <t xml:space="preserve">Melendez Padilla Claudia Cristina </t>
  </si>
  <si>
    <t xml:space="preserve">Martinez Guerrero Leonel </t>
  </si>
  <si>
    <t xml:space="preserve">Lara Oviedo Soraya </t>
  </si>
  <si>
    <t xml:space="preserve">Cortes Hernandez German </t>
  </si>
  <si>
    <t xml:space="preserve">Medina Castro Carlos Manuel </t>
  </si>
  <si>
    <t xml:space="preserve">Enriquez Rubio Fernando </t>
  </si>
  <si>
    <t xml:space="preserve">Castellanos Rocha Lucia Marcela </t>
  </si>
  <si>
    <t xml:space="preserve">Sanchez Hurtado Carlos </t>
  </si>
  <si>
    <t xml:space="preserve">Vega Rivera Ismael </t>
  </si>
  <si>
    <t xml:space="preserve">Resendiz Soto Emilio </t>
  </si>
  <si>
    <t xml:space="preserve">Reyes Hurtado Guillermo </t>
  </si>
  <si>
    <t xml:space="preserve">Arvizu Rodriguez Alejandro Uriel </t>
  </si>
  <si>
    <t xml:space="preserve">Zamorano Mendoza Elias David </t>
  </si>
  <si>
    <t xml:space="preserve">Paleta Guadarrama Ricardo </t>
  </si>
  <si>
    <t xml:space="preserve">Escarcega Bustamante Jorge </t>
  </si>
  <si>
    <t xml:space="preserve">Cruz Ortiz Juan Antonio </t>
  </si>
  <si>
    <t xml:space="preserve">Lopez De Leon Daniel </t>
  </si>
  <si>
    <t xml:space="preserve">Cortes Miranda Carlos Armando </t>
  </si>
  <si>
    <t xml:space="preserve">Galicia Zarate Sergio </t>
  </si>
  <si>
    <t xml:space="preserve">Arroyo Zarazua Gilberto </t>
  </si>
  <si>
    <t xml:space="preserve">Miranda Peon Julio Cesar </t>
  </si>
  <si>
    <t xml:space="preserve">Martinez Lorenzo Luis Alejandro </t>
  </si>
  <si>
    <t xml:space="preserve">Sereno Cuellar Juvenal </t>
  </si>
  <si>
    <t xml:space="preserve">Tinoco Lopez Alfredo </t>
  </si>
  <si>
    <t xml:space="preserve">Ruiz Rodriguez Omar </t>
  </si>
  <si>
    <t xml:space="preserve">Maldonado Hernandez Erick </t>
  </si>
  <si>
    <t xml:space="preserve">Hernandez Silva Edgar Samuel </t>
  </si>
  <si>
    <t xml:space="preserve">Rivera Aguilar Gabriel </t>
  </si>
  <si>
    <t xml:space="preserve">Resendiz Crespo Jose David </t>
  </si>
  <si>
    <t xml:space="preserve">Tirado Saavedra Carlos Alejandro </t>
  </si>
  <si>
    <t xml:space="preserve">Vigueras Martinez Juan Carlos </t>
  </si>
  <si>
    <t xml:space="preserve">Vera Garcia Gerardo </t>
  </si>
  <si>
    <t xml:space="preserve">Ramirez Bautista Marcos Samuel </t>
  </si>
  <si>
    <t xml:space="preserve">Alvarez Ortiz Ricardo </t>
  </si>
  <si>
    <t xml:space="preserve">Alfaro Lazaro Isaac </t>
  </si>
  <si>
    <t xml:space="preserve">Granados Perez Brenda Laura </t>
  </si>
  <si>
    <t xml:space="preserve">Rivera Gallegos Francisco Alejandro </t>
  </si>
  <si>
    <t xml:space="preserve">Mata Gonzalez Alejandro </t>
  </si>
  <si>
    <t xml:space="preserve">Servin Chavez Oscar Eric </t>
  </si>
  <si>
    <t xml:space="preserve">Mijangos Hernandez Julio Cesar </t>
  </si>
  <si>
    <t xml:space="preserve">Rodriguez Ventura Carlos Javier </t>
  </si>
  <si>
    <t xml:space="preserve">Reyes Flores Alan Ricardo </t>
  </si>
  <si>
    <t xml:space="preserve">Hernandez Carreon Gregorio </t>
  </si>
  <si>
    <t xml:space="preserve">Rivera Gonzalez Jose Adan </t>
  </si>
  <si>
    <t xml:space="preserve">Nunez De Jesus Jose Daniel </t>
  </si>
  <si>
    <t xml:space="preserve">Arenas Vargas Moises </t>
  </si>
  <si>
    <t xml:space="preserve">Olvera Hernandez Jose Tomas </t>
  </si>
  <si>
    <t xml:space="preserve">Valdez Martinez Jose Martin </t>
  </si>
  <si>
    <t xml:space="preserve">Cancino Rodriguez Gregorio </t>
  </si>
  <si>
    <t xml:space="preserve">Fonseca Gillen Jose Felipe </t>
  </si>
  <si>
    <t xml:space="preserve">Resendiz Echeverria Mario Alberto </t>
  </si>
  <si>
    <t xml:space="preserve">Saldana Garcia Marco Antonio </t>
  </si>
  <si>
    <t xml:space="preserve">Aguilar Gonzalez Anael </t>
  </si>
  <si>
    <t xml:space="preserve">Berdeja Leon Francisco Gerardo </t>
  </si>
  <si>
    <t xml:space="preserve">Pina Juarez Jose Martin </t>
  </si>
  <si>
    <t xml:space="preserve">Gutierrez Olvera Marihuri </t>
  </si>
  <si>
    <t xml:space="preserve">Martinez Alvarado Adrian </t>
  </si>
  <si>
    <t xml:space="preserve">Olvera Soto Luis Angel </t>
  </si>
  <si>
    <t xml:space="preserve">Rodriguez Rodriguez Rodolfo Anuar </t>
  </si>
  <si>
    <t xml:space="preserve">Aguilar Bravo Cristian Saul </t>
  </si>
  <si>
    <t xml:space="preserve">Jimenez Hernandez Julio Cesar </t>
  </si>
  <si>
    <t xml:space="preserve">Tellez Gaytan Daniel </t>
  </si>
  <si>
    <t xml:space="preserve">Barcenas Comenero Jorge Alejandro </t>
  </si>
  <si>
    <t xml:space="preserve">Perez Perez Ismael </t>
  </si>
  <si>
    <t xml:space="preserve">Suarez Luna Efren Agustin </t>
  </si>
  <si>
    <t xml:space="preserve">Cortez Ovando Faustino Ali </t>
  </si>
  <si>
    <t xml:space="preserve">Castillo Ordonez Jorge </t>
  </si>
  <si>
    <t xml:space="preserve">Noria Badillo Juan Jose </t>
  </si>
  <si>
    <t xml:space="preserve">Alavez Lopez Inocencio </t>
  </si>
  <si>
    <t xml:space="preserve">Hernandez Solis Gumecindo </t>
  </si>
  <si>
    <t xml:space="preserve">Calderon Martinez Mario Raul </t>
  </si>
  <si>
    <t xml:space="preserve">Hernandez Chavez Pedro </t>
  </si>
  <si>
    <t xml:space="preserve">Sanchez Rodriguez Fredy </t>
  </si>
  <si>
    <t>Periodo Semana 08</t>
  </si>
  <si>
    <t>17/02/2016 AL 23/02/2016</t>
  </si>
  <si>
    <t>CUENTA</t>
  </si>
  <si>
    <t>OBSERVACIONES</t>
  </si>
  <si>
    <t>UNIFORMES</t>
  </si>
  <si>
    <t>ARMENTA LUJANO CARLOS</t>
  </si>
  <si>
    <t>LAVADOR</t>
  </si>
  <si>
    <t>NUEVO INGRESO 22 FEB; SOLO PAGAR COMISIONES POR SINDICATO</t>
  </si>
  <si>
    <t>DIFERENCIA EN INFONAVIT QUE QUEDA A DEBER</t>
  </si>
  <si>
    <t>BARCENAS COMENERO JORGE</t>
  </si>
  <si>
    <t>1 FALTA</t>
  </si>
  <si>
    <t>BERDEJA LEON FRANCISCO</t>
  </si>
  <si>
    <t>CARRASCO TOVAR ARTURO</t>
  </si>
  <si>
    <t>CASTAÑON TAVARES MANUEL</t>
  </si>
  <si>
    <t>24 HORAS EXTRAS</t>
  </si>
  <si>
    <t>GONZALEZ AGUILLON HUMBERTO</t>
  </si>
  <si>
    <t>MALDONADO HERNANDEZ ERICK</t>
  </si>
  <si>
    <t>MARTINEZ GALLEGOS LUIS FERNANDO</t>
  </si>
  <si>
    <t>MG</t>
  </si>
  <si>
    <t>REGRESO DE INCAPACIDAD</t>
  </si>
  <si>
    <t>DE INFONAVIT QUE QUEDA A DEBER</t>
  </si>
  <si>
    <t>MONROY HERRERA VICTOR JAVIER</t>
  </si>
  <si>
    <t>NUEVO INGRESO</t>
  </si>
  <si>
    <t>NORIA BADILLO JUAN JOSE</t>
  </si>
  <si>
    <t>PALETA GUADARRAMA RICARDO</t>
  </si>
  <si>
    <t>RESENDIZ CAMPUZANO ISRAEL</t>
  </si>
  <si>
    <t>14 HORAS EXTRA</t>
  </si>
  <si>
    <t>RODRIGUEZ VENTURA CALOS</t>
  </si>
  <si>
    <t>SERVIN CHAVEZ OSCAR ERICK</t>
  </si>
  <si>
    <t>SUAREZ LUNA EFREN AGUSTIN</t>
  </si>
  <si>
    <t>TIRADO SAAVEDRA CARLOS</t>
  </si>
  <si>
    <t>TORIBIO DEL ANGEL OSCAR</t>
  </si>
  <si>
    <t>FALTAS</t>
  </si>
  <si>
    <t>HORAS EXTRA</t>
  </si>
  <si>
    <t>BAJAS</t>
  </si>
  <si>
    <t>PENSIÓN ALIM DCTO EN FISCAL</t>
  </si>
  <si>
    <t>TOTAL PER</t>
  </si>
  <si>
    <t xml:space="preserve">BANORTE </t>
  </si>
  <si>
    <t>1415043352</t>
  </si>
  <si>
    <t>1438110301</t>
  </si>
  <si>
    <t>1444665376</t>
  </si>
  <si>
    <t>1457598270</t>
  </si>
  <si>
    <t>1490675652</t>
  </si>
  <si>
    <t>2616789951</t>
  </si>
  <si>
    <t>2616790135</t>
  </si>
  <si>
    <t>2648514356</t>
  </si>
  <si>
    <t>2648514364</t>
  </si>
  <si>
    <t>2650346748</t>
  </si>
  <si>
    <t>2695890233</t>
  </si>
  <si>
    <t>2695890268</t>
  </si>
  <si>
    <t>2695890284</t>
  </si>
  <si>
    <t>2695890349</t>
  </si>
  <si>
    <t>2714474562</t>
  </si>
  <si>
    <t>2717650620</t>
  </si>
  <si>
    <t>2746799043</t>
  </si>
  <si>
    <t>2754185048</t>
  </si>
  <si>
    <t>2758594368</t>
  </si>
  <si>
    <t>2759588027</t>
  </si>
  <si>
    <t>2761258753</t>
  </si>
  <si>
    <t>2765753341</t>
  </si>
  <si>
    <t>2836087213</t>
  </si>
  <si>
    <t>2837284802</t>
  </si>
  <si>
    <t>2837433751</t>
  </si>
  <si>
    <t>2837656955</t>
  </si>
  <si>
    <t>2838464278</t>
  </si>
  <si>
    <t>2848478236</t>
  </si>
  <si>
    <t>2854221494</t>
  </si>
  <si>
    <t>2859704213</t>
  </si>
  <si>
    <t>2866078516</t>
  </si>
  <si>
    <t>2878931011</t>
  </si>
  <si>
    <t>2880995371</t>
  </si>
  <si>
    <t>2889511164</t>
  </si>
  <si>
    <t>2889514104</t>
  </si>
  <si>
    <t>2893708187</t>
  </si>
  <si>
    <t>2894220501</t>
  </si>
  <si>
    <t>2895359627</t>
  </si>
  <si>
    <t>2896455182</t>
  </si>
  <si>
    <t>2898414041</t>
  </si>
  <si>
    <t>2901661582</t>
  </si>
  <si>
    <t>2904189264</t>
  </si>
  <si>
    <t>2911705105</t>
  </si>
  <si>
    <t>2915275539</t>
  </si>
  <si>
    <t>2915613213</t>
  </si>
  <si>
    <t>2918873607</t>
  </si>
  <si>
    <t>2919443924</t>
  </si>
  <si>
    <t>2923627098</t>
  </si>
  <si>
    <t>2932879395</t>
  </si>
  <si>
    <t>2935582334</t>
  </si>
  <si>
    <t>2939162100</t>
  </si>
  <si>
    <t>2940159670</t>
  </si>
  <si>
    <t>2946533183</t>
  </si>
  <si>
    <t>2947375638</t>
  </si>
  <si>
    <t>2947520190</t>
  </si>
  <si>
    <t>2949222294</t>
  </si>
  <si>
    <t>2950612421</t>
  </si>
  <si>
    <t>2951732641</t>
  </si>
  <si>
    <t>2954874714</t>
  </si>
  <si>
    <t>2958467625</t>
  </si>
  <si>
    <t>2970888893</t>
  </si>
  <si>
    <t>2971587803</t>
  </si>
  <si>
    <t>2981335863</t>
  </si>
  <si>
    <t>2982289075</t>
  </si>
  <si>
    <t>2983576469</t>
  </si>
  <si>
    <t>2987413327</t>
  </si>
  <si>
    <t>2996093906</t>
  </si>
  <si>
    <t>EFECTIVO</t>
  </si>
  <si>
    <t>BANCOMER</t>
  </si>
  <si>
    <t>BANORTE</t>
  </si>
  <si>
    <t>Periodo 8 al 8 Semanal del 17/02/2016 al 23/02/2016</t>
  </si>
  <si>
    <t>11 CONSULTORES &amp; ASESORES INTEGRALES SC_</t>
  </si>
  <si>
    <t>11 QRO MOTROS SINDIATO ASOC</t>
  </si>
  <si>
    <t>Periodo Semana 09</t>
  </si>
  <si>
    <t>24/02/2016 AL 02/03/2016</t>
  </si>
  <si>
    <t>BAJA NO PAGAR NADA</t>
  </si>
  <si>
    <t>REMANENTE</t>
  </si>
  <si>
    <t>SE LE PAGA UNA DIFERENCIA DE 100 PESOS</t>
  </si>
  <si>
    <t>YA SE PIDIO DIFERENCIA A CONSULTORES</t>
  </si>
  <si>
    <t>NEFTALI MOJICA JOSUE</t>
  </si>
  <si>
    <t>AYUDANTE</t>
  </si>
  <si>
    <t>MONYOY HERRERA VICTOR</t>
  </si>
  <si>
    <t>CTA BBVA 1190530786</t>
  </si>
  <si>
    <t xml:space="preserve">NIETO MEDINA PEDRO </t>
  </si>
  <si>
    <t>NM01</t>
  </si>
  <si>
    <t>VALUADOR</t>
  </si>
  <si>
    <t>CTA BBVA 2948414130</t>
  </si>
  <si>
    <t>ESPECIALES</t>
  </si>
  <si>
    <t xml:space="preserve">AGUILAR PEREZ MARCOS ARTEMIO </t>
  </si>
  <si>
    <t>HUGO ZUÑIGA</t>
  </si>
  <si>
    <t>ARVIZU RODRIGUEZ ALEJANDRO URIEL</t>
  </si>
  <si>
    <t>AYALA CONTRERAS HECTOR MANUEL</t>
  </si>
  <si>
    <t>BARCENAS COMENERO JORGE ALEJANDRO</t>
  </si>
  <si>
    <t>BERDEJA LEON FRANCISCO GERARDO</t>
  </si>
  <si>
    <t>CALDERON MARTINEZ MARIO RAUL</t>
  </si>
  <si>
    <t>CASTELLANOS ROCHA LUCIA MARICELA</t>
  </si>
  <si>
    <t>CORTES MIRANDA CARLOS ARMANDO</t>
  </si>
  <si>
    <t>CORTEZ OVANDO FAUSTINO ALI</t>
  </si>
  <si>
    <t>ENRIQUEZ RUBIO FERNANDO</t>
  </si>
  <si>
    <t>Fonseca Guillen Jose Felipe</t>
  </si>
  <si>
    <t>GRANADOS PEREZ BRENDA LAURA</t>
  </si>
  <si>
    <t>GUTIERREZ OLVERA MARIHURI</t>
  </si>
  <si>
    <t>HERNANDEZ CHAVEZ PEDRO</t>
  </si>
  <si>
    <t>HERNANDEZ SOLIS GUMECINDO</t>
  </si>
  <si>
    <t>JIMENEZ HERNANDEZ JULIO CESAR</t>
  </si>
  <si>
    <t>LOBATO RECAMIER ROSSELIN CATALINA</t>
  </si>
  <si>
    <t>MARTINEZ ALVARADO  ADRIAN</t>
  </si>
  <si>
    <t>MARTINEZ MONTOYA EFRAIN ESAUL</t>
  </si>
  <si>
    <t>MEDINA CASTRO CARLOS MANUEL</t>
  </si>
  <si>
    <t>MELENDEZ PADILLA CLAUDIA CRISTINA</t>
  </si>
  <si>
    <t>OLVERA  SOTO LUIS ANGEL</t>
  </si>
  <si>
    <t>OLVERA BAUTISTA J. DOLORES  GILBERTO</t>
  </si>
  <si>
    <t>RESENDIZ CRESPO JOSE DAVID</t>
  </si>
  <si>
    <t>RESENDIZ ECHEVERRIA MARIO ALBERTO</t>
  </si>
  <si>
    <t>RIVERA GALLEGOS FRANCISCO ALEJANDRO</t>
  </si>
  <si>
    <t>RODRIGUEZ RODRIGUEZ RODOLFO ANUAR</t>
  </si>
  <si>
    <t>Rodriguez Ventura Carlos</t>
  </si>
  <si>
    <t>RODRIGUEZ VENTURA CARLOS</t>
  </si>
  <si>
    <t>SALDAñA GARCIA MARCO ANTONIO</t>
  </si>
  <si>
    <t>SERENO CUELLAR JUVENAL</t>
  </si>
  <si>
    <t>TIRADO SAAVEDRA CARLOS ALEJANDRO</t>
  </si>
  <si>
    <t>VALDEZ MARTINEZ JOSE MARTIN</t>
  </si>
  <si>
    <t>TOTAL PERCEPCIONES</t>
  </si>
  <si>
    <t>FONACOT</t>
  </si>
  <si>
    <t>TOTAL DEDUCCIONES</t>
  </si>
  <si>
    <t>FONACOT 1841.80 MES SEMANA 460.45</t>
  </si>
  <si>
    <t>FONACOT 2129.22  -  532.31</t>
  </si>
  <si>
    <t>Rodriguez Ventura Carlos javier</t>
  </si>
  <si>
    <t>Periodo 9 al 9 Semanal del 24/02/2016 al 01/03/2016</t>
  </si>
  <si>
    <t>Préstamo Fonacot</t>
  </si>
  <si>
    <t>FONACOT  537.87  MENSUAL 2151.48 DEBE 268.94 DE SEM09_10 SOLO SE DESCONTO 50%</t>
  </si>
  <si>
    <t>ALC22</t>
  </si>
  <si>
    <t>SEM PASADA SE LE PAGO EN ESTA</t>
  </si>
  <si>
    <t>LO DUPLICAN EN INCIDENCIAS Y TIENE OTRO NO. DE CUENTA</t>
  </si>
  <si>
    <t>83 EMPLEADOS</t>
  </si>
  <si>
    <t xml:space="preserve">ESTA DUPLICADO </t>
  </si>
  <si>
    <t>QUERETARO MOTORS, SA</t>
  </si>
  <si>
    <t xml:space="preserve">REPORTE DE NOMINA SEMANA </t>
  </si>
  <si>
    <t xml:space="preserve">Periodo </t>
  </si>
  <si>
    <t>IMPORTE</t>
  </si>
  <si>
    <t>683-001-001</t>
  </si>
  <si>
    <t>Semana 09</t>
  </si>
  <si>
    <t>24/02/2016 al 01/03/2016</t>
  </si>
  <si>
    <t>ventas nuevos</t>
  </si>
  <si>
    <t>ventas seminuevos</t>
  </si>
  <si>
    <t>ventas f&amp;i</t>
  </si>
  <si>
    <t>administracion</t>
  </si>
  <si>
    <t>ventas refacciones</t>
  </si>
  <si>
    <t>costo</t>
  </si>
  <si>
    <t>venta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</si>
</sst>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0.00_ ;[Red]\-0.00\ "/>
    <numFmt numFmtId="169" formatCode="_-&quot;$&quot;* #,##0.00_-;\-&quot;$&quot;* #,##0.00_-;_-&quot;$&quot;* &quot;-&quot;??_-;_-@_-"/>
    <numFmt numFmtId="170" formatCode="_-* #,##0.00_-;\-* #,##0.00_-;_-* &quot;-&quot;??_-;_-@_-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  <font>
      <i/>
      <sz val="8"/>
      <name val="Calibri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  <charset val="1"/>
    </font>
    <font>
      <b/>
      <sz val="9"/>
      <color theme="1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name val="Verdana"/>
      <family val="2"/>
    </font>
    <font>
      <b/>
      <sz val="11"/>
      <color indexed="6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00B0F0"/>
      <name val="Calibri"/>
      <family val="2"/>
      <scheme val="minor"/>
    </font>
    <font>
      <sz val="7.5"/>
      <color rgb="FF000000"/>
      <name val="Verdana"/>
      <family val="2"/>
    </font>
    <font>
      <sz val="12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8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i/>
      <u/>
      <sz val="8"/>
      <name val="Arial"/>
      <family val="2"/>
    </font>
    <font>
      <b/>
      <sz val="11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E7EEF4"/>
        <bgColor indexed="64"/>
      </patternFill>
    </fill>
    <fill>
      <patternFill patternType="solid">
        <fgColor rgb="FFF3F7F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FD"/>
      </left>
      <right/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</borders>
  <cellStyleXfs count="8">
    <xf numFmtId="0" fontId="0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0" fontId="22" fillId="0" borderId="0"/>
    <xf numFmtId="0" fontId="26" fillId="0" borderId="0"/>
    <xf numFmtId="170" fontId="14" fillId="0" borderId="0" applyFont="0" applyFill="0" applyBorder="0" applyAlignment="0" applyProtection="0"/>
    <xf numFmtId="169" fontId="14" fillId="0" borderId="0" applyFont="0" applyFill="0" applyBorder="0" applyAlignment="0" applyProtection="0"/>
  </cellStyleXfs>
  <cellXfs count="356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left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49" fontId="11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/>
    <xf numFmtId="0" fontId="0" fillId="0" borderId="0" xfId="0" applyAlignment="1"/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5" fillId="0" borderId="0" xfId="0" applyNumberFormat="1" applyFont="1" applyAlignment="1">
      <alignment horizontal="centerContinuous"/>
    </xf>
    <xf numFmtId="0" fontId="16" fillId="0" borderId="0" xfId="0" applyFont="1"/>
    <xf numFmtId="49" fontId="18" fillId="0" borderId="0" xfId="0" applyNumberFormat="1" applyFont="1" applyAlignment="1">
      <alignment horizontal="centerContinuous" vertical="top"/>
    </xf>
    <xf numFmtId="49" fontId="16" fillId="0" borderId="0" xfId="0" applyNumberFormat="1" applyFont="1"/>
    <xf numFmtId="0" fontId="19" fillId="2" borderId="1" xfId="0" applyFont="1" applyFill="1" applyBorder="1" applyAlignment="1">
      <alignment horizontal="center" vertical="center" wrapText="1"/>
    </xf>
    <xf numFmtId="49" fontId="16" fillId="0" borderId="0" xfId="0" applyNumberFormat="1" applyFont="1" applyFill="1"/>
    <xf numFmtId="0" fontId="16" fillId="0" borderId="0" xfId="0" applyFont="1" applyFill="1"/>
    <xf numFmtId="44" fontId="16" fillId="0" borderId="0" xfId="2" applyFont="1" applyFill="1"/>
    <xf numFmtId="0" fontId="16" fillId="0" borderId="0" xfId="0" applyFont="1" applyFill="1" applyAlignment="1">
      <alignment horizontal="right"/>
    </xf>
    <xf numFmtId="0" fontId="20" fillId="0" borderId="0" xfId="0" applyFont="1" applyFill="1"/>
    <xf numFmtId="49" fontId="21" fillId="0" borderId="0" xfId="0" applyNumberFormat="1" applyFont="1" applyFill="1" applyAlignment="1">
      <alignment horizontal="left"/>
    </xf>
    <xf numFmtId="164" fontId="21" fillId="0" borderId="3" xfId="0" applyNumberFormat="1" applyFont="1" applyFill="1" applyBorder="1"/>
    <xf numFmtId="0" fontId="19" fillId="0" borderId="0" xfId="0" applyFont="1" applyFill="1"/>
    <xf numFmtId="165" fontId="11" fillId="2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/>
    <xf numFmtId="0" fontId="0" fillId="0" borderId="0" xfId="0" applyAlignment="1"/>
    <xf numFmtId="0" fontId="2" fillId="0" borderId="0" xfId="0" applyFont="1"/>
    <xf numFmtId="49" fontId="2" fillId="0" borderId="0" xfId="0" applyNumberFormat="1" applyFont="1"/>
    <xf numFmtId="0" fontId="16" fillId="4" borderId="0" xfId="0" applyFont="1" applyFill="1"/>
    <xf numFmtId="49" fontId="2" fillId="4" borderId="0" xfId="0" applyNumberFormat="1" applyFont="1" applyFill="1"/>
    <xf numFmtId="0" fontId="2" fillId="4" borderId="0" xfId="0" applyFont="1" applyFill="1"/>
    <xf numFmtId="0" fontId="16" fillId="4" borderId="0" xfId="0" applyFont="1" applyFill="1" applyAlignment="1">
      <alignment horizontal="right"/>
    </xf>
    <xf numFmtId="0" fontId="20" fillId="4" borderId="0" xfId="0" applyFont="1" applyFill="1"/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64" fontId="12" fillId="0" borderId="0" xfId="0" applyNumberFormat="1" applyFont="1"/>
    <xf numFmtId="0" fontId="0" fillId="0" borderId="0" xfId="0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4" borderId="0" xfId="0" applyNumberFormat="1" applyFont="1" applyFill="1"/>
    <xf numFmtId="164" fontId="12" fillId="4" borderId="0" xfId="0" applyNumberFormat="1" applyFont="1" applyFill="1"/>
    <xf numFmtId="49" fontId="2" fillId="0" borderId="0" xfId="0" applyNumberFormat="1" applyFont="1" applyFill="1"/>
    <xf numFmtId="0" fontId="2" fillId="0" borderId="0" xfId="0" applyFont="1" applyFill="1"/>
    <xf numFmtId="164" fontId="16" fillId="0" borderId="0" xfId="0" applyNumberFormat="1" applyFont="1"/>
    <xf numFmtId="44" fontId="2" fillId="0" borderId="0" xfId="0" applyNumberFormat="1" applyFont="1" applyFill="1"/>
    <xf numFmtId="164" fontId="2" fillId="0" borderId="0" xfId="0" applyNumberFormat="1" applyFont="1" applyFill="1"/>
    <xf numFmtId="164" fontId="16" fillId="0" borderId="0" xfId="0" applyNumberFormat="1" applyFont="1" applyFill="1"/>
    <xf numFmtId="0" fontId="2" fillId="0" borderId="0" xfId="0" applyFont="1" applyFill="1" applyAlignment="1">
      <alignment horizontal="right"/>
    </xf>
    <xf numFmtId="164" fontId="13" fillId="0" borderId="0" xfId="0" applyNumberFormat="1" applyFont="1" applyFill="1"/>
    <xf numFmtId="0" fontId="1" fillId="0" borderId="0" xfId="0" applyFont="1" applyFill="1"/>
    <xf numFmtId="8" fontId="2" fillId="0" borderId="0" xfId="0" applyNumberFormat="1" applyFont="1" applyFill="1"/>
    <xf numFmtId="8" fontId="16" fillId="0" borderId="0" xfId="0" applyNumberFormat="1" applyFont="1" applyFill="1"/>
    <xf numFmtId="44" fontId="16" fillId="0" borderId="0" xfId="0" applyNumberFormat="1" applyFont="1"/>
    <xf numFmtId="44" fontId="16" fillId="0" borderId="0" xfId="0" applyNumberFormat="1" applyFont="1" applyFill="1"/>
    <xf numFmtId="16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164" fontId="2" fillId="0" borderId="0" xfId="0" applyNumberFormat="1" applyFont="1"/>
    <xf numFmtId="44" fontId="0" fillId="0" borderId="0" xfId="0" applyNumberFormat="1"/>
    <xf numFmtId="49" fontId="2" fillId="5" borderId="0" xfId="0" applyNumberFormat="1" applyFont="1" applyFill="1"/>
    <xf numFmtId="0" fontId="2" fillId="5" borderId="0" xfId="0" applyFont="1" applyFill="1"/>
    <xf numFmtId="0" fontId="17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Alignment="1"/>
    <xf numFmtId="0" fontId="27" fillId="0" borderId="0" xfId="5" applyFont="1" applyFill="1" applyAlignment="1" applyProtection="1">
      <alignment horizontal="left"/>
    </xf>
    <xf numFmtId="0" fontId="27" fillId="0" borderId="0" xfId="5" applyFont="1" applyFill="1" applyAlignment="1" applyProtection="1">
      <alignment horizontal="center"/>
    </xf>
    <xf numFmtId="43" fontId="17" fillId="0" borderId="0" xfId="1" applyFont="1" applyFill="1" applyAlignment="1" applyProtection="1">
      <alignment horizontal="center"/>
    </xf>
    <xf numFmtId="43" fontId="28" fillId="0" borderId="0" xfId="1" applyFont="1" applyFill="1" applyAlignment="1" applyProtection="1">
      <alignment horizontal="center"/>
    </xf>
    <xf numFmtId="0" fontId="17" fillId="0" borderId="0" xfId="0" applyFont="1" applyFill="1" applyProtection="1"/>
    <xf numFmtId="0" fontId="17" fillId="0" borderId="0" xfId="0" applyFont="1" applyProtection="1"/>
    <xf numFmtId="0" fontId="29" fillId="0" borderId="0" xfId="5" applyFont="1" applyFill="1" applyAlignment="1" applyProtection="1">
      <alignment horizontal="left"/>
    </xf>
    <xf numFmtId="0" fontId="29" fillId="0" borderId="0" xfId="5" applyFont="1" applyFill="1" applyAlignment="1" applyProtection="1">
      <alignment horizontal="center"/>
    </xf>
    <xf numFmtId="15" fontId="27" fillId="0" borderId="0" xfId="5" applyNumberFormat="1" applyFont="1" applyFill="1" applyAlignment="1" applyProtection="1">
      <alignment horizontal="left"/>
    </xf>
    <xf numFmtId="15" fontId="27" fillId="0" borderId="0" xfId="5" applyNumberFormat="1" applyFont="1" applyFill="1" applyAlignment="1" applyProtection="1">
      <alignment horizontal="center"/>
    </xf>
    <xf numFmtId="0" fontId="28" fillId="0" borderId="0" xfId="0" applyFont="1"/>
    <xf numFmtId="43" fontId="17" fillId="0" borderId="0" xfId="1" applyFont="1"/>
    <xf numFmtId="43" fontId="28" fillId="0" borderId="0" xfId="1" applyFont="1"/>
    <xf numFmtId="43" fontId="17" fillId="0" borderId="0" xfId="1" applyFont="1" applyFill="1"/>
    <xf numFmtId="3" fontId="28" fillId="6" borderId="6" xfId="0" applyNumberFormat="1" applyFont="1" applyFill="1" applyBorder="1"/>
    <xf numFmtId="0" fontId="28" fillId="0" borderId="0" xfId="0" applyFont="1" applyFill="1"/>
    <xf numFmtId="43" fontId="28" fillId="6" borderId="6" xfId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17" fillId="0" borderId="6" xfId="0" applyFont="1" applyBorder="1"/>
    <xf numFmtId="0" fontId="17" fillId="9" borderId="6" xfId="0" applyFont="1" applyFill="1" applyBorder="1"/>
    <xf numFmtId="4" fontId="17" fillId="0" borderId="6" xfId="0" applyNumberFormat="1" applyFont="1" applyBorder="1"/>
    <xf numFmtId="43" fontId="17" fillId="0" borderId="6" xfId="1" applyFont="1" applyBorder="1"/>
    <xf numFmtId="43" fontId="17" fillId="9" borderId="6" xfId="1" applyFont="1" applyFill="1" applyBorder="1"/>
    <xf numFmtId="43" fontId="25" fillId="9" borderId="6" xfId="1" applyFont="1" applyFill="1" applyBorder="1"/>
    <xf numFmtId="43" fontId="28" fillId="10" borderId="6" xfId="1" applyFont="1" applyFill="1" applyBorder="1"/>
    <xf numFmtId="43" fontId="24" fillId="11" borderId="6" xfId="1" applyFont="1" applyFill="1" applyBorder="1"/>
    <xf numFmtId="43" fontId="24" fillId="12" borderId="6" xfId="1" applyFont="1" applyFill="1" applyBorder="1"/>
    <xf numFmtId="43" fontId="24" fillId="12" borderId="6" xfId="1" applyFont="1" applyFill="1" applyBorder="1" applyAlignment="1">
      <alignment horizontal="center"/>
    </xf>
    <xf numFmtId="0" fontId="17" fillId="12" borderId="6" xfId="0" applyFont="1" applyFill="1" applyBorder="1"/>
    <xf numFmtId="0" fontId="0" fillId="12" borderId="0" xfId="0" applyFill="1"/>
    <xf numFmtId="43" fontId="17" fillId="0" borderId="6" xfId="1" applyFont="1" applyFill="1" applyBorder="1" applyAlignment="1">
      <alignment horizontal="center"/>
    </xf>
    <xf numFmtId="43" fontId="17" fillId="13" borderId="6" xfId="1" applyFont="1" applyFill="1" applyBorder="1" applyAlignment="1">
      <alignment horizontal="center"/>
    </xf>
    <xf numFmtId="43" fontId="28" fillId="14" borderId="6" xfId="1" applyFont="1" applyFill="1" applyBorder="1"/>
    <xf numFmtId="0" fontId="17" fillId="0" borderId="0" xfId="0" applyFont="1" applyFill="1"/>
    <xf numFmtId="43" fontId="17" fillId="0" borderId="0" xfId="0" applyNumberFormat="1" applyFont="1" applyFill="1"/>
    <xf numFmtId="0" fontId="17" fillId="9" borderId="0" xfId="0" applyFont="1" applyFill="1"/>
    <xf numFmtId="0" fontId="0" fillId="12" borderId="6" xfId="0" applyFill="1" applyBorder="1"/>
    <xf numFmtId="0" fontId="17" fillId="0" borderId="0" xfId="0" applyFont="1"/>
    <xf numFmtId="0" fontId="17" fillId="5" borderId="6" xfId="0" applyFont="1" applyFill="1" applyBorder="1"/>
    <xf numFmtId="43" fontId="24" fillId="0" borderId="6" xfId="1" applyFont="1" applyBorder="1"/>
    <xf numFmtId="43" fontId="24" fillId="5" borderId="6" xfId="1" applyFont="1" applyFill="1" applyBorder="1"/>
    <xf numFmtId="0" fontId="17" fillId="3" borderId="6" xfId="0" applyFont="1" applyFill="1" applyBorder="1"/>
    <xf numFmtId="14" fontId="17" fillId="3" borderId="6" xfId="0" applyNumberFormat="1" applyFont="1" applyFill="1" applyBorder="1"/>
    <xf numFmtId="4" fontId="17" fillId="3" borderId="6" xfId="0" applyNumberFormat="1" applyFont="1" applyFill="1" applyBorder="1"/>
    <xf numFmtId="43" fontId="17" fillId="3" borderId="6" xfId="1" applyFont="1" applyFill="1" applyBorder="1"/>
    <xf numFmtId="43" fontId="25" fillId="3" borderId="6" xfId="1" applyFont="1" applyFill="1" applyBorder="1"/>
    <xf numFmtId="43" fontId="28" fillId="3" borderId="6" xfId="1" applyFont="1" applyFill="1" applyBorder="1"/>
    <xf numFmtId="43" fontId="24" fillId="3" borderId="6" xfId="1" applyFont="1" applyFill="1" applyBorder="1"/>
    <xf numFmtId="43" fontId="24" fillId="3" borderId="6" xfId="1" applyFont="1" applyFill="1" applyBorder="1" applyAlignment="1">
      <alignment horizontal="center"/>
    </xf>
    <xf numFmtId="0" fontId="0" fillId="3" borderId="0" xfId="0" applyFill="1"/>
    <xf numFmtId="43" fontId="17" fillId="3" borderId="6" xfId="1" applyFont="1" applyFill="1" applyBorder="1" applyAlignment="1">
      <alignment horizontal="center"/>
    </xf>
    <xf numFmtId="0" fontId="17" fillId="3" borderId="0" xfId="0" applyFont="1" applyFill="1"/>
    <xf numFmtId="43" fontId="17" fillId="3" borderId="0" xfId="0" applyNumberFormat="1" applyFont="1" applyFill="1"/>
    <xf numFmtId="0" fontId="17" fillId="0" borderId="6" xfId="0" applyFont="1" applyFill="1" applyBorder="1"/>
    <xf numFmtId="14" fontId="17" fillId="0" borderId="6" xfId="0" applyNumberFormat="1" applyFont="1" applyBorder="1"/>
    <xf numFmtId="4" fontId="0" fillId="12" borderId="6" xfId="0" applyNumberFormat="1" applyFill="1" applyBorder="1"/>
    <xf numFmtId="0" fontId="0" fillId="0" borderId="7" xfId="0" applyFont="1" applyFill="1" applyBorder="1"/>
    <xf numFmtId="0" fontId="0" fillId="3" borderId="6" xfId="0" applyFill="1" applyBorder="1"/>
    <xf numFmtId="12" fontId="17" fillId="9" borderId="6" xfId="1" applyNumberFormat="1" applyFont="1" applyFill="1" applyBorder="1"/>
    <xf numFmtId="0" fontId="17" fillId="0" borderId="6" xfId="0" applyFont="1" applyBorder="1" applyAlignment="1">
      <alignment horizontal="right"/>
    </xf>
    <xf numFmtId="0" fontId="30" fillId="0" borderId="6" xfId="0" applyFont="1" applyFill="1" applyBorder="1"/>
    <xf numFmtId="0" fontId="0" fillId="0" borderId="6" xfId="0" applyFont="1" applyFill="1" applyBorder="1"/>
    <xf numFmtId="4" fontId="0" fillId="0" borderId="7" xfId="0" applyNumberFormat="1" applyFont="1" applyFill="1" applyBorder="1"/>
    <xf numFmtId="43" fontId="17" fillId="12" borderId="6" xfId="1" applyFont="1" applyFill="1" applyBorder="1"/>
    <xf numFmtId="0" fontId="17" fillId="12" borderId="10" xfId="0" applyFont="1" applyFill="1" applyBorder="1"/>
    <xf numFmtId="0" fontId="28" fillId="0" borderId="6" xfId="0" applyFont="1" applyFill="1" applyBorder="1"/>
    <xf numFmtId="4" fontId="17" fillId="12" borderId="6" xfId="0" applyNumberFormat="1" applyFont="1" applyFill="1" applyBorder="1"/>
    <xf numFmtId="43" fontId="17" fillId="11" borderId="6" xfId="1" applyFont="1" applyFill="1" applyBorder="1"/>
    <xf numFmtId="43" fontId="17" fillId="12" borderId="6" xfId="1" applyFont="1" applyFill="1" applyBorder="1" applyAlignment="1">
      <alignment horizontal="center"/>
    </xf>
    <xf numFmtId="0" fontId="17" fillId="0" borderId="5" xfId="0" applyFont="1" applyFill="1" applyBorder="1"/>
    <xf numFmtId="43" fontId="17" fillId="0" borderId="5" xfId="1" applyFont="1" applyFill="1" applyBorder="1"/>
    <xf numFmtId="43" fontId="28" fillId="0" borderId="6" xfId="1" applyFont="1" applyFill="1" applyBorder="1"/>
    <xf numFmtId="43" fontId="28" fillId="0" borderId="5" xfId="1" applyFont="1" applyFill="1" applyBorder="1"/>
    <xf numFmtId="0" fontId="28" fillId="0" borderId="11" xfId="0" applyFont="1" applyBorder="1"/>
    <xf numFmtId="43" fontId="28" fillId="0" borderId="11" xfId="1" applyFont="1" applyBorder="1"/>
    <xf numFmtId="43" fontId="28" fillId="15" borderId="11" xfId="1" applyFont="1" applyFill="1" applyBorder="1"/>
    <xf numFmtId="0" fontId="28" fillId="8" borderId="0" xfId="0" applyFont="1" applyFill="1" applyBorder="1" applyAlignment="1">
      <alignment horizontal="center"/>
    </xf>
    <xf numFmtId="43" fontId="17" fillId="0" borderId="6" xfId="1" applyFont="1" applyFill="1" applyBorder="1"/>
    <xf numFmtId="43" fontId="17" fillId="16" borderId="6" xfId="1" applyFont="1" applyFill="1" applyBorder="1" applyAlignment="1">
      <alignment horizontal="center"/>
    </xf>
    <xf numFmtId="0" fontId="31" fillId="0" borderId="0" xfId="0" applyFont="1"/>
    <xf numFmtId="0" fontId="17" fillId="0" borderId="0" xfId="0" applyFont="1" applyBorder="1"/>
    <xf numFmtId="0" fontId="17" fillId="4" borderId="6" xfId="0" applyFont="1" applyFill="1" applyBorder="1"/>
    <xf numFmtId="43" fontId="17" fillId="4" borderId="6" xfId="1" applyFont="1" applyFill="1" applyBorder="1"/>
    <xf numFmtId="43" fontId="25" fillId="4" borderId="6" xfId="1" applyFont="1" applyFill="1" applyBorder="1"/>
    <xf numFmtId="43" fontId="28" fillId="4" borderId="6" xfId="1" applyFont="1" applyFill="1" applyBorder="1"/>
    <xf numFmtId="43" fontId="17" fillId="4" borderId="6" xfId="1" applyFont="1" applyFill="1" applyBorder="1" applyAlignment="1">
      <alignment horizontal="center"/>
    </xf>
    <xf numFmtId="0" fontId="17" fillId="4" borderId="0" xfId="0" applyFont="1" applyFill="1"/>
    <xf numFmtId="43" fontId="17" fillId="4" borderId="0" xfId="0" applyNumberFormat="1" applyFont="1" applyFill="1"/>
    <xf numFmtId="4" fontId="17" fillId="0" borderId="6" xfId="0" applyNumberFormat="1" applyFont="1" applyFill="1" applyBorder="1"/>
    <xf numFmtId="43" fontId="25" fillId="0" borderId="6" xfId="1" applyFont="1" applyFill="1" applyBorder="1"/>
    <xf numFmtId="164" fontId="12" fillId="0" borderId="0" xfId="0" applyNumberFormat="1" applyFont="1" applyFill="1"/>
    <xf numFmtId="14" fontId="17" fillId="0" borderId="6" xfId="0" applyNumberFormat="1" applyFont="1" applyFill="1" applyBorder="1"/>
    <xf numFmtId="164" fontId="23" fillId="0" borderId="3" xfId="0" applyNumberFormat="1" applyFont="1" applyFill="1" applyBorder="1"/>
    <xf numFmtId="44" fontId="0" fillId="0" borderId="0" xfId="0" applyNumberFormat="1" applyAlignment="1"/>
    <xf numFmtId="14" fontId="17" fillId="4" borderId="6" xfId="0" applyNumberFormat="1" applyFont="1" applyFill="1" applyBorder="1"/>
    <xf numFmtId="4" fontId="17" fillId="4" borderId="6" xfId="0" applyNumberFormat="1" applyFont="1" applyFill="1" applyBorder="1"/>
    <xf numFmtId="49" fontId="2" fillId="3" borderId="0" xfId="0" applyNumberFormat="1" applyFont="1" applyFill="1"/>
    <xf numFmtId="0" fontId="2" fillId="3" borderId="0" xfId="0" applyFont="1" applyFill="1"/>
    <xf numFmtId="44" fontId="0" fillId="0" borderId="0" xfId="0" applyNumberFormat="1" applyAlignment="1">
      <alignment horizontal="center" vertical="center"/>
    </xf>
    <xf numFmtId="8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0" fillId="0" borderId="0" xfId="0" applyAlignment="1">
      <alignment wrapText="1"/>
    </xf>
    <xf numFmtId="4" fontId="0" fillId="0" borderId="0" xfId="0" applyNumberFormat="1"/>
    <xf numFmtId="0" fontId="32" fillId="17" borderId="0" xfId="0" applyFont="1" applyFill="1" applyAlignment="1">
      <alignment horizontal="right" wrapText="1"/>
    </xf>
    <xf numFmtId="0" fontId="32" fillId="17" borderId="0" xfId="0" applyFont="1" applyFill="1" applyAlignment="1">
      <alignment wrapText="1"/>
    </xf>
    <xf numFmtId="4" fontId="32" fillId="17" borderId="0" xfId="0" applyNumberFormat="1" applyFont="1" applyFill="1" applyAlignment="1">
      <alignment horizontal="right" wrapText="1"/>
    </xf>
    <xf numFmtId="0" fontId="32" fillId="18" borderId="0" xfId="0" applyFont="1" applyFill="1" applyAlignment="1">
      <alignment horizontal="right" wrapText="1"/>
    </xf>
    <xf numFmtId="0" fontId="32" fillId="18" borderId="0" xfId="0" applyFont="1" applyFill="1" applyAlignment="1">
      <alignment wrapText="1"/>
    </xf>
    <xf numFmtId="4" fontId="32" fillId="18" borderId="0" xfId="0" applyNumberFormat="1" applyFont="1" applyFill="1" applyAlignment="1">
      <alignment horizontal="right" wrapText="1"/>
    </xf>
    <xf numFmtId="0" fontId="33" fillId="0" borderId="0" xfId="0" applyFont="1"/>
    <xf numFmtId="0" fontId="32" fillId="3" borderId="0" xfId="0" applyFont="1" applyFill="1" applyAlignment="1">
      <alignment horizontal="right" wrapText="1"/>
    </xf>
    <xf numFmtId="0" fontId="32" fillId="3" borderId="0" xfId="0" applyFont="1" applyFill="1" applyAlignment="1">
      <alignment wrapText="1"/>
    </xf>
    <xf numFmtId="8" fontId="2" fillId="3" borderId="0" xfId="0" applyNumberFormat="1" applyFont="1" applyFill="1"/>
    <xf numFmtId="4" fontId="32" fillId="3" borderId="0" xfId="0" applyNumberFormat="1" applyFont="1" applyFill="1" applyAlignment="1">
      <alignment horizontal="right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17" fillId="0" borderId="0" xfId="0" applyFont="1" applyAlignment="1"/>
    <xf numFmtId="8" fontId="0" fillId="0" borderId="0" xfId="0" applyNumberFormat="1"/>
    <xf numFmtId="43" fontId="28" fillId="6" borderId="5" xfId="1" applyFont="1" applyFill="1" applyBorder="1" applyAlignment="1">
      <alignment horizontal="center" wrapText="1"/>
    </xf>
    <xf numFmtId="43" fontId="28" fillId="6" borderId="10" xfId="1" applyFont="1" applyFill="1" applyBorder="1" applyAlignment="1">
      <alignment horizontal="center" wrapText="1"/>
    </xf>
    <xf numFmtId="43" fontId="17" fillId="5" borderId="6" xfId="1" applyFont="1" applyFill="1" applyBorder="1"/>
    <xf numFmtId="0" fontId="28" fillId="4" borderId="0" xfId="0" applyFont="1" applyFill="1"/>
    <xf numFmtId="2" fontId="17" fillId="12" borderId="6" xfId="0" applyNumberFormat="1" applyFont="1" applyFill="1" applyBorder="1"/>
    <xf numFmtId="12" fontId="17" fillId="0" borderId="0" xfId="0" applyNumberFormat="1" applyFont="1" applyFill="1"/>
    <xf numFmtId="43" fontId="17" fillId="0" borderId="7" xfId="1" applyFont="1" applyFill="1" applyBorder="1"/>
    <xf numFmtId="0" fontId="28" fillId="3" borderId="0" xfId="0" applyFont="1" applyFill="1"/>
    <xf numFmtId="43" fontId="17" fillId="0" borderId="11" xfId="1" applyFont="1" applyBorder="1"/>
    <xf numFmtId="0" fontId="16" fillId="15" borderId="0" xfId="0" applyFont="1" applyFill="1"/>
    <xf numFmtId="8" fontId="16" fillId="15" borderId="0" xfId="0" applyNumberFormat="1" applyFont="1" applyFill="1"/>
    <xf numFmtId="44" fontId="16" fillId="15" borderId="0" xfId="0" applyNumberFormat="1" applyFont="1" applyFill="1"/>
    <xf numFmtId="43" fontId="17" fillId="15" borderId="6" xfId="1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2" fillId="0" borderId="0" xfId="1" applyFont="1" applyFill="1"/>
    <xf numFmtId="164" fontId="23" fillId="0" borderId="14" xfId="0" applyNumberFormat="1" applyFont="1" applyBorder="1"/>
    <xf numFmtId="0" fontId="9" fillId="0" borderId="0" xfId="0" applyFont="1"/>
    <xf numFmtId="0" fontId="0" fillId="0" borderId="0" xfId="0" applyFont="1" applyFill="1" applyAlignment="1">
      <alignment horizontal="center"/>
    </xf>
    <xf numFmtId="0" fontId="2" fillId="0" borderId="6" xfId="0" applyFont="1" applyFill="1" applyBorder="1"/>
    <xf numFmtId="164" fontId="23" fillId="0" borderId="14" xfId="0" applyNumberFormat="1" applyFont="1" applyFill="1" applyBorder="1"/>
    <xf numFmtId="0" fontId="11" fillId="2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8" fontId="23" fillId="0" borderId="14" xfId="0" applyNumberFormat="1" applyFont="1" applyFill="1" applyBorder="1"/>
    <xf numFmtId="49" fontId="11" fillId="0" borderId="0" xfId="0" applyNumberFormat="1" applyFont="1" applyFill="1"/>
    <xf numFmtId="0" fontId="2" fillId="0" borderId="0" xfId="0" applyFont="1"/>
    <xf numFmtId="49" fontId="2" fillId="0" borderId="0" xfId="0" applyNumberFormat="1" applyFont="1"/>
    <xf numFmtId="16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164" fontId="2" fillId="0" borderId="0" xfId="0" applyNumberFormat="1" applyFont="1"/>
    <xf numFmtId="8" fontId="9" fillId="0" borderId="3" xfId="0" applyNumberFormat="1" applyFont="1" applyBorder="1"/>
    <xf numFmtId="164" fontId="9" fillId="0" borderId="3" xfId="0" applyNumberFormat="1" applyFont="1" applyBorder="1"/>
    <xf numFmtId="43" fontId="28" fillId="6" borderId="5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Alignment="1"/>
    <xf numFmtId="43" fontId="0" fillId="0" borderId="0" xfId="1" applyFont="1"/>
    <xf numFmtId="43" fontId="28" fillId="6" borderId="5" xfId="1" applyFont="1" applyFill="1" applyBorder="1" applyAlignment="1">
      <alignment horizontal="center" vertical="center" wrapText="1"/>
    </xf>
    <xf numFmtId="43" fontId="24" fillId="0" borderId="0" xfId="1" applyFont="1" applyProtection="1"/>
    <xf numFmtId="43" fontId="24" fillId="0" borderId="0" xfId="1" applyFont="1"/>
    <xf numFmtId="43" fontId="24" fillId="0" borderId="0" xfId="1" applyFont="1" applyFill="1"/>
    <xf numFmtId="0" fontId="36" fillId="15" borderId="6" xfId="0" applyFont="1" applyFill="1" applyBorder="1"/>
    <xf numFmtId="43" fontId="36" fillId="15" borderId="6" xfId="1" applyFont="1" applyFill="1" applyBorder="1"/>
    <xf numFmtId="4" fontId="36" fillId="15" borderId="6" xfId="0" applyNumberFormat="1" applyFont="1" applyFill="1" applyBorder="1"/>
    <xf numFmtId="43" fontId="36" fillId="15" borderId="6" xfId="1" applyFont="1" applyFill="1" applyBorder="1" applyAlignment="1">
      <alignment horizontal="center"/>
    </xf>
    <xf numFmtId="43" fontId="37" fillId="15" borderId="0" xfId="1" applyFont="1" applyFill="1"/>
    <xf numFmtId="0" fontId="36" fillId="15" borderId="0" xfId="0" applyFont="1" applyFill="1"/>
    <xf numFmtId="43" fontId="38" fillId="0" borderId="0" xfId="1" applyFont="1" applyFill="1"/>
    <xf numFmtId="0" fontId="0" fillId="0" borderId="6" xfId="0" applyBorder="1"/>
    <xf numFmtId="43" fontId="24" fillId="0" borderId="11" xfId="1" applyFont="1" applyBorder="1"/>
    <xf numFmtId="43" fontId="24" fillId="10" borderId="6" xfId="1" applyFont="1" applyFill="1" applyBorder="1"/>
    <xf numFmtId="164" fontId="21" fillId="19" borderId="3" xfId="0" applyNumberFormat="1" applyFont="1" applyFill="1" applyBorder="1"/>
    <xf numFmtId="0" fontId="19" fillId="19" borderId="13" xfId="0" applyFont="1" applyFill="1" applyBorder="1" applyAlignment="1">
      <alignment horizontal="center"/>
    </xf>
    <xf numFmtId="43" fontId="16" fillId="0" borderId="0" xfId="0" applyNumberFormat="1" applyFont="1" applyFill="1"/>
    <xf numFmtId="44" fontId="2" fillId="0" borderId="0" xfId="0" applyNumberFormat="1" applyFont="1"/>
    <xf numFmtId="43" fontId="2" fillId="0" borderId="0" xfId="1" applyFont="1"/>
    <xf numFmtId="164" fontId="21" fillId="0" borderId="0" xfId="0" applyNumberFormat="1" applyFont="1" applyFill="1" applyBorder="1"/>
    <xf numFmtId="0" fontId="8" fillId="0" borderId="0" xfId="0" applyFont="1" applyAlignment="1">
      <alignment horizontal="left"/>
    </xf>
    <xf numFmtId="0" fontId="19" fillId="5" borderId="1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43" fontId="24" fillId="8" borderId="9" xfId="1" applyFont="1" applyFill="1" applyBorder="1" applyAlignment="1">
      <alignment horizontal="center"/>
    </xf>
    <xf numFmtId="43" fontId="28" fillId="6" borderId="6" xfId="1" applyFont="1" applyFill="1" applyBorder="1" applyAlignment="1">
      <alignment horizontal="center" wrapText="1"/>
    </xf>
    <xf numFmtId="0" fontId="28" fillId="8" borderId="9" xfId="0" applyFont="1" applyFill="1" applyBorder="1" applyAlignment="1">
      <alignment horizontal="center"/>
    </xf>
    <xf numFmtId="0" fontId="28" fillId="7" borderId="5" xfId="0" applyFont="1" applyFill="1" applyBorder="1" applyAlignment="1">
      <alignment horizontal="center" vertical="center" wrapText="1"/>
    </xf>
    <xf numFmtId="43" fontId="28" fillId="6" borderId="5" xfId="1" applyFont="1" applyFill="1" applyBorder="1" applyAlignment="1">
      <alignment horizontal="center" vertical="center" wrapText="1"/>
    </xf>
    <xf numFmtId="43" fontId="17" fillId="6" borderId="5" xfId="1" applyFont="1" applyFill="1" applyBorder="1" applyAlignment="1">
      <alignment horizontal="center" vertical="center" wrapText="1"/>
    </xf>
    <xf numFmtId="3" fontId="28" fillId="6" borderId="6" xfId="0" applyNumberFormat="1" applyFont="1" applyFill="1" applyBorder="1"/>
    <xf numFmtId="3" fontId="28" fillId="6" borderId="5" xfId="0" applyNumberFormat="1" applyFont="1" applyFill="1" applyBorder="1" applyAlignment="1">
      <alignment horizontal="center"/>
    </xf>
    <xf numFmtId="43" fontId="16" fillId="0" borderId="0" xfId="0" applyNumberFormat="1" applyFont="1"/>
    <xf numFmtId="0" fontId="16" fillId="0" borderId="0" xfId="0" applyFont="1" applyFill="1" applyAlignment="1">
      <alignment horizontal="center" vertical="center"/>
    </xf>
    <xf numFmtId="2" fontId="17" fillId="0" borderId="6" xfId="0" applyNumberFormat="1" applyFont="1" applyFill="1" applyBorder="1"/>
    <xf numFmtId="43" fontId="17" fillId="0" borderId="6" xfId="0" applyNumberFormat="1" applyFont="1" applyFill="1" applyBorder="1"/>
    <xf numFmtId="0" fontId="17" fillId="0" borderId="6" xfId="0" applyFont="1" applyFill="1" applyBorder="1" applyAlignment="1">
      <alignment horizontal="right"/>
    </xf>
    <xf numFmtId="0" fontId="0" fillId="0" borderId="6" xfId="0" applyFill="1" applyBorder="1"/>
    <xf numFmtId="12" fontId="17" fillId="0" borderId="6" xfId="1" applyNumberFormat="1" applyFont="1" applyFill="1" applyBorder="1"/>
    <xf numFmtId="0" fontId="0" fillId="0" borderId="0" xfId="0" applyFill="1"/>
    <xf numFmtId="0" fontId="0" fillId="20" borderId="16" xfId="0" applyFont="1" applyFill="1" applyBorder="1" applyAlignment="1">
      <alignment horizontal="center"/>
    </xf>
    <xf numFmtId="0" fontId="39" fillId="0" borderId="0" xfId="0" applyFont="1" applyFill="1"/>
    <xf numFmtId="0" fontId="21" fillId="0" borderId="0" xfId="0" applyFont="1" applyFill="1" applyAlignment="1">
      <alignment horizontal="right"/>
    </xf>
    <xf numFmtId="49" fontId="16" fillId="21" borderId="0" xfId="0" applyNumberFormat="1" applyFont="1" applyFill="1"/>
    <xf numFmtId="0" fontId="16" fillId="21" borderId="0" xfId="0" applyFont="1" applyFill="1"/>
    <xf numFmtId="43" fontId="16" fillId="21" borderId="0" xfId="0" applyNumberFormat="1" applyFont="1" applyFill="1"/>
    <xf numFmtId="44" fontId="16" fillId="21" borderId="0" xfId="0" applyNumberFormat="1" applyFont="1" applyFill="1"/>
    <xf numFmtId="0" fontId="28" fillId="21" borderId="0" xfId="0" applyFont="1" applyFill="1" applyBorder="1" applyAlignment="1">
      <alignment horizontal="center"/>
    </xf>
    <xf numFmtId="0" fontId="17" fillId="21" borderId="0" xfId="0" applyFont="1" applyFill="1"/>
    <xf numFmtId="43" fontId="17" fillId="21" borderId="0" xfId="1" applyFont="1" applyFill="1"/>
    <xf numFmtId="43" fontId="24" fillId="21" borderId="0" xfId="1" applyFont="1" applyFill="1"/>
    <xf numFmtId="43" fontId="28" fillId="21" borderId="0" xfId="1" applyFont="1" applyFill="1"/>
    <xf numFmtId="49" fontId="39" fillId="21" borderId="0" xfId="0" applyNumberFormat="1" applyFont="1" applyFill="1"/>
    <xf numFmtId="0" fontId="39" fillId="21" borderId="0" xfId="0" applyFont="1" applyFill="1"/>
    <xf numFmtId="44" fontId="39" fillId="21" borderId="0" xfId="2" applyFont="1" applyFill="1"/>
    <xf numFmtId="8" fontId="39" fillId="21" borderId="0" xfId="0" applyNumberFormat="1" applyFont="1" applyFill="1"/>
    <xf numFmtId="44" fontId="39" fillId="21" borderId="0" xfId="0" applyNumberFormat="1" applyFont="1" applyFill="1"/>
    <xf numFmtId="0" fontId="25" fillId="21" borderId="6" xfId="0" applyFont="1" applyFill="1" applyBorder="1"/>
    <xf numFmtId="0" fontId="25" fillId="21" borderId="6" xfId="0" applyFont="1" applyFill="1" applyBorder="1" applyAlignment="1">
      <alignment horizontal="right"/>
    </xf>
    <xf numFmtId="14" fontId="25" fillId="21" borderId="6" xfId="0" applyNumberFormat="1" applyFont="1" applyFill="1" applyBorder="1"/>
    <xf numFmtId="43" fontId="25" fillId="21" borderId="6" xfId="1" applyFont="1" applyFill="1" applyBorder="1"/>
    <xf numFmtId="4" fontId="25" fillId="21" borderId="6" xfId="0" applyNumberFormat="1" applyFont="1" applyFill="1" applyBorder="1"/>
    <xf numFmtId="43" fontId="40" fillId="21" borderId="6" xfId="1" applyFont="1" applyFill="1" applyBorder="1"/>
    <xf numFmtId="43" fontId="25" fillId="21" borderId="6" xfId="1" applyFont="1" applyFill="1" applyBorder="1" applyAlignment="1">
      <alignment horizontal="center"/>
    </xf>
    <xf numFmtId="43" fontId="30" fillId="21" borderId="0" xfId="1" applyFont="1" applyFill="1"/>
    <xf numFmtId="0" fontId="25" fillId="21" borderId="0" xfId="0" applyFont="1" applyFill="1"/>
    <xf numFmtId="0" fontId="36" fillId="0" borderId="6" xfId="0" applyFont="1" applyFill="1" applyBorder="1"/>
    <xf numFmtId="43" fontId="36" fillId="0" borderId="6" xfId="1" applyFont="1" applyFill="1" applyBorder="1"/>
    <xf numFmtId="43" fontId="36" fillId="0" borderId="6" xfId="1" applyFont="1" applyFill="1" applyBorder="1" applyAlignment="1">
      <alignment horizontal="center"/>
    </xf>
    <xf numFmtId="43" fontId="37" fillId="0" borderId="0" xfId="1" applyFont="1" applyFill="1"/>
    <xf numFmtId="0" fontId="36" fillId="0" borderId="0" xfId="0" applyFont="1" applyFill="1"/>
    <xf numFmtId="0" fontId="31" fillId="0" borderId="0" xfId="0" applyFont="1" applyFill="1"/>
    <xf numFmtId="43" fontId="28" fillId="0" borderId="0" xfId="1" applyFont="1" applyFill="1"/>
    <xf numFmtId="0" fontId="41" fillId="21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/>
    <xf numFmtId="164" fontId="2" fillId="0" borderId="0" xfId="0" applyNumberFormat="1" applyFont="1" applyBorder="1"/>
    <xf numFmtId="164" fontId="2" fillId="0" borderId="0" xfId="0" applyNumberFormat="1" applyFont="1" applyFill="1" applyBorder="1"/>
    <xf numFmtId="49" fontId="2" fillId="0" borderId="0" xfId="0" applyNumberFormat="1" applyFont="1" applyBorder="1"/>
    <xf numFmtId="0" fontId="2" fillId="3" borderId="0" xfId="0" applyFont="1" applyFill="1" applyBorder="1"/>
    <xf numFmtId="0" fontId="2" fillId="0" borderId="0" xfId="0" applyFont="1" applyFill="1" applyBorder="1" applyAlignment="1">
      <alignment horizontal="right"/>
    </xf>
    <xf numFmtId="0" fontId="1" fillId="0" borderId="0" xfId="0" applyFont="1" applyFill="1" applyBorder="1"/>
    <xf numFmtId="43" fontId="2" fillId="0" borderId="0" xfId="1" applyFont="1" applyFill="1" applyBorder="1"/>
    <xf numFmtId="43" fontId="23" fillId="0" borderId="0" xfId="1" applyFont="1" applyFill="1" applyBorder="1"/>
    <xf numFmtId="0" fontId="28" fillId="21" borderId="12" xfId="0" applyFont="1" applyFill="1" applyBorder="1" applyAlignment="1">
      <alignment horizontal="center"/>
    </xf>
    <xf numFmtId="0" fontId="19" fillId="19" borderId="13" xfId="0" applyFont="1" applyFill="1" applyBorder="1" applyAlignment="1">
      <alignment horizontal="center"/>
    </xf>
    <xf numFmtId="0" fontId="21" fillId="4" borderId="2" xfId="0" applyFont="1" applyFill="1" applyBorder="1" applyAlignment="1">
      <alignment horizontal="center"/>
    </xf>
    <xf numFmtId="43" fontId="24" fillId="6" borderId="7" xfId="1" applyFont="1" applyFill="1" applyBorder="1" applyAlignment="1">
      <alignment horizontal="center" wrapText="1"/>
    </xf>
    <xf numFmtId="43" fontId="24" fillId="6" borderId="8" xfId="1" applyFont="1" applyFill="1" applyBorder="1" applyAlignment="1">
      <alignment horizontal="center" wrapText="1"/>
    </xf>
    <xf numFmtId="0" fontId="28" fillId="8" borderId="12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3" fontId="28" fillId="6" borderId="6" xfId="1" applyFont="1" applyFill="1" applyBorder="1" applyAlignment="1">
      <alignment horizontal="center" wrapText="1"/>
    </xf>
    <xf numFmtId="3" fontId="28" fillId="6" borderId="5" xfId="0" applyNumberFormat="1" applyFont="1" applyFill="1" applyBorder="1" applyAlignment="1">
      <alignment horizontal="center"/>
    </xf>
    <xf numFmtId="3" fontId="28" fillId="6" borderId="10" xfId="0" applyNumberFormat="1" applyFont="1" applyFill="1" applyBorder="1" applyAlignment="1">
      <alignment horizontal="center"/>
    </xf>
    <xf numFmtId="3" fontId="28" fillId="6" borderId="6" xfId="0" applyNumberFormat="1" applyFont="1" applyFill="1" applyBorder="1"/>
    <xf numFmtId="0" fontId="28" fillId="7" borderId="5" xfId="0" applyFont="1" applyFill="1" applyBorder="1" applyAlignment="1">
      <alignment horizontal="center" vertical="center" wrapText="1"/>
    </xf>
    <xf numFmtId="0" fontId="28" fillId="7" borderId="10" xfId="0" applyFont="1" applyFill="1" applyBorder="1" applyAlignment="1">
      <alignment horizontal="center" vertical="center" wrapText="1"/>
    </xf>
    <xf numFmtId="43" fontId="28" fillId="6" borderId="5" xfId="1" applyFont="1" applyFill="1" applyBorder="1" applyAlignment="1">
      <alignment horizontal="center" vertical="center" wrapText="1"/>
    </xf>
    <xf numFmtId="43" fontId="28" fillId="6" borderId="10" xfId="1" applyFont="1" applyFill="1" applyBorder="1" applyAlignment="1">
      <alignment horizontal="center" vertical="center" wrapText="1"/>
    </xf>
    <xf numFmtId="43" fontId="28" fillId="6" borderId="7" xfId="1" applyFont="1" applyFill="1" applyBorder="1" applyAlignment="1">
      <alignment horizontal="center" wrapText="1"/>
    </xf>
    <xf numFmtId="43" fontId="28" fillId="6" borderId="8" xfId="1" applyFont="1" applyFill="1" applyBorder="1" applyAlignment="1">
      <alignment horizontal="center" wrapText="1"/>
    </xf>
    <xf numFmtId="0" fontId="28" fillId="8" borderId="9" xfId="0" applyFont="1" applyFill="1" applyBorder="1" applyAlignment="1">
      <alignment horizontal="center"/>
    </xf>
    <xf numFmtId="43" fontId="17" fillId="6" borderId="5" xfId="1" applyFont="1" applyFill="1" applyBorder="1" applyAlignment="1">
      <alignment horizontal="center" vertical="center" wrapText="1"/>
    </xf>
    <xf numFmtId="43" fontId="17" fillId="6" borderId="10" xfId="1" applyFont="1" applyFill="1" applyBorder="1" applyAlignment="1">
      <alignment horizontal="center" vertical="center" wrapText="1"/>
    </xf>
    <xf numFmtId="170" fontId="42" fillId="0" borderId="19" xfId="6" applyFont="1" applyBorder="1"/>
    <xf numFmtId="170" fontId="0" fillId="0" borderId="18" xfId="6" applyFont="1" applyBorder="1"/>
    <xf numFmtId="170" fontId="0" fillId="0" borderId="19" xfId="6" applyFont="1" applyBorder="1"/>
    <xf numFmtId="0" fontId="0" fillId="0" borderId="0" xfId="0"/>
    <xf numFmtId="0" fontId="0" fillId="0" borderId="17" xfId="0" applyBorder="1"/>
    <xf numFmtId="14" fontId="0" fillId="0" borderId="17" xfId="0" applyNumberFormat="1" applyBorder="1"/>
    <xf numFmtId="0" fontId="42" fillId="0" borderId="17" xfId="0" applyFont="1" applyBorder="1" applyAlignment="1">
      <alignment horizontal="center"/>
    </xf>
    <xf numFmtId="170" fontId="0" fillId="0" borderId="17" xfId="6" applyFont="1" applyBorder="1"/>
  </cellXfs>
  <cellStyles count="8">
    <cellStyle name="Excel Built-in Normal" xfId="4"/>
    <cellStyle name="Millares" xfId="1" builtinId="3"/>
    <cellStyle name="Millares 2" xfId="6"/>
    <cellStyle name="Moneda" xfId="2" builtinId="4"/>
    <cellStyle name="Moneda 2" xfId="7"/>
    <cellStyle name="Normal" xfId="0" builtinId="0"/>
    <cellStyle name="Normal 4" xfId="3"/>
    <cellStyle name="Normal_Hoja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DT121"/>
  <sheetViews>
    <sheetView zoomScale="130" zoomScaleNormal="130" workbookViewId="0">
      <pane xSplit="2" ySplit="8" topLeftCell="W9" activePane="bottomRight" state="frozen"/>
      <selection pane="topRight" activeCell="C1" sqref="C1"/>
      <selection pane="bottomLeft" activeCell="A13" sqref="A13"/>
      <selection pane="bottomRight" activeCell="AB94" sqref="AB94"/>
    </sheetView>
  </sheetViews>
  <sheetFormatPr baseColWidth="10" defaultRowHeight="15" x14ac:dyDescent="0.25"/>
  <cols>
    <col min="1" max="1" width="12.28515625" style="18" customWidth="1"/>
    <col min="2" max="2" width="30.7109375" style="16" customWidth="1"/>
    <col min="3" max="3" width="13" style="16" bestFit="1" customWidth="1"/>
    <col min="4" max="5" width="13" style="16" customWidth="1"/>
    <col min="6" max="6" width="10.5703125" style="16" customWidth="1"/>
    <col min="7" max="20" width="13" style="16" customWidth="1"/>
    <col min="21" max="21" width="13.5703125" style="16" bestFit="1" customWidth="1"/>
    <col min="22" max="22" width="13.5703125" style="16" customWidth="1"/>
    <col min="23" max="24" width="13" style="16" bestFit="1" customWidth="1"/>
    <col min="25" max="25" width="13" style="16" customWidth="1"/>
    <col min="26" max="27" width="13" style="16" bestFit="1" customWidth="1"/>
    <col min="28" max="28" width="13" style="16" customWidth="1"/>
    <col min="29" max="31" width="12.42578125" style="16" customWidth="1"/>
    <col min="32" max="32" width="10.28515625" style="16" customWidth="1"/>
    <col min="33" max="33" width="28.7109375" style="111" customWidth="1"/>
    <col min="34" max="34" width="39.140625" style="111" customWidth="1"/>
    <col min="35" max="35" width="8.140625" style="111" customWidth="1"/>
    <col min="36" max="36" width="8.85546875" style="111" customWidth="1"/>
    <col min="37" max="37" width="31.5703125" style="111" customWidth="1"/>
    <col min="38" max="38" width="20.140625" style="111" customWidth="1"/>
    <col min="39" max="39" width="13" style="111" customWidth="1"/>
    <col min="40" max="40" width="11.7109375" style="111" customWidth="1"/>
    <col min="41" max="41" width="17.140625" style="84" customWidth="1"/>
    <col min="42" max="42" width="11.7109375" style="111" customWidth="1"/>
    <col min="43" max="46" width="13.85546875" style="84" customWidth="1"/>
    <col min="47" max="49" width="13.5703125" style="84" customWidth="1"/>
    <col min="50" max="50" width="17" style="85" customWidth="1"/>
    <col min="51" max="52" width="13.5703125" style="84" customWidth="1"/>
    <col min="53" max="53" width="13.5703125" style="86" customWidth="1"/>
    <col min="54" max="54" width="19.28515625" style="86" customWidth="1"/>
    <col min="55" max="55" width="16.85546875" style="86" customWidth="1"/>
    <col min="56" max="56" width="16.140625" style="86" customWidth="1"/>
    <col min="57" max="60" width="13.5703125" style="84" customWidth="1"/>
    <col min="61" max="61" width="16.7109375" style="85" customWidth="1"/>
    <col min="62" max="62" width="16.7109375" style="84" customWidth="1"/>
    <col min="63" max="63" width="15.42578125" style="85" customWidth="1"/>
    <col min="64" max="65" width="13.5703125" style="84" customWidth="1"/>
    <col min="66" max="66" width="15.42578125" style="85" customWidth="1"/>
    <col min="67" max="67" width="15.28515625" style="240" customWidth="1"/>
    <col min="68" max="69" width="11.5703125" style="240" customWidth="1"/>
    <col min="70" max="70" width="13.85546875" style="111" customWidth="1"/>
    <col min="71" max="71" width="34.85546875" style="111" customWidth="1"/>
    <col min="72" max="73" width="11.5703125" style="107" customWidth="1"/>
    <col min="74" max="74" width="28.7109375" style="111" customWidth="1"/>
    <col min="75" max="75" width="39.140625" style="111" customWidth="1"/>
    <col min="76" max="76" width="8.140625" style="111" customWidth="1"/>
    <col min="77" max="77" width="8.85546875" style="111" customWidth="1"/>
    <col min="78" max="78" width="31.5703125" style="111" customWidth="1"/>
    <col min="79" max="79" width="20.140625" style="111" customWidth="1"/>
    <col min="80" max="80" width="13" style="111" customWidth="1"/>
    <col min="81" max="81" width="11.7109375" style="111" customWidth="1"/>
    <col min="82" max="82" width="17.140625" style="84" customWidth="1"/>
    <col min="83" max="83" width="11.7109375" style="111" customWidth="1"/>
    <col min="84" max="86" width="13.85546875" style="84" customWidth="1"/>
    <col min="87" max="89" width="13.5703125" style="84" customWidth="1"/>
    <col min="90" max="90" width="17" style="85" customWidth="1"/>
    <col min="91" max="92" width="13.5703125" style="84" customWidth="1"/>
    <col min="93" max="93" width="13.5703125" style="86" customWidth="1"/>
    <col min="94" max="94" width="19.28515625" style="86" customWidth="1"/>
    <col min="95" max="95" width="16.85546875" style="86" customWidth="1"/>
    <col min="96" max="96" width="16.140625" style="86" customWidth="1"/>
    <col min="97" max="100" width="13.5703125" style="84" customWidth="1"/>
    <col min="101" max="101" width="16.7109375" style="85" customWidth="1"/>
    <col min="102" max="102" width="16.7109375" style="84" customWidth="1"/>
    <col min="103" max="103" width="15.42578125" style="85" customWidth="1"/>
    <col min="104" max="105" width="13.5703125" style="84" customWidth="1"/>
    <col min="106" max="106" width="15.42578125" style="85" customWidth="1"/>
    <col min="107" max="107" width="15.28515625" style="240" customWidth="1"/>
    <col min="108" max="109" width="11.5703125" style="240" customWidth="1"/>
    <col min="110" max="110" width="13.85546875" style="111" customWidth="1"/>
    <col min="111" max="111" width="34.85546875" style="111" customWidth="1"/>
    <col min="112" max="113" width="11.42578125" style="107" customWidth="1"/>
    <col min="114" max="118" width="11.42578125" style="16" customWidth="1"/>
    <col min="119" max="16384" width="11.42578125" style="21"/>
  </cols>
  <sheetData>
    <row r="1" spans="1:124" ht="18" customHeight="1" x14ac:dyDescent="0.25">
      <c r="A1" s="15" t="s">
        <v>0</v>
      </c>
      <c r="B1" s="233" t="s">
        <v>18</v>
      </c>
      <c r="C1" s="234"/>
      <c r="D1" s="234"/>
      <c r="E1" s="234"/>
      <c r="F1" s="234"/>
      <c r="G1" s="234"/>
      <c r="H1" s="70"/>
      <c r="I1" s="70"/>
      <c r="J1" s="70"/>
      <c r="K1" s="70"/>
      <c r="L1" s="234"/>
      <c r="M1" s="234"/>
      <c r="N1" s="31"/>
      <c r="O1" s="70"/>
      <c r="P1" s="193"/>
      <c r="Q1" s="193"/>
      <c r="R1" s="234"/>
      <c r="S1" s="193"/>
      <c r="T1" s="234"/>
      <c r="AG1" s="73" t="s">
        <v>337</v>
      </c>
      <c r="AH1" s="73"/>
      <c r="AI1" s="73"/>
      <c r="AJ1" s="73"/>
      <c r="AK1" s="74"/>
      <c r="AL1" s="74"/>
      <c r="AM1" s="74"/>
      <c r="AN1" s="74"/>
      <c r="AO1" s="75"/>
      <c r="AP1" s="74"/>
      <c r="AQ1" s="75"/>
      <c r="AR1" s="75"/>
      <c r="AS1" s="75"/>
      <c r="AT1" s="75"/>
      <c r="AU1" s="75"/>
      <c r="AV1" s="75"/>
      <c r="AW1" s="75"/>
      <c r="AX1" s="76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6"/>
      <c r="BJ1" s="75"/>
      <c r="BK1" s="76"/>
      <c r="BL1" s="75"/>
      <c r="BM1" s="75"/>
      <c r="BN1" s="76"/>
      <c r="BO1" s="239"/>
      <c r="BP1" s="239"/>
      <c r="BQ1" s="239"/>
      <c r="BR1" s="78"/>
      <c r="BS1" s="78"/>
      <c r="BT1" s="77"/>
      <c r="BU1" s="77"/>
      <c r="BV1" s="73" t="s">
        <v>337</v>
      </c>
      <c r="BW1" s="73"/>
      <c r="BX1" s="73"/>
      <c r="BY1" s="73"/>
      <c r="BZ1" s="74"/>
      <c r="CA1" s="74"/>
      <c r="CB1" s="74"/>
      <c r="CC1" s="74"/>
      <c r="CD1" s="75"/>
      <c r="CE1" s="74"/>
      <c r="CF1" s="75"/>
      <c r="CG1" s="75"/>
      <c r="CH1" s="75"/>
      <c r="CI1" s="75"/>
      <c r="CJ1" s="75"/>
      <c r="CK1" s="75"/>
      <c r="CL1" s="76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6"/>
      <c r="CX1" s="75"/>
      <c r="CY1" s="76"/>
      <c r="CZ1" s="75"/>
      <c r="DA1" s="75"/>
      <c r="DB1" s="76"/>
      <c r="DC1" s="239"/>
      <c r="DD1" s="239"/>
      <c r="DE1" s="239"/>
      <c r="DF1" s="78"/>
      <c r="DG1" s="78"/>
      <c r="DH1" s="77"/>
      <c r="DI1" s="77"/>
    </row>
    <row r="2" spans="1:124" ht="24.95" customHeight="1" x14ac:dyDescent="0.25">
      <c r="A2" s="17" t="s">
        <v>1</v>
      </c>
      <c r="B2" s="220" t="s">
        <v>328</v>
      </c>
      <c r="C2" s="235"/>
      <c r="D2" s="235"/>
      <c r="E2" s="235"/>
      <c r="F2" s="235"/>
      <c r="G2" s="235"/>
      <c r="H2" s="71"/>
      <c r="I2" s="71"/>
      <c r="J2" s="172"/>
      <c r="K2" s="71"/>
      <c r="L2" s="235"/>
      <c r="M2" s="235"/>
      <c r="N2" s="44"/>
      <c r="O2" s="71"/>
      <c r="P2" s="191"/>
      <c r="Q2" s="191"/>
      <c r="R2" s="235"/>
      <c r="S2" s="191"/>
      <c r="T2" s="235"/>
      <c r="AG2" s="79" t="s">
        <v>338</v>
      </c>
      <c r="AH2" s="79"/>
      <c r="AI2" s="79"/>
      <c r="AJ2" s="79"/>
      <c r="AK2" s="80"/>
      <c r="AL2" s="80"/>
      <c r="AM2" s="80"/>
      <c r="AN2" s="80"/>
      <c r="AO2" s="75"/>
      <c r="AP2" s="80"/>
      <c r="AQ2" s="75"/>
      <c r="AR2" s="75"/>
      <c r="AS2" s="75"/>
      <c r="AT2" s="75"/>
      <c r="AU2" s="75"/>
      <c r="AV2" s="75"/>
      <c r="AW2" s="75"/>
      <c r="AX2" s="76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6"/>
      <c r="BJ2" s="75"/>
      <c r="BK2" s="76"/>
      <c r="BL2" s="75"/>
      <c r="BM2" s="75"/>
      <c r="BN2" s="76"/>
      <c r="BO2" s="239"/>
      <c r="BP2" s="239"/>
      <c r="BQ2" s="239"/>
      <c r="BR2" s="78"/>
      <c r="BS2" s="78"/>
      <c r="BT2" s="77"/>
      <c r="BU2" s="77"/>
      <c r="BV2" s="79" t="s">
        <v>338</v>
      </c>
      <c r="BW2" s="79"/>
      <c r="BX2" s="79"/>
      <c r="BY2" s="79"/>
      <c r="BZ2" s="80"/>
      <c r="CA2" s="80"/>
      <c r="CB2" s="80"/>
      <c r="CC2" s="80"/>
      <c r="CD2" s="75"/>
      <c r="CE2" s="80"/>
      <c r="CF2" s="75"/>
      <c r="CG2" s="75"/>
      <c r="CH2" s="75"/>
      <c r="CI2" s="75"/>
      <c r="CJ2" s="75"/>
      <c r="CK2" s="75"/>
      <c r="CL2" s="76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6"/>
      <c r="CX2" s="75"/>
      <c r="CY2" s="76"/>
      <c r="CZ2" s="75"/>
      <c r="DA2" s="75"/>
      <c r="DB2" s="76"/>
      <c r="DC2" s="239"/>
      <c r="DD2" s="239"/>
      <c r="DE2" s="239"/>
      <c r="DF2" s="78"/>
      <c r="DG2" s="78"/>
      <c r="DH2" s="77"/>
      <c r="DI2" s="77"/>
    </row>
    <row r="3" spans="1:124" ht="15.75" x14ac:dyDescent="0.25">
      <c r="B3" s="221" t="s">
        <v>2</v>
      </c>
      <c r="C3" s="236"/>
      <c r="D3" s="236"/>
      <c r="E3" s="236"/>
      <c r="F3" s="236"/>
      <c r="G3" s="236"/>
      <c r="H3" s="72"/>
      <c r="I3" s="167"/>
      <c r="J3" s="167"/>
      <c r="K3" s="72"/>
      <c r="L3" s="236"/>
      <c r="M3" s="236"/>
      <c r="N3" s="32"/>
      <c r="O3" s="72"/>
      <c r="P3" s="192"/>
      <c r="Q3" s="192"/>
      <c r="R3" s="236"/>
      <c r="S3" s="192"/>
      <c r="T3" s="236"/>
      <c r="AG3" s="81" t="s">
        <v>715</v>
      </c>
      <c r="AH3" s="81"/>
      <c r="AI3" s="81"/>
      <c r="AJ3" s="81"/>
      <c r="AK3" s="82"/>
      <c r="AL3" s="82"/>
      <c r="AM3" s="82"/>
      <c r="AN3" s="82"/>
      <c r="AO3" s="75"/>
      <c r="AP3" s="82"/>
      <c r="AQ3" s="75"/>
      <c r="AR3" s="75"/>
      <c r="AS3" s="75"/>
      <c r="AT3" s="75"/>
      <c r="AU3" s="75"/>
      <c r="AV3" s="75"/>
      <c r="AW3" s="75"/>
      <c r="AX3" s="76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6"/>
      <c r="BJ3" s="75"/>
      <c r="BK3" s="76"/>
      <c r="BL3" s="75"/>
      <c r="BM3" s="75"/>
      <c r="BN3" s="76"/>
      <c r="BO3" s="239"/>
      <c r="BP3" s="239"/>
      <c r="BQ3" s="239"/>
      <c r="BR3" s="78"/>
      <c r="BS3" s="78"/>
      <c r="BT3" s="77"/>
      <c r="BU3" s="77"/>
      <c r="BV3" s="79"/>
      <c r="BW3" s="79"/>
      <c r="BX3" s="79"/>
      <c r="BY3" s="79"/>
      <c r="BZ3" s="80"/>
      <c r="CA3" s="80"/>
      <c r="CB3" s="80"/>
      <c r="CC3" s="80"/>
      <c r="CD3" s="75"/>
      <c r="CE3" s="80"/>
      <c r="CF3" s="75"/>
      <c r="CG3" s="75"/>
      <c r="CH3" s="75"/>
      <c r="CI3" s="75"/>
      <c r="CJ3" s="75"/>
      <c r="CK3" s="75"/>
      <c r="CL3" s="76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6"/>
      <c r="CX3" s="75"/>
      <c r="CY3" s="76"/>
      <c r="CZ3" s="75"/>
      <c r="DA3" s="75"/>
      <c r="DB3" s="76"/>
      <c r="DC3" s="239"/>
      <c r="DD3" s="239"/>
      <c r="DE3" s="239"/>
      <c r="DF3" s="78"/>
      <c r="DG3" s="78"/>
      <c r="DH3" s="77"/>
      <c r="DI3" s="77"/>
    </row>
    <row r="4" spans="1:124" x14ac:dyDescent="0.25">
      <c r="B4" s="258" t="s">
        <v>770</v>
      </c>
      <c r="C4" s="236"/>
      <c r="D4" s="236"/>
      <c r="E4" s="236"/>
      <c r="F4" s="236"/>
      <c r="G4" s="236"/>
      <c r="H4" s="72"/>
      <c r="I4" s="72"/>
      <c r="J4" s="167"/>
      <c r="K4" s="72"/>
      <c r="L4" s="236"/>
      <c r="M4" s="236"/>
      <c r="N4" s="32"/>
      <c r="O4" s="72"/>
      <c r="P4" s="192"/>
      <c r="Q4" s="192"/>
      <c r="R4" s="236"/>
      <c r="S4" s="192"/>
      <c r="T4" s="236"/>
      <c r="U4" s="61"/>
      <c r="V4" s="61"/>
      <c r="AG4" s="83" t="s">
        <v>716</v>
      </c>
      <c r="AH4" s="83"/>
      <c r="AI4" s="83"/>
      <c r="AJ4" s="83"/>
      <c r="AK4" s="83"/>
      <c r="AL4" s="83"/>
      <c r="AM4" s="83"/>
      <c r="AN4" s="83"/>
      <c r="AP4" s="83"/>
      <c r="BR4" s="83"/>
      <c r="BS4" s="83"/>
      <c r="BT4" s="88"/>
      <c r="BU4" s="88"/>
      <c r="BV4" s="79"/>
      <c r="BW4" s="79"/>
      <c r="BX4" s="79"/>
      <c r="BY4" s="79"/>
      <c r="BZ4" s="80"/>
      <c r="CA4" s="80"/>
      <c r="CB4" s="80"/>
      <c r="CC4" s="80"/>
      <c r="CD4" s="75"/>
      <c r="CE4" s="80"/>
      <c r="CF4" s="75"/>
      <c r="CG4" s="75"/>
      <c r="CH4" s="75"/>
      <c r="CI4" s="75"/>
      <c r="CJ4" s="75"/>
      <c r="CK4" s="75"/>
      <c r="CL4" s="76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6"/>
      <c r="CX4" s="75"/>
      <c r="CY4" s="76"/>
      <c r="CZ4" s="75"/>
      <c r="DA4" s="75"/>
      <c r="DB4" s="76"/>
      <c r="DC4" s="239"/>
      <c r="DD4" s="239"/>
      <c r="DE4" s="239"/>
      <c r="DF4" s="78"/>
      <c r="DG4" s="78"/>
      <c r="DH4" s="77"/>
      <c r="DI4" s="77"/>
    </row>
    <row r="5" spans="1:124" ht="15" customHeight="1" x14ac:dyDescent="0.25">
      <c r="B5" s="42" t="s">
        <v>329</v>
      </c>
      <c r="C5" s="40"/>
      <c r="D5" s="40"/>
      <c r="E5" s="40"/>
      <c r="F5" s="40"/>
      <c r="G5" s="40"/>
      <c r="H5" s="67"/>
      <c r="I5" s="40"/>
      <c r="J5" s="40"/>
      <c r="K5" s="40"/>
      <c r="L5" s="40"/>
      <c r="M5" s="40"/>
      <c r="N5" s="67"/>
      <c r="O5" s="67"/>
      <c r="P5" s="67"/>
      <c r="Q5" s="67"/>
      <c r="R5" s="67"/>
      <c r="S5" s="67"/>
      <c r="T5" s="67"/>
      <c r="U5" s="61"/>
      <c r="V5" s="61"/>
      <c r="W5" s="61"/>
      <c r="AG5" s="83"/>
      <c r="AH5" s="83"/>
      <c r="AI5" s="83"/>
      <c r="AJ5" s="83"/>
      <c r="AK5" s="83"/>
      <c r="AL5" s="83"/>
      <c r="AM5" s="83"/>
      <c r="AN5" s="83"/>
      <c r="AP5" s="83"/>
      <c r="BR5" s="83"/>
      <c r="BS5" s="83"/>
      <c r="BT5" s="88"/>
      <c r="BU5" s="88"/>
      <c r="BV5" s="79"/>
      <c r="BW5" s="79"/>
      <c r="BX5" s="79"/>
      <c r="BY5" s="79"/>
      <c r="BZ5" s="80"/>
      <c r="CA5" s="80"/>
      <c r="CB5" s="80"/>
      <c r="CC5" s="80"/>
      <c r="CD5" s="75"/>
      <c r="CE5" s="80"/>
      <c r="CF5" s="75"/>
      <c r="CG5" s="75"/>
      <c r="CH5" s="75"/>
      <c r="CI5" s="75"/>
      <c r="CJ5" s="75"/>
      <c r="CK5" s="75"/>
      <c r="CL5" s="76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6"/>
      <c r="CX5" s="75"/>
      <c r="CY5" s="76"/>
      <c r="CZ5" s="75"/>
      <c r="DA5" s="75"/>
      <c r="DB5" s="76"/>
      <c r="DC5" s="239"/>
      <c r="DD5" s="239"/>
      <c r="DE5" s="239"/>
      <c r="DF5" s="78"/>
      <c r="DG5" s="78"/>
      <c r="DH5" s="77"/>
      <c r="DI5" s="77"/>
    </row>
    <row r="6" spans="1:124" x14ac:dyDescent="0.25">
      <c r="B6" s="42" t="s">
        <v>4</v>
      </c>
      <c r="C6" s="40"/>
      <c r="D6" s="40"/>
      <c r="E6" s="40"/>
      <c r="F6" s="40"/>
      <c r="G6" s="40"/>
      <c r="H6" s="67"/>
      <c r="I6" s="40"/>
      <c r="J6" s="67"/>
      <c r="K6" s="40"/>
      <c r="L6" s="67"/>
      <c r="M6" s="40"/>
      <c r="N6" s="67"/>
      <c r="O6" s="40"/>
      <c r="P6" s="40"/>
      <c r="Q6" s="40"/>
      <c r="R6" s="40"/>
      <c r="S6" s="40"/>
      <c r="T6" s="40"/>
      <c r="AG6" s="83"/>
      <c r="AH6" s="83"/>
      <c r="AI6" s="83"/>
      <c r="AJ6" s="83"/>
      <c r="AK6" s="83"/>
      <c r="AL6" s="83"/>
      <c r="AM6" s="83"/>
      <c r="AN6" s="83"/>
      <c r="AP6" s="83"/>
      <c r="BR6" s="83"/>
      <c r="BS6" s="83"/>
      <c r="BT6" s="88"/>
      <c r="BU6" s="88"/>
      <c r="BV6" s="81" t="s">
        <v>715</v>
      </c>
      <c r="BW6" s="81"/>
      <c r="BX6" s="81"/>
      <c r="BY6" s="81"/>
      <c r="BZ6" s="82"/>
      <c r="CA6" s="82"/>
      <c r="CB6" s="82"/>
      <c r="CC6" s="82"/>
      <c r="CD6" s="75"/>
      <c r="CE6" s="82"/>
      <c r="CF6" s="75"/>
      <c r="CG6" s="75"/>
      <c r="CH6" s="75"/>
      <c r="CI6" s="75"/>
      <c r="CJ6" s="75"/>
      <c r="CK6" s="75"/>
      <c r="CL6" s="76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6"/>
      <c r="CX6" s="75"/>
      <c r="CY6" s="76"/>
      <c r="CZ6" s="75"/>
      <c r="DA6" s="75"/>
      <c r="DB6" s="76"/>
      <c r="DC6" s="239"/>
      <c r="DD6" s="239"/>
      <c r="DE6" s="239"/>
      <c r="DF6" s="78"/>
      <c r="DG6" s="78"/>
      <c r="DH6" s="77"/>
      <c r="DI6" s="77"/>
    </row>
    <row r="7" spans="1:124" x14ac:dyDescent="0.25">
      <c r="B7" s="227"/>
      <c r="C7" s="227"/>
      <c r="D7" s="227"/>
      <c r="E7" s="227"/>
      <c r="F7" s="227"/>
      <c r="G7" s="227"/>
      <c r="H7" s="64"/>
      <c r="I7" s="40"/>
      <c r="J7" s="40"/>
      <c r="K7" s="64"/>
      <c r="L7" s="227"/>
      <c r="M7" s="227"/>
      <c r="N7" s="41"/>
      <c r="O7" s="64"/>
      <c r="P7" s="174"/>
      <c r="Q7" s="174"/>
      <c r="R7" s="227"/>
      <c r="S7" s="174"/>
      <c r="T7" s="227"/>
      <c r="U7" s="61"/>
      <c r="V7" s="325" t="s">
        <v>334</v>
      </c>
      <c r="W7" s="325"/>
      <c r="X7" s="325"/>
      <c r="Y7" s="325"/>
      <c r="Z7" s="325"/>
      <c r="AA7" s="325"/>
      <c r="AB7" s="325"/>
      <c r="AG7" s="83"/>
      <c r="AH7" s="83"/>
      <c r="AI7" s="83"/>
      <c r="AJ7" s="83"/>
      <c r="AK7" s="83"/>
      <c r="AL7" s="83"/>
      <c r="AM7" s="83"/>
      <c r="AN7" s="83"/>
      <c r="AP7" s="83"/>
      <c r="BR7" s="83"/>
      <c r="BS7" s="83"/>
      <c r="BT7" s="88"/>
      <c r="BU7" s="88"/>
      <c r="BV7" s="83" t="s">
        <v>716</v>
      </c>
      <c r="BW7" s="83"/>
      <c r="BX7" s="83"/>
      <c r="BY7" s="83"/>
      <c r="BZ7" s="83"/>
      <c r="CA7" s="83"/>
      <c r="CB7" s="83"/>
      <c r="CC7" s="83"/>
      <c r="CE7" s="83"/>
      <c r="DF7" s="83"/>
      <c r="DG7" s="83"/>
      <c r="DH7" s="88"/>
      <c r="DI7" s="88"/>
    </row>
    <row r="8" spans="1:124" s="270" customFormat="1" ht="24" customHeight="1" thickBot="1" x14ac:dyDescent="0.3">
      <c r="A8" s="29" t="s">
        <v>5</v>
      </c>
      <c r="B8" s="19" t="s">
        <v>6</v>
      </c>
      <c r="C8" s="19" t="s">
        <v>21</v>
      </c>
      <c r="D8" s="19" t="s">
        <v>26</v>
      </c>
      <c r="E8" s="19" t="s">
        <v>22</v>
      </c>
      <c r="F8" s="19" t="s">
        <v>637</v>
      </c>
      <c r="G8" s="259" t="s">
        <v>764</v>
      </c>
      <c r="H8" s="19" t="s">
        <v>357</v>
      </c>
      <c r="I8" s="19" t="s">
        <v>358</v>
      </c>
      <c r="J8" s="19" t="s">
        <v>359</v>
      </c>
      <c r="K8" s="19" t="s">
        <v>360</v>
      </c>
      <c r="L8" s="19" t="s">
        <v>29</v>
      </c>
      <c r="M8" s="19" t="s">
        <v>363</v>
      </c>
      <c r="N8" s="19" t="s">
        <v>333</v>
      </c>
      <c r="O8" s="19" t="s">
        <v>520</v>
      </c>
      <c r="P8" s="19" t="s">
        <v>608</v>
      </c>
      <c r="Q8" s="19" t="s">
        <v>636</v>
      </c>
      <c r="R8" s="19" t="s">
        <v>765</v>
      </c>
      <c r="S8" s="19" t="s">
        <v>639</v>
      </c>
      <c r="T8" s="259" t="s">
        <v>766</v>
      </c>
      <c r="U8" s="259" t="s">
        <v>519</v>
      </c>
      <c r="V8" s="260" t="s">
        <v>640</v>
      </c>
      <c r="W8" s="260" t="s">
        <v>23</v>
      </c>
      <c r="X8" s="260" t="s">
        <v>24</v>
      </c>
      <c r="Y8" s="260" t="s">
        <v>358</v>
      </c>
      <c r="Z8" s="260" t="s">
        <v>25</v>
      </c>
      <c r="AA8" s="260" t="s">
        <v>20</v>
      </c>
      <c r="AB8" s="260" t="s">
        <v>19</v>
      </c>
      <c r="AC8" s="30"/>
      <c r="AD8" s="30"/>
      <c r="AE8" s="30"/>
      <c r="AF8" s="30"/>
      <c r="AG8" s="268" t="s">
        <v>341</v>
      </c>
      <c r="AH8" s="267" t="s">
        <v>342</v>
      </c>
      <c r="AI8" s="268"/>
      <c r="AJ8" s="267" t="s">
        <v>343</v>
      </c>
      <c r="AK8" s="267" t="s">
        <v>344</v>
      </c>
      <c r="AL8" s="268" t="s">
        <v>345</v>
      </c>
      <c r="AM8" s="262" t="s">
        <v>346</v>
      </c>
      <c r="AN8" s="262" t="s">
        <v>347</v>
      </c>
      <c r="AO8" s="266" t="s">
        <v>348</v>
      </c>
      <c r="AP8" s="265" t="s">
        <v>349</v>
      </c>
      <c r="AQ8" s="262" t="s">
        <v>350</v>
      </c>
      <c r="AR8" s="195"/>
      <c r="AS8" s="265" t="s">
        <v>351</v>
      </c>
      <c r="AT8" s="232"/>
      <c r="AU8" s="262" t="s">
        <v>352</v>
      </c>
      <c r="AV8" s="262" t="s">
        <v>353</v>
      </c>
      <c r="AW8" s="262" t="s">
        <v>354</v>
      </c>
      <c r="AX8" s="262" t="s">
        <v>355</v>
      </c>
      <c r="AY8" s="262" t="s">
        <v>356</v>
      </c>
      <c r="AZ8" s="195"/>
      <c r="BA8" s="264" t="s">
        <v>357</v>
      </c>
      <c r="BB8" s="264" t="s">
        <v>358</v>
      </c>
      <c r="BC8" s="264" t="s">
        <v>359</v>
      </c>
      <c r="BD8" s="264" t="s">
        <v>360</v>
      </c>
      <c r="BE8" s="262" t="s">
        <v>361</v>
      </c>
      <c r="BF8" s="262" t="s">
        <v>362</v>
      </c>
      <c r="BG8" s="262" t="s">
        <v>363</v>
      </c>
      <c r="BH8" s="262" t="s">
        <v>364</v>
      </c>
      <c r="BI8" s="262" t="s">
        <v>365</v>
      </c>
      <c r="BJ8" s="262" t="s">
        <v>366</v>
      </c>
      <c r="BK8" s="262" t="s">
        <v>367</v>
      </c>
      <c r="BL8" s="262" t="s">
        <v>368</v>
      </c>
      <c r="BM8" s="262" t="s">
        <v>369</v>
      </c>
      <c r="BN8" s="262" t="s">
        <v>370</v>
      </c>
      <c r="BO8" s="326" t="s">
        <v>373</v>
      </c>
      <c r="BP8" s="327"/>
      <c r="BQ8" s="261" t="s">
        <v>374</v>
      </c>
      <c r="BR8" s="263" t="s">
        <v>606</v>
      </c>
      <c r="BS8" s="263" t="s">
        <v>607</v>
      </c>
      <c r="BT8" s="88"/>
      <c r="BU8" s="88"/>
      <c r="BV8" s="268" t="s">
        <v>341</v>
      </c>
      <c r="BW8" s="267" t="s">
        <v>342</v>
      </c>
      <c r="BX8" s="268"/>
      <c r="BY8" s="267" t="s">
        <v>343</v>
      </c>
      <c r="BZ8" s="267" t="s">
        <v>344</v>
      </c>
      <c r="CA8" s="268" t="s">
        <v>345</v>
      </c>
      <c r="CB8" s="262" t="s">
        <v>346</v>
      </c>
      <c r="CC8" s="262" t="s">
        <v>347</v>
      </c>
      <c r="CD8" s="266" t="s">
        <v>348</v>
      </c>
      <c r="CE8" s="265" t="s">
        <v>349</v>
      </c>
      <c r="CF8" s="262" t="s">
        <v>350</v>
      </c>
      <c r="CG8" s="265" t="s">
        <v>351</v>
      </c>
      <c r="CH8" s="238"/>
      <c r="CI8" s="262" t="s">
        <v>352</v>
      </c>
      <c r="CJ8" s="262" t="s">
        <v>353</v>
      </c>
      <c r="CK8" s="262" t="s">
        <v>354</v>
      </c>
      <c r="CL8" s="262" t="s">
        <v>355</v>
      </c>
      <c r="CM8" s="262" t="s">
        <v>356</v>
      </c>
      <c r="CN8" s="195"/>
      <c r="CO8" s="264" t="s">
        <v>357</v>
      </c>
      <c r="CP8" s="264" t="s">
        <v>358</v>
      </c>
      <c r="CQ8" s="264" t="s">
        <v>359</v>
      </c>
      <c r="CR8" s="264" t="s">
        <v>360</v>
      </c>
      <c r="CS8" s="262" t="s">
        <v>361</v>
      </c>
      <c r="CT8" s="262" t="s">
        <v>362</v>
      </c>
      <c r="CU8" s="262" t="s">
        <v>363</v>
      </c>
      <c r="CV8" s="262" t="s">
        <v>364</v>
      </c>
      <c r="CW8" s="262" t="s">
        <v>365</v>
      </c>
      <c r="CX8" s="262" t="s">
        <v>366</v>
      </c>
      <c r="CY8" s="262" t="s">
        <v>367</v>
      </c>
      <c r="CZ8" s="262" t="s">
        <v>368</v>
      </c>
      <c r="DA8" s="262" t="s">
        <v>369</v>
      </c>
      <c r="DB8" s="262" t="s">
        <v>370</v>
      </c>
      <c r="DC8" s="326" t="s">
        <v>373</v>
      </c>
      <c r="DD8" s="327"/>
      <c r="DE8" s="261" t="s">
        <v>374</v>
      </c>
      <c r="DF8" s="263" t="s">
        <v>606</v>
      </c>
      <c r="DG8" s="263" t="s">
        <v>607</v>
      </c>
      <c r="DH8" s="88"/>
      <c r="DI8" s="88"/>
      <c r="DJ8" s="16"/>
      <c r="DK8" s="16"/>
      <c r="DL8" s="16"/>
      <c r="DM8" s="16"/>
      <c r="DN8" s="16"/>
      <c r="DO8" s="21"/>
      <c r="DP8" s="21"/>
      <c r="DQ8" s="21"/>
      <c r="DR8" s="21"/>
      <c r="DS8" s="21"/>
      <c r="DT8" s="21"/>
    </row>
    <row r="9" spans="1:124" ht="15.75" hidden="1" thickTop="1" x14ac:dyDescent="0.25">
      <c r="A9" s="20" t="s">
        <v>34</v>
      </c>
      <c r="B9" s="21" t="s">
        <v>35</v>
      </c>
      <c r="C9" s="22">
        <f>AQ9</f>
        <v>1166.26</v>
      </c>
      <c r="D9" s="22">
        <v>0</v>
      </c>
      <c r="E9" s="22">
        <f>+AS9</f>
        <v>1645.6</v>
      </c>
      <c r="F9" s="22">
        <v>0</v>
      </c>
      <c r="G9" s="22">
        <f>SUM(C9:F9)</f>
        <v>2811.8599999999997</v>
      </c>
      <c r="H9" s="22">
        <f>+BA9</f>
        <v>0</v>
      </c>
      <c r="I9" s="22">
        <f t="shared" ref="I9:K9" si="0">+BB9</f>
        <v>0</v>
      </c>
      <c r="J9" s="22">
        <f t="shared" si="0"/>
        <v>0</v>
      </c>
      <c r="K9" s="22">
        <f t="shared" si="0"/>
        <v>0</v>
      </c>
      <c r="L9" s="22">
        <f>+AW9</f>
        <v>45.13</v>
      </c>
      <c r="M9" s="22">
        <f>+BG9</f>
        <v>0</v>
      </c>
      <c r="N9" s="22">
        <f>+BH9</f>
        <v>0</v>
      </c>
      <c r="O9" s="22">
        <f>+BJ9</f>
        <v>0</v>
      </c>
      <c r="P9" s="22">
        <f>+AZ9</f>
        <v>0</v>
      </c>
      <c r="Q9" s="22">
        <v>0</v>
      </c>
      <c r="R9" s="22">
        <f>+BE9</f>
        <v>0</v>
      </c>
      <c r="S9" s="22">
        <f>+BF9</f>
        <v>0</v>
      </c>
      <c r="T9" s="22">
        <f>SUM(H9:S9)</f>
        <v>45.13</v>
      </c>
      <c r="U9" s="22">
        <f>+G9-T9</f>
        <v>2766.7299999999996</v>
      </c>
      <c r="V9" s="22">
        <f>+G9-L9-P9-Q9</f>
        <v>2766.7299999999996</v>
      </c>
      <c r="W9" s="22">
        <f>+BL9</f>
        <v>276.67299999999994</v>
      </c>
      <c r="X9" s="22">
        <f>+'C&amp;A'!E10*0.02</f>
        <v>10.2256</v>
      </c>
      <c r="Y9" s="22">
        <f>+I9</f>
        <v>0</v>
      </c>
      <c r="Z9" s="22">
        <f>SUM(V9:Y9)</f>
        <v>3053.6285999999996</v>
      </c>
      <c r="AA9" s="22">
        <f>+Z9*0.16</f>
        <v>488.58057599999995</v>
      </c>
      <c r="AB9" s="22">
        <f>+Z9+AA9</f>
        <v>3542.2091759999994</v>
      </c>
      <c r="AC9" s="60">
        <f t="shared" ref="AC9:AC40" si="1">+U9-BK9</f>
        <v>0</v>
      </c>
      <c r="AD9" s="62">
        <f>+U9-'C&amp;A'!L10-SINDICATO!P10</f>
        <v>0</v>
      </c>
      <c r="AE9" s="62">
        <f>+'C&amp;A'!L10+'C&amp;A'!J10+'C&amp;A'!H10+'C&amp;A'!G10+SINDICATO!E10-G9</f>
        <v>0</v>
      </c>
      <c r="AF9" s="62">
        <f t="shared" ref="AF9:AF40" si="2">+AQ9-CF9</f>
        <v>0</v>
      </c>
      <c r="AG9" s="127" t="s">
        <v>375</v>
      </c>
      <c r="AH9" s="127" t="s">
        <v>376</v>
      </c>
      <c r="AI9" s="127"/>
      <c r="AJ9" s="127" t="s">
        <v>34</v>
      </c>
      <c r="AK9" s="127" t="s">
        <v>179</v>
      </c>
      <c r="AL9" s="127"/>
      <c r="AM9" s="127"/>
      <c r="AN9" s="127"/>
      <c r="AO9" s="151">
        <v>1166.26</v>
      </c>
      <c r="AP9" s="162">
        <f>+CE9</f>
        <v>0</v>
      </c>
      <c r="AQ9" s="151">
        <f>+AO9+AP9</f>
        <v>1166.26</v>
      </c>
      <c r="AR9" s="151">
        <f>+AQ9-CF9</f>
        <v>0</v>
      </c>
      <c r="AS9" s="151">
        <v>1645.6</v>
      </c>
      <c r="AT9" s="151"/>
      <c r="AU9" s="151"/>
      <c r="AV9" s="151"/>
      <c r="AW9" s="163">
        <v>45.13</v>
      </c>
      <c r="AX9" s="145">
        <f t="shared" ref="AX9:AX40" si="3">SUM(AQ9:AV9)-AW9</f>
        <v>2766.7299999999996</v>
      </c>
      <c r="AY9" s="151"/>
      <c r="AZ9" s="151"/>
      <c r="BA9" s="151">
        <v>0</v>
      </c>
      <c r="BB9" s="151">
        <f>+CP9</f>
        <v>0</v>
      </c>
      <c r="BC9" s="151">
        <f>+CQ9</f>
        <v>0</v>
      </c>
      <c r="BD9" s="151"/>
      <c r="BE9" s="104"/>
      <c r="BF9" s="104"/>
      <c r="BG9" s="127"/>
      <c r="BH9" s="127">
        <v>0</v>
      </c>
      <c r="BI9" s="145">
        <f t="shared" ref="BI9:BI40" si="4">+AX9-SUM(AY9:BH9)</f>
        <v>2766.7299999999996</v>
      </c>
      <c r="BJ9" s="104">
        <f>+CX9</f>
        <v>0</v>
      </c>
      <c r="BK9" s="145">
        <f t="shared" ref="BK9:BK40" si="5">+BI9-BJ9</f>
        <v>2766.7299999999996</v>
      </c>
      <c r="BL9" s="104">
        <f>+CZ9</f>
        <v>276.67299999999994</v>
      </c>
      <c r="BM9" s="104">
        <v>10.23</v>
      </c>
      <c r="BN9" s="145">
        <f t="shared" ref="BN9:BN40" si="6">+AX9+BL9+BM9</f>
        <v>3053.6329999999994</v>
      </c>
      <c r="BO9" s="241"/>
      <c r="BP9" s="241"/>
      <c r="BQ9" s="241"/>
      <c r="BR9" s="107"/>
      <c r="BS9" s="107"/>
      <c r="BV9" s="127" t="s">
        <v>375</v>
      </c>
      <c r="BW9" s="127" t="s">
        <v>376</v>
      </c>
      <c r="BX9" s="127"/>
      <c r="BY9" s="127" t="s">
        <v>34</v>
      </c>
      <c r="BZ9" s="127" t="s">
        <v>179</v>
      </c>
      <c r="CA9" s="127"/>
      <c r="CB9" s="127"/>
      <c r="CC9" s="127"/>
      <c r="CD9" s="151">
        <v>1166.26</v>
      </c>
      <c r="CE9" s="162"/>
      <c r="CF9" s="151">
        <f t="shared" ref="CF9:CF14" si="7">+CD9+CE9</f>
        <v>1166.26</v>
      </c>
      <c r="CG9" s="151">
        <v>1645.6</v>
      </c>
      <c r="CH9" s="151"/>
      <c r="CI9" s="151"/>
      <c r="CJ9" s="151"/>
      <c r="CK9" s="163">
        <v>45.13</v>
      </c>
      <c r="CL9" s="145">
        <f t="shared" ref="CL9:CL14" si="8">SUM(CF9:CJ9)-CK9</f>
        <v>2766.7299999999996</v>
      </c>
      <c r="CM9" s="151"/>
      <c r="CN9" s="151"/>
      <c r="CO9" s="151">
        <v>0</v>
      </c>
      <c r="CP9" s="151"/>
      <c r="CQ9" s="151"/>
      <c r="CR9" s="151"/>
      <c r="CS9" s="104">
        <f>+BE9</f>
        <v>0</v>
      </c>
      <c r="CT9" s="104"/>
      <c r="CU9" s="127"/>
      <c r="CV9" s="127">
        <v>0</v>
      </c>
      <c r="CW9" s="145">
        <f t="shared" ref="CW9:CW13" si="9">+CL9-SUM(CM9:CV9)</f>
        <v>2766.7299999999996</v>
      </c>
      <c r="CX9" s="104">
        <f>IF(CL9&gt;3500,CL9*0.1,0)</f>
        <v>0</v>
      </c>
      <c r="CY9" s="145">
        <f t="shared" ref="CY9:CY14" si="10">+CW9-CX9</f>
        <v>2766.7299999999996</v>
      </c>
      <c r="CZ9" s="104">
        <f>IF(CL9&lt;3500,CL9*0.1,0)</f>
        <v>276.67299999999994</v>
      </c>
      <c r="DA9" s="104">
        <v>10.23</v>
      </c>
      <c r="DB9" s="145">
        <f t="shared" ref="DB9:DB14" si="11">+CL9+CZ9+DA9</f>
        <v>3053.6329999999994</v>
      </c>
      <c r="DC9" s="241"/>
      <c r="DD9" s="241"/>
      <c r="DE9" s="241"/>
      <c r="DF9" s="107"/>
      <c r="DG9" s="107"/>
      <c r="DJ9" s="21"/>
      <c r="DK9" s="21"/>
      <c r="DL9" s="21"/>
      <c r="DM9" s="21"/>
      <c r="DN9" s="21"/>
      <c r="DO9" s="60">
        <f>+U9-'C&amp;A'!L10-SINDICATO!P10</f>
        <v>0</v>
      </c>
    </row>
    <row r="10" spans="1:124" ht="15.75" hidden="1" thickTop="1" x14ac:dyDescent="0.25">
      <c r="A10" s="20" t="s">
        <v>36</v>
      </c>
      <c r="B10" s="21" t="s">
        <v>37</v>
      </c>
      <c r="C10" s="22">
        <f t="shared" ref="C10:C70" si="12">AQ10</f>
        <v>1633.33</v>
      </c>
      <c r="D10" s="22">
        <v>0</v>
      </c>
      <c r="E10" s="22">
        <f t="shared" ref="E10:E70" si="13">+AS10</f>
        <v>7222.19</v>
      </c>
      <c r="F10" s="22">
        <v>0</v>
      </c>
      <c r="G10" s="22">
        <f t="shared" ref="G10:G71" si="14">SUM(C10:F10)</f>
        <v>8855.52</v>
      </c>
      <c r="H10" s="22">
        <f t="shared" ref="H10:H71" si="15">+BA10</f>
        <v>0</v>
      </c>
      <c r="I10" s="22">
        <f t="shared" ref="I10:I71" si="16">+BB10</f>
        <v>0</v>
      </c>
      <c r="J10" s="22">
        <f t="shared" ref="J10:J71" si="17">+BC10</f>
        <v>0</v>
      </c>
      <c r="K10" s="22">
        <f t="shared" ref="K10:K71" si="18">+BD10</f>
        <v>0</v>
      </c>
      <c r="L10" s="22">
        <f t="shared" ref="L10:L71" si="19">+AW10</f>
        <v>45.13</v>
      </c>
      <c r="M10" s="22">
        <f t="shared" ref="M10:M71" si="20">+BG10</f>
        <v>0</v>
      </c>
      <c r="N10" s="22">
        <f t="shared" ref="N10:N71" si="21">+BH10</f>
        <v>0</v>
      </c>
      <c r="O10" s="22">
        <f t="shared" ref="O10:O71" si="22">+BJ10</f>
        <v>881.03900000000021</v>
      </c>
      <c r="P10" s="22">
        <f t="shared" ref="P10:P71" si="23">+AZ10</f>
        <v>0</v>
      </c>
      <c r="Q10" s="22">
        <v>0</v>
      </c>
      <c r="R10" s="22">
        <f t="shared" ref="R10:R71" si="24">+BE10</f>
        <v>0</v>
      </c>
      <c r="S10" s="22">
        <f t="shared" ref="S10:S71" si="25">+BF10</f>
        <v>0</v>
      </c>
      <c r="T10" s="22">
        <f t="shared" ref="T10:T71" si="26">SUM(H10:S10)</f>
        <v>926.16900000000021</v>
      </c>
      <c r="U10" s="22">
        <f t="shared" ref="U10:U71" si="27">+G10-T10</f>
        <v>7929.3510000000006</v>
      </c>
      <c r="V10" s="22">
        <f t="shared" ref="V10:V72" si="28">+G10-L10-P10-Q10</f>
        <v>8810.3900000000012</v>
      </c>
      <c r="W10" s="22">
        <f t="shared" ref="W10:W71" si="29">+BL10</f>
        <v>0</v>
      </c>
      <c r="X10" s="22">
        <f>+'C&amp;A'!E11*0.02</f>
        <v>10.2256</v>
      </c>
      <c r="Y10" s="22">
        <f t="shared" ref="Y10:Y71" si="30">+I10</f>
        <v>0</v>
      </c>
      <c r="Z10" s="22">
        <f t="shared" ref="Z10:Z71" si="31">SUM(V10:Y10)</f>
        <v>8820.615600000001</v>
      </c>
      <c r="AA10" s="22">
        <f t="shared" ref="AA10:AA71" si="32">+Z10*0.16</f>
        <v>1411.2984960000001</v>
      </c>
      <c r="AB10" s="22">
        <f t="shared" ref="AB10:AB71" si="33">+Z10+AA10</f>
        <v>10231.914096</v>
      </c>
      <c r="AC10" s="60">
        <f t="shared" si="1"/>
        <v>0</v>
      </c>
      <c r="AD10" s="62">
        <f>+U10-'C&amp;A'!L11-SINDICATO!P11</f>
        <v>0</v>
      </c>
      <c r="AE10" s="62">
        <f>+'C&amp;A'!L11+'C&amp;A'!J11+'C&amp;A'!H11+'C&amp;A'!G11+SINDICATO!E11-G10</f>
        <v>0</v>
      </c>
      <c r="AF10" s="62">
        <f t="shared" si="2"/>
        <v>0</v>
      </c>
      <c r="AG10" s="127" t="s">
        <v>377</v>
      </c>
      <c r="AH10" s="127" t="s">
        <v>378</v>
      </c>
      <c r="AI10" s="127" t="s">
        <v>379</v>
      </c>
      <c r="AJ10" s="127" t="s">
        <v>36</v>
      </c>
      <c r="AK10" s="127" t="s">
        <v>380</v>
      </c>
      <c r="AL10" s="127"/>
      <c r="AM10" s="127"/>
      <c r="AN10" s="127"/>
      <c r="AO10" s="151">
        <v>1633.33</v>
      </c>
      <c r="AP10" s="162">
        <f t="shared" ref="AP10:AP72" si="34">+CE10</f>
        <v>0</v>
      </c>
      <c r="AQ10" s="151">
        <f t="shared" ref="AQ10:AQ40" si="35">+AO10+AP10</f>
        <v>1633.33</v>
      </c>
      <c r="AR10" s="151">
        <f t="shared" ref="AR10:AR72" si="36">+AQ10-CF10</f>
        <v>0</v>
      </c>
      <c r="AS10" s="151">
        <v>7222.19</v>
      </c>
      <c r="AT10" s="151"/>
      <c r="AU10" s="151"/>
      <c r="AV10" s="151"/>
      <c r="AW10" s="163">
        <v>45.13</v>
      </c>
      <c r="AX10" s="145">
        <f t="shared" si="3"/>
        <v>8810.3900000000012</v>
      </c>
      <c r="AY10" s="151"/>
      <c r="AZ10" s="151"/>
      <c r="BA10" s="151">
        <v>0</v>
      </c>
      <c r="BB10" s="151">
        <f t="shared" ref="BB10:BB72" si="37">+CP10</f>
        <v>0</v>
      </c>
      <c r="BC10" s="151">
        <f t="shared" ref="BC10:BC72" si="38">+CQ10</f>
        <v>0</v>
      </c>
      <c r="BD10" s="151"/>
      <c r="BE10" s="104"/>
      <c r="BF10" s="104"/>
      <c r="BG10" s="127"/>
      <c r="BH10" s="127">
        <v>0</v>
      </c>
      <c r="BI10" s="145">
        <f t="shared" si="4"/>
        <v>8810.3900000000012</v>
      </c>
      <c r="BJ10" s="104">
        <f t="shared" ref="BJ10:BJ72" si="39">+CX10</f>
        <v>881.03900000000021</v>
      </c>
      <c r="BK10" s="145">
        <f t="shared" si="5"/>
        <v>7929.3510000000006</v>
      </c>
      <c r="BL10" s="104">
        <f t="shared" ref="BL10:BL72" si="40">+CZ10</f>
        <v>0</v>
      </c>
      <c r="BM10" s="104">
        <v>10.23</v>
      </c>
      <c r="BN10" s="145">
        <f t="shared" si="6"/>
        <v>8820.6200000000008</v>
      </c>
      <c r="BO10" s="241"/>
      <c r="BP10" s="241"/>
      <c r="BQ10" s="241"/>
      <c r="BR10" s="107"/>
      <c r="BS10" s="107"/>
      <c r="BV10" s="127" t="s">
        <v>377</v>
      </c>
      <c r="BW10" s="127" t="s">
        <v>378</v>
      </c>
      <c r="BX10" s="127" t="s">
        <v>379</v>
      </c>
      <c r="BY10" s="127" t="s">
        <v>36</v>
      </c>
      <c r="BZ10" s="127" t="s">
        <v>380</v>
      </c>
      <c r="CA10" s="127"/>
      <c r="CB10" s="127"/>
      <c r="CC10" s="127"/>
      <c r="CD10" s="151">
        <v>1633.33</v>
      </c>
      <c r="CE10" s="127"/>
      <c r="CF10" s="151">
        <f t="shared" si="7"/>
        <v>1633.33</v>
      </c>
      <c r="CG10" s="151">
        <v>7222.19</v>
      </c>
      <c r="CH10" s="151"/>
      <c r="CI10" s="151"/>
      <c r="CJ10" s="151"/>
      <c r="CK10" s="163">
        <v>45.13</v>
      </c>
      <c r="CL10" s="145">
        <f t="shared" si="8"/>
        <v>8810.3900000000012</v>
      </c>
      <c r="CM10" s="151"/>
      <c r="CN10" s="151"/>
      <c r="CO10" s="151">
        <v>0</v>
      </c>
      <c r="CP10" s="151"/>
      <c r="CQ10" s="151"/>
      <c r="CR10" s="151"/>
      <c r="CS10" s="104">
        <f t="shared" ref="CS10:CS72" si="41">+BE10</f>
        <v>0</v>
      </c>
      <c r="CT10" s="104"/>
      <c r="CU10" s="127"/>
      <c r="CV10" s="127">
        <v>0</v>
      </c>
      <c r="CW10" s="145">
        <f t="shared" si="9"/>
        <v>8810.3900000000012</v>
      </c>
      <c r="CX10" s="104">
        <f t="shared" ref="CX10:CX14" si="42">IF(CL10&gt;3500,CL10*0.1,0)</f>
        <v>881.03900000000021</v>
      </c>
      <c r="CY10" s="145">
        <f t="shared" si="10"/>
        <v>7929.3510000000006</v>
      </c>
      <c r="CZ10" s="104">
        <f t="shared" ref="CZ10:CZ14" si="43">IF(CL10&lt;3500,CL10*0.1,0)</f>
        <v>0</v>
      </c>
      <c r="DA10" s="104">
        <v>10.23</v>
      </c>
      <c r="DB10" s="145">
        <f t="shared" si="11"/>
        <v>8820.6200000000008</v>
      </c>
      <c r="DC10" s="241"/>
      <c r="DD10" s="241"/>
      <c r="DE10" s="241"/>
      <c r="DF10" s="107"/>
      <c r="DG10" s="107"/>
      <c r="DJ10" s="270"/>
      <c r="DK10" s="270"/>
      <c r="DL10" s="270"/>
      <c r="DM10" s="270"/>
      <c r="DN10" s="270"/>
      <c r="DO10" s="60">
        <f>+U10-'C&amp;A'!L11-SINDICATO!P11</f>
        <v>0</v>
      </c>
      <c r="DP10" s="270"/>
      <c r="DQ10" s="270"/>
      <c r="DR10" s="270"/>
      <c r="DS10" s="270"/>
      <c r="DT10" s="270"/>
    </row>
    <row r="11" spans="1:124" ht="15.75" hidden="1" thickTop="1" x14ac:dyDescent="0.25">
      <c r="A11" s="20" t="s">
        <v>38</v>
      </c>
      <c r="B11" s="21" t="s">
        <v>39</v>
      </c>
      <c r="C11" s="22">
        <f t="shared" si="12"/>
        <v>608.16</v>
      </c>
      <c r="D11" s="22">
        <v>0</v>
      </c>
      <c r="E11" s="22">
        <f t="shared" si="13"/>
        <v>4626.25</v>
      </c>
      <c r="F11" s="22">
        <v>0</v>
      </c>
      <c r="G11" s="22">
        <f t="shared" si="14"/>
        <v>5234.41</v>
      </c>
      <c r="H11" s="22">
        <f t="shared" si="15"/>
        <v>0</v>
      </c>
      <c r="I11" s="22">
        <f t="shared" si="16"/>
        <v>254.27472</v>
      </c>
      <c r="J11" s="22">
        <f t="shared" si="17"/>
        <v>51.892800000000001</v>
      </c>
      <c r="K11" s="22">
        <f t="shared" si="18"/>
        <v>0</v>
      </c>
      <c r="L11" s="22">
        <f t="shared" si="19"/>
        <v>45.13</v>
      </c>
      <c r="M11" s="22">
        <f t="shared" si="20"/>
        <v>0</v>
      </c>
      <c r="N11" s="22">
        <f t="shared" si="21"/>
        <v>0</v>
      </c>
      <c r="O11" s="22">
        <f t="shared" si="22"/>
        <v>518.928</v>
      </c>
      <c r="P11" s="22">
        <f t="shared" si="23"/>
        <v>0</v>
      </c>
      <c r="Q11" s="22">
        <v>0</v>
      </c>
      <c r="R11" s="22">
        <f t="shared" si="24"/>
        <v>0</v>
      </c>
      <c r="S11" s="22">
        <f t="shared" si="25"/>
        <v>0</v>
      </c>
      <c r="T11" s="22">
        <f t="shared" si="26"/>
        <v>870.22551999999996</v>
      </c>
      <c r="U11" s="22">
        <f t="shared" si="27"/>
        <v>4364.1844799999999</v>
      </c>
      <c r="V11" s="22">
        <f t="shared" si="28"/>
        <v>5189.28</v>
      </c>
      <c r="W11" s="22">
        <f t="shared" si="29"/>
        <v>0</v>
      </c>
      <c r="X11" s="22">
        <f>+'C&amp;A'!E12*0.02</f>
        <v>10.2256</v>
      </c>
      <c r="Y11" s="22">
        <f t="shared" si="30"/>
        <v>254.27472</v>
      </c>
      <c r="Z11" s="22">
        <f>SUM(V11:Y11)</f>
        <v>5453.7803199999998</v>
      </c>
      <c r="AA11" s="22">
        <f t="shared" si="32"/>
        <v>872.60485119999998</v>
      </c>
      <c r="AB11" s="22">
        <f t="shared" si="33"/>
        <v>6326.3851711999996</v>
      </c>
      <c r="AC11" s="60">
        <f t="shared" si="1"/>
        <v>0</v>
      </c>
      <c r="AD11" s="62">
        <f>+U11-'C&amp;A'!L12-SINDICATO!P12</f>
        <v>0</v>
      </c>
      <c r="AE11" s="62">
        <f>+'C&amp;A'!L12+'C&amp;A'!J12+'C&amp;A'!H12+'C&amp;A'!G12+SINDICATO!E12-G11</f>
        <v>0</v>
      </c>
      <c r="AF11" s="62">
        <f t="shared" si="2"/>
        <v>0</v>
      </c>
      <c r="AG11" s="127" t="s">
        <v>381</v>
      </c>
      <c r="AH11" s="127" t="s">
        <v>382</v>
      </c>
      <c r="AI11" s="127"/>
      <c r="AJ11" s="127" t="s">
        <v>38</v>
      </c>
      <c r="AK11" s="127" t="s">
        <v>190</v>
      </c>
      <c r="AL11" s="127"/>
      <c r="AM11" s="127"/>
      <c r="AN11" s="127"/>
      <c r="AO11" s="151">
        <v>608.16</v>
      </c>
      <c r="AP11" s="162">
        <f t="shared" si="34"/>
        <v>0</v>
      </c>
      <c r="AQ11" s="151">
        <f t="shared" si="35"/>
        <v>608.16</v>
      </c>
      <c r="AR11" s="151">
        <f t="shared" si="36"/>
        <v>0</v>
      </c>
      <c r="AS11" s="151">
        <v>4626.25</v>
      </c>
      <c r="AT11" s="151"/>
      <c r="AU11" s="151"/>
      <c r="AV11" s="151"/>
      <c r="AW11" s="163">
        <v>45.13</v>
      </c>
      <c r="AX11" s="145">
        <f t="shared" si="3"/>
        <v>5189.28</v>
      </c>
      <c r="AY11" s="151"/>
      <c r="AZ11" s="151"/>
      <c r="BA11" s="151"/>
      <c r="BB11" s="151">
        <f t="shared" si="37"/>
        <v>254.27472</v>
      </c>
      <c r="BC11" s="151">
        <f t="shared" si="38"/>
        <v>51.892800000000001</v>
      </c>
      <c r="BD11" s="151"/>
      <c r="BE11" s="104"/>
      <c r="BF11" s="104"/>
      <c r="BG11" s="127"/>
      <c r="BH11" s="127">
        <v>0</v>
      </c>
      <c r="BI11" s="145">
        <f t="shared" si="4"/>
        <v>4883.1124799999998</v>
      </c>
      <c r="BJ11" s="104">
        <f t="shared" si="39"/>
        <v>518.928</v>
      </c>
      <c r="BK11" s="145">
        <f t="shared" si="5"/>
        <v>4364.1844799999999</v>
      </c>
      <c r="BL11" s="104">
        <f t="shared" si="40"/>
        <v>0</v>
      </c>
      <c r="BM11" s="104">
        <v>10.23</v>
      </c>
      <c r="BN11" s="145">
        <f t="shared" si="6"/>
        <v>5199.5099999999993</v>
      </c>
      <c r="BO11" s="241"/>
      <c r="BP11" s="241"/>
      <c r="BQ11" s="241"/>
      <c r="BR11" s="107"/>
      <c r="BS11" s="107"/>
      <c r="BV11" s="127" t="s">
        <v>381</v>
      </c>
      <c r="BW11" s="127" t="s">
        <v>382</v>
      </c>
      <c r="BX11" s="127"/>
      <c r="BY11" s="127" t="s">
        <v>38</v>
      </c>
      <c r="BZ11" s="127" t="s">
        <v>190</v>
      </c>
      <c r="CA11" s="127"/>
      <c r="CB11" s="127"/>
      <c r="CC11" s="127"/>
      <c r="CD11" s="151">
        <v>608.16</v>
      </c>
      <c r="CE11" s="127"/>
      <c r="CF11" s="151">
        <f t="shared" si="7"/>
        <v>608.16</v>
      </c>
      <c r="CG11" s="151">
        <v>4626.25</v>
      </c>
      <c r="CH11" s="151"/>
      <c r="CI11" s="151"/>
      <c r="CJ11" s="151"/>
      <c r="CK11" s="163">
        <v>45.13</v>
      </c>
      <c r="CL11" s="145">
        <f t="shared" si="8"/>
        <v>5189.28</v>
      </c>
      <c r="CM11" s="151"/>
      <c r="CN11" s="151"/>
      <c r="CO11" s="151"/>
      <c r="CP11" s="151">
        <f>CL11*4.9%</f>
        <v>254.27472</v>
      </c>
      <c r="CQ11" s="151">
        <f>CL11*1%</f>
        <v>51.892800000000001</v>
      </c>
      <c r="CR11" s="151"/>
      <c r="CS11" s="104">
        <f t="shared" si="41"/>
        <v>0</v>
      </c>
      <c r="CT11" s="104"/>
      <c r="CU11" s="127"/>
      <c r="CV11" s="127">
        <v>0</v>
      </c>
      <c r="CW11" s="145">
        <f t="shared" si="9"/>
        <v>4883.1124799999998</v>
      </c>
      <c r="CX11" s="104">
        <f t="shared" si="42"/>
        <v>518.928</v>
      </c>
      <c r="CY11" s="145">
        <f t="shared" si="10"/>
        <v>4364.1844799999999</v>
      </c>
      <c r="CZ11" s="104">
        <f t="shared" si="43"/>
        <v>0</v>
      </c>
      <c r="DA11" s="104">
        <v>10.23</v>
      </c>
      <c r="DB11" s="145">
        <f t="shared" si="11"/>
        <v>5199.5099999999993</v>
      </c>
      <c r="DC11" s="241"/>
      <c r="DD11" s="241"/>
      <c r="DE11" s="241"/>
      <c r="DF11" s="107"/>
      <c r="DG11" s="107"/>
      <c r="DJ11" s="21"/>
      <c r="DK11" s="21"/>
      <c r="DL11" s="21"/>
      <c r="DM11" s="21"/>
      <c r="DN11" s="21"/>
      <c r="DO11" s="60">
        <f>+U11-'C&amp;A'!L12-SINDICATO!P12</f>
        <v>0</v>
      </c>
    </row>
    <row r="12" spans="1:124" ht="15.75" hidden="1" thickTop="1" x14ac:dyDescent="0.25">
      <c r="A12" s="50" t="s">
        <v>289</v>
      </c>
      <c r="B12" s="21" t="s">
        <v>178</v>
      </c>
      <c r="C12" s="22">
        <f t="shared" si="12"/>
        <v>739.23</v>
      </c>
      <c r="D12" s="22">
        <v>0</v>
      </c>
      <c r="E12" s="22">
        <f t="shared" si="13"/>
        <v>2997.67</v>
      </c>
      <c r="F12" s="22">
        <v>0</v>
      </c>
      <c r="G12" s="22">
        <f t="shared" si="14"/>
        <v>3736.9</v>
      </c>
      <c r="H12" s="22">
        <f t="shared" si="15"/>
        <v>0</v>
      </c>
      <c r="I12" s="22">
        <f t="shared" si="16"/>
        <v>0</v>
      </c>
      <c r="J12" s="22">
        <f t="shared" si="17"/>
        <v>0</v>
      </c>
      <c r="K12" s="22">
        <f t="shared" si="18"/>
        <v>0</v>
      </c>
      <c r="L12" s="22">
        <f t="shared" si="19"/>
        <v>45.13</v>
      </c>
      <c r="M12" s="22">
        <f t="shared" si="20"/>
        <v>0</v>
      </c>
      <c r="N12" s="22">
        <f t="shared" si="21"/>
        <v>0</v>
      </c>
      <c r="O12" s="22">
        <f t="shared" si="22"/>
        <v>369.17700000000002</v>
      </c>
      <c r="P12" s="22">
        <f t="shared" si="23"/>
        <v>0</v>
      </c>
      <c r="Q12" s="22">
        <v>0</v>
      </c>
      <c r="R12" s="22">
        <f t="shared" si="24"/>
        <v>0</v>
      </c>
      <c r="S12" s="22">
        <f t="shared" si="25"/>
        <v>0</v>
      </c>
      <c r="T12" s="22">
        <f t="shared" si="26"/>
        <v>414.30700000000002</v>
      </c>
      <c r="U12" s="22">
        <f t="shared" si="27"/>
        <v>3322.5929999999998</v>
      </c>
      <c r="V12" s="22">
        <f t="shared" si="28"/>
        <v>3691.77</v>
      </c>
      <c r="W12" s="22">
        <f t="shared" si="29"/>
        <v>0</v>
      </c>
      <c r="X12" s="22">
        <f>+'C&amp;A'!E13*0.02</f>
        <v>10.2256</v>
      </c>
      <c r="Y12" s="22">
        <f t="shared" si="30"/>
        <v>0</v>
      </c>
      <c r="Z12" s="22">
        <f t="shared" si="31"/>
        <v>3701.9956000000002</v>
      </c>
      <c r="AA12" s="22">
        <f t="shared" si="32"/>
        <v>592.31929600000001</v>
      </c>
      <c r="AB12" s="22">
        <f t="shared" si="33"/>
        <v>4294.3148959999999</v>
      </c>
      <c r="AC12" s="60">
        <f t="shared" si="1"/>
        <v>0</v>
      </c>
      <c r="AD12" s="62">
        <f>+U12-'C&amp;A'!L13-SINDICATO!P13</f>
        <v>0</v>
      </c>
      <c r="AE12" s="62">
        <f>+'C&amp;A'!L13+'C&amp;A'!J13+'C&amp;A'!H13+'C&amp;A'!G13+SINDICATO!E13-G12</f>
        <v>0</v>
      </c>
      <c r="AF12" s="62">
        <f t="shared" si="2"/>
        <v>0</v>
      </c>
      <c r="AG12" s="127" t="s">
        <v>383</v>
      </c>
      <c r="AH12" s="127" t="s">
        <v>384</v>
      </c>
      <c r="AI12" s="127"/>
      <c r="AJ12" s="127" t="s">
        <v>289</v>
      </c>
      <c r="AK12" s="127" t="s">
        <v>385</v>
      </c>
      <c r="AL12" s="127"/>
      <c r="AM12" s="127"/>
      <c r="AN12" s="127"/>
      <c r="AO12" s="151">
        <v>739.23</v>
      </c>
      <c r="AP12" s="162">
        <f t="shared" si="34"/>
        <v>0</v>
      </c>
      <c r="AQ12" s="151">
        <f t="shared" si="35"/>
        <v>739.23</v>
      </c>
      <c r="AR12" s="151">
        <f t="shared" si="36"/>
        <v>0</v>
      </c>
      <c r="AS12" s="151">
        <v>2997.67</v>
      </c>
      <c r="AT12" s="151"/>
      <c r="AU12" s="151"/>
      <c r="AV12" s="151"/>
      <c r="AW12" s="163">
        <v>45.13</v>
      </c>
      <c r="AX12" s="145">
        <f t="shared" si="3"/>
        <v>3691.77</v>
      </c>
      <c r="AY12" s="151"/>
      <c r="AZ12" s="151"/>
      <c r="BA12" s="151"/>
      <c r="BB12" s="151">
        <f t="shared" si="37"/>
        <v>0</v>
      </c>
      <c r="BC12" s="151">
        <f t="shared" si="38"/>
        <v>0</v>
      </c>
      <c r="BD12" s="151"/>
      <c r="BE12" s="104"/>
      <c r="BF12" s="104"/>
      <c r="BG12" s="127"/>
      <c r="BH12" s="127"/>
      <c r="BI12" s="145">
        <f t="shared" si="4"/>
        <v>3691.77</v>
      </c>
      <c r="BJ12" s="104">
        <f t="shared" si="39"/>
        <v>369.17700000000002</v>
      </c>
      <c r="BK12" s="145">
        <f t="shared" si="5"/>
        <v>3322.5929999999998</v>
      </c>
      <c r="BL12" s="104">
        <f t="shared" si="40"/>
        <v>0</v>
      </c>
      <c r="BM12" s="104">
        <v>10.23</v>
      </c>
      <c r="BN12" s="145">
        <f t="shared" si="6"/>
        <v>3702</v>
      </c>
      <c r="BO12" s="241"/>
      <c r="BP12" s="241"/>
      <c r="BQ12" s="241"/>
      <c r="BR12" s="107"/>
      <c r="BS12" s="107"/>
      <c r="BV12" s="127" t="s">
        <v>383</v>
      </c>
      <c r="BW12" s="127" t="s">
        <v>384</v>
      </c>
      <c r="BX12" s="127"/>
      <c r="BY12" s="127" t="s">
        <v>289</v>
      </c>
      <c r="BZ12" s="127" t="s">
        <v>385</v>
      </c>
      <c r="CA12" s="127"/>
      <c r="CB12" s="127"/>
      <c r="CC12" s="127"/>
      <c r="CD12" s="151">
        <v>739.23</v>
      </c>
      <c r="CE12" s="127"/>
      <c r="CF12" s="151">
        <f t="shared" si="7"/>
        <v>739.23</v>
      </c>
      <c r="CG12" s="151">
        <v>2997.67</v>
      </c>
      <c r="CH12" s="151"/>
      <c r="CI12" s="151"/>
      <c r="CJ12" s="151"/>
      <c r="CK12" s="163">
        <v>45.13</v>
      </c>
      <c r="CL12" s="145">
        <f t="shared" si="8"/>
        <v>3691.77</v>
      </c>
      <c r="CM12" s="151"/>
      <c r="CN12" s="151"/>
      <c r="CO12" s="151"/>
      <c r="CP12" s="151"/>
      <c r="CQ12" s="151"/>
      <c r="CR12" s="151"/>
      <c r="CS12" s="104">
        <f t="shared" si="41"/>
        <v>0</v>
      </c>
      <c r="CT12" s="104"/>
      <c r="CU12" s="127"/>
      <c r="CV12" s="127"/>
      <c r="CW12" s="145">
        <f t="shared" si="9"/>
        <v>3691.77</v>
      </c>
      <c r="CX12" s="104">
        <f t="shared" si="42"/>
        <v>369.17700000000002</v>
      </c>
      <c r="CY12" s="145">
        <f t="shared" si="10"/>
        <v>3322.5929999999998</v>
      </c>
      <c r="CZ12" s="104">
        <f t="shared" si="43"/>
        <v>0</v>
      </c>
      <c r="DA12" s="104">
        <v>10.23</v>
      </c>
      <c r="DB12" s="145">
        <f t="shared" si="11"/>
        <v>3702</v>
      </c>
      <c r="DC12" s="241"/>
      <c r="DD12" s="241"/>
      <c r="DE12" s="241"/>
      <c r="DF12" s="107"/>
      <c r="DG12" s="107"/>
      <c r="DJ12" s="21"/>
      <c r="DK12" s="21"/>
      <c r="DL12" s="21"/>
      <c r="DM12" s="21"/>
      <c r="DN12" s="21"/>
      <c r="DO12" s="60">
        <f>+U12-'C&amp;A'!L13-SINDICATO!P13</f>
        <v>0</v>
      </c>
    </row>
    <row r="13" spans="1:124" ht="15.75" hidden="1" thickTop="1" x14ac:dyDescent="0.25">
      <c r="A13" s="20" t="s">
        <v>42</v>
      </c>
      <c r="B13" s="21" t="s">
        <v>43</v>
      </c>
      <c r="C13" s="22">
        <f t="shared" si="12"/>
        <v>1633.33</v>
      </c>
      <c r="D13" s="22">
        <v>0</v>
      </c>
      <c r="E13" s="22">
        <f t="shared" si="13"/>
        <v>2309.69</v>
      </c>
      <c r="F13" s="22">
        <v>0</v>
      </c>
      <c r="G13" s="22">
        <f t="shared" si="14"/>
        <v>3943.02</v>
      </c>
      <c r="H13" s="22">
        <f t="shared" si="15"/>
        <v>0</v>
      </c>
      <c r="I13" s="22">
        <f t="shared" si="16"/>
        <v>0</v>
      </c>
      <c r="J13" s="22">
        <f t="shared" si="17"/>
        <v>0</v>
      </c>
      <c r="K13" s="22">
        <f t="shared" si="18"/>
        <v>0</v>
      </c>
      <c r="L13" s="22">
        <f t="shared" si="19"/>
        <v>45.13</v>
      </c>
      <c r="M13" s="22">
        <f t="shared" si="20"/>
        <v>0</v>
      </c>
      <c r="N13" s="22">
        <f t="shared" si="21"/>
        <v>0</v>
      </c>
      <c r="O13" s="22">
        <f t="shared" si="22"/>
        <v>389.78899999999999</v>
      </c>
      <c r="P13" s="22">
        <f t="shared" si="23"/>
        <v>0</v>
      </c>
      <c r="Q13" s="22">
        <v>0</v>
      </c>
      <c r="R13" s="22">
        <f t="shared" si="24"/>
        <v>0</v>
      </c>
      <c r="S13" s="22">
        <f t="shared" si="25"/>
        <v>0</v>
      </c>
      <c r="T13" s="22">
        <f t="shared" si="26"/>
        <v>434.91899999999998</v>
      </c>
      <c r="U13" s="22">
        <f t="shared" si="27"/>
        <v>3508.1010000000001</v>
      </c>
      <c r="V13" s="22">
        <f t="shared" si="28"/>
        <v>3897.89</v>
      </c>
      <c r="W13" s="22">
        <f t="shared" si="29"/>
        <v>0</v>
      </c>
      <c r="X13" s="22">
        <f>+'C&amp;A'!E14*0.02</f>
        <v>10.2256</v>
      </c>
      <c r="Y13" s="22">
        <f t="shared" si="30"/>
        <v>0</v>
      </c>
      <c r="Z13" s="22">
        <f t="shared" si="31"/>
        <v>3908.1156000000001</v>
      </c>
      <c r="AA13" s="22">
        <f t="shared" si="32"/>
        <v>625.298496</v>
      </c>
      <c r="AB13" s="22">
        <f t="shared" si="33"/>
        <v>4533.4140960000004</v>
      </c>
      <c r="AC13" s="60">
        <f t="shared" si="1"/>
        <v>0</v>
      </c>
      <c r="AD13" s="62">
        <f>+U13-'C&amp;A'!L14-SINDICATO!P14</f>
        <v>0</v>
      </c>
      <c r="AE13" s="62">
        <f>+'C&amp;A'!L14+'C&amp;A'!J14+'C&amp;A'!H14+'C&amp;A'!G14+SINDICATO!E14-G13</f>
        <v>0</v>
      </c>
      <c r="AF13" s="62">
        <f t="shared" si="2"/>
        <v>0</v>
      </c>
      <c r="AG13" s="127" t="s">
        <v>377</v>
      </c>
      <c r="AH13" s="127" t="s">
        <v>387</v>
      </c>
      <c r="AI13" s="127" t="s">
        <v>379</v>
      </c>
      <c r="AJ13" s="127">
        <v>16</v>
      </c>
      <c r="AK13" s="127" t="s">
        <v>388</v>
      </c>
      <c r="AL13" s="127"/>
      <c r="AM13" s="127"/>
      <c r="AN13" s="127"/>
      <c r="AO13" s="151">
        <v>1633.33</v>
      </c>
      <c r="AP13" s="162">
        <f t="shared" si="34"/>
        <v>0</v>
      </c>
      <c r="AQ13" s="151">
        <f t="shared" si="35"/>
        <v>1633.33</v>
      </c>
      <c r="AR13" s="151">
        <f t="shared" si="36"/>
        <v>0</v>
      </c>
      <c r="AS13" s="151">
        <v>2309.69</v>
      </c>
      <c r="AT13" s="151"/>
      <c r="AU13" s="151"/>
      <c r="AV13" s="151"/>
      <c r="AW13" s="163">
        <v>45.13</v>
      </c>
      <c r="AX13" s="145">
        <f t="shared" si="3"/>
        <v>3897.89</v>
      </c>
      <c r="AY13" s="151"/>
      <c r="AZ13" s="151"/>
      <c r="BA13" s="151">
        <v>0</v>
      </c>
      <c r="BB13" s="151">
        <f t="shared" si="37"/>
        <v>0</v>
      </c>
      <c r="BC13" s="151">
        <f t="shared" si="38"/>
        <v>0</v>
      </c>
      <c r="BD13" s="151"/>
      <c r="BE13" s="104"/>
      <c r="BF13" s="104"/>
      <c r="BG13" s="127"/>
      <c r="BH13" s="127">
        <v>0</v>
      </c>
      <c r="BI13" s="145">
        <f t="shared" si="4"/>
        <v>3897.89</v>
      </c>
      <c r="BJ13" s="104">
        <f t="shared" si="39"/>
        <v>389.78899999999999</v>
      </c>
      <c r="BK13" s="145">
        <f t="shared" si="5"/>
        <v>3508.1009999999997</v>
      </c>
      <c r="BL13" s="104">
        <f t="shared" si="40"/>
        <v>0</v>
      </c>
      <c r="BM13" s="104">
        <v>10.23</v>
      </c>
      <c r="BN13" s="145">
        <f t="shared" si="6"/>
        <v>3908.12</v>
      </c>
      <c r="BO13" s="241"/>
      <c r="BP13" s="241"/>
      <c r="BQ13" s="241"/>
      <c r="BR13" s="107"/>
      <c r="BS13" s="107"/>
      <c r="BV13" s="127" t="s">
        <v>377</v>
      </c>
      <c r="BW13" s="127" t="s">
        <v>387</v>
      </c>
      <c r="BX13" s="127" t="s">
        <v>379</v>
      </c>
      <c r="BY13" s="127">
        <v>16</v>
      </c>
      <c r="BZ13" s="127" t="s">
        <v>388</v>
      </c>
      <c r="CA13" s="127"/>
      <c r="CB13" s="127"/>
      <c r="CC13" s="127"/>
      <c r="CD13" s="151">
        <v>1633.33</v>
      </c>
      <c r="CE13" s="127"/>
      <c r="CF13" s="151">
        <f t="shared" si="7"/>
        <v>1633.33</v>
      </c>
      <c r="CG13" s="151">
        <v>2309.69</v>
      </c>
      <c r="CH13" s="151"/>
      <c r="CI13" s="151"/>
      <c r="CJ13" s="151"/>
      <c r="CK13" s="163">
        <v>45.13</v>
      </c>
      <c r="CL13" s="145">
        <f t="shared" si="8"/>
        <v>3897.89</v>
      </c>
      <c r="CM13" s="151"/>
      <c r="CN13" s="151"/>
      <c r="CO13" s="151">
        <v>0</v>
      </c>
      <c r="CP13" s="151"/>
      <c r="CQ13" s="151"/>
      <c r="CR13" s="151"/>
      <c r="CS13" s="104">
        <f t="shared" si="41"/>
        <v>0</v>
      </c>
      <c r="CT13" s="104"/>
      <c r="CU13" s="127"/>
      <c r="CV13" s="127">
        <v>0</v>
      </c>
      <c r="CW13" s="145">
        <f t="shared" si="9"/>
        <v>3897.89</v>
      </c>
      <c r="CX13" s="104">
        <f t="shared" si="42"/>
        <v>389.78899999999999</v>
      </c>
      <c r="CY13" s="145">
        <f t="shared" si="10"/>
        <v>3508.1009999999997</v>
      </c>
      <c r="CZ13" s="104">
        <f t="shared" si="43"/>
        <v>0</v>
      </c>
      <c r="DA13" s="104">
        <v>10.23</v>
      </c>
      <c r="DB13" s="145">
        <f t="shared" si="11"/>
        <v>3908.12</v>
      </c>
      <c r="DC13" s="241"/>
      <c r="DD13" s="241"/>
      <c r="DE13" s="241"/>
      <c r="DF13" s="107"/>
      <c r="DG13" s="107"/>
      <c r="DJ13" s="21"/>
      <c r="DK13" s="21"/>
      <c r="DL13" s="21"/>
      <c r="DM13" s="21"/>
      <c r="DN13" s="21"/>
      <c r="DO13" s="60">
        <f>+U13-'C&amp;A'!L14-SINDICATO!P14</f>
        <v>0</v>
      </c>
    </row>
    <row r="14" spans="1:124" ht="15.75" hidden="1" thickTop="1" x14ac:dyDescent="0.25">
      <c r="A14" s="20" t="s">
        <v>773</v>
      </c>
      <c r="B14" s="21" t="s">
        <v>609</v>
      </c>
      <c r="C14" s="22">
        <f t="shared" si="12"/>
        <v>608.16</v>
      </c>
      <c r="D14" s="22">
        <v>0</v>
      </c>
      <c r="E14" s="22">
        <f t="shared" si="13"/>
        <v>915.13</v>
      </c>
      <c r="F14" s="22">
        <v>0</v>
      </c>
      <c r="G14" s="22">
        <f t="shared" si="14"/>
        <v>1523.29</v>
      </c>
      <c r="H14" s="22">
        <f t="shared" si="15"/>
        <v>0</v>
      </c>
      <c r="I14" s="22">
        <f t="shared" si="16"/>
        <v>0</v>
      </c>
      <c r="J14" s="22">
        <f t="shared" si="17"/>
        <v>0</v>
      </c>
      <c r="K14" s="22">
        <f t="shared" si="18"/>
        <v>0</v>
      </c>
      <c r="L14" s="22">
        <f t="shared" si="19"/>
        <v>45.13</v>
      </c>
      <c r="M14" s="22">
        <f t="shared" si="20"/>
        <v>0</v>
      </c>
      <c r="N14" s="22">
        <f t="shared" si="21"/>
        <v>0</v>
      </c>
      <c r="O14" s="22">
        <f t="shared" si="22"/>
        <v>0</v>
      </c>
      <c r="P14" s="22">
        <f t="shared" si="23"/>
        <v>0</v>
      </c>
      <c r="Q14" s="22">
        <v>0</v>
      </c>
      <c r="R14" s="22">
        <f t="shared" si="24"/>
        <v>0</v>
      </c>
      <c r="S14" s="22">
        <f t="shared" si="25"/>
        <v>0</v>
      </c>
      <c r="T14" s="22">
        <f t="shared" si="26"/>
        <v>45.13</v>
      </c>
      <c r="U14" s="22">
        <f t="shared" si="27"/>
        <v>1478.1599999999999</v>
      </c>
      <c r="V14" s="22">
        <f t="shared" si="28"/>
        <v>1478.1599999999999</v>
      </c>
      <c r="W14" s="22">
        <f t="shared" si="29"/>
        <v>147.816</v>
      </c>
      <c r="X14" s="22">
        <f>+'C&amp;A'!E15*0.02</f>
        <v>10.2256</v>
      </c>
      <c r="Y14" s="22">
        <f t="shared" si="30"/>
        <v>0</v>
      </c>
      <c r="Z14" s="22">
        <f t="shared" si="31"/>
        <v>1636.2015999999999</v>
      </c>
      <c r="AA14" s="22">
        <f t="shared" si="32"/>
        <v>261.79225600000001</v>
      </c>
      <c r="AB14" s="22">
        <f t="shared" si="33"/>
        <v>1897.9938559999998</v>
      </c>
      <c r="AC14" s="60">
        <f t="shared" si="1"/>
        <v>0</v>
      </c>
      <c r="AD14" s="62">
        <f>+U14-'C&amp;A'!L15-SINDICATO!P15</f>
        <v>0</v>
      </c>
      <c r="AE14" s="62">
        <f>+'C&amp;A'!L15+'C&amp;A'!J15+'C&amp;A'!H15+'C&amp;A'!G15+SINDICATO!E15-G14</f>
        <v>0</v>
      </c>
      <c r="AF14" s="62">
        <f t="shared" si="2"/>
        <v>0</v>
      </c>
      <c r="AG14" s="127" t="s">
        <v>375</v>
      </c>
      <c r="AH14" s="127" t="s">
        <v>609</v>
      </c>
      <c r="AI14" s="127"/>
      <c r="AJ14" s="127"/>
      <c r="AK14" s="127" t="s">
        <v>610</v>
      </c>
      <c r="AL14" s="165">
        <v>42422</v>
      </c>
      <c r="AM14" s="127"/>
      <c r="AN14" s="127"/>
      <c r="AO14" s="151">
        <v>608.16</v>
      </c>
      <c r="AP14" s="162">
        <f t="shared" si="34"/>
        <v>0</v>
      </c>
      <c r="AQ14" s="151">
        <f t="shared" si="35"/>
        <v>608.16</v>
      </c>
      <c r="AR14" s="151">
        <f t="shared" si="36"/>
        <v>0</v>
      </c>
      <c r="AS14" s="151">
        <v>915.13</v>
      </c>
      <c r="AT14" s="151"/>
      <c r="AU14" s="151"/>
      <c r="AV14" s="151"/>
      <c r="AW14" s="163">
        <v>45.13</v>
      </c>
      <c r="AX14" s="145">
        <f t="shared" si="3"/>
        <v>1478.1599999999999</v>
      </c>
      <c r="AY14" s="151"/>
      <c r="AZ14" s="151"/>
      <c r="BA14" s="151">
        <v>0</v>
      </c>
      <c r="BB14" s="151">
        <f t="shared" si="37"/>
        <v>0</v>
      </c>
      <c r="BC14" s="151">
        <f t="shared" si="38"/>
        <v>0</v>
      </c>
      <c r="BD14" s="151"/>
      <c r="BE14" s="104"/>
      <c r="BF14" s="104"/>
      <c r="BG14" s="127"/>
      <c r="BH14" s="127">
        <v>0</v>
      </c>
      <c r="BI14" s="145">
        <f t="shared" si="4"/>
        <v>1478.1599999999999</v>
      </c>
      <c r="BJ14" s="104">
        <f t="shared" si="39"/>
        <v>0</v>
      </c>
      <c r="BK14" s="145">
        <f t="shared" si="5"/>
        <v>1478.1599999999999</v>
      </c>
      <c r="BL14" s="104">
        <f t="shared" si="40"/>
        <v>147.816</v>
      </c>
      <c r="BM14" s="104">
        <v>10.23</v>
      </c>
      <c r="BN14" s="145">
        <f t="shared" si="6"/>
        <v>1636.2059999999999</v>
      </c>
      <c r="BO14" s="241"/>
      <c r="BP14" s="241"/>
      <c r="BQ14" s="241"/>
      <c r="BR14" s="107">
        <v>1456104819</v>
      </c>
      <c r="BS14" s="88"/>
      <c r="BV14" s="127" t="s">
        <v>375</v>
      </c>
      <c r="BW14" s="127" t="s">
        <v>609</v>
      </c>
      <c r="BX14" s="127"/>
      <c r="BY14" s="127"/>
      <c r="BZ14" s="127" t="s">
        <v>610</v>
      </c>
      <c r="CA14" s="165">
        <v>42422</v>
      </c>
      <c r="CB14" s="127"/>
      <c r="CC14" s="127"/>
      <c r="CD14" s="151">
        <v>608.16</v>
      </c>
      <c r="CE14" s="127"/>
      <c r="CF14" s="151">
        <f t="shared" si="7"/>
        <v>608.16</v>
      </c>
      <c r="CG14" s="151">
        <v>915.13</v>
      </c>
      <c r="CH14" s="151"/>
      <c r="CI14" s="151"/>
      <c r="CJ14" s="151"/>
      <c r="CK14" s="163">
        <v>45.13</v>
      </c>
      <c r="CL14" s="145">
        <f t="shared" si="8"/>
        <v>1478.1599999999999</v>
      </c>
      <c r="CM14" s="151"/>
      <c r="CN14" s="151"/>
      <c r="CO14" s="151">
        <v>0</v>
      </c>
      <c r="CP14" s="151"/>
      <c r="CQ14" s="151"/>
      <c r="CR14" s="151"/>
      <c r="CS14" s="104">
        <f t="shared" si="41"/>
        <v>0</v>
      </c>
      <c r="CT14" s="104"/>
      <c r="CU14" s="127"/>
      <c r="CV14" s="127">
        <v>0</v>
      </c>
      <c r="CW14" s="145">
        <f t="shared" ref="CW14" si="44">+CL14-SUM(CM14:CV14)</f>
        <v>1478.1599999999999</v>
      </c>
      <c r="CX14" s="104">
        <f t="shared" si="42"/>
        <v>0</v>
      </c>
      <c r="CY14" s="145">
        <f t="shared" si="10"/>
        <v>1478.1599999999999</v>
      </c>
      <c r="CZ14" s="104">
        <f t="shared" si="43"/>
        <v>147.816</v>
      </c>
      <c r="DA14" s="104">
        <v>10.23</v>
      </c>
      <c r="DB14" s="145">
        <f t="shared" si="11"/>
        <v>1636.2059999999999</v>
      </c>
      <c r="DC14" s="241"/>
      <c r="DD14" s="241"/>
      <c r="DE14" s="241"/>
      <c r="DF14" s="107">
        <v>1456104819</v>
      </c>
      <c r="DG14" s="88"/>
      <c r="DJ14" s="21"/>
      <c r="DK14" s="21"/>
      <c r="DL14" s="21"/>
      <c r="DM14" s="21"/>
      <c r="DN14" s="21"/>
      <c r="DO14" s="60">
        <f>+U14-'C&amp;A'!L15-SINDICATO!P15</f>
        <v>0</v>
      </c>
    </row>
    <row r="15" spans="1:124" ht="15.75" hidden="1" thickTop="1" x14ac:dyDescent="0.25">
      <c r="A15" s="20" t="s">
        <v>44</v>
      </c>
      <c r="B15" s="21" t="s">
        <v>45</v>
      </c>
      <c r="C15" s="22">
        <f t="shared" si="12"/>
        <v>1166.6600000000001</v>
      </c>
      <c r="D15" s="22">
        <v>0</v>
      </c>
      <c r="E15" s="22">
        <f t="shared" si="13"/>
        <v>1000</v>
      </c>
      <c r="F15" s="22">
        <v>0</v>
      </c>
      <c r="G15" s="22">
        <f t="shared" si="14"/>
        <v>2166.66</v>
      </c>
      <c r="H15" s="22">
        <f t="shared" si="15"/>
        <v>0</v>
      </c>
      <c r="I15" s="22">
        <f t="shared" si="16"/>
        <v>0</v>
      </c>
      <c r="J15" s="22">
        <f t="shared" si="17"/>
        <v>0</v>
      </c>
      <c r="K15" s="22">
        <f t="shared" si="18"/>
        <v>0</v>
      </c>
      <c r="L15" s="22">
        <f t="shared" si="19"/>
        <v>45.13</v>
      </c>
      <c r="M15" s="22">
        <f t="shared" si="20"/>
        <v>0</v>
      </c>
      <c r="N15" s="22">
        <f t="shared" si="21"/>
        <v>368.35</v>
      </c>
      <c r="O15" s="22">
        <f t="shared" si="22"/>
        <v>0</v>
      </c>
      <c r="P15" s="22">
        <f t="shared" si="23"/>
        <v>0</v>
      </c>
      <c r="Q15" s="22">
        <v>0</v>
      </c>
      <c r="R15" s="22">
        <f t="shared" si="24"/>
        <v>0</v>
      </c>
      <c r="S15" s="22">
        <f t="shared" si="25"/>
        <v>0</v>
      </c>
      <c r="T15" s="22">
        <f t="shared" si="26"/>
        <v>413.48</v>
      </c>
      <c r="U15" s="22">
        <f t="shared" si="27"/>
        <v>1753.1799999999998</v>
      </c>
      <c r="V15" s="22">
        <f t="shared" si="28"/>
        <v>2121.5299999999997</v>
      </c>
      <c r="W15" s="22">
        <f t="shared" si="29"/>
        <v>212.15299999999999</v>
      </c>
      <c r="X15" s="22">
        <f>+'C&amp;A'!E16*0.02</f>
        <v>10.2256</v>
      </c>
      <c r="Y15" s="22">
        <f t="shared" si="30"/>
        <v>0</v>
      </c>
      <c r="Z15" s="22">
        <f t="shared" si="31"/>
        <v>2343.9085999999998</v>
      </c>
      <c r="AA15" s="22">
        <f t="shared" si="32"/>
        <v>375.02537599999999</v>
      </c>
      <c r="AB15" s="22">
        <f t="shared" si="33"/>
        <v>2718.9339759999998</v>
      </c>
      <c r="AC15" s="60">
        <f t="shared" si="1"/>
        <v>0</v>
      </c>
      <c r="AD15" s="62">
        <f>+U15-'C&amp;A'!L16-SINDICATO!P16</f>
        <v>0</v>
      </c>
      <c r="AE15" s="62">
        <f>+'C&amp;A'!L16+'C&amp;A'!J16+'C&amp;A'!H16+'C&amp;A'!G16+SINDICATO!E16-G15</f>
        <v>0</v>
      </c>
      <c r="AF15" s="62">
        <f t="shared" si="2"/>
        <v>0</v>
      </c>
      <c r="AG15" s="127" t="s">
        <v>377</v>
      </c>
      <c r="AH15" s="127" t="s">
        <v>393</v>
      </c>
      <c r="AI15" s="127" t="s">
        <v>30</v>
      </c>
      <c r="AJ15" s="127" t="s">
        <v>44</v>
      </c>
      <c r="AK15" s="127" t="s">
        <v>189</v>
      </c>
      <c r="AL15" s="127"/>
      <c r="AM15" s="127"/>
      <c r="AN15" s="127"/>
      <c r="AO15" s="151">
        <v>513.33000000000004</v>
      </c>
      <c r="AP15" s="162">
        <f t="shared" si="34"/>
        <v>653.33000000000004</v>
      </c>
      <c r="AQ15" s="151">
        <f t="shared" si="35"/>
        <v>1166.6600000000001</v>
      </c>
      <c r="AR15" s="151">
        <f t="shared" si="36"/>
        <v>0</v>
      </c>
      <c r="AS15" s="151">
        <v>1000</v>
      </c>
      <c r="AT15" s="151"/>
      <c r="AU15" s="151"/>
      <c r="AV15" s="151"/>
      <c r="AW15" s="163">
        <v>45.13</v>
      </c>
      <c r="AX15" s="145">
        <f t="shared" si="3"/>
        <v>2121.5299999999997</v>
      </c>
      <c r="AY15" s="151"/>
      <c r="AZ15" s="151"/>
      <c r="BA15" s="151">
        <v>0</v>
      </c>
      <c r="BB15" s="151">
        <f t="shared" si="37"/>
        <v>0</v>
      </c>
      <c r="BC15" s="151">
        <f t="shared" si="38"/>
        <v>0</v>
      </c>
      <c r="BD15" s="151"/>
      <c r="BE15" s="104"/>
      <c r="BF15" s="104"/>
      <c r="BG15" s="127"/>
      <c r="BH15" s="127">
        <v>368.35</v>
      </c>
      <c r="BI15" s="145">
        <f t="shared" si="4"/>
        <v>1753.1799999999998</v>
      </c>
      <c r="BJ15" s="104">
        <f t="shared" si="39"/>
        <v>0</v>
      </c>
      <c r="BK15" s="145">
        <f t="shared" si="5"/>
        <v>1753.1799999999998</v>
      </c>
      <c r="BL15" s="104">
        <f t="shared" si="40"/>
        <v>212.15299999999999</v>
      </c>
      <c r="BM15" s="104">
        <v>10.23</v>
      </c>
      <c r="BN15" s="145">
        <f t="shared" si="6"/>
        <v>2343.9129999999996</v>
      </c>
      <c r="BO15" s="241"/>
      <c r="BP15" s="241"/>
      <c r="BQ15" s="241"/>
      <c r="BR15" s="107"/>
      <c r="BS15" s="107"/>
      <c r="BV15" s="127" t="s">
        <v>377</v>
      </c>
      <c r="BW15" s="127" t="s">
        <v>393</v>
      </c>
      <c r="BX15" s="127" t="s">
        <v>30</v>
      </c>
      <c r="BY15" s="127" t="s">
        <v>44</v>
      </c>
      <c r="BZ15" s="127" t="s">
        <v>189</v>
      </c>
      <c r="CA15" s="127"/>
      <c r="CB15" s="127"/>
      <c r="CC15" s="127"/>
      <c r="CD15" s="151">
        <v>513.33000000000004</v>
      </c>
      <c r="CE15" s="127">
        <v>653.33000000000004</v>
      </c>
      <c r="CF15" s="151">
        <f t="shared" ref="CF15:CF46" si="45">+CD15+CE15</f>
        <v>1166.6600000000001</v>
      </c>
      <c r="CG15" s="151">
        <v>1000</v>
      </c>
      <c r="CH15" s="151"/>
      <c r="CI15" s="151"/>
      <c r="CJ15" s="151"/>
      <c r="CK15" s="163">
        <v>45.13</v>
      </c>
      <c r="CL15" s="145">
        <f t="shared" ref="CL15:CL46" si="46">SUM(CF15:CJ15)-CK15</f>
        <v>2121.5299999999997</v>
      </c>
      <c r="CM15" s="151"/>
      <c r="CN15" s="151"/>
      <c r="CO15" s="151">
        <v>0</v>
      </c>
      <c r="CP15" s="151"/>
      <c r="CQ15" s="151"/>
      <c r="CR15" s="151"/>
      <c r="CS15" s="104">
        <f t="shared" si="41"/>
        <v>0</v>
      </c>
      <c r="CT15" s="104"/>
      <c r="CU15" s="127"/>
      <c r="CV15" s="127">
        <v>368.35</v>
      </c>
      <c r="CW15" s="145">
        <f t="shared" ref="CW15:CW46" si="47">+CL15-SUM(CM15:CV15)</f>
        <v>1753.1799999999998</v>
      </c>
      <c r="CX15" s="104">
        <f t="shared" ref="CX15:CX46" si="48">IF(CL15&gt;3500,CL15*0.1,0)</f>
        <v>0</v>
      </c>
      <c r="CY15" s="145">
        <f t="shared" ref="CY15:CY46" si="49">+CW15-CX15</f>
        <v>1753.1799999999998</v>
      </c>
      <c r="CZ15" s="104">
        <f t="shared" ref="CZ15:CZ46" si="50">IF(CL15&lt;3500,CL15*0.1,0)</f>
        <v>212.15299999999999</v>
      </c>
      <c r="DA15" s="104">
        <v>10.23</v>
      </c>
      <c r="DB15" s="145">
        <f t="shared" ref="DB15:DB46" si="51">+CL15+CZ15+DA15</f>
        <v>2343.9129999999996</v>
      </c>
      <c r="DC15" s="241"/>
      <c r="DD15" s="241"/>
      <c r="DE15" s="241"/>
      <c r="DF15" s="107"/>
      <c r="DG15" s="107"/>
      <c r="DJ15" s="21"/>
      <c r="DK15" s="21"/>
      <c r="DL15" s="21"/>
      <c r="DM15" s="21"/>
      <c r="DN15" s="21"/>
      <c r="DO15" s="60">
        <f>+U15-'C&amp;A'!L16-SINDICATO!P16</f>
        <v>0</v>
      </c>
    </row>
    <row r="16" spans="1:124" ht="15.75" hidden="1" thickTop="1" x14ac:dyDescent="0.25">
      <c r="A16" s="50" t="s">
        <v>518</v>
      </c>
      <c r="B16" s="21" t="s">
        <v>517</v>
      </c>
      <c r="C16" s="22">
        <f t="shared" si="12"/>
        <v>1166.6600000000001</v>
      </c>
      <c r="D16" s="22">
        <v>0</v>
      </c>
      <c r="E16" s="22">
        <f t="shared" si="13"/>
        <v>0</v>
      </c>
      <c r="F16" s="22">
        <v>0</v>
      </c>
      <c r="G16" s="22">
        <f t="shared" si="14"/>
        <v>1166.6600000000001</v>
      </c>
      <c r="H16" s="22">
        <f t="shared" si="15"/>
        <v>0</v>
      </c>
      <c r="I16" s="22">
        <f t="shared" si="16"/>
        <v>0</v>
      </c>
      <c r="J16" s="22">
        <f t="shared" si="17"/>
        <v>0</v>
      </c>
      <c r="K16" s="22">
        <f t="shared" si="18"/>
        <v>0</v>
      </c>
      <c r="L16" s="22">
        <f t="shared" si="19"/>
        <v>45.13</v>
      </c>
      <c r="M16" s="22">
        <f t="shared" si="20"/>
        <v>0</v>
      </c>
      <c r="N16" s="22">
        <f t="shared" si="21"/>
        <v>0</v>
      </c>
      <c r="O16" s="22">
        <f t="shared" si="22"/>
        <v>0</v>
      </c>
      <c r="P16" s="22">
        <f t="shared" si="23"/>
        <v>0</v>
      </c>
      <c r="Q16" s="22">
        <v>0</v>
      </c>
      <c r="R16" s="22">
        <f t="shared" si="24"/>
        <v>0</v>
      </c>
      <c r="S16" s="22">
        <f t="shared" si="25"/>
        <v>0</v>
      </c>
      <c r="T16" s="22">
        <f t="shared" si="26"/>
        <v>45.13</v>
      </c>
      <c r="U16" s="22">
        <f t="shared" si="27"/>
        <v>1121.53</v>
      </c>
      <c r="V16" s="22">
        <f t="shared" si="28"/>
        <v>1121.53</v>
      </c>
      <c r="W16" s="22">
        <f t="shared" si="29"/>
        <v>112.15300000000001</v>
      </c>
      <c r="X16" s="22">
        <f>+'C&amp;A'!E17*0.02</f>
        <v>8.5213999999999999</v>
      </c>
      <c r="Y16" s="22">
        <f t="shared" si="30"/>
        <v>0</v>
      </c>
      <c r="Z16" s="22">
        <f t="shared" si="31"/>
        <v>1242.2044000000001</v>
      </c>
      <c r="AA16" s="22">
        <f t="shared" si="32"/>
        <v>198.75270400000002</v>
      </c>
      <c r="AB16" s="22">
        <f t="shared" si="33"/>
        <v>1440.9571040000001</v>
      </c>
      <c r="AC16" s="60">
        <f t="shared" si="1"/>
        <v>0</v>
      </c>
      <c r="AD16" s="62">
        <f>+U16-'C&amp;A'!L17-SINDICATO!P17</f>
        <v>0</v>
      </c>
      <c r="AE16" s="62">
        <f>+'C&amp;A'!L17+'C&amp;A'!J17+'C&amp;A'!H17+'C&amp;A'!G17+SINDICATO!E17-G16</f>
        <v>0</v>
      </c>
      <c r="AF16" s="62">
        <f t="shared" si="2"/>
        <v>0</v>
      </c>
      <c r="AG16" s="127" t="s">
        <v>389</v>
      </c>
      <c r="AH16" s="127" t="s">
        <v>390</v>
      </c>
      <c r="AI16" s="127" t="s">
        <v>391</v>
      </c>
      <c r="AJ16" s="127"/>
      <c r="AK16" s="127" t="s">
        <v>392</v>
      </c>
      <c r="AL16" s="165">
        <v>42417</v>
      </c>
      <c r="AM16" s="127"/>
      <c r="AN16" s="127"/>
      <c r="AO16" s="151">
        <v>513.33000000000004</v>
      </c>
      <c r="AP16" s="162">
        <f t="shared" si="34"/>
        <v>653.33000000000004</v>
      </c>
      <c r="AQ16" s="151">
        <f t="shared" si="35"/>
        <v>1166.6600000000001</v>
      </c>
      <c r="AR16" s="151">
        <f t="shared" si="36"/>
        <v>0</v>
      </c>
      <c r="AS16" s="151"/>
      <c r="AT16" s="151"/>
      <c r="AU16" s="151"/>
      <c r="AV16" s="151"/>
      <c r="AW16" s="163">
        <v>45.13</v>
      </c>
      <c r="AX16" s="145">
        <f t="shared" si="3"/>
        <v>1121.53</v>
      </c>
      <c r="AY16" s="151"/>
      <c r="AZ16" s="151"/>
      <c r="BA16" s="151">
        <v>0</v>
      </c>
      <c r="BB16" s="151">
        <f t="shared" si="37"/>
        <v>0</v>
      </c>
      <c r="BC16" s="151">
        <f t="shared" si="38"/>
        <v>0</v>
      </c>
      <c r="BD16" s="151"/>
      <c r="BE16" s="104"/>
      <c r="BF16" s="104"/>
      <c r="BG16" s="127"/>
      <c r="BH16" s="127">
        <v>0</v>
      </c>
      <c r="BI16" s="145">
        <f t="shared" si="4"/>
        <v>1121.53</v>
      </c>
      <c r="BJ16" s="104">
        <f t="shared" si="39"/>
        <v>0</v>
      </c>
      <c r="BK16" s="145">
        <f t="shared" si="5"/>
        <v>1121.53</v>
      </c>
      <c r="BL16" s="104">
        <f t="shared" si="40"/>
        <v>112.15300000000001</v>
      </c>
      <c r="BM16" s="104">
        <v>10.23</v>
      </c>
      <c r="BN16" s="145">
        <f t="shared" si="6"/>
        <v>1243.913</v>
      </c>
      <c r="BO16" s="241"/>
      <c r="BP16" s="241"/>
      <c r="BQ16" s="241"/>
      <c r="BR16" s="107"/>
      <c r="BS16" s="107"/>
      <c r="BV16" s="127" t="s">
        <v>389</v>
      </c>
      <c r="BW16" s="127" t="s">
        <v>390</v>
      </c>
      <c r="BX16" s="127" t="s">
        <v>391</v>
      </c>
      <c r="BY16" s="127"/>
      <c r="BZ16" s="127" t="s">
        <v>392</v>
      </c>
      <c r="CA16" s="165">
        <v>42417</v>
      </c>
      <c r="CB16" s="127"/>
      <c r="CC16" s="127"/>
      <c r="CD16" s="151">
        <v>513.33000000000004</v>
      </c>
      <c r="CE16" s="127">
        <v>653.33000000000004</v>
      </c>
      <c r="CF16" s="151">
        <f t="shared" si="45"/>
        <v>1166.6600000000001</v>
      </c>
      <c r="CG16" s="151"/>
      <c r="CH16" s="151"/>
      <c r="CI16" s="151"/>
      <c r="CJ16" s="151"/>
      <c r="CK16" s="163">
        <v>45.13</v>
      </c>
      <c r="CL16" s="145">
        <f t="shared" si="46"/>
        <v>1121.53</v>
      </c>
      <c r="CM16" s="151"/>
      <c r="CN16" s="151"/>
      <c r="CO16" s="151">
        <v>0</v>
      </c>
      <c r="CP16" s="151"/>
      <c r="CQ16" s="151"/>
      <c r="CR16" s="151"/>
      <c r="CS16" s="104">
        <f t="shared" si="41"/>
        <v>0</v>
      </c>
      <c r="CT16" s="104"/>
      <c r="CU16" s="127"/>
      <c r="CV16" s="127">
        <v>0</v>
      </c>
      <c r="CW16" s="145">
        <f t="shared" si="47"/>
        <v>1121.53</v>
      </c>
      <c r="CX16" s="104">
        <f t="shared" si="48"/>
        <v>0</v>
      </c>
      <c r="CY16" s="145">
        <f t="shared" si="49"/>
        <v>1121.53</v>
      </c>
      <c r="CZ16" s="104">
        <f t="shared" si="50"/>
        <v>112.15300000000001</v>
      </c>
      <c r="DA16" s="104">
        <v>10.23</v>
      </c>
      <c r="DB16" s="145">
        <f t="shared" si="51"/>
        <v>1243.913</v>
      </c>
      <c r="DC16" s="241"/>
      <c r="DD16" s="241"/>
      <c r="DE16" s="241"/>
      <c r="DF16" s="107"/>
      <c r="DG16" s="107"/>
      <c r="DJ16" s="21"/>
      <c r="DK16" s="21"/>
      <c r="DL16" s="21"/>
      <c r="DM16" s="21"/>
      <c r="DN16" s="21"/>
      <c r="DO16" s="60">
        <f>+U16-'C&amp;A'!L17-SINDICATO!P17</f>
        <v>0</v>
      </c>
    </row>
    <row r="17" spans="1:119" ht="15.75" hidden="1" thickTop="1" x14ac:dyDescent="0.25">
      <c r="A17" s="20" t="s">
        <v>290</v>
      </c>
      <c r="B17" s="21" t="s">
        <v>46</v>
      </c>
      <c r="C17" s="22">
        <f t="shared" si="12"/>
        <v>608.16</v>
      </c>
      <c r="D17" s="22">
        <v>0</v>
      </c>
      <c r="E17" s="22">
        <f t="shared" si="13"/>
        <v>869.8</v>
      </c>
      <c r="F17" s="22">
        <v>0</v>
      </c>
      <c r="G17" s="22">
        <f t="shared" si="14"/>
        <v>1477.96</v>
      </c>
      <c r="H17" s="22">
        <f t="shared" si="15"/>
        <v>150</v>
      </c>
      <c r="I17" s="22">
        <f t="shared" si="16"/>
        <v>70.208669999999998</v>
      </c>
      <c r="J17" s="22">
        <f t="shared" si="17"/>
        <v>14.328299999999999</v>
      </c>
      <c r="K17" s="22">
        <f t="shared" si="18"/>
        <v>0</v>
      </c>
      <c r="L17" s="22">
        <f t="shared" si="19"/>
        <v>45.13</v>
      </c>
      <c r="M17" s="22">
        <f t="shared" si="20"/>
        <v>0</v>
      </c>
      <c r="N17" s="22">
        <f t="shared" si="21"/>
        <v>0</v>
      </c>
      <c r="O17" s="22">
        <f t="shared" si="22"/>
        <v>0</v>
      </c>
      <c r="P17" s="22">
        <f t="shared" si="23"/>
        <v>0</v>
      </c>
      <c r="Q17" s="22">
        <v>0</v>
      </c>
      <c r="R17" s="22">
        <f t="shared" si="24"/>
        <v>0</v>
      </c>
      <c r="S17" s="22">
        <f t="shared" si="25"/>
        <v>0</v>
      </c>
      <c r="T17" s="22">
        <f t="shared" si="26"/>
        <v>279.66696999999999</v>
      </c>
      <c r="U17" s="22">
        <f t="shared" si="27"/>
        <v>1198.29303</v>
      </c>
      <c r="V17" s="22">
        <f t="shared" si="28"/>
        <v>1432.83</v>
      </c>
      <c r="W17" s="22">
        <f t="shared" si="29"/>
        <v>143.28299999999999</v>
      </c>
      <c r="X17" s="22">
        <f>+'C&amp;A'!E18*0.02</f>
        <v>10.2256</v>
      </c>
      <c r="Y17" s="22">
        <f t="shared" si="30"/>
        <v>70.208669999999998</v>
      </c>
      <c r="Z17" s="22">
        <f t="shared" si="31"/>
        <v>1656.5472699999998</v>
      </c>
      <c r="AA17" s="22">
        <f t="shared" si="32"/>
        <v>265.04756319999996</v>
      </c>
      <c r="AB17" s="22">
        <f t="shared" si="33"/>
        <v>1921.5948331999998</v>
      </c>
      <c r="AC17" s="60">
        <f t="shared" si="1"/>
        <v>0</v>
      </c>
      <c r="AD17" s="62">
        <f>+U17-'C&amp;A'!L18-SINDICATO!P18</f>
        <v>0</v>
      </c>
      <c r="AE17" s="62">
        <f>+'C&amp;A'!L18+'C&amp;A'!J18+'C&amp;A'!H18+'C&amp;A'!G18+SINDICATO!E18-G17</f>
        <v>0</v>
      </c>
      <c r="AF17" s="62">
        <f t="shared" si="2"/>
        <v>0</v>
      </c>
      <c r="AG17" s="127" t="s">
        <v>381</v>
      </c>
      <c r="AH17" s="127" t="s">
        <v>732</v>
      </c>
      <c r="AI17" s="127"/>
      <c r="AJ17" s="127" t="s">
        <v>191</v>
      </c>
      <c r="AK17" s="127" t="s">
        <v>190</v>
      </c>
      <c r="AL17" s="127"/>
      <c r="AM17" s="127"/>
      <c r="AN17" s="127"/>
      <c r="AO17" s="151">
        <v>608.16</v>
      </c>
      <c r="AP17" s="162">
        <f t="shared" si="34"/>
        <v>0</v>
      </c>
      <c r="AQ17" s="151">
        <f t="shared" si="35"/>
        <v>608.16</v>
      </c>
      <c r="AR17" s="151">
        <f t="shared" si="36"/>
        <v>0</v>
      </c>
      <c r="AS17" s="151">
        <v>869.8</v>
      </c>
      <c r="AT17" s="151"/>
      <c r="AU17" s="151"/>
      <c r="AV17" s="151"/>
      <c r="AW17" s="163">
        <v>45.13</v>
      </c>
      <c r="AX17" s="145">
        <f t="shared" si="3"/>
        <v>1432.83</v>
      </c>
      <c r="AY17" s="151"/>
      <c r="AZ17" s="151"/>
      <c r="BA17" s="151">
        <v>150</v>
      </c>
      <c r="BB17" s="151">
        <f t="shared" si="37"/>
        <v>70.208669999999998</v>
      </c>
      <c r="BC17" s="151">
        <f t="shared" si="38"/>
        <v>14.328299999999999</v>
      </c>
      <c r="BD17" s="151"/>
      <c r="BE17" s="104"/>
      <c r="BF17" s="104"/>
      <c r="BG17" s="127"/>
      <c r="BH17" s="127">
        <v>0</v>
      </c>
      <c r="BI17" s="145">
        <f t="shared" si="4"/>
        <v>1198.2930299999998</v>
      </c>
      <c r="BJ17" s="104">
        <f t="shared" si="39"/>
        <v>0</v>
      </c>
      <c r="BK17" s="145">
        <f t="shared" si="5"/>
        <v>1198.2930299999998</v>
      </c>
      <c r="BL17" s="104">
        <f t="shared" si="40"/>
        <v>143.28299999999999</v>
      </c>
      <c r="BM17" s="104">
        <v>10.23</v>
      </c>
      <c r="BN17" s="145">
        <f t="shared" si="6"/>
        <v>1586.3429999999998</v>
      </c>
      <c r="BO17" s="241"/>
      <c r="BP17" s="241"/>
      <c r="BQ17" s="248"/>
      <c r="BR17" s="107"/>
      <c r="BS17" s="107"/>
      <c r="BV17" s="127" t="s">
        <v>381</v>
      </c>
      <c r="BW17" s="127" t="s">
        <v>394</v>
      </c>
      <c r="BX17" s="127"/>
      <c r="BY17" s="127" t="s">
        <v>191</v>
      </c>
      <c r="BZ17" s="127" t="s">
        <v>190</v>
      </c>
      <c r="CA17" s="127"/>
      <c r="CB17" s="127"/>
      <c r="CC17" s="127"/>
      <c r="CD17" s="151">
        <v>608.16</v>
      </c>
      <c r="CE17" s="127"/>
      <c r="CF17" s="151">
        <f t="shared" si="45"/>
        <v>608.16</v>
      </c>
      <c r="CG17" s="151">
        <v>869.8</v>
      </c>
      <c r="CH17" s="151"/>
      <c r="CI17" s="151"/>
      <c r="CJ17" s="151"/>
      <c r="CK17" s="163">
        <v>45.13</v>
      </c>
      <c r="CL17" s="145">
        <f t="shared" si="46"/>
        <v>1432.83</v>
      </c>
      <c r="CM17" s="151"/>
      <c r="CN17" s="151"/>
      <c r="CO17" s="151">
        <v>150</v>
      </c>
      <c r="CP17" s="151">
        <f>CL17*4.9%</f>
        <v>70.208669999999998</v>
      </c>
      <c r="CQ17" s="151">
        <f>CL17*1%</f>
        <v>14.328299999999999</v>
      </c>
      <c r="CR17" s="151"/>
      <c r="CS17" s="104">
        <f t="shared" si="41"/>
        <v>0</v>
      </c>
      <c r="CT17" s="104"/>
      <c r="CU17" s="127"/>
      <c r="CV17" s="127">
        <v>0</v>
      </c>
      <c r="CW17" s="145">
        <f t="shared" si="47"/>
        <v>1198.2930299999998</v>
      </c>
      <c r="CX17" s="104">
        <f t="shared" si="48"/>
        <v>0</v>
      </c>
      <c r="CY17" s="145">
        <f t="shared" si="49"/>
        <v>1198.2930299999998</v>
      </c>
      <c r="CZ17" s="104">
        <f t="shared" si="50"/>
        <v>143.28299999999999</v>
      </c>
      <c r="DA17" s="104">
        <v>10.23</v>
      </c>
      <c r="DB17" s="145">
        <f t="shared" si="51"/>
        <v>1586.3429999999998</v>
      </c>
      <c r="DC17" s="241"/>
      <c r="DD17" s="241"/>
      <c r="DE17" s="248"/>
      <c r="DF17" s="107"/>
      <c r="DG17" s="107"/>
      <c r="DJ17" s="21"/>
      <c r="DK17" s="21"/>
      <c r="DL17" s="21"/>
      <c r="DM17" s="21"/>
      <c r="DN17" s="21"/>
      <c r="DO17" s="60">
        <f>+U17-'C&amp;A'!L18-SINDICATO!P18</f>
        <v>0</v>
      </c>
    </row>
    <row r="18" spans="1:119" ht="15.75" hidden="1" thickTop="1" x14ac:dyDescent="0.25">
      <c r="A18" s="20" t="s">
        <v>14</v>
      </c>
      <c r="B18" s="21" t="s">
        <v>47</v>
      </c>
      <c r="C18" s="22">
        <f t="shared" si="12"/>
        <v>513.33000000000004</v>
      </c>
      <c r="D18" s="22">
        <v>0</v>
      </c>
      <c r="E18" s="22">
        <f t="shared" si="13"/>
        <v>7610.05</v>
      </c>
      <c r="F18" s="22">
        <v>0</v>
      </c>
      <c r="G18" s="22">
        <f t="shared" si="14"/>
        <v>8123.38</v>
      </c>
      <c r="H18" s="22">
        <f t="shared" si="15"/>
        <v>0</v>
      </c>
      <c r="I18" s="22">
        <f t="shared" si="16"/>
        <v>0</v>
      </c>
      <c r="J18" s="22">
        <f t="shared" si="17"/>
        <v>0</v>
      </c>
      <c r="K18" s="22">
        <f t="shared" si="18"/>
        <v>0</v>
      </c>
      <c r="L18" s="22">
        <f t="shared" si="19"/>
        <v>45.13</v>
      </c>
      <c r="M18" s="22">
        <f t="shared" si="20"/>
        <v>0</v>
      </c>
      <c r="N18" s="22">
        <f t="shared" si="21"/>
        <v>2019.5625</v>
      </c>
      <c r="O18" s="22">
        <f t="shared" si="22"/>
        <v>807.82500000000005</v>
      </c>
      <c r="P18" s="22">
        <f t="shared" si="23"/>
        <v>0</v>
      </c>
      <c r="Q18" s="22">
        <v>0</v>
      </c>
      <c r="R18" s="22">
        <f t="shared" si="24"/>
        <v>0</v>
      </c>
      <c r="S18" s="22">
        <f t="shared" si="25"/>
        <v>0</v>
      </c>
      <c r="T18" s="22">
        <f t="shared" si="26"/>
        <v>2872.5174999999999</v>
      </c>
      <c r="U18" s="22">
        <f t="shared" si="27"/>
        <v>5250.8625000000002</v>
      </c>
      <c r="V18" s="22">
        <f t="shared" si="28"/>
        <v>8078.25</v>
      </c>
      <c r="W18" s="22">
        <f t="shared" si="29"/>
        <v>0</v>
      </c>
      <c r="X18" s="22">
        <f>+'C&amp;A'!E19*0.02</f>
        <v>10.2256</v>
      </c>
      <c r="Y18" s="22">
        <f t="shared" si="30"/>
        <v>0</v>
      </c>
      <c r="Z18" s="22">
        <f t="shared" si="31"/>
        <v>8088.4755999999998</v>
      </c>
      <c r="AA18" s="22">
        <f t="shared" si="32"/>
        <v>1294.1560959999999</v>
      </c>
      <c r="AB18" s="22">
        <f t="shared" si="33"/>
        <v>9382.6316960000004</v>
      </c>
      <c r="AC18" s="60">
        <f t="shared" si="1"/>
        <v>0</v>
      </c>
      <c r="AD18" s="62">
        <f>+U18-'C&amp;A'!L19-SINDICATO!P19</f>
        <v>0</v>
      </c>
      <c r="AE18" s="62">
        <f>+'C&amp;A'!L19+'C&amp;A'!J19+'C&amp;A'!H19+'C&amp;A'!G19+SINDICATO!E19-G18</f>
        <v>0</v>
      </c>
      <c r="AF18" s="62">
        <f t="shared" si="2"/>
        <v>0</v>
      </c>
      <c r="AG18" s="127" t="s">
        <v>389</v>
      </c>
      <c r="AH18" s="127" t="s">
        <v>733</v>
      </c>
      <c r="AI18" s="127" t="s">
        <v>391</v>
      </c>
      <c r="AJ18" s="127" t="s">
        <v>14</v>
      </c>
      <c r="AK18" s="127" t="s">
        <v>189</v>
      </c>
      <c r="AL18" s="165">
        <v>42326</v>
      </c>
      <c r="AM18" s="127"/>
      <c r="AN18" s="127"/>
      <c r="AO18" s="151">
        <v>513.33000000000004</v>
      </c>
      <c r="AP18" s="162">
        <f t="shared" si="34"/>
        <v>0</v>
      </c>
      <c r="AQ18" s="151">
        <f t="shared" si="35"/>
        <v>513.33000000000004</v>
      </c>
      <c r="AR18" s="151">
        <f t="shared" si="36"/>
        <v>0</v>
      </c>
      <c r="AS18" s="151">
        <v>7610.05</v>
      </c>
      <c r="AT18" s="151"/>
      <c r="AU18" s="151"/>
      <c r="AV18" s="151"/>
      <c r="AW18" s="163">
        <v>45.13</v>
      </c>
      <c r="AX18" s="145">
        <f t="shared" si="3"/>
        <v>8078.25</v>
      </c>
      <c r="AY18" s="151"/>
      <c r="AZ18" s="151"/>
      <c r="BA18" s="151">
        <v>0</v>
      </c>
      <c r="BB18" s="151">
        <f t="shared" si="37"/>
        <v>0</v>
      </c>
      <c r="BC18" s="151">
        <f t="shared" si="38"/>
        <v>0</v>
      </c>
      <c r="BD18" s="151"/>
      <c r="BE18" s="104"/>
      <c r="BF18" s="104"/>
      <c r="BG18" s="127"/>
      <c r="BH18" s="271">
        <f>+AX18*0.25</f>
        <v>2019.5625</v>
      </c>
      <c r="BI18" s="145">
        <f t="shared" si="4"/>
        <v>6058.6875</v>
      </c>
      <c r="BJ18" s="104">
        <f t="shared" si="39"/>
        <v>807.82500000000005</v>
      </c>
      <c r="BK18" s="145">
        <f t="shared" si="5"/>
        <v>5250.8625000000002</v>
      </c>
      <c r="BL18" s="104">
        <f t="shared" si="40"/>
        <v>0</v>
      </c>
      <c r="BM18" s="104">
        <v>10.23</v>
      </c>
      <c r="BN18" s="145">
        <f t="shared" si="6"/>
        <v>8088.48</v>
      </c>
      <c r="BO18" s="241"/>
      <c r="BP18" s="241"/>
      <c r="BQ18" s="241"/>
      <c r="BR18" s="107"/>
      <c r="BS18" s="107"/>
      <c r="BV18" s="127" t="s">
        <v>389</v>
      </c>
      <c r="BW18" s="127" t="s">
        <v>395</v>
      </c>
      <c r="BX18" s="127" t="s">
        <v>391</v>
      </c>
      <c r="BY18" s="127" t="s">
        <v>14</v>
      </c>
      <c r="BZ18" s="127" t="s">
        <v>189</v>
      </c>
      <c r="CA18" s="165">
        <v>42326</v>
      </c>
      <c r="CB18" s="127"/>
      <c r="CC18" s="127"/>
      <c r="CD18" s="151">
        <v>513.33000000000004</v>
      </c>
      <c r="CE18" s="127"/>
      <c r="CF18" s="151">
        <f t="shared" si="45"/>
        <v>513.33000000000004</v>
      </c>
      <c r="CG18" s="151">
        <v>7610.05</v>
      </c>
      <c r="CH18" s="151"/>
      <c r="CI18" s="151"/>
      <c r="CJ18" s="151"/>
      <c r="CK18" s="163">
        <v>45.13</v>
      </c>
      <c r="CL18" s="145">
        <f t="shared" si="46"/>
        <v>8078.25</v>
      </c>
      <c r="CM18" s="151"/>
      <c r="CN18" s="151"/>
      <c r="CO18" s="151">
        <v>0</v>
      </c>
      <c r="CP18" s="151"/>
      <c r="CQ18" s="151"/>
      <c r="CR18" s="151"/>
      <c r="CS18" s="104">
        <f t="shared" si="41"/>
        <v>0</v>
      </c>
      <c r="CT18" s="104"/>
      <c r="CU18" s="127"/>
      <c r="CV18" s="271">
        <f>+CL18*0.25</f>
        <v>2019.5625</v>
      </c>
      <c r="CW18" s="145">
        <f t="shared" si="47"/>
        <v>6058.6875</v>
      </c>
      <c r="CX18" s="104">
        <f t="shared" si="48"/>
        <v>807.82500000000005</v>
      </c>
      <c r="CY18" s="145">
        <f t="shared" si="49"/>
        <v>5250.8625000000002</v>
      </c>
      <c r="CZ18" s="104">
        <f t="shared" si="50"/>
        <v>0</v>
      </c>
      <c r="DA18" s="104">
        <v>10.23</v>
      </c>
      <c r="DB18" s="145">
        <f t="shared" si="51"/>
        <v>8088.48</v>
      </c>
      <c r="DC18" s="241"/>
      <c r="DD18" s="241"/>
      <c r="DE18" s="241"/>
      <c r="DF18" s="107"/>
      <c r="DG18" s="107"/>
      <c r="DJ18" s="21"/>
      <c r="DK18" s="21"/>
      <c r="DL18" s="21"/>
      <c r="DM18" s="21"/>
      <c r="DN18" s="21"/>
      <c r="DO18" s="60">
        <f>+U18-'C&amp;A'!L19-SINDICATO!P19</f>
        <v>0</v>
      </c>
    </row>
    <row r="19" spans="1:119" ht="15.75" hidden="1" thickTop="1" x14ac:dyDescent="0.25">
      <c r="A19" s="20" t="s">
        <v>48</v>
      </c>
      <c r="B19" s="21" t="s">
        <v>49</v>
      </c>
      <c r="C19" s="22">
        <f t="shared" si="12"/>
        <v>933.33</v>
      </c>
      <c r="D19" s="22">
        <v>0</v>
      </c>
      <c r="E19" s="22">
        <f t="shared" si="13"/>
        <v>810</v>
      </c>
      <c r="F19" s="22">
        <v>0</v>
      </c>
      <c r="G19" s="22">
        <f t="shared" si="14"/>
        <v>1743.33</v>
      </c>
      <c r="H19" s="22">
        <f t="shared" si="15"/>
        <v>0</v>
      </c>
      <c r="I19" s="22">
        <f t="shared" si="16"/>
        <v>0</v>
      </c>
      <c r="J19" s="22">
        <f t="shared" si="17"/>
        <v>0</v>
      </c>
      <c r="K19" s="22">
        <f t="shared" si="18"/>
        <v>0</v>
      </c>
      <c r="L19" s="22">
        <f t="shared" si="19"/>
        <v>45.13</v>
      </c>
      <c r="M19" s="22">
        <f t="shared" si="20"/>
        <v>0</v>
      </c>
      <c r="N19" s="22">
        <f t="shared" si="21"/>
        <v>0</v>
      </c>
      <c r="O19" s="22">
        <f t="shared" si="22"/>
        <v>0</v>
      </c>
      <c r="P19" s="22">
        <f t="shared" si="23"/>
        <v>58.91</v>
      </c>
      <c r="Q19" s="22">
        <v>0</v>
      </c>
      <c r="R19" s="22">
        <f t="shared" si="24"/>
        <v>0</v>
      </c>
      <c r="S19" s="22">
        <f t="shared" si="25"/>
        <v>0</v>
      </c>
      <c r="T19" s="22">
        <f t="shared" si="26"/>
        <v>104.03999999999999</v>
      </c>
      <c r="U19" s="22">
        <f t="shared" si="27"/>
        <v>1639.29</v>
      </c>
      <c r="V19" s="22">
        <f t="shared" si="28"/>
        <v>1639.2899999999997</v>
      </c>
      <c r="W19" s="22">
        <f t="shared" si="29"/>
        <v>169.82</v>
      </c>
      <c r="X19" s="22">
        <f>+'C&amp;A'!E20*0.02</f>
        <v>10.2256</v>
      </c>
      <c r="Y19" s="22">
        <f t="shared" si="30"/>
        <v>0</v>
      </c>
      <c r="Z19" s="22">
        <f t="shared" si="31"/>
        <v>1819.3355999999997</v>
      </c>
      <c r="AA19" s="22">
        <f t="shared" si="32"/>
        <v>291.09369599999997</v>
      </c>
      <c r="AB19" s="22">
        <f t="shared" si="33"/>
        <v>2110.4292959999998</v>
      </c>
      <c r="AC19" s="60">
        <f t="shared" si="1"/>
        <v>0</v>
      </c>
      <c r="AD19" s="62">
        <f>+U19-'C&amp;A'!L20-SINDICATO!P20</f>
        <v>0</v>
      </c>
      <c r="AE19" s="62">
        <f>+'C&amp;A'!L20+'C&amp;A'!J20+'C&amp;A'!H20+'C&amp;A'!G20+SINDICATO!E20-G19</f>
        <v>0</v>
      </c>
      <c r="AF19" s="62">
        <f t="shared" si="2"/>
        <v>0</v>
      </c>
      <c r="AG19" s="127" t="s">
        <v>396</v>
      </c>
      <c r="AH19" s="127" t="s">
        <v>734</v>
      </c>
      <c r="AI19" s="127"/>
      <c r="AJ19" s="127" t="s">
        <v>48</v>
      </c>
      <c r="AK19" s="127" t="s">
        <v>398</v>
      </c>
      <c r="AL19" s="127"/>
      <c r="AM19" s="127"/>
      <c r="AN19" s="127"/>
      <c r="AO19" s="151">
        <v>933.33</v>
      </c>
      <c r="AP19" s="162">
        <f t="shared" si="34"/>
        <v>0</v>
      </c>
      <c r="AQ19" s="151">
        <f t="shared" si="35"/>
        <v>933.33</v>
      </c>
      <c r="AR19" s="151">
        <f t="shared" si="36"/>
        <v>0</v>
      </c>
      <c r="AS19" s="151">
        <f>550+260</f>
        <v>810</v>
      </c>
      <c r="AT19" s="151"/>
      <c r="AU19" s="151"/>
      <c r="AV19" s="151"/>
      <c r="AW19" s="163">
        <v>45.13</v>
      </c>
      <c r="AX19" s="145">
        <f t="shared" si="3"/>
        <v>1698.1999999999998</v>
      </c>
      <c r="AY19" s="151"/>
      <c r="AZ19" s="151">
        <v>58.91</v>
      </c>
      <c r="BA19" s="151">
        <v>0</v>
      </c>
      <c r="BB19" s="151">
        <f t="shared" si="37"/>
        <v>0</v>
      </c>
      <c r="BC19" s="151">
        <f t="shared" si="38"/>
        <v>0</v>
      </c>
      <c r="BD19" s="151"/>
      <c r="BE19" s="104"/>
      <c r="BF19" s="104"/>
      <c r="BG19" s="271"/>
      <c r="BH19" s="127">
        <v>0</v>
      </c>
      <c r="BI19" s="145">
        <f t="shared" si="4"/>
        <v>1639.2899999999997</v>
      </c>
      <c r="BJ19" s="104">
        <f t="shared" si="39"/>
        <v>0</v>
      </c>
      <c r="BK19" s="145">
        <f t="shared" si="5"/>
        <v>1639.2899999999997</v>
      </c>
      <c r="BL19" s="104">
        <f t="shared" si="40"/>
        <v>169.82</v>
      </c>
      <c r="BM19" s="104">
        <v>10.23</v>
      </c>
      <c r="BN19" s="145">
        <f t="shared" si="6"/>
        <v>1878.2499999999998</v>
      </c>
      <c r="BO19" s="241"/>
      <c r="BP19" s="241"/>
      <c r="BQ19" s="248"/>
      <c r="BR19" s="107"/>
      <c r="BS19" s="107"/>
      <c r="BV19" s="127" t="s">
        <v>396</v>
      </c>
      <c r="BW19" s="127" t="s">
        <v>613</v>
      </c>
      <c r="BX19" s="127"/>
      <c r="BY19" s="127" t="s">
        <v>48</v>
      </c>
      <c r="BZ19" s="127" t="s">
        <v>398</v>
      </c>
      <c r="CA19" s="127"/>
      <c r="CB19" s="127"/>
      <c r="CC19" s="127"/>
      <c r="CD19" s="151">
        <v>933.33</v>
      </c>
      <c r="CE19" s="127"/>
      <c r="CF19" s="151">
        <f t="shared" si="45"/>
        <v>933.33</v>
      </c>
      <c r="CG19" s="151">
        <f>550+260</f>
        <v>810</v>
      </c>
      <c r="CH19" s="151"/>
      <c r="CI19" s="151"/>
      <c r="CJ19" s="151"/>
      <c r="CK19" s="163">
        <v>45.13</v>
      </c>
      <c r="CL19" s="145">
        <f t="shared" si="46"/>
        <v>1698.1999999999998</v>
      </c>
      <c r="CM19" s="151"/>
      <c r="CN19" s="151">
        <v>58.91</v>
      </c>
      <c r="CO19" s="151">
        <v>0</v>
      </c>
      <c r="CP19" s="151"/>
      <c r="CQ19" s="151"/>
      <c r="CR19" s="151"/>
      <c r="CS19" s="104">
        <f t="shared" si="41"/>
        <v>0</v>
      </c>
      <c r="CT19" s="104"/>
      <c r="CU19" s="271"/>
      <c r="CV19" s="127">
        <v>0</v>
      </c>
      <c r="CW19" s="145">
        <f t="shared" si="47"/>
        <v>1639.2899999999997</v>
      </c>
      <c r="CX19" s="104">
        <f t="shared" si="48"/>
        <v>0</v>
      </c>
      <c r="CY19" s="145">
        <f t="shared" si="49"/>
        <v>1639.2899999999997</v>
      </c>
      <c r="CZ19" s="104">
        <f t="shared" si="50"/>
        <v>169.82</v>
      </c>
      <c r="DA19" s="104">
        <v>10.23</v>
      </c>
      <c r="DB19" s="145">
        <f t="shared" si="51"/>
        <v>1878.2499999999998</v>
      </c>
      <c r="DC19" s="241"/>
      <c r="DD19" s="241"/>
      <c r="DE19" s="248"/>
      <c r="DF19" s="107"/>
      <c r="DG19" s="107"/>
      <c r="DJ19" s="21"/>
      <c r="DK19" s="21"/>
      <c r="DL19" s="21"/>
      <c r="DM19" s="21"/>
      <c r="DN19" s="21"/>
      <c r="DO19" s="60">
        <f>+U19-'C&amp;A'!L20-SINDICATO!P20</f>
        <v>0</v>
      </c>
    </row>
    <row r="20" spans="1:119" ht="15.75" hidden="1" thickTop="1" x14ac:dyDescent="0.25">
      <c r="A20" s="20" t="s">
        <v>50</v>
      </c>
      <c r="B20" s="21" t="s">
        <v>51</v>
      </c>
      <c r="C20" s="22">
        <f t="shared" si="12"/>
        <v>513.33000000000004</v>
      </c>
      <c r="D20" s="22">
        <v>0</v>
      </c>
      <c r="E20" s="22">
        <f t="shared" si="13"/>
        <v>1408.48</v>
      </c>
      <c r="F20" s="22">
        <v>0</v>
      </c>
      <c r="G20" s="22">
        <f t="shared" si="14"/>
        <v>1921.81</v>
      </c>
      <c r="H20" s="22">
        <f t="shared" si="15"/>
        <v>500</v>
      </c>
      <c r="I20" s="22">
        <f t="shared" si="16"/>
        <v>0</v>
      </c>
      <c r="J20" s="22">
        <f t="shared" si="17"/>
        <v>0</v>
      </c>
      <c r="K20" s="22">
        <f t="shared" si="18"/>
        <v>0</v>
      </c>
      <c r="L20" s="22">
        <f t="shared" si="19"/>
        <v>45.13</v>
      </c>
      <c r="M20" s="22">
        <f t="shared" si="20"/>
        <v>0</v>
      </c>
      <c r="N20" s="22">
        <f t="shared" si="21"/>
        <v>469.16999999999996</v>
      </c>
      <c r="O20" s="22">
        <f t="shared" si="22"/>
        <v>0</v>
      </c>
      <c r="P20" s="22">
        <f t="shared" si="23"/>
        <v>58.91</v>
      </c>
      <c r="Q20" s="22">
        <v>0</v>
      </c>
      <c r="R20" s="22">
        <f t="shared" si="24"/>
        <v>0</v>
      </c>
      <c r="S20" s="22">
        <f t="shared" si="25"/>
        <v>167.44</v>
      </c>
      <c r="T20" s="22">
        <f t="shared" si="26"/>
        <v>1240.6500000000001</v>
      </c>
      <c r="U20" s="22">
        <f t="shared" si="27"/>
        <v>681.15999999999985</v>
      </c>
      <c r="V20" s="22">
        <f t="shared" si="28"/>
        <v>1817.7699999999998</v>
      </c>
      <c r="W20" s="22">
        <f t="shared" si="29"/>
        <v>187.66800000000001</v>
      </c>
      <c r="X20" s="22">
        <f>+'C&amp;A'!E21*0.02</f>
        <v>10.2256</v>
      </c>
      <c r="Y20" s="22">
        <f t="shared" si="30"/>
        <v>0</v>
      </c>
      <c r="Z20" s="22">
        <f t="shared" si="31"/>
        <v>2015.6635999999996</v>
      </c>
      <c r="AA20" s="22">
        <f t="shared" si="32"/>
        <v>322.50617599999993</v>
      </c>
      <c r="AB20" s="22">
        <f t="shared" si="33"/>
        <v>2338.1697759999997</v>
      </c>
      <c r="AC20" s="60">
        <f t="shared" si="1"/>
        <v>0</v>
      </c>
      <c r="AD20" s="62">
        <f>+U20-'C&amp;A'!L21-SINDICATO!P21</f>
        <v>0</v>
      </c>
      <c r="AE20" s="62">
        <f>+'C&amp;A'!L21+'C&amp;A'!J21+'C&amp;A'!H21+'C&amp;A'!G21+SINDICATO!E21-G20</f>
        <v>0</v>
      </c>
      <c r="AF20" s="62">
        <f t="shared" si="2"/>
        <v>0</v>
      </c>
      <c r="AG20" s="127" t="s">
        <v>377</v>
      </c>
      <c r="AH20" s="127" t="s">
        <v>735</v>
      </c>
      <c r="AI20" s="127" t="s">
        <v>32</v>
      </c>
      <c r="AJ20" s="127" t="s">
        <v>50</v>
      </c>
      <c r="AK20" s="127" t="s">
        <v>189</v>
      </c>
      <c r="AL20" s="127"/>
      <c r="AM20" s="127"/>
      <c r="AN20" s="127"/>
      <c r="AO20" s="151">
        <v>513.33000000000004</v>
      </c>
      <c r="AP20" s="162">
        <f t="shared" si="34"/>
        <v>0</v>
      </c>
      <c r="AQ20" s="151">
        <f t="shared" si="35"/>
        <v>513.33000000000004</v>
      </c>
      <c r="AR20" s="151">
        <f t="shared" si="36"/>
        <v>0</v>
      </c>
      <c r="AS20" s="151">
        <v>1408.48</v>
      </c>
      <c r="AT20" s="151"/>
      <c r="AU20" s="151"/>
      <c r="AV20" s="151"/>
      <c r="AW20" s="163">
        <v>45.13</v>
      </c>
      <c r="AX20" s="145">
        <f t="shared" si="3"/>
        <v>1876.6799999999998</v>
      </c>
      <c r="AY20" s="151"/>
      <c r="AZ20" s="151">
        <v>58.91</v>
      </c>
      <c r="BA20" s="151">
        <v>500</v>
      </c>
      <c r="BB20" s="151">
        <f t="shared" si="37"/>
        <v>0</v>
      </c>
      <c r="BC20" s="151">
        <f t="shared" si="38"/>
        <v>0</v>
      </c>
      <c r="BD20" s="151"/>
      <c r="BE20" s="104"/>
      <c r="BF20" s="104">
        <v>167.44</v>
      </c>
      <c r="BG20" s="127"/>
      <c r="BH20" s="162">
        <f>AX20*0.25</f>
        <v>469.16999999999996</v>
      </c>
      <c r="BI20" s="145">
        <f t="shared" si="4"/>
        <v>681.15999999999985</v>
      </c>
      <c r="BJ20" s="104">
        <f t="shared" si="39"/>
        <v>0</v>
      </c>
      <c r="BK20" s="145">
        <f t="shared" si="5"/>
        <v>681.15999999999985</v>
      </c>
      <c r="BL20" s="104">
        <f t="shared" si="40"/>
        <v>187.66800000000001</v>
      </c>
      <c r="BM20" s="104">
        <v>10.23</v>
      </c>
      <c r="BN20" s="145">
        <f t="shared" si="6"/>
        <v>2074.578</v>
      </c>
      <c r="BO20" s="241"/>
      <c r="BP20" s="241"/>
      <c r="BQ20" s="241"/>
      <c r="BR20" s="107"/>
      <c r="BS20" s="107"/>
      <c r="BT20" s="107">
        <f>1697.06-469.17</f>
        <v>1227.8899999999999</v>
      </c>
      <c r="BU20" s="107" t="s">
        <v>718</v>
      </c>
      <c r="BV20" s="127" t="s">
        <v>377</v>
      </c>
      <c r="BW20" s="127" t="s">
        <v>615</v>
      </c>
      <c r="BX20" s="127" t="s">
        <v>32</v>
      </c>
      <c r="BY20" s="127" t="s">
        <v>50</v>
      </c>
      <c r="BZ20" s="127" t="s">
        <v>189</v>
      </c>
      <c r="CA20" s="127"/>
      <c r="CB20" s="127"/>
      <c r="CC20" s="127"/>
      <c r="CD20" s="151">
        <v>513.33000000000004</v>
      </c>
      <c r="CE20" s="127"/>
      <c r="CF20" s="151">
        <f t="shared" si="45"/>
        <v>513.33000000000004</v>
      </c>
      <c r="CG20" s="151">
        <v>1408.48</v>
      </c>
      <c r="CH20" s="151"/>
      <c r="CI20" s="151"/>
      <c r="CJ20" s="151"/>
      <c r="CK20" s="163">
        <v>45.13</v>
      </c>
      <c r="CL20" s="145">
        <f t="shared" si="46"/>
        <v>1876.6799999999998</v>
      </c>
      <c r="CM20" s="151"/>
      <c r="CN20" s="151">
        <v>58.91</v>
      </c>
      <c r="CO20" s="151">
        <v>500</v>
      </c>
      <c r="CP20" s="151"/>
      <c r="CQ20" s="151"/>
      <c r="CR20" s="151"/>
      <c r="CS20" s="104">
        <f t="shared" si="41"/>
        <v>0</v>
      </c>
      <c r="CT20" s="104">
        <v>167.44</v>
      </c>
      <c r="CU20" s="127"/>
      <c r="CV20" s="162">
        <f>CL20*0.25</f>
        <v>469.16999999999996</v>
      </c>
      <c r="CW20" s="145">
        <f t="shared" si="47"/>
        <v>681.15999999999985</v>
      </c>
      <c r="CX20" s="104">
        <f t="shared" si="48"/>
        <v>0</v>
      </c>
      <c r="CY20" s="145">
        <f t="shared" si="49"/>
        <v>681.15999999999985</v>
      </c>
      <c r="CZ20" s="104">
        <f t="shared" si="50"/>
        <v>187.66800000000001</v>
      </c>
      <c r="DA20" s="104">
        <v>10.23</v>
      </c>
      <c r="DB20" s="145">
        <f t="shared" si="51"/>
        <v>2074.578</v>
      </c>
      <c r="DC20" s="241"/>
      <c r="DD20" s="241"/>
      <c r="DE20" s="241"/>
      <c r="DF20" s="107"/>
      <c r="DG20" s="107"/>
      <c r="DH20" s="107">
        <f>1697.06-469.17</f>
        <v>1227.8899999999999</v>
      </c>
      <c r="DI20" s="107" t="s">
        <v>718</v>
      </c>
      <c r="DJ20" s="21"/>
      <c r="DK20" s="21"/>
      <c r="DL20" s="21"/>
      <c r="DM20" s="21"/>
      <c r="DN20" s="21"/>
      <c r="DO20" s="60">
        <f>+U20-'C&amp;A'!L21-SINDICATO!P21</f>
        <v>0</v>
      </c>
    </row>
    <row r="21" spans="1:119" ht="15.75" hidden="1" thickTop="1" x14ac:dyDescent="0.25">
      <c r="A21" s="20" t="s">
        <v>291</v>
      </c>
      <c r="B21" s="21" t="s">
        <v>52</v>
      </c>
      <c r="C21" s="22">
        <f t="shared" si="12"/>
        <v>1166.26</v>
      </c>
      <c r="D21" s="22">
        <v>0</v>
      </c>
      <c r="E21" s="22">
        <f t="shared" si="13"/>
        <v>959.28</v>
      </c>
      <c r="F21" s="22">
        <v>0</v>
      </c>
      <c r="G21" s="22">
        <f t="shared" si="14"/>
        <v>2125.54</v>
      </c>
      <c r="H21" s="22">
        <f t="shared" si="15"/>
        <v>0</v>
      </c>
      <c r="I21" s="22">
        <f t="shared" si="16"/>
        <v>0</v>
      </c>
      <c r="J21" s="22">
        <f t="shared" si="17"/>
        <v>0</v>
      </c>
      <c r="K21" s="22">
        <f t="shared" si="18"/>
        <v>0</v>
      </c>
      <c r="L21" s="22">
        <f t="shared" si="19"/>
        <v>45.13</v>
      </c>
      <c r="M21" s="22">
        <f t="shared" si="20"/>
        <v>0</v>
      </c>
      <c r="N21" s="22">
        <f t="shared" si="21"/>
        <v>0</v>
      </c>
      <c r="O21" s="22">
        <f t="shared" si="22"/>
        <v>0</v>
      </c>
      <c r="P21" s="22">
        <f t="shared" si="23"/>
        <v>0</v>
      </c>
      <c r="Q21" s="22">
        <v>0</v>
      </c>
      <c r="R21" s="22">
        <f t="shared" si="24"/>
        <v>0</v>
      </c>
      <c r="S21" s="22">
        <f t="shared" si="25"/>
        <v>0</v>
      </c>
      <c r="T21" s="22">
        <f t="shared" si="26"/>
        <v>45.13</v>
      </c>
      <c r="U21" s="22">
        <f t="shared" si="27"/>
        <v>2080.41</v>
      </c>
      <c r="V21" s="22">
        <f t="shared" si="28"/>
        <v>2080.41</v>
      </c>
      <c r="W21" s="22">
        <f t="shared" si="29"/>
        <v>208.041</v>
      </c>
      <c r="X21" s="22">
        <f>+'C&amp;A'!E22*0.02</f>
        <v>10.2256</v>
      </c>
      <c r="Y21" s="22">
        <f t="shared" si="30"/>
        <v>0</v>
      </c>
      <c r="Z21" s="22">
        <f t="shared" si="31"/>
        <v>2298.6766000000002</v>
      </c>
      <c r="AA21" s="22">
        <f t="shared" si="32"/>
        <v>367.78825600000005</v>
      </c>
      <c r="AB21" s="22">
        <f t="shared" si="33"/>
        <v>2666.4648560000005</v>
      </c>
      <c r="AC21" s="60">
        <f t="shared" si="1"/>
        <v>0</v>
      </c>
      <c r="AD21" s="62">
        <f>+U21-'C&amp;A'!L22-SINDICATO!P22</f>
        <v>0</v>
      </c>
      <c r="AE21" s="62">
        <f>+'C&amp;A'!L22+'C&amp;A'!J22+'C&amp;A'!H22+'C&amp;A'!G22+SINDICATO!E22-G21</f>
        <v>0</v>
      </c>
      <c r="AF21" s="62">
        <f t="shared" si="2"/>
        <v>0</v>
      </c>
      <c r="AG21" s="127" t="s">
        <v>375</v>
      </c>
      <c r="AH21" s="127" t="s">
        <v>736</v>
      </c>
      <c r="AI21" s="127"/>
      <c r="AJ21" s="127" t="s">
        <v>180</v>
      </c>
      <c r="AK21" s="127" t="s">
        <v>179</v>
      </c>
      <c r="AL21" s="127"/>
      <c r="AM21" s="127"/>
      <c r="AN21" s="127"/>
      <c r="AO21" s="151">
        <v>1166.26</v>
      </c>
      <c r="AP21" s="162">
        <f t="shared" si="34"/>
        <v>0</v>
      </c>
      <c r="AQ21" s="151">
        <f t="shared" si="35"/>
        <v>1166.26</v>
      </c>
      <c r="AR21" s="151">
        <f t="shared" si="36"/>
        <v>0</v>
      </c>
      <c r="AS21" s="151">
        <v>959.28</v>
      </c>
      <c r="AT21" s="151"/>
      <c r="AU21" s="151"/>
      <c r="AV21" s="151"/>
      <c r="AW21" s="163">
        <v>45.13</v>
      </c>
      <c r="AX21" s="145">
        <f t="shared" si="3"/>
        <v>2080.41</v>
      </c>
      <c r="AY21" s="151"/>
      <c r="AZ21" s="151"/>
      <c r="BA21" s="151">
        <v>0</v>
      </c>
      <c r="BB21" s="151">
        <f t="shared" si="37"/>
        <v>0</v>
      </c>
      <c r="BC21" s="151">
        <f t="shared" si="38"/>
        <v>0</v>
      </c>
      <c r="BD21" s="151"/>
      <c r="BE21" s="104"/>
      <c r="BF21" s="104"/>
      <c r="BG21" s="127"/>
      <c r="BH21" s="127">
        <v>0</v>
      </c>
      <c r="BI21" s="145">
        <f t="shared" si="4"/>
        <v>2080.41</v>
      </c>
      <c r="BJ21" s="104">
        <f t="shared" si="39"/>
        <v>0</v>
      </c>
      <c r="BK21" s="145">
        <f t="shared" si="5"/>
        <v>2080.41</v>
      </c>
      <c r="BL21" s="104">
        <f t="shared" si="40"/>
        <v>208.041</v>
      </c>
      <c r="BM21" s="104">
        <v>10.23</v>
      </c>
      <c r="BN21" s="145">
        <f t="shared" si="6"/>
        <v>2298.681</v>
      </c>
      <c r="BO21" s="241"/>
      <c r="BP21" s="241"/>
      <c r="BQ21" s="241"/>
      <c r="BR21" s="107"/>
      <c r="BS21" s="107"/>
      <c r="BV21" s="127" t="s">
        <v>375</v>
      </c>
      <c r="BW21" s="127" t="s">
        <v>400</v>
      </c>
      <c r="BX21" s="127"/>
      <c r="BY21" s="127" t="s">
        <v>180</v>
      </c>
      <c r="BZ21" s="127" t="s">
        <v>179</v>
      </c>
      <c r="CA21" s="127"/>
      <c r="CB21" s="127"/>
      <c r="CC21" s="127"/>
      <c r="CD21" s="151">
        <v>1166.26</v>
      </c>
      <c r="CE21" s="162"/>
      <c r="CF21" s="151">
        <f t="shared" si="45"/>
        <v>1166.26</v>
      </c>
      <c r="CG21" s="151">
        <v>959.28</v>
      </c>
      <c r="CH21" s="151"/>
      <c r="CI21" s="151"/>
      <c r="CJ21" s="151"/>
      <c r="CK21" s="163">
        <v>45.13</v>
      </c>
      <c r="CL21" s="145">
        <f t="shared" si="46"/>
        <v>2080.41</v>
      </c>
      <c r="CM21" s="151"/>
      <c r="CN21" s="151"/>
      <c r="CO21" s="151">
        <v>0</v>
      </c>
      <c r="CP21" s="151"/>
      <c r="CQ21" s="151"/>
      <c r="CR21" s="151"/>
      <c r="CS21" s="104">
        <f t="shared" si="41"/>
        <v>0</v>
      </c>
      <c r="CT21" s="104"/>
      <c r="CU21" s="127"/>
      <c r="CV21" s="127">
        <v>0</v>
      </c>
      <c r="CW21" s="145">
        <f t="shared" si="47"/>
        <v>2080.41</v>
      </c>
      <c r="CX21" s="104">
        <f t="shared" si="48"/>
        <v>0</v>
      </c>
      <c r="CY21" s="145">
        <f t="shared" si="49"/>
        <v>2080.41</v>
      </c>
      <c r="CZ21" s="104">
        <f t="shared" si="50"/>
        <v>208.041</v>
      </c>
      <c r="DA21" s="104">
        <v>10.23</v>
      </c>
      <c r="DB21" s="145">
        <f t="shared" si="51"/>
        <v>2298.681</v>
      </c>
      <c r="DC21" s="241"/>
      <c r="DD21" s="241"/>
      <c r="DE21" s="241"/>
      <c r="DF21" s="107"/>
      <c r="DG21" s="107"/>
      <c r="DJ21" s="21"/>
      <c r="DK21" s="21"/>
      <c r="DL21" s="21"/>
      <c r="DM21" s="21"/>
      <c r="DN21" s="21"/>
      <c r="DO21" s="60">
        <f>+U21-'C&amp;A'!L22-SINDICATO!P22</f>
        <v>0</v>
      </c>
    </row>
    <row r="22" spans="1:119" ht="15.75" hidden="1" thickTop="1" x14ac:dyDescent="0.25">
      <c r="A22" s="20" t="s">
        <v>53</v>
      </c>
      <c r="B22" s="21" t="s">
        <v>54</v>
      </c>
      <c r="C22" s="22">
        <f t="shared" si="12"/>
        <v>511.28</v>
      </c>
      <c r="D22" s="22">
        <v>0</v>
      </c>
      <c r="E22" s="22">
        <f t="shared" si="13"/>
        <v>1335</v>
      </c>
      <c r="F22" s="22">
        <v>0</v>
      </c>
      <c r="G22" s="22">
        <f t="shared" si="14"/>
        <v>1846.28</v>
      </c>
      <c r="H22" s="22">
        <f t="shared" si="15"/>
        <v>0</v>
      </c>
      <c r="I22" s="22">
        <f t="shared" si="16"/>
        <v>88.256349999999998</v>
      </c>
      <c r="J22" s="22">
        <f t="shared" si="17"/>
        <v>18.011499999999998</v>
      </c>
      <c r="K22" s="22">
        <f t="shared" si="18"/>
        <v>0</v>
      </c>
      <c r="L22" s="22">
        <f t="shared" si="19"/>
        <v>45.13</v>
      </c>
      <c r="M22" s="22">
        <f t="shared" si="20"/>
        <v>0</v>
      </c>
      <c r="N22" s="22">
        <f t="shared" si="21"/>
        <v>0</v>
      </c>
      <c r="O22" s="22">
        <f t="shared" si="22"/>
        <v>0</v>
      </c>
      <c r="P22" s="22">
        <f t="shared" si="23"/>
        <v>0</v>
      </c>
      <c r="Q22" s="22">
        <v>0</v>
      </c>
      <c r="R22" s="22">
        <f t="shared" si="24"/>
        <v>0</v>
      </c>
      <c r="S22" s="22">
        <f t="shared" si="25"/>
        <v>0</v>
      </c>
      <c r="T22" s="22">
        <f t="shared" si="26"/>
        <v>151.39785000000001</v>
      </c>
      <c r="U22" s="22">
        <f t="shared" si="27"/>
        <v>1694.8821499999999</v>
      </c>
      <c r="V22" s="22">
        <f t="shared" si="28"/>
        <v>1801.1499999999999</v>
      </c>
      <c r="W22" s="22">
        <f t="shared" si="29"/>
        <v>180.11500000000001</v>
      </c>
      <c r="X22" s="22">
        <f>+'C&amp;A'!E23*0.02</f>
        <v>10.2256</v>
      </c>
      <c r="Y22" s="22">
        <f t="shared" si="30"/>
        <v>88.256349999999998</v>
      </c>
      <c r="Z22" s="22">
        <f t="shared" si="31"/>
        <v>2079.7469499999997</v>
      </c>
      <c r="AA22" s="22">
        <f t="shared" si="32"/>
        <v>332.75951199999997</v>
      </c>
      <c r="AB22" s="22">
        <f t="shared" si="33"/>
        <v>2412.5064619999998</v>
      </c>
      <c r="AC22" s="60">
        <f t="shared" si="1"/>
        <v>0</v>
      </c>
      <c r="AD22" s="62">
        <f>+U22-'C&amp;A'!L23-SINDICATO!P23</f>
        <v>0</v>
      </c>
      <c r="AE22" s="62">
        <f>+'C&amp;A'!L23+'C&amp;A'!J23+'C&amp;A'!H23+'C&amp;A'!G23+SINDICATO!E23-G22</f>
        <v>0</v>
      </c>
      <c r="AF22" s="62">
        <f t="shared" si="2"/>
        <v>0</v>
      </c>
      <c r="AG22" s="127" t="s">
        <v>381</v>
      </c>
      <c r="AH22" s="127" t="s">
        <v>401</v>
      </c>
      <c r="AI22" s="127"/>
      <c r="AJ22" s="127" t="s">
        <v>53</v>
      </c>
      <c r="AK22" s="127" t="s">
        <v>181</v>
      </c>
      <c r="AL22" s="127"/>
      <c r="AM22" s="127"/>
      <c r="AN22" s="127"/>
      <c r="AO22" s="151">
        <v>511.28</v>
      </c>
      <c r="AP22" s="162">
        <f t="shared" si="34"/>
        <v>0</v>
      </c>
      <c r="AQ22" s="151">
        <f t="shared" si="35"/>
        <v>511.28</v>
      </c>
      <c r="AR22" s="151">
        <f t="shared" si="36"/>
        <v>0</v>
      </c>
      <c r="AS22" s="151">
        <v>1335</v>
      </c>
      <c r="AT22" s="151"/>
      <c r="AU22" s="151"/>
      <c r="AV22" s="151"/>
      <c r="AW22" s="163">
        <v>45.13</v>
      </c>
      <c r="AX22" s="145">
        <f t="shared" si="3"/>
        <v>1801.1499999999999</v>
      </c>
      <c r="AY22" s="151"/>
      <c r="AZ22" s="151"/>
      <c r="BA22" s="151">
        <v>0</v>
      </c>
      <c r="BB22" s="151">
        <f t="shared" si="37"/>
        <v>88.256349999999998</v>
      </c>
      <c r="BC22" s="151">
        <f t="shared" si="38"/>
        <v>18.011499999999998</v>
      </c>
      <c r="BD22" s="151"/>
      <c r="BE22" s="104"/>
      <c r="BF22" s="104"/>
      <c r="BG22" s="127"/>
      <c r="BH22" s="127">
        <v>0</v>
      </c>
      <c r="BI22" s="145">
        <f t="shared" si="4"/>
        <v>1694.8821499999999</v>
      </c>
      <c r="BJ22" s="104">
        <f t="shared" si="39"/>
        <v>0</v>
      </c>
      <c r="BK22" s="145">
        <f t="shared" si="5"/>
        <v>1694.8821499999999</v>
      </c>
      <c r="BL22" s="104">
        <f t="shared" si="40"/>
        <v>180.11500000000001</v>
      </c>
      <c r="BM22" s="104">
        <v>10.23</v>
      </c>
      <c r="BN22" s="145">
        <f t="shared" si="6"/>
        <v>1991.4949999999999</v>
      </c>
      <c r="BO22" s="241"/>
      <c r="BP22" s="241"/>
      <c r="BQ22" s="241"/>
      <c r="BR22" s="107"/>
      <c r="BS22" s="107"/>
      <c r="BV22" s="127" t="s">
        <v>381</v>
      </c>
      <c r="BW22" s="127" t="s">
        <v>401</v>
      </c>
      <c r="BX22" s="127"/>
      <c r="BY22" s="127" t="s">
        <v>53</v>
      </c>
      <c r="BZ22" s="127" t="s">
        <v>181</v>
      </c>
      <c r="CA22" s="127"/>
      <c r="CB22" s="127"/>
      <c r="CC22" s="127"/>
      <c r="CD22" s="151">
        <v>511.28</v>
      </c>
      <c r="CE22" s="127"/>
      <c r="CF22" s="151">
        <f t="shared" si="45"/>
        <v>511.28</v>
      </c>
      <c r="CG22" s="151">
        <v>1335</v>
      </c>
      <c r="CH22" s="151"/>
      <c r="CI22" s="151"/>
      <c r="CJ22" s="151"/>
      <c r="CK22" s="163">
        <v>45.13</v>
      </c>
      <c r="CL22" s="145">
        <f t="shared" si="46"/>
        <v>1801.1499999999999</v>
      </c>
      <c r="CM22" s="151"/>
      <c r="CN22" s="151"/>
      <c r="CO22" s="151">
        <v>0</v>
      </c>
      <c r="CP22" s="151">
        <f>CL22*4.9%</f>
        <v>88.256349999999998</v>
      </c>
      <c r="CQ22" s="151">
        <f>CL22*1%</f>
        <v>18.011499999999998</v>
      </c>
      <c r="CR22" s="151"/>
      <c r="CS22" s="104">
        <f t="shared" si="41"/>
        <v>0</v>
      </c>
      <c r="CT22" s="104"/>
      <c r="CU22" s="127"/>
      <c r="CV22" s="127">
        <v>0</v>
      </c>
      <c r="CW22" s="145">
        <f t="shared" si="47"/>
        <v>1694.8821499999999</v>
      </c>
      <c r="CX22" s="104">
        <f t="shared" si="48"/>
        <v>0</v>
      </c>
      <c r="CY22" s="145">
        <f t="shared" si="49"/>
        <v>1694.8821499999999</v>
      </c>
      <c r="CZ22" s="104">
        <f t="shared" si="50"/>
        <v>180.11500000000001</v>
      </c>
      <c r="DA22" s="104">
        <v>10.23</v>
      </c>
      <c r="DB22" s="145">
        <f t="shared" si="51"/>
        <v>1991.4949999999999</v>
      </c>
      <c r="DC22" s="241"/>
      <c r="DD22" s="241"/>
      <c r="DE22" s="241"/>
      <c r="DF22" s="107"/>
      <c r="DG22" s="107"/>
      <c r="DJ22" s="21"/>
      <c r="DK22" s="21"/>
      <c r="DL22" s="21"/>
      <c r="DM22" s="21"/>
      <c r="DN22" s="21"/>
      <c r="DO22" s="60">
        <f>+U22-'C&amp;A'!L23-SINDICATO!P23</f>
        <v>0</v>
      </c>
    </row>
    <row r="23" spans="1:119" ht="15.75" hidden="1" thickTop="1" x14ac:dyDescent="0.25">
      <c r="A23" s="20" t="s">
        <v>15</v>
      </c>
      <c r="B23" s="21" t="s">
        <v>55</v>
      </c>
      <c r="C23" s="22">
        <f t="shared" si="12"/>
        <v>1633.33</v>
      </c>
      <c r="D23" s="22">
        <v>0</v>
      </c>
      <c r="E23" s="22">
        <f t="shared" si="13"/>
        <v>3784.94</v>
      </c>
      <c r="F23" s="22">
        <v>0</v>
      </c>
      <c r="G23" s="22">
        <f t="shared" si="14"/>
        <v>5418.27</v>
      </c>
      <c r="H23" s="22">
        <f t="shared" si="15"/>
        <v>700</v>
      </c>
      <c r="I23" s="22">
        <f t="shared" si="16"/>
        <v>0</v>
      </c>
      <c r="J23" s="22">
        <f t="shared" si="17"/>
        <v>0</v>
      </c>
      <c r="K23" s="22">
        <f t="shared" si="18"/>
        <v>0</v>
      </c>
      <c r="L23" s="22">
        <f t="shared" si="19"/>
        <v>45.13</v>
      </c>
      <c r="M23" s="22">
        <f t="shared" si="20"/>
        <v>205.7</v>
      </c>
      <c r="N23" s="22">
        <f t="shared" si="21"/>
        <v>0</v>
      </c>
      <c r="O23" s="22">
        <f t="shared" si="22"/>
        <v>537.31400000000008</v>
      </c>
      <c r="P23" s="22">
        <f t="shared" si="23"/>
        <v>0</v>
      </c>
      <c r="Q23" s="22">
        <v>0</v>
      </c>
      <c r="R23" s="22">
        <f t="shared" si="24"/>
        <v>0</v>
      </c>
      <c r="S23" s="22">
        <f t="shared" si="25"/>
        <v>0</v>
      </c>
      <c r="T23" s="22">
        <f t="shared" si="26"/>
        <v>1488.144</v>
      </c>
      <c r="U23" s="22">
        <f t="shared" si="27"/>
        <v>3930.1260000000002</v>
      </c>
      <c r="V23" s="22">
        <f t="shared" si="28"/>
        <v>5373.14</v>
      </c>
      <c r="W23" s="22">
        <f t="shared" si="29"/>
        <v>0</v>
      </c>
      <c r="X23" s="22">
        <f>+'C&amp;A'!E24*0.02</f>
        <v>10.2256</v>
      </c>
      <c r="Y23" s="22">
        <f t="shared" si="30"/>
        <v>0</v>
      </c>
      <c r="Z23" s="22">
        <f t="shared" si="31"/>
        <v>5383.3656000000001</v>
      </c>
      <c r="AA23" s="22">
        <f t="shared" si="32"/>
        <v>861.33849600000008</v>
      </c>
      <c r="AB23" s="22">
        <f t="shared" si="33"/>
        <v>6244.7040960000004</v>
      </c>
      <c r="AC23" s="60">
        <f t="shared" si="1"/>
        <v>0</v>
      </c>
      <c r="AD23" s="62">
        <f>+U23-'C&amp;A'!L24-SINDICATO!P24</f>
        <v>0</v>
      </c>
      <c r="AE23" s="62">
        <f>+'C&amp;A'!L24+'C&amp;A'!J24+'C&amp;A'!H24+'C&amp;A'!G24+SINDICATO!E24-G23</f>
        <v>0</v>
      </c>
      <c r="AF23" s="62">
        <f t="shared" si="2"/>
        <v>0</v>
      </c>
      <c r="AG23" s="127" t="s">
        <v>377</v>
      </c>
      <c r="AH23" s="127" t="s">
        <v>616</v>
      </c>
      <c r="AI23" s="127" t="s">
        <v>379</v>
      </c>
      <c r="AJ23" s="127">
        <v>18</v>
      </c>
      <c r="AK23" s="127" t="s">
        <v>403</v>
      </c>
      <c r="AL23" s="127"/>
      <c r="AM23" s="127"/>
      <c r="AN23" s="127"/>
      <c r="AO23" s="151">
        <v>1633.33</v>
      </c>
      <c r="AP23" s="162">
        <f t="shared" si="34"/>
        <v>0</v>
      </c>
      <c r="AQ23" s="151">
        <f t="shared" si="35"/>
        <v>1633.33</v>
      </c>
      <c r="AR23" s="151">
        <f t="shared" si="36"/>
        <v>0</v>
      </c>
      <c r="AS23" s="151">
        <v>3784.94</v>
      </c>
      <c r="AT23" s="151"/>
      <c r="AU23" s="151"/>
      <c r="AV23" s="151"/>
      <c r="AW23" s="163">
        <v>45.13</v>
      </c>
      <c r="AX23" s="145">
        <f t="shared" si="3"/>
        <v>5373.14</v>
      </c>
      <c r="AY23" s="151"/>
      <c r="AZ23" s="151"/>
      <c r="BA23" s="151">
        <v>700</v>
      </c>
      <c r="BB23" s="151">
        <f t="shared" si="37"/>
        <v>0</v>
      </c>
      <c r="BC23" s="151">
        <f t="shared" si="38"/>
        <v>0</v>
      </c>
      <c r="BD23" s="151"/>
      <c r="BE23" s="104"/>
      <c r="BF23" s="104"/>
      <c r="BG23" s="127">
        <v>205.7</v>
      </c>
      <c r="BH23" s="127">
        <v>0</v>
      </c>
      <c r="BI23" s="145">
        <f t="shared" si="4"/>
        <v>4467.4400000000005</v>
      </c>
      <c r="BJ23" s="104">
        <f t="shared" si="39"/>
        <v>537.31400000000008</v>
      </c>
      <c r="BK23" s="145">
        <f t="shared" si="5"/>
        <v>3930.1260000000002</v>
      </c>
      <c r="BL23" s="104">
        <f t="shared" si="40"/>
        <v>0</v>
      </c>
      <c r="BM23" s="104">
        <v>10.23</v>
      </c>
      <c r="BN23" s="145">
        <f t="shared" si="6"/>
        <v>5383.37</v>
      </c>
      <c r="BO23" s="241"/>
      <c r="BP23" s="241"/>
      <c r="BQ23" s="241"/>
      <c r="BR23" s="107"/>
      <c r="BS23" s="107"/>
      <c r="BV23" s="127" t="s">
        <v>377</v>
      </c>
      <c r="BW23" s="127" t="s">
        <v>616</v>
      </c>
      <c r="BX23" s="127" t="s">
        <v>379</v>
      </c>
      <c r="BY23" s="127">
        <v>18</v>
      </c>
      <c r="BZ23" s="127" t="s">
        <v>403</v>
      </c>
      <c r="CA23" s="127"/>
      <c r="CB23" s="127"/>
      <c r="CC23" s="127"/>
      <c r="CD23" s="151">
        <v>1633.33</v>
      </c>
      <c r="CE23" s="127"/>
      <c r="CF23" s="151">
        <f t="shared" si="45"/>
        <v>1633.33</v>
      </c>
      <c r="CG23" s="151">
        <v>3784.94</v>
      </c>
      <c r="CH23" s="151"/>
      <c r="CI23" s="151"/>
      <c r="CJ23" s="151"/>
      <c r="CK23" s="163">
        <v>45.13</v>
      </c>
      <c r="CL23" s="145">
        <f t="shared" si="46"/>
        <v>5373.14</v>
      </c>
      <c r="CM23" s="151"/>
      <c r="CN23" s="151"/>
      <c r="CO23" s="151">
        <v>700</v>
      </c>
      <c r="CP23" s="151"/>
      <c r="CQ23" s="151"/>
      <c r="CR23" s="151"/>
      <c r="CS23" s="104">
        <f t="shared" si="41"/>
        <v>0</v>
      </c>
      <c r="CT23" s="104"/>
      <c r="CU23" s="127">
        <v>205.7</v>
      </c>
      <c r="CV23" s="127">
        <v>0</v>
      </c>
      <c r="CW23" s="145">
        <f t="shared" si="47"/>
        <v>4467.4400000000005</v>
      </c>
      <c r="CX23" s="104">
        <f t="shared" si="48"/>
        <v>537.31400000000008</v>
      </c>
      <c r="CY23" s="145">
        <f t="shared" si="49"/>
        <v>3930.1260000000002</v>
      </c>
      <c r="CZ23" s="104">
        <f t="shared" si="50"/>
        <v>0</v>
      </c>
      <c r="DA23" s="104">
        <v>10.23</v>
      </c>
      <c r="DB23" s="145">
        <f t="shared" si="51"/>
        <v>5383.37</v>
      </c>
      <c r="DC23" s="241"/>
      <c r="DD23" s="241"/>
      <c r="DE23" s="241"/>
      <c r="DF23" s="107"/>
      <c r="DG23" s="107"/>
      <c r="DJ23" s="21"/>
      <c r="DK23" s="21"/>
      <c r="DL23" s="21"/>
      <c r="DM23" s="21"/>
      <c r="DN23" s="21"/>
      <c r="DO23" s="60">
        <f>+U23-'C&amp;A'!L24-SINDICATO!P24</f>
        <v>0</v>
      </c>
    </row>
    <row r="24" spans="1:119" ht="15.75" hidden="1" thickTop="1" x14ac:dyDescent="0.25">
      <c r="A24" s="20" t="s">
        <v>56</v>
      </c>
      <c r="B24" s="21" t="s">
        <v>57</v>
      </c>
      <c r="C24" s="22">
        <f t="shared" si="12"/>
        <v>1100</v>
      </c>
      <c r="D24" s="22">
        <v>0</v>
      </c>
      <c r="E24" s="22">
        <f t="shared" si="13"/>
        <v>371.1</v>
      </c>
      <c r="F24" s="22">
        <v>0</v>
      </c>
      <c r="G24" s="22">
        <f t="shared" si="14"/>
        <v>1471.1</v>
      </c>
      <c r="H24" s="22">
        <f t="shared" si="15"/>
        <v>14.259699999999999</v>
      </c>
      <c r="I24" s="22">
        <f t="shared" si="16"/>
        <v>69.872529999999998</v>
      </c>
      <c r="J24" s="22">
        <f t="shared" si="17"/>
        <v>0</v>
      </c>
      <c r="K24" s="22">
        <f t="shared" si="18"/>
        <v>0</v>
      </c>
      <c r="L24" s="22">
        <f t="shared" si="19"/>
        <v>45.13</v>
      </c>
      <c r="M24" s="22">
        <f t="shared" si="20"/>
        <v>0</v>
      </c>
      <c r="N24" s="22">
        <f t="shared" si="21"/>
        <v>0</v>
      </c>
      <c r="O24" s="22">
        <f t="shared" si="22"/>
        <v>0</v>
      </c>
      <c r="P24" s="22">
        <f t="shared" si="23"/>
        <v>0</v>
      </c>
      <c r="Q24" s="22">
        <v>0</v>
      </c>
      <c r="R24" s="22">
        <f t="shared" si="24"/>
        <v>0</v>
      </c>
      <c r="S24" s="22">
        <f t="shared" si="25"/>
        <v>0</v>
      </c>
      <c r="T24" s="22">
        <f t="shared" si="26"/>
        <v>129.26222999999999</v>
      </c>
      <c r="U24" s="22">
        <f t="shared" si="27"/>
        <v>1341.8377699999999</v>
      </c>
      <c r="V24" s="22">
        <f t="shared" si="28"/>
        <v>1425.9699999999998</v>
      </c>
      <c r="W24" s="22">
        <f t="shared" si="29"/>
        <v>142.59699999999998</v>
      </c>
      <c r="X24" s="22">
        <f>+'C&amp;A'!E25*0.02</f>
        <v>10.2256</v>
      </c>
      <c r="Y24" s="22">
        <f t="shared" si="30"/>
        <v>69.872529999999998</v>
      </c>
      <c r="Z24" s="22">
        <f t="shared" si="31"/>
        <v>1648.6651299999999</v>
      </c>
      <c r="AA24" s="22">
        <f t="shared" si="32"/>
        <v>263.78642079999997</v>
      </c>
      <c r="AB24" s="22">
        <f t="shared" si="33"/>
        <v>1912.4515507999999</v>
      </c>
      <c r="AC24" s="60">
        <f t="shared" si="1"/>
        <v>0</v>
      </c>
      <c r="AD24" s="62">
        <f>+U24-'C&amp;A'!L25-SINDICATO!P25</f>
        <v>0</v>
      </c>
      <c r="AE24" s="62">
        <f>+'C&amp;A'!L25+'C&amp;A'!J25+'C&amp;A'!H25+'C&amp;A'!G25+SINDICATO!E25-G24</f>
        <v>0</v>
      </c>
      <c r="AF24" s="62">
        <f t="shared" si="2"/>
        <v>0</v>
      </c>
      <c r="AG24" s="127" t="s">
        <v>381</v>
      </c>
      <c r="AH24" s="127" t="s">
        <v>617</v>
      </c>
      <c r="AI24" s="127"/>
      <c r="AJ24" s="127" t="s">
        <v>56</v>
      </c>
      <c r="AK24" s="127" t="s">
        <v>405</v>
      </c>
      <c r="AL24" s="127"/>
      <c r="AM24" s="127"/>
      <c r="AN24" s="127"/>
      <c r="AO24" s="151">
        <v>1100</v>
      </c>
      <c r="AP24" s="162">
        <f t="shared" si="34"/>
        <v>0</v>
      </c>
      <c r="AQ24" s="151">
        <f t="shared" si="35"/>
        <v>1100</v>
      </c>
      <c r="AR24" s="151">
        <f t="shared" si="36"/>
        <v>0</v>
      </c>
      <c r="AS24" s="151">
        <v>371.1</v>
      </c>
      <c r="AT24" s="151"/>
      <c r="AU24" s="151"/>
      <c r="AV24" s="151"/>
      <c r="AW24" s="163">
        <v>45.13</v>
      </c>
      <c r="AX24" s="145">
        <f t="shared" si="3"/>
        <v>1425.9699999999998</v>
      </c>
      <c r="AY24" s="151"/>
      <c r="AZ24" s="151"/>
      <c r="BA24" s="151">
        <f>+AX24*1%</f>
        <v>14.259699999999999</v>
      </c>
      <c r="BB24" s="151">
        <f t="shared" si="37"/>
        <v>69.872529999999998</v>
      </c>
      <c r="BC24" s="151">
        <f t="shared" si="38"/>
        <v>0</v>
      </c>
      <c r="BD24" s="151"/>
      <c r="BE24" s="104"/>
      <c r="BF24" s="104"/>
      <c r="BG24" s="127"/>
      <c r="BH24" s="127">
        <v>0</v>
      </c>
      <c r="BI24" s="145">
        <f t="shared" si="4"/>
        <v>1341.8377699999999</v>
      </c>
      <c r="BJ24" s="104">
        <f t="shared" si="39"/>
        <v>0</v>
      </c>
      <c r="BK24" s="145">
        <f t="shared" si="5"/>
        <v>1341.8377699999999</v>
      </c>
      <c r="BL24" s="104">
        <f t="shared" si="40"/>
        <v>142.59699999999998</v>
      </c>
      <c r="BM24" s="104">
        <v>10.23</v>
      </c>
      <c r="BN24" s="145">
        <f t="shared" si="6"/>
        <v>1578.7969999999998</v>
      </c>
      <c r="BO24" s="241"/>
      <c r="BP24" s="241"/>
      <c r="BQ24" s="241"/>
      <c r="BR24" s="107"/>
      <c r="BS24" s="107"/>
      <c r="BV24" s="127" t="s">
        <v>381</v>
      </c>
      <c r="BW24" s="127" t="s">
        <v>617</v>
      </c>
      <c r="BX24" s="127"/>
      <c r="BY24" s="127" t="s">
        <v>56</v>
      </c>
      <c r="BZ24" s="127" t="s">
        <v>405</v>
      </c>
      <c r="CA24" s="127"/>
      <c r="CB24" s="127"/>
      <c r="CC24" s="127"/>
      <c r="CD24" s="151">
        <v>1100</v>
      </c>
      <c r="CE24" s="127"/>
      <c r="CF24" s="151">
        <f t="shared" si="45"/>
        <v>1100</v>
      </c>
      <c r="CG24" s="151">
        <v>371.1</v>
      </c>
      <c r="CH24" s="151"/>
      <c r="CI24" s="151"/>
      <c r="CJ24" s="151"/>
      <c r="CK24" s="163">
        <v>45.13</v>
      </c>
      <c r="CL24" s="145">
        <f t="shared" si="46"/>
        <v>1425.9699999999998</v>
      </c>
      <c r="CM24" s="151"/>
      <c r="CN24" s="151"/>
      <c r="CO24" s="151">
        <f>+CL24*1%</f>
        <v>14.259699999999999</v>
      </c>
      <c r="CP24" s="151">
        <f>+CL24*4.9%</f>
        <v>69.872529999999998</v>
      </c>
      <c r="CQ24" s="151"/>
      <c r="CR24" s="151"/>
      <c r="CS24" s="104">
        <f t="shared" si="41"/>
        <v>0</v>
      </c>
      <c r="CT24" s="104"/>
      <c r="CU24" s="127"/>
      <c r="CV24" s="127">
        <v>0</v>
      </c>
      <c r="CW24" s="145">
        <f t="shared" si="47"/>
        <v>1341.8377699999999</v>
      </c>
      <c r="CX24" s="104">
        <f t="shared" si="48"/>
        <v>0</v>
      </c>
      <c r="CY24" s="145">
        <f t="shared" si="49"/>
        <v>1341.8377699999999</v>
      </c>
      <c r="CZ24" s="104">
        <f t="shared" si="50"/>
        <v>142.59699999999998</v>
      </c>
      <c r="DA24" s="104">
        <v>10.23</v>
      </c>
      <c r="DB24" s="145">
        <f t="shared" si="51"/>
        <v>1578.7969999999998</v>
      </c>
      <c r="DC24" s="241"/>
      <c r="DD24" s="241"/>
      <c r="DE24" s="241"/>
      <c r="DF24" s="107"/>
      <c r="DG24" s="107"/>
      <c r="DJ24" s="21"/>
      <c r="DK24" s="21"/>
      <c r="DL24" s="21"/>
      <c r="DM24" s="21"/>
      <c r="DN24" s="21"/>
      <c r="DO24" s="60">
        <f>+U24-'C&amp;A'!L25-SINDICATO!P25</f>
        <v>0</v>
      </c>
    </row>
    <row r="25" spans="1:119" ht="15.75" hidden="1" thickTop="1" x14ac:dyDescent="0.25">
      <c r="A25" s="20" t="s">
        <v>60</v>
      </c>
      <c r="B25" s="21" t="s">
        <v>61</v>
      </c>
      <c r="C25" s="22">
        <f t="shared" si="12"/>
        <v>513.33000000000004</v>
      </c>
      <c r="D25" s="22">
        <v>0</v>
      </c>
      <c r="E25" s="22">
        <f t="shared" si="13"/>
        <v>1139.8399999999999</v>
      </c>
      <c r="F25" s="22">
        <v>0</v>
      </c>
      <c r="G25" s="22">
        <f t="shared" si="14"/>
        <v>1653.17</v>
      </c>
      <c r="H25" s="22">
        <f t="shared" si="15"/>
        <v>0</v>
      </c>
      <c r="I25" s="22">
        <f t="shared" si="16"/>
        <v>0</v>
      </c>
      <c r="J25" s="22">
        <f t="shared" si="17"/>
        <v>0</v>
      </c>
      <c r="K25" s="22">
        <f t="shared" si="18"/>
        <v>0</v>
      </c>
      <c r="L25" s="22">
        <f t="shared" si="19"/>
        <v>45.13</v>
      </c>
      <c r="M25" s="22">
        <f t="shared" si="20"/>
        <v>0</v>
      </c>
      <c r="N25" s="22">
        <f t="shared" si="21"/>
        <v>797.62</v>
      </c>
      <c r="O25" s="22">
        <f t="shared" si="22"/>
        <v>0</v>
      </c>
      <c r="P25" s="22">
        <f t="shared" si="23"/>
        <v>0</v>
      </c>
      <c r="Q25" s="22">
        <v>0</v>
      </c>
      <c r="R25" s="22">
        <f t="shared" si="24"/>
        <v>0</v>
      </c>
      <c r="S25" s="22">
        <f t="shared" si="25"/>
        <v>0</v>
      </c>
      <c r="T25" s="22">
        <f t="shared" si="26"/>
        <v>842.75</v>
      </c>
      <c r="U25" s="22">
        <f t="shared" si="27"/>
        <v>810.42000000000007</v>
      </c>
      <c r="V25" s="22">
        <f t="shared" si="28"/>
        <v>1608.04</v>
      </c>
      <c r="W25" s="22">
        <f t="shared" si="29"/>
        <v>160.804</v>
      </c>
      <c r="X25" s="22">
        <f>+'C&amp;A'!E26*0.02</f>
        <v>10.2256</v>
      </c>
      <c r="Y25" s="22">
        <f t="shared" si="30"/>
        <v>0</v>
      </c>
      <c r="Z25" s="22">
        <f t="shared" si="31"/>
        <v>1779.0696</v>
      </c>
      <c r="AA25" s="22">
        <f t="shared" si="32"/>
        <v>284.65113600000001</v>
      </c>
      <c r="AB25" s="22">
        <f t="shared" si="33"/>
        <v>2063.7207360000002</v>
      </c>
      <c r="AC25" s="60">
        <f t="shared" si="1"/>
        <v>0</v>
      </c>
      <c r="AD25" s="62">
        <f>+U25-'C&amp;A'!L26-SINDICATO!P26</f>
        <v>0</v>
      </c>
      <c r="AE25" s="62">
        <f>+'C&amp;A'!L26+'C&amp;A'!J26+'C&amp;A'!H26+'C&amp;A'!G26+SINDICATO!E26-G25</f>
        <v>0</v>
      </c>
      <c r="AF25" s="62">
        <f t="shared" si="2"/>
        <v>0</v>
      </c>
      <c r="AG25" s="127" t="s">
        <v>389</v>
      </c>
      <c r="AH25" s="127" t="s">
        <v>407</v>
      </c>
      <c r="AI25" s="127" t="s">
        <v>391</v>
      </c>
      <c r="AJ25" s="127" t="s">
        <v>60</v>
      </c>
      <c r="AK25" s="127" t="s">
        <v>189</v>
      </c>
      <c r="AL25" s="165">
        <v>42432</v>
      </c>
      <c r="AM25" s="127"/>
      <c r="AN25" s="127"/>
      <c r="AO25" s="151">
        <v>513.33000000000004</v>
      </c>
      <c r="AP25" s="162">
        <f t="shared" si="34"/>
        <v>0</v>
      </c>
      <c r="AQ25" s="151">
        <f t="shared" si="35"/>
        <v>513.33000000000004</v>
      </c>
      <c r="AR25" s="151">
        <f t="shared" si="36"/>
        <v>0</v>
      </c>
      <c r="AS25" s="151">
        <v>1139.8399999999999</v>
      </c>
      <c r="AT25" s="151"/>
      <c r="AU25" s="151"/>
      <c r="AV25" s="151"/>
      <c r="AW25" s="163">
        <v>45.13</v>
      </c>
      <c r="AX25" s="145">
        <f t="shared" si="3"/>
        <v>1608.04</v>
      </c>
      <c r="AY25" s="151"/>
      <c r="AZ25" s="151"/>
      <c r="BA25" s="151">
        <v>0</v>
      </c>
      <c r="BB25" s="151">
        <f t="shared" si="37"/>
        <v>0</v>
      </c>
      <c r="BC25" s="151">
        <f t="shared" si="38"/>
        <v>0</v>
      </c>
      <c r="BD25" s="151"/>
      <c r="BE25" s="104"/>
      <c r="BF25" s="104"/>
      <c r="BG25" s="127"/>
      <c r="BH25" s="127">
        <f>797.62</f>
        <v>797.62</v>
      </c>
      <c r="BI25" s="145">
        <f t="shared" si="4"/>
        <v>810.42</v>
      </c>
      <c r="BJ25" s="104">
        <f t="shared" si="39"/>
        <v>0</v>
      </c>
      <c r="BK25" s="145">
        <f t="shared" si="5"/>
        <v>810.42</v>
      </c>
      <c r="BL25" s="104">
        <f t="shared" si="40"/>
        <v>160.804</v>
      </c>
      <c r="BM25" s="104">
        <v>10.23</v>
      </c>
      <c r="BN25" s="145">
        <f t="shared" si="6"/>
        <v>1779.0740000000001</v>
      </c>
      <c r="BO25" s="241"/>
      <c r="BP25" s="241"/>
      <c r="BQ25" s="241"/>
      <c r="BR25" s="107"/>
      <c r="BS25" s="107"/>
      <c r="BV25" s="127" t="s">
        <v>389</v>
      </c>
      <c r="BW25" s="127" t="s">
        <v>407</v>
      </c>
      <c r="BX25" s="127" t="s">
        <v>391</v>
      </c>
      <c r="BY25" s="127" t="s">
        <v>60</v>
      </c>
      <c r="BZ25" s="127" t="s">
        <v>189</v>
      </c>
      <c r="CA25" s="165">
        <v>42432</v>
      </c>
      <c r="CB25" s="127"/>
      <c r="CC25" s="127"/>
      <c r="CD25" s="151">
        <v>513.33000000000004</v>
      </c>
      <c r="CE25" s="127"/>
      <c r="CF25" s="151">
        <f t="shared" si="45"/>
        <v>513.33000000000004</v>
      </c>
      <c r="CG25" s="151">
        <v>1139.8399999999999</v>
      </c>
      <c r="CH25" s="151"/>
      <c r="CI25" s="151"/>
      <c r="CJ25" s="151"/>
      <c r="CK25" s="163">
        <v>45.13</v>
      </c>
      <c r="CL25" s="145">
        <f t="shared" si="46"/>
        <v>1608.04</v>
      </c>
      <c r="CM25" s="151"/>
      <c r="CN25" s="151"/>
      <c r="CO25" s="151">
        <v>0</v>
      </c>
      <c r="CP25" s="151"/>
      <c r="CQ25" s="151"/>
      <c r="CR25" s="151"/>
      <c r="CS25" s="104">
        <f t="shared" si="41"/>
        <v>0</v>
      </c>
      <c r="CT25" s="104"/>
      <c r="CU25" s="127"/>
      <c r="CV25" s="127">
        <f>797.62</f>
        <v>797.62</v>
      </c>
      <c r="CW25" s="145">
        <f t="shared" si="47"/>
        <v>810.42</v>
      </c>
      <c r="CX25" s="104">
        <f t="shared" si="48"/>
        <v>0</v>
      </c>
      <c r="CY25" s="145">
        <f t="shared" si="49"/>
        <v>810.42</v>
      </c>
      <c r="CZ25" s="104">
        <f t="shared" si="50"/>
        <v>160.804</v>
      </c>
      <c r="DA25" s="104">
        <v>10.23</v>
      </c>
      <c r="DB25" s="145">
        <f t="shared" si="51"/>
        <v>1779.0740000000001</v>
      </c>
      <c r="DC25" s="241"/>
      <c r="DD25" s="241"/>
      <c r="DE25" s="241"/>
      <c r="DF25" s="107"/>
      <c r="DG25" s="107"/>
      <c r="DJ25" s="21"/>
      <c r="DK25" s="21"/>
      <c r="DL25" s="21"/>
      <c r="DM25" s="21"/>
      <c r="DN25" s="21"/>
      <c r="DO25" s="60">
        <f>+U25-'C&amp;A'!L26-SINDICATO!P26</f>
        <v>0</v>
      </c>
    </row>
    <row r="26" spans="1:119" ht="15.75" hidden="1" thickTop="1" x14ac:dyDescent="0.25">
      <c r="A26" s="20" t="s">
        <v>62</v>
      </c>
      <c r="B26" s="21" t="s">
        <v>63</v>
      </c>
      <c r="C26" s="22">
        <f t="shared" si="12"/>
        <v>739.23</v>
      </c>
      <c r="D26" s="22">
        <v>0</v>
      </c>
      <c r="E26" s="22">
        <f t="shared" si="13"/>
        <v>2657.83</v>
      </c>
      <c r="F26" s="22">
        <v>0</v>
      </c>
      <c r="G26" s="22">
        <f t="shared" si="14"/>
        <v>3397.06</v>
      </c>
      <c r="H26" s="22">
        <f t="shared" si="15"/>
        <v>0</v>
      </c>
      <c r="I26" s="22">
        <f t="shared" si="16"/>
        <v>0</v>
      </c>
      <c r="J26" s="22">
        <f t="shared" si="17"/>
        <v>0</v>
      </c>
      <c r="K26" s="22">
        <f t="shared" si="18"/>
        <v>0</v>
      </c>
      <c r="L26" s="22">
        <f t="shared" si="19"/>
        <v>45.13</v>
      </c>
      <c r="M26" s="22">
        <f t="shared" si="20"/>
        <v>0</v>
      </c>
      <c r="N26" s="22">
        <f t="shared" si="21"/>
        <v>0</v>
      </c>
      <c r="O26" s="22">
        <f t="shared" si="22"/>
        <v>0</v>
      </c>
      <c r="P26" s="22">
        <f t="shared" si="23"/>
        <v>0</v>
      </c>
      <c r="Q26" s="22">
        <v>0</v>
      </c>
      <c r="R26" s="22">
        <f t="shared" si="24"/>
        <v>0</v>
      </c>
      <c r="S26" s="22">
        <f t="shared" si="25"/>
        <v>0</v>
      </c>
      <c r="T26" s="22">
        <f t="shared" si="26"/>
        <v>45.13</v>
      </c>
      <c r="U26" s="22">
        <f t="shared" si="27"/>
        <v>3351.93</v>
      </c>
      <c r="V26" s="22">
        <f t="shared" si="28"/>
        <v>3351.93</v>
      </c>
      <c r="W26" s="22">
        <f t="shared" si="29"/>
        <v>335.19299999999998</v>
      </c>
      <c r="X26" s="22">
        <f>+'C&amp;A'!E27*0.02</f>
        <v>10.2256</v>
      </c>
      <c r="Y26" s="22">
        <f t="shared" si="30"/>
        <v>0</v>
      </c>
      <c r="Z26" s="22">
        <f t="shared" si="31"/>
        <v>3697.3485999999998</v>
      </c>
      <c r="AA26" s="22">
        <f t="shared" si="32"/>
        <v>591.57577600000002</v>
      </c>
      <c r="AB26" s="22">
        <f t="shared" si="33"/>
        <v>4288.9243759999999</v>
      </c>
      <c r="AC26" s="60">
        <f t="shared" si="1"/>
        <v>0</v>
      </c>
      <c r="AD26" s="62">
        <f>+U26-'C&amp;A'!L27-SINDICATO!P27</f>
        <v>0</v>
      </c>
      <c r="AE26" s="62">
        <f>+'C&amp;A'!L27+'C&amp;A'!J27+'C&amp;A'!H27+'C&amp;A'!G27+SINDICATO!E27-G26</f>
        <v>0</v>
      </c>
      <c r="AF26" s="62">
        <f t="shared" si="2"/>
        <v>0</v>
      </c>
      <c r="AG26" s="127" t="s">
        <v>383</v>
      </c>
      <c r="AH26" s="127" t="s">
        <v>408</v>
      </c>
      <c r="AI26" s="127"/>
      <c r="AJ26" s="127" t="s">
        <v>62</v>
      </c>
      <c r="AK26" s="127" t="s">
        <v>409</v>
      </c>
      <c r="AL26" s="127"/>
      <c r="AM26" s="127"/>
      <c r="AN26" s="127"/>
      <c r="AO26" s="201">
        <v>739.23</v>
      </c>
      <c r="AP26" s="162">
        <f t="shared" si="34"/>
        <v>0</v>
      </c>
      <c r="AQ26" s="151">
        <f t="shared" si="35"/>
        <v>739.23</v>
      </c>
      <c r="AR26" s="151">
        <f t="shared" si="36"/>
        <v>0</v>
      </c>
      <c r="AS26" s="151">
        <v>2657.83</v>
      </c>
      <c r="AT26" s="151"/>
      <c r="AU26" s="151"/>
      <c r="AV26" s="151"/>
      <c r="AW26" s="163">
        <v>45.13</v>
      </c>
      <c r="AX26" s="145">
        <f t="shared" si="3"/>
        <v>3351.93</v>
      </c>
      <c r="AY26" s="151"/>
      <c r="AZ26" s="151"/>
      <c r="BA26" s="151">
        <v>0</v>
      </c>
      <c r="BB26" s="151">
        <f t="shared" si="37"/>
        <v>0</v>
      </c>
      <c r="BC26" s="151">
        <f t="shared" si="38"/>
        <v>0</v>
      </c>
      <c r="BD26" s="151"/>
      <c r="BE26" s="104"/>
      <c r="BF26" s="104"/>
      <c r="BG26" s="127"/>
      <c r="BH26" s="127">
        <v>0</v>
      </c>
      <c r="BI26" s="145">
        <f t="shared" si="4"/>
        <v>3351.93</v>
      </c>
      <c r="BJ26" s="104">
        <f t="shared" si="39"/>
        <v>0</v>
      </c>
      <c r="BK26" s="145">
        <f t="shared" si="5"/>
        <v>3351.93</v>
      </c>
      <c r="BL26" s="104">
        <f t="shared" si="40"/>
        <v>335.19299999999998</v>
      </c>
      <c r="BM26" s="104">
        <v>10.23</v>
      </c>
      <c r="BN26" s="145">
        <f t="shared" si="6"/>
        <v>3697.3529999999996</v>
      </c>
      <c r="BO26" s="241"/>
      <c r="BP26" s="241"/>
      <c r="BQ26" s="241"/>
      <c r="BR26" s="107"/>
      <c r="BS26" s="107"/>
      <c r="BV26" s="127" t="s">
        <v>383</v>
      </c>
      <c r="BW26" s="127" t="s">
        <v>408</v>
      </c>
      <c r="BX26" s="127"/>
      <c r="BY26" s="127" t="s">
        <v>62</v>
      </c>
      <c r="BZ26" s="127" t="s">
        <v>409</v>
      </c>
      <c r="CA26" s="127"/>
      <c r="CB26" s="127"/>
      <c r="CC26" s="127"/>
      <c r="CD26" s="201">
        <v>739.23</v>
      </c>
      <c r="CE26" s="127"/>
      <c r="CF26" s="151">
        <f t="shared" si="45"/>
        <v>739.23</v>
      </c>
      <c r="CG26" s="151">
        <v>2657.83</v>
      </c>
      <c r="CH26" s="151"/>
      <c r="CI26" s="151"/>
      <c r="CJ26" s="151"/>
      <c r="CK26" s="163">
        <v>45.13</v>
      </c>
      <c r="CL26" s="145">
        <f t="shared" si="46"/>
        <v>3351.93</v>
      </c>
      <c r="CM26" s="151"/>
      <c r="CN26" s="151"/>
      <c r="CO26" s="151">
        <v>0</v>
      </c>
      <c r="CP26" s="151"/>
      <c r="CQ26" s="151"/>
      <c r="CR26" s="151"/>
      <c r="CS26" s="104">
        <f t="shared" si="41"/>
        <v>0</v>
      </c>
      <c r="CT26" s="104"/>
      <c r="CU26" s="127"/>
      <c r="CV26" s="127">
        <v>0</v>
      </c>
      <c r="CW26" s="145">
        <f t="shared" si="47"/>
        <v>3351.93</v>
      </c>
      <c r="CX26" s="104">
        <f t="shared" si="48"/>
        <v>0</v>
      </c>
      <c r="CY26" s="145">
        <f t="shared" si="49"/>
        <v>3351.93</v>
      </c>
      <c r="CZ26" s="104">
        <f t="shared" si="50"/>
        <v>335.19299999999998</v>
      </c>
      <c r="DA26" s="104">
        <v>10.23</v>
      </c>
      <c r="DB26" s="145">
        <f t="shared" si="51"/>
        <v>3697.3529999999996</v>
      </c>
      <c r="DC26" s="241"/>
      <c r="DD26" s="241"/>
      <c r="DE26" s="241"/>
      <c r="DF26" s="107"/>
      <c r="DG26" s="107"/>
      <c r="DJ26" s="21"/>
      <c r="DK26" s="21"/>
      <c r="DL26" s="21"/>
      <c r="DM26" s="21"/>
      <c r="DN26" s="21"/>
      <c r="DO26" s="60">
        <f>+U26-'C&amp;A'!L27-SINDICATO!P27</f>
        <v>0</v>
      </c>
    </row>
    <row r="27" spans="1:119" ht="15.75" hidden="1" thickTop="1" x14ac:dyDescent="0.25">
      <c r="A27" s="20" t="s">
        <v>64</v>
      </c>
      <c r="B27" s="21" t="s">
        <v>65</v>
      </c>
      <c r="C27" s="22">
        <f t="shared" si="12"/>
        <v>513.33000000000004</v>
      </c>
      <c r="D27" s="22">
        <v>93.675398729432189</v>
      </c>
      <c r="E27" s="22">
        <f t="shared" si="13"/>
        <v>0</v>
      </c>
      <c r="F27" s="22">
        <v>0</v>
      </c>
      <c r="G27" s="22">
        <f t="shared" si="14"/>
        <v>607.00539872943227</v>
      </c>
      <c r="H27" s="22">
        <f t="shared" si="15"/>
        <v>0</v>
      </c>
      <c r="I27" s="22">
        <f t="shared" si="16"/>
        <v>0</v>
      </c>
      <c r="J27" s="22">
        <f t="shared" si="17"/>
        <v>0</v>
      </c>
      <c r="K27" s="22">
        <f t="shared" si="18"/>
        <v>0</v>
      </c>
      <c r="L27" s="22">
        <f t="shared" si="19"/>
        <v>45.13</v>
      </c>
      <c r="M27" s="22">
        <f t="shared" si="20"/>
        <v>0</v>
      </c>
      <c r="N27" s="22">
        <f t="shared" si="21"/>
        <v>0</v>
      </c>
      <c r="O27" s="22">
        <f t="shared" si="22"/>
        <v>0</v>
      </c>
      <c r="P27" s="22">
        <f t="shared" si="23"/>
        <v>0</v>
      </c>
      <c r="Q27" s="22">
        <v>0</v>
      </c>
      <c r="R27" s="22">
        <f t="shared" si="24"/>
        <v>0</v>
      </c>
      <c r="S27" s="22">
        <f t="shared" si="25"/>
        <v>0</v>
      </c>
      <c r="T27" s="22">
        <f t="shared" si="26"/>
        <v>45.13</v>
      </c>
      <c r="U27" s="22">
        <f t="shared" si="27"/>
        <v>561.87539872943228</v>
      </c>
      <c r="V27" s="22">
        <f t="shared" si="28"/>
        <v>561.87539872943228</v>
      </c>
      <c r="W27" s="22">
        <f t="shared" si="29"/>
        <v>46.820000000000007</v>
      </c>
      <c r="X27" s="22">
        <f>+'C&amp;A'!E28*0.02</f>
        <v>8.5213999999999999</v>
      </c>
      <c r="Y27" s="22">
        <f t="shared" si="30"/>
        <v>0</v>
      </c>
      <c r="Z27" s="22">
        <f t="shared" si="31"/>
        <v>617.2167987294323</v>
      </c>
      <c r="AA27" s="22">
        <f t="shared" si="32"/>
        <v>98.754687796709163</v>
      </c>
      <c r="AB27" s="22">
        <f t="shared" si="33"/>
        <v>715.97148652614146</v>
      </c>
      <c r="AC27" s="60">
        <f t="shared" si="1"/>
        <v>93.675398729432231</v>
      </c>
      <c r="AD27" s="62">
        <f>+U27-'C&amp;A'!L28-SINDICATO!P28</f>
        <v>0</v>
      </c>
      <c r="AE27" s="62">
        <f>+'C&amp;A'!L28+'C&amp;A'!J28+'C&amp;A'!H28+'C&amp;A'!G28+SINDICATO!E28-G27</f>
        <v>0</v>
      </c>
      <c r="AF27" s="62">
        <f t="shared" si="2"/>
        <v>0</v>
      </c>
      <c r="AG27" s="127" t="s">
        <v>389</v>
      </c>
      <c r="AH27" s="127" t="s">
        <v>738</v>
      </c>
      <c r="AI27" s="127" t="s">
        <v>391</v>
      </c>
      <c r="AJ27" s="127" t="s">
        <v>64</v>
      </c>
      <c r="AK27" s="127" t="s">
        <v>392</v>
      </c>
      <c r="AL27" s="165">
        <v>42304</v>
      </c>
      <c r="AM27" s="127"/>
      <c r="AN27" s="127"/>
      <c r="AO27" s="151">
        <v>513.33000000000004</v>
      </c>
      <c r="AP27" s="162">
        <f t="shared" si="34"/>
        <v>0</v>
      </c>
      <c r="AQ27" s="151">
        <f t="shared" si="35"/>
        <v>513.33000000000004</v>
      </c>
      <c r="AR27" s="151">
        <f t="shared" si="36"/>
        <v>0</v>
      </c>
      <c r="AS27" s="151"/>
      <c r="AT27" s="151"/>
      <c r="AU27" s="151"/>
      <c r="AV27" s="151"/>
      <c r="AW27" s="163">
        <v>45.13</v>
      </c>
      <c r="AX27" s="145">
        <f t="shared" si="3"/>
        <v>468.20000000000005</v>
      </c>
      <c r="AY27" s="151"/>
      <c r="AZ27" s="151"/>
      <c r="BA27" s="151">
        <v>0</v>
      </c>
      <c r="BB27" s="151">
        <f t="shared" si="37"/>
        <v>0</v>
      </c>
      <c r="BC27" s="151">
        <f t="shared" si="38"/>
        <v>0</v>
      </c>
      <c r="BD27" s="151"/>
      <c r="BE27" s="104"/>
      <c r="BF27" s="104"/>
      <c r="BG27" s="127"/>
      <c r="BH27" s="127">
        <v>0</v>
      </c>
      <c r="BI27" s="145">
        <f t="shared" si="4"/>
        <v>468.20000000000005</v>
      </c>
      <c r="BJ27" s="104">
        <f t="shared" si="39"/>
        <v>0</v>
      </c>
      <c r="BK27" s="145">
        <f t="shared" si="5"/>
        <v>468.20000000000005</v>
      </c>
      <c r="BL27" s="104">
        <f t="shared" si="40"/>
        <v>46.820000000000007</v>
      </c>
      <c r="BM27" s="104">
        <v>10.23</v>
      </c>
      <c r="BN27" s="145">
        <f t="shared" si="6"/>
        <v>525.25000000000011</v>
      </c>
      <c r="BO27" s="241"/>
      <c r="BP27" s="241"/>
      <c r="BQ27" s="241"/>
      <c r="BR27" s="107"/>
      <c r="BS27" s="107"/>
      <c r="BV27" s="127" t="s">
        <v>389</v>
      </c>
      <c r="BW27" s="127" t="s">
        <v>410</v>
      </c>
      <c r="BX27" s="127" t="s">
        <v>391</v>
      </c>
      <c r="BY27" s="127" t="s">
        <v>64</v>
      </c>
      <c r="BZ27" s="127" t="s">
        <v>392</v>
      </c>
      <c r="CA27" s="165">
        <v>42304</v>
      </c>
      <c r="CB27" s="127"/>
      <c r="CC27" s="127"/>
      <c r="CD27" s="151">
        <v>513.33000000000004</v>
      </c>
      <c r="CE27" s="127"/>
      <c r="CF27" s="151">
        <f t="shared" si="45"/>
        <v>513.33000000000004</v>
      </c>
      <c r="CG27" s="151"/>
      <c r="CH27" s="151"/>
      <c r="CI27" s="151"/>
      <c r="CJ27" s="151"/>
      <c r="CK27" s="163">
        <v>45.13</v>
      </c>
      <c r="CL27" s="145">
        <f t="shared" si="46"/>
        <v>468.20000000000005</v>
      </c>
      <c r="CM27" s="151"/>
      <c r="CN27" s="151"/>
      <c r="CO27" s="151">
        <v>0</v>
      </c>
      <c r="CP27" s="151"/>
      <c r="CQ27" s="151"/>
      <c r="CR27" s="151"/>
      <c r="CS27" s="104">
        <f t="shared" si="41"/>
        <v>0</v>
      </c>
      <c r="CT27" s="104"/>
      <c r="CU27" s="127"/>
      <c r="CV27" s="127">
        <v>0</v>
      </c>
      <c r="CW27" s="145">
        <f t="shared" si="47"/>
        <v>468.20000000000005</v>
      </c>
      <c r="CX27" s="104">
        <f t="shared" si="48"/>
        <v>0</v>
      </c>
      <c r="CY27" s="145">
        <f t="shared" si="49"/>
        <v>468.20000000000005</v>
      </c>
      <c r="CZ27" s="104">
        <f t="shared" si="50"/>
        <v>46.820000000000007</v>
      </c>
      <c r="DA27" s="104">
        <v>10.23</v>
      </c>
      <c r="DB27" s="145">
        <f t="shared" si="51"/>
        <v>525.25000000000011</v>
      </c>
      <c r="DC27" s="241"/>
      <c r="DD27" s="241"/>
      <c r="DE27" s="241"/>
      <c r="DF27" s="107"/>
      <c r="DG27" s="107"/>
      <c r="DJ27" s="21"/>
      <c r="DK27" s="21"/>
      <c r="DL27" s="21"/>
      <c r="DM27" s="21"/>
      <c r="DN27" s="21"/>
      <c r="DO27" s="60">
        <f>+U27-'C&amp;A'!L28-SINDICATO!P28</f>
        <v>0</v>
      </c>
    </row>
    <row r="28" spans="1:119" ht="15.75" hidden="1" thickTop="1" x14ac:dyDescent="0.25">
      <c r="A28" s="20" t="s">
        <v>66</v>
      </c>
      <c r="B28" s="21" t="s">
        <v>67</v>
      </c>
      <c r="C28" s="22">
        <f t="shared" si="12"/>
        <v>1100</v>
      </c>
      <c r="D28" s="22">
        <v>0</v>
      </c>
      <c r="E28" s="22">
        <f t="shared" si="13"/>
        <v>925.43</v>
      </c>
      <c r="F28" s="22">
        <v>0</v>
      </c>
      <c r="G28" s="22">
        <f t="shared" si="14"/>
        <v>2025.4299999999998</v>
      </c>
      <c r="H28" s="22">
        <f t="shared" si="15"/>
        <v>0</v>
      </c>
      <c r="I28" s="22">
        <f t="shared" si="16"/>
        <v>0</v>
      </c>
      <c r="J28" s="22">
        <f t="shared" si="17"/>
        <v>0</v>
      </c>
      <c r="K28" s="22">
        <f t="shared" si="18"/>
        <v>0</v>
      </c>
      <c r="L28" s="22">
        <f t="shared" si="19"/>
        <v>45.13</v>
      </c>
      <c r="M28" s="22">
        <f t="shared" si="20"/>
        <v>0</v>
      </c>
      <c r="N28" s="22">
        <f t="shared" si="21"/>
        <v>0</v>
      </c>
      <c r="O28" s="22">
        <f t="shared" si="22"/>
        <v>0</v>
      </c>
      <c r="P28" s="22">
        <f t="shared" si="23"/>
        <v>0</v>
      </c>
      <c r="Q28" s="22">
        <v>0</v>
      </c>
      <c r="R28" s="22">
        <f t="shared" si="24"/>
        <v>0</v>
      </c>
      <c r="S28" s="22">
        <f t="shared" si="25"/>
        <v>0</v>
      </c>
      <c r="T28" s="22">
        <f t="shared" si="26"/>
        <v>45.13</v>
      </c>
      <c r="U28" s="22">
        <f t="shared" si="27"/>
        <v>1980.2999999999997</v>
      </c>
      <c r="V28" s="22">
        <f t="shared" si="28"/>
        <v>1980.2999999999997</v>
      </c>
      <c r="W28" s="22">
        <f t="shared" si="29"/>
        <v>198.02999999999997</v>
      </c>
      <c r="X28" s="22">
        <f>+'C&amp;A'!E29*0.02</f>
        <v>10.2256</v>
      </c>
      <c r="Y28" s="22">
        <f t="shared" si="30"/>
        <v>0</v>
      </c>
      <c r="Z28" s="22">
        <f t="shared" si="31"/>
        <v>2188.5556000000001</v>
      </c>
      <c r="AA28" s="22">
        <f t="shared" si="32"/>
        <v>350.16889600000002</v>
      </c>
      <c r="AB28" s="22">
        <f t="shared" si="33"/>
        <v>2538.7244960000003</v>
      </c>
      <c r="AC28" s="60">
        <f t="shared" si="1"/>
        <v>0</v>
      </c>
      <c r="AD28" s="62">
        <f>+U28-'C&amp;A'!L29-SINDICATO!P29</f>
        <v>0</v>
      </c>
      <c r="AE28" s="62">
        <f>+'C&amp;A'!L29+'C&amp;A'!J29+'C&amp;A'!H29+'C&amp;A'!G29+SINDICATO!E29-G28</f>
        <v>0</v>
      </c>
      <c r="AF28" s="62">
        <f t="shared" si="2"/>
        <v>0</v>
      </c>
      <c r="AG28" s="127" t="s">
        <v>383</v>
      </c>
      <c r="AH28" s="127" t="s">
        <v>739</v>
      </c>
      <c r="AI28" s="127"/>
      <c r="AJ28" s="127" t="s">
        <v>66</v>
      </c>
      <c r="AK28" s="127" t="s">
        <v>385</v>
      </c>
      <c r="AL28" s="127"/>
      <c r="AM28" s="127"/>
      <c r="AN28" s="127"/>
      <c r="AO28" s="151">
        <v>1100</v>
      </c>
      <c r="AP28" s="162">
        <f t="shared" si="34"/>
        <v>0</v>
      </c>
      <c r="AQ28" s="151">
        <f t="shared" si="35"/>
        <v>1100</v>
      </c>
      <c r="AR28" s="151">
        <f t="shared" si="36"/>
        <v>0</v>
      </c>
      <c r="AS28" s="151">
        <v>925.43</v>
      </c>
      <c r="AT28" s="151"/>
      <c r="AU28" s="151"/>
      <c r="AV28" s="151"/>
      <c r="AW28" s="163">
        <v>45.13</v>
      </c>
      <c r="AX28" s="145">
        <f t="shared" si="3"/>
        <v>1980.2999999999997</v>
      </c>
      <c r="AY28" s="151"/>
      <c r="AZ28" s="151"/>
      <c r="BA28" s="151">
        <v>0</v>
      </c>
      <c r="BB28" s="151">
        <f t="shared" si="37"/>
        <v>0</v>
      </c>
      <c r="BC28" s="151">
        <f t="shared" si="38"/>
        <v>0</v>
      </c>
      <c r="BD28" s="151"/>
      <c r="BE28" s="104"/>
      <c r="BF28" s="104"/>
      <c r="BG28" s="127"/>
      <c r="BH28" s="127">
        <v>0</v>
      </c>
      <c r="BI28" s="145">
        <f t="shared" si="4"/>
        <v>1980.2999999999997</v>
      </c>
      <c r="BJ28" s="104">
        <f t="shared" si="39"/>
        <v>0</v>
      </c>
      <c r="BK28" s="145">
        <f t="shared" si="5"/>
        <v>1980.2999999999997</v>
      </c>
      <c r="BL28" s="104">
        <f t="shared" si="40"/>
        <v>198.02999999999997</v>
      </c>
      <c r="BM28" s="104">
        <v>10.23</v>
      </c>
      <c r="BN28" s="145">
        <f t="shared" si="6"/>
        <v>2188.56</v>
      </c>
      <c r="BO28" s="241"/>
      <c r="BP28" s="241"/>
      <c r="BQ28" s="241"/>
      <c r="BR28" s="107"/>
      <c r="BS28" s="107"/>
      <c r="BV28" s="127" t="s">
        <v>383</v>
      </c>
      <c r="BW28" s="127" t="s">
        <v>411</v>
      </c>
      <c r="BX28" s="127"/>
      <c r="BY28" s="127" t="s">
        <v>66</v>
      </c>
      <c r="BZ28" s="127" t="s">
        <v>385</v>
      </c>
      <c r="CA28" s="127"/>
      <c r="CB28" s="127"/>
      <c r="CC28" s="127"/>
      <c r="CD28" s="151">
        <v>1100</v>
      </c>
      <c r="CE28" s="127"/>
      <c r="CF28" s="151">
        <f t="shared" si="45"/>
        <v>1100</v>
      </c>
      <c r="CG28" s="151">
        <v>925.43</v>
      </c>
      <c r="CH28" s="151"/>
      <c r="CI28" s="151"/>
      <c r="CJ28" s="151"/>
      <c r="CK28" s="163">
        <v>45.13</v>
      </c>
      <c r="CL28" s="145">
        <f t="shared" si="46"/>
        <v>1980.2999999999997</v>
      </c>
      <c r="CM28" s="151"/>
      <c r="CN28" s="151"/>
      <c r="CO28" s="151">
        <v>0</v>
      </c>
      <c r="CP28" s="151"/>
      <c r="CQ28" s="151"/>
      <c r="CR28" s="151"/>
      <c r="CS28" s="104">
        <f t="shared" si="41"/>
        <v>0</v>
      </c>
      <c r="CT28" s="104"/>
      <c r="CU28" s="127"/>
      <c r="CV28" s="127">
        <v>0</v>
      </c>
      <c r="CW28" s="145">
        <f t="shared" si="47"/>
        <v>1980.2999999999997</v>
      </c>
      <c r="CX28" s="104">
        <f t="shared" si="48"/>
        <v>0</v>
      </c>
      <c r="CY28" s="145">
        <f t="shared" si="49"/>
        <v>1980.2999999999997</v>
      </c>
      <c r="CZ28" s="104">
        <f t="shared" si="50"/>
        <v>198.02999999999997</v>
      </c>
      <c r="DA28" s="104">
        <v>10.23</v>
      </c>
      <c r="DB28" s="145">
        <f t="shared" si="51"/>
        <v>2188.56</v>
      </c>
      <c r="DC28" s="241"/>
      <c r="DD28" s="241"/>
      <c r="DE28" s="241"/>
      <c r="DF28" s="107"/>
      <c r="DG28" s="107"/>
      <c r="DJ28" s="21"/>
      <c r="DK28" s="21"/>
      <c r="DL28" s="21"/>
      <c r="DM28" s="21"/>
      <c r="DN28" s="21"/>
      <c r="DO28" s="60">
        <f>+U28-'C&amp;A'!L29-SINDICATO!P29</f>
        <v>0</v>
      </c>
    </row>
    <row r="29" spans="1:119" ht="15.75" hidden="1" thickTop="1" x14ac:dyDescent="0.25">
      <c r="A29" s="20" t="s">
        <v>68</v>
      </c>
      <c r="B29" s="21" t="s">
        <v>69</v>
      </c>
      <c r="C29" s="22">
        <f t="shared" si="12"/>
        <v>933.33</v>
      </c>
      <c r="D29" s="22">
        <v>0</v>
      </c>
      <c r="E29" s="22">
        <f t="shared" si="13"/>
        <v>550</v>
      </c>
      <c r="F29" s="22">
        <v>0</v>
      </c>
      <c r="G29" s="22">
        <f t="shared" si="14"/>
        <v>1483.33</v>
      </c>
      <c r="H29" s="22">
        <f t="shared" si="15"/>
        <v>0</v>
      </c>
      <c r="I29" s="22">
        <f t="shared" si="16"/>
        <v>0</v>
      </c>
      <c r="J29" s="22">
        <f t="shared" si="17"/>
        <v>0</v>
      </c>
      <c r="K29" s="22">
        <f t="shared" si="18"/>
        <v>0</v>
      </c>
      <c r="L29" s="22">
        <f t="shared" si="19"/>
        <v>45.13</v>
      </c>
      <c r="M29" s="22">
        <f t="shared" si="20"/>
        <v>0</v>
      </c>
      <c r="N29" s="22">
        <f t="shared" si="21"/>
        <v>0</v>
      </c>
      <c r="O29" s="22">
        <f t="shared" si="22"/>
        <v>0</v>
      </c>
      <c r="P29" s="22">
        <f t="shared" si="23"/>
        <v>58.91</v>
      </c>
      <c r="Q29" s="22">
        <v>0</v>
      </c>
      <c r="R29" s="22">
        <f t="shared" si="24"/>
        <v>0</v>
      </c>
      <c r="S29" s="22">
        <f t="shared" si="25"/>
        <v>0</v>
      </c>
      <c r="T29" s="22">
        <f t="shared" si="26"/>
        <v>104.03999999999999</v>
      </c>
      <c r="U29" s="22">
        <f t="shared" si="27"/>
        <v>1379.29</v>
      </c>
      <c r="V29" s="22">
        <f t="shared" si="28"/>
        <v>1379.2899999999997</v>
      </c>
      <c r="W29" s="22">
        <f t="shared" si="29"/>
        <v>143.82</v>
      </c>
      <c r="X29" s="22">
        <f>+'C&amp;A'!E30*0.02</f>
        <v>10.2256</v>
      </c>
      <c r="Y29" s="22">
        <f t="shared" si="30"/>
        <v>0</v>
      </c>
      <c r="Z29" s="22">
        <f t="shared" si="31"/>
        <v>1533.3355999999997</v>
      </c>
      <c r="AA29" s="22">
        <f t="shared" si="32"/>
        <v>245.33369599999995</v>
      </c>
      <c r="AB29" s="22">
        <f t="shared" si="33"/>
        <v>1778.6692959999996</v>
      </c>
      <c r="AC29" s="60">
        <f t="shared" si="1"/>
        <v>0</v>
      </c>
      <c r="AD29" s="62">
        <f>+U29-'C&amp;A'!L30-SINDICATO!P30</f>
        <v>0</v>
      </c>
      <c r="AE29" s="62">
        <f>+'C&amp;A'!L30+'C&amp;A'!J30+'C&amp;A'!H30+'C&amp;A'!G30+SINDICATO!E30-G29</f>
        <v>0</v>
      </c>
      <c r="AF29" s="62">
        <f t="shared" si="2"/>
        <v>0</v>
      </c>
      <c r="AG29" s="127" t="s">
        <v>396</v>
      </c>
      <c r="AH29" s="127" t="s">
        <v>412</v>
      </c>
      <c r="AI29" s="127"/>
      <c r="AJ29" s="127" t="s">
        <v>68</v>
      </c>
      <c r="AK29" s="127" t="s">
        <v>413</v>
      </c>
      <c r="AL29" s="127"/>
      <c r="AM29" s="127"/>
      <c r="AN29" s="127"/>
      <c r="AO29" s="151">
        <v>933.33</v>
      </c>
      <c r="AP29" s="162">
        <f t="shared" si="34"/>
        <v>0</v>
      </c>
      <c r="AQ29" s="151">
        <f t="shared" si="35"/>
        <v>933.33</v>
      </c>
      <c r="AR29" s="151">
        <f t="shared" si="36"/>
        <v>0</v>
      </c>
      <c r="AS29" s="151">
        <v>550</v>
      </c>
      <c r="AT29" s="151"/>
      <c r="AU29" s="151"/>
      <c r="AV29" s="151"/>
      <c r="AW29" s="163">
        <v>45.13</v>
      </c>
      <c r="AX29" s="145">
        <f t="shared" si="3"/>
        <v>1438.1999999999998</v>
      </c>
      <c r="AY29" s="151"/>
      <c r="AZ29" s="151">
        <v>58.91</v>
      </c>
      <c r="BA29" s="151">
        <v>0</v>
      </c>
      <c r="BB29" s="151">
        <f t="shared" si="37"/>
        <v>0</v>
      </c>
      <c r="BC29" s="151">
        <f t="shared" si="38"/>
        <v>0</v>
      </c>
      <c r="BD29" s="151"/>
      <c r="BE29" s="104"/>
      <c r="BF29" s="104"/>
      <c r="BG29" s="127"/>
      <c r="BH29" s="127">
        <v>0</v>
      </c>
      <c r="BI29" s="145">
        <f t="shared" si="4"/>
        <v>1379.2899999999997</v>
      </c>
      <c r="BJ29" s="104">
        <f t="shared" si="39"/>
        <v>0</v>
      </c>
      <c r="BK29" s="145">
        <f t="shared" si="5"/>
        <v>1379.2899999999997</v>
      </c>
      <c r="BL29" s="104">
        <f t="shared" si="40"/>
        <v>143.82</v>
      </c>
      <c r="BM29" s="104">
        <v>10.23</v>
      </c>
      <c r="BN29" s="145">
        <f t="shared" si="6"/>
        <v>1592.2499999999998</v>
      </c>
      <c r="BO29" s="241"/>
      <c r="BP29" s="241"/>
      <c r="BQ29" s="241"/>
      <c r="BR29" s="107"/>
      <c r="BS29" s="107"/>
      <c r="BV29" s="127" t="s">
        <v>396</v>
      </c>
      <c r="BW29" s="127" t="s">
        <v>412</v>
      </c>
      <c r="BX29" s="127"/>
      <c r="BY29" s="127" t="s">
        <v>68</v>
      </c>
      <c r="BZ29" s="127" t="s">
        <v>413</v>
      </c>
      <c r="CA29" s="127"/>
      <c r="CB29" s="127"/>
      <c r="CC29" s="127"/>
      <c r="CD29" s="151">
        <v>933.33</v>
      </c>
      <c r="CE29" s="127"/>
      <c r="CF29" s="151">
        <f t="shared" si="45"/>
        <v>933.33</v>
      </c>
      <c r="CG29" s="151">
        <v>550</v>
      </c>
      <c r="CH29" s="151"/>
      <c r="CI29" s="151"/>
      <c r="CJ29" s="151"/>
      <c r="CK29" s="163">
        <v>45.13</v>
      </c>
      <c r="CL29" s="145">
        <f t="shared" si="46"/>
        <v>1438.1999999999998</v>
      </c>
      <c r="CM29" s="151"/>
      <c r="CN29" s="151">
        <v>58.91</v>
      </c>
      <c r="CO29" s="151">
        <v>0</v>
      </c>
      <c r="CP29" s="151"/>
      <c r="CQ29" s="151"/>
      <c r="CR29" s="151"/>
      <c r="CS29" s="104">
        <f t="shared" si="41"/>
        <v>0</v>
      </c>
      <c r="CT29" s="104"/>
      <c r="CU29" s="127"/>
      <c r="CV29" s="127">
        <v>0</v>
      </c>
      <c r="CW29" s="145">
        <f t="shared" si="47"/>
        <v>1379.2899999999997</v>
      </c>
      <c r="CX29" s="104">
        <f t="shared" si="48"/>
        <v>0</v>
      </c>
      <c r="CY29" s="145">
        <f t="shared" si="49"/>
        <v>1379.2899999999997</v>
      </c>
      <c r="CZ29" s="104">
        <f t="shared" si="50"/>
        <v>143.82</v>
      </c>
      <c r="DA29" s="104">
        <v>10.23</v>
      </c>
      <c r="DB29" s="145">
        <f t="shared" si="51"/>
        <v>1592.2499999999998</v>
      </c>
      <c r="DC29" s="241"/>
      <c r="DD29" s="241"/>
      <c r="DE29" s="241"/>
      <c r="DF29" s="107"/>
      <c r="DG29" s="107"/>
      <c r="DJ29" s="21"/>
      <c r="DK29" s="21"/>
      <c r="DL29" s="21"/>
      <c r="DM29" s="21"/>
      <c r="DN29" s="21"/>
      <c r="DO29" s="60">
        <f>+U29-'C&amp;A'!L30-SINDICATO!P30</f>
        <v>0</v>
      </c>
    </row>
    <row r="30" spans="1:119" ht="15.75" hidden="1" thickTop="1" x14ac:dyDescent="0.25">
      <c r="A30" s="20" t="s">
        <v>70</v>
      </c>
      <c r="B30" s="21" t="s">
        <v>71</v>
      </c>
      <c r="C30" s="22">
        <f t="shared" si="12"/>
        <v>1516.67</v>
      </c>
      <c r="D30" s="22">
        <v>0</v>
      </c>
      <c r="E30" s="22">
        <f t="shared" si="13"/>
        <v>0</v>
      </c>
      <c r="F30" s="22">
        <v>0</v>
      </c>
      <c r="G30" s="22">
        <f t="shared" si="14"/>
        <v>1516.67</v>
      </c>
      <c r="H30" s="22">
        <f t="shared" si="15"/>
        <v>200</v>
      </c>
      <c r="I30" s="22">
        <f t="shared" si="16"/>
        <v>0</v>
      </c>
      <c r="J30" s="22">
        <f t="shared" si="17"/>
        <v>0</v>
      </c>
      <c r="K30" s="22">
        <f t="shared" si="18"/>
        <v>0</v>
      </c>
      <c r="L30" s="22">
        <f t="shared" si="19"/>
        <v>45.13</v>
      </c>
      <c r="M30" s="22">
        <f t="shared" si="20"/>
        <v>0</v>
      </c>
      <c r="N30" s="22">
        <f t="shared" si="21"/>
        <v>0</v>
      </c>
      <c r="O30" s="22">
        <f t="shared" si="22"/>
        <v>0</v>
      </c>
      <c r="P30" s="22">
        <f t="shared" si="23"/>
        <v>0</v>
      </c>
      <c r="Q30" s="22">
        <v>0</v>
      </c>
      <c r="R30" s="22">
        <f t="shared" si="24"/>
        <v>0</v>
      </c>
      <c r="S30" s="22">
        <f t="shared" si="25"/>
        <v>0</v>
      </c>
      <c r="T30" s="22">
        <f t="shared" si="26"/>
        <v>245.13</v>
      </c>
      <c r="U30" s="22">
        <f t="shared" si="27"/>
        <v>1271.54</v>
      </c>
      <c r="V30" s="22">
        <f t="shared" si="28"/>
        <v>1471.54</v>
      </c>
      <c r="W30" s="22">
        <f t="shared" si="29"/>
        <v>147.154</v>
      </c>
      <c r="X30" s="22">
        <f>+'C&amp;A'!E31*0.02</f>
        <v>10.2256</v>
      </c>
      <c r="Y30" s="22">
        <f t="shared" si="30"/>
        <v>0</v>
      </c>
      <c r="Z30" s="22">
        <f t="shared" si="31"/>
        <v>1628.9195999999999</v>
      </c>
      <c r="AA30" s="22">
        <f t="shared" si="32"/>
        <v>260.62713600000001</v>
      </c>
      <c r="AB30" s="22">
        <f t="shared" si="33"/>
        <v>1889.546736</v>
      </c>
      <c r="AC30" s="60">
        <f t="shared" si="1"/>
        <v>0</v>
      </c>
      <c r="AD30" s="62">
        <f>+U30-'C&amp;A'!L31-SINDICATO!P31</f>
        <v>0</v>
      </c>
      <c r="AE30" s="62">
        <f>+'C&amp;A'!L31+'C&amp;A'!J31+'C&amp;A'!H31+'C&amp;A'!G31+SINDICATO!E31-G30</f>
        <v>0</v>
      </c>
      <c r="AF30" s="62">
        <f t="shared" si="2"/>
        <v>0</v>
      </c>
      <c r="AG30" s="127" t="s">
        <v>414</v>
      </c>
      <c r="AH30" s="127" t="s">
        <v>415</v>
      </c>
      <c r="AI30" s="127"/>
      <c r="AJ30" s="127" t="s">
        <v>70</v>
      </c>
      <c r="AK30" s="127" t="s">
        <v>186</v>
      </c>
      <c r="AL30" s="127"/>
      <c r="AM30" s="127"/>
      <c r="AN30" s="271"/>
      <c r="AO30" s="151">
        <v>1516.67</v>
      </c>
      <c r="AP30" s="162">
        <f t="shared" si="34"/>
        <v>0</v>
      </c>
      <c r="AQ30" s="151">
        <f t="shared" si="35"/>
        <v>1516.67</v>
      </c>
      <c r="AR30" s="151">
        <f t="shared" si="36"/>
        <v>0</v>
      </c>
      <c r="AS30" s="151"/>
      <c r="AT30" s="151"/>
      <c r="AU30" s="151"/>
      <c r="AV30" s="151"/>
      <c r="AW30" s="163">
        <v>45.13</v>
      </c>
      <c r="AX30" s="145">
        <f t="shared" si="3"/>
        <v>1471.54</v>
      </c>
      <c r="AY30" s="151"/>
      <c r="AZ30" s="151"/>
      <c r="BA30" s="151">
        <v>200</v>
      </c>
      <c r="BB30" s="151">
        <f t="shared" si="37"/>
        <v>0</v>
      </c>
      <c r="BC30" s="151">
        <f t="shared" si="38"/>
        <v>0</v>
      </c>
      <c r="BD30" s="151"/>
      <c r="BE30" s="104"/>
      <c r="BF30" s="104"/>
      <c r="BG30" s="127"/>
      <c r="BH30" s="127">
        <v>0</v>
      </c>
      <c r="BI30" s="145">
        <f t="shared" si="4"/>
        <v>1271.54</v>
      </c>
      <c r="BJ30" s="104">
        <f t="shared" si="39"/>
        <v>0</v>
      </c>
      <c r="BK30" s="145">
        <f t="shared" si="5"/>
        <v>1271.54</v>
      </c>
      <c r="BL30" s="104">
        <f t="shared" si="40"/>
        <v>147.154</v>
      </c>
      <c r="BM30" s="104">
        <v>10.23</v>
      </c>
      <c r="BN30" s="145">
        <f t="shared" si="6"/>
        <v>1628.924</v>
      </c>
      <c r="BO30" s="241"/>
      <c r="BP30" s="241"/>
      <c r="BQ30" s="241"/>
      <c r="BR30" s="107"/>
      <c r="BS30" s="107"/>
      <c r="BV30" s="127" t="s">
        <v>414</v>
      </c>
      <c r="BW30" s="127" t="s">
        <v>415</v>
      </c>
      <c r="BX30" s="127"/>
      <c r="BY30" s="127" t="s">
        <v>70</v>
      </c>
      <c r="BZ30" s="127" t="s">
        <v>186</v>
      </c>
      <c r="CA30" s="127"/>
      <c r="CB30" s="127"/>
      <c r="CC30" s="271"/>
      <c r="CD30" s="151">
        <v>1516.67</v>
      </c>
      <c r="CE30" s="272"/>
      <c r="CF30" s="151">
        <f t="shared" si="45"/>
        <v>1516.67</v>
      </c>
      <c r="CG30" s="151"/>
      <c r="CH30" s="151"/>
      <c r="CI30" s="151"/>
      <c r="CJ30" s="151"/>
      <c r="CK30" s="163">
        <v>45.13</v>
      </c>
      <c r="CL30" s="145">
        <f t="shared" si="46"/>
        <v>1471.54</v>
      </c>
      <c r="CM30" s="151"/>
      <c r="CN30" s="151"/>
      <c r="CO30" s="151">
        <v>200</v>
      </c>
      <c r="CP30" s="151"/>
      <c r="CQ30" s="151"/>
      <c r="CR30" s="151"/>
      <c r="CS30" s="104">
        <f t="shared" si="41"/>
        <v>0</v>
      </c>
      <c r="CT30" s="104"/>
      <c r="CU30" s="127"/>
      <c r="CV30" s="127">
        <v>0</v>
      </c>
      <c r="CW30" s="145">
        <f t="shared" si="47"/>
        <v>1271.54</v>
      </c>
      <c r="CX30" s="104">
        <f t="shared" si="48"/>
        <v>0</v>
      </c>
      <c r="CY30" s="145">
        <f t="shared" si="49"/>
        <v>1271.54</v>
      </c>
      <c r="CZ30" s="104">
        <f t="shared" si="50"/>
        <v>147.154</v>
      </c>
      <c r="DA30" s="104">
        <v>10.23</v>
      </c>
      <c r="DB30" s="145">
        <f t="shared" si="51"/>
        <v>1628.924</v>
      </c>
      <c r="DC30" s="241"/>
      <c r="DD30" s="241"/>
      <c r="DE30" s="241"/>
      <c r="DF30" s="107"/>
      <c r="DG30" s="107"/>
      <c r="DJ30" s="21"/>
      <c r="DK30" s="21"/>
      <c r="DL30" s="21"/>
      <c r="DM30" s="21"/>
      <c r="DN30" s="21"/>
      <c r="DO30" s="60">
        <f>+U30-'C&amp;A'!L31-SINDICATO!P31</f>
        <v>0</v>
      </c>
    </row>
    <row r="31" spans="1:119" ht="15.75" hidden="1" thickTop="1" x14ac:dyDescent="0.25">
      <c r="A31" s="20" t="s">
        <v>72</v>
      </c>
      <c r="B31" s="21" t="s">
        <v>73</v>
      </c>
      <c r="C31" s="22">
        <f t="shared" si="12"/>
        <v>608.16</v>
      </c>
      <c r="D31" s="22">
        <v>0</v>
      </c>
      <c r="E31" s="22">
        <f t="shared" si="13"/>
        <v>4287.05</v>
      </c>
      <c r="F31" s="22">
        <v>0</v>
      </c>
      <c r="G31" s="22">
        <f t="shared" si="14"/>
        <v>4895.21</v>
      </c>
      <c r="H31" s="22">
        <f t="shared" si="15"/>
        <v>500</v>
      </c>
      <c r="I31" s="22">
        <f t="shared" si="16"/>
        <v>237.65392</v>
      </c>
      <c r="J31" s="22">
        <f t="shared" si="17"/>
        <v>48.500799999999998</v>
      </c>
      <c r="K31" s="22">
        <f t="shared" si="18"/>
        <v>0</v>
      </c>
      <c r="L31" s="22">
        <f t="shared" si="19"/>
        <v>45.13</v>
      </c>
      <c r="M31" s="22">
        <f t="shared" si="20"/>
        <v>0</v>
      </c>
      <c r="N31" s="22">
        <f t="shared" si="21"/>
        <v>0</v>
      </c>
      <c r="O31" s="22">
        <f t="shared" si="22"/>
        <v>485.00800000000004</v>
      </c>
      <c r="P31" s="22">
        <f t="shared" si="23"/>
        <v>0</v>
      </c>
      <c r="Q31" s="22">
        <v>0</v>
      </c>
      <c r="R31" s="22">
        <f t="shared" si="24"/>
        <v>0</v>
      </c>
      <c r="S31" s="22">
        <f t="shared" si="25"/>
        <v>0</v>
      </c>
      <c r="T31" s="22">
        <f t="shared" si="26"/>
        <v>1316.2927199999999</v>
      </c>
      <c r="U31" s="22">
        <f t="shared" si="27"/>
        <v>3578.9172800000001</v>
      </c>
      <c r="V31" s="22">
        <f t="shared" si="28"/>
        <v>4850.08</v>
      </c>
      <c r="W31" s="22">
        <f t="shared" si="29"/>
        <v>0</v>
      </c>
      <c r="X31" s="22">
        <f>+'C&amp;A'!E32*0.02</f>
        <v>10.2256</v>
      </c>
      <c r="Y31" s="22">
        <f t="shared" si="30"/>
        <v>237.65392</v>
      </c>
      <c r="Z31" s="22">
        <f t="shared" si="31"/>
        <v>5097.9595199999994</v>
      </c>
      <c r="AA31" s="22">
        <f t="shared" si="32"/>
        <v>815.67352319999998</v>
      </c>
      <c r="AB31" s="22">
        <f t="shared" si="33"/>
        <v>5913.6330431999995</v>
      </c>
      <c r="AC31" s="60">
        <f t="shared" si="1"/>
        <v>0</v>
      </c>
      <c r="AD31" s="62">
        <f>+U31-'C&amp;A'!L32-SINDICATO!P32</f>
        <v>0</v>
      </c>
      <c r="AE31" s="62">
        <f>+'C&amp;A'!L32+'C&amp;A'!J32+'C&amp;A'!H32+'C&amp;A'!G32+SINDICATO!E32-G31</f>
        <v>0</v>
      </c>
      <c r="AF31" s="62">
        <f t="shared" si="2"/>
        <v>0</v>
      </c>
      <c r="AG31" s="127" t="s">
        <v>381</v>
      </c>
      <c r="AH31" s="127" t="s">
        <v>740</v>
      </c>
      <c r="AI31" s="127"/>
      <c r="AJ31" s="127" t="s">
        <v>72</v>
      </c>
      <c r="AK31" s="127" t="s">
        <v>190</v>
      </c>
      <c r="AL31" s="127"/>
      <c r="AM31" s="127"/>
      <c r="AN31" s="127"/>
      <c r="AO31" s="151">
        <v>608.16</v>
      </c>
      <c r="AP31" s="162">
        <f t="shared" si="34"/>
        <v>0</v>
      </c>
      <c r="AQ31" s="151">
        <f t="shared" si="35"/>
        <v>608.16</v>
      </c>
      <c r="AR31" s="151">
        <f t="shared" si="36"/>
        <v>0</v>
      </c>
      <c r="AS31" s="151">
        <v>4287.05</v>
      </c>
      <c r="AT31" s="151"/>
      <c r="AU31" s="151"/>
      <c r="AV31" s="151"/>
      <c r="AW31" s="163">
        <v>45.13</v>
      </c>
      <c r="AX31" s="145">
        <f t="shared" si="3"/>
        <v>4850.08</v>
      </c>
      <c r="AY31" s="151"/>
      <c r="AZ31" s="151"/>
      <c r="BA31" s="151">
        <v>500</v>
      </c>
      <c r="BB31" s="151">
        <f t="shared" si="37"/>
        <v>237.65392</v>
      </c>
      <c r="BC31" s="151">
        <f t="shared" si="38"/>
        <v>48.500799999999998</v>
      </c>
      <c r="BD31" s="151"/>
      <c r="BE31" s="104"/>
      <c r="BF31" s="104"/>
      <c r="BG31" s="127"/>
      <c r="BH31" s="127">
        <v>0</v>
      </c>
      <c r="BI31" s="145">
        <f t="shared" si="4"/>
        <v>4063.9252799999999</v>
      </c>
      <c r="BJ31" s="104">
        <f t="shared" si="39"/>
        <v>485.00800000000004</v>
      </c>
      <c r="BK31" s="145">
        <f t="shared" si="5"/>
        <v>3578.9172799999997</v>
      </c>
      <c r="BL31" s="104">
        <f t="shared" si="40"/>
        <v>0</v>
      </c>
      <c r="BM31" s="104">
        <v>10.23</v>
      </c>
      <c r="BN31" s="145">
        <f t="shared" si="6"/>
        <v>4860.3099999999995</v>
      </c>
      <c r="BO31" s="241"/>
      <c r="BP31" s="241"/>
      <c r="BQ31" s="241"/>
      <c r="BR31" s="107"/>
      <c r="BS31" s="107"/>
      <c r="BV31" s="127" t="s">
        <v>381</v>
      </c>
      <c r="BW31" s="127" t="s">
        <v>416</v>
      </c>
      <c r="BX31" s="127"/>
      <c r="BY31" s="127" t="s">
        <v>72</v>
      </c>
      <c r="BZ31" s="127" t="s">
        <v>190</v>
      </c>
      <c r="CA31" s="127"/>
      <c r="CB31" s="127"/>
      <c r="CC31" s="127"/>
      <c r="CD31" s="151">
        <v>608.16</v>
      </c>
      <c r="CE31" s="127"/>
      <c r="CF31" s="151">
        <f t="shared" si="45"/>
        <v>608.16</v>
      </c>
      <c r="CG31" s="151">
        <v>4287.05</v>
      </c>
      <c r="CH31" s="151"/>
      <c r="CI31" s="151"/>
      <c r="CJ31" s="151"/>
      <c r="CK31" s="163">
        <v>45.13</v>
      </c>
      <c r="CL31" s="145">
        <f t="shared" si="46"/>
        <v>4850.08</v>
      </c>
      <c r="CM31" s="151"/>
      <c r="CN31" s="151"/>
      <c r="CO31" s="151">
        <v>500</v>
      </c>
      <c r="CP31" s="151">
        <f>CL31*4.9%</f>
        <v>237.65392</v>
      </c>
      <c r="CQ31" s="151">
        <f>CL31*1%</f>
        <v>48.500799999999998</v>
      </c>
      <c r="CR31" s="151"/>
      <c r="CS31" s="104">
        <f t="shared" si="41"/>
        <v>0</v>
      </c>
      <c r="CT31" s="104"/>
      <c r="CU31" s="127"/>
      <c r="CV31" s="127">
        <v>0</v>
      </c>
      <c r="CW31" s="145">
        <f t="shared" si="47"/>
        <v>4063.9252799999999</v>
      </c>
      <c r="CX31" s="104">
        <f t="shared" si="48"/>
        <v>485.00800000000004</v>
      </c>
      <c r="CY31" s="145">
        <f t="shared" si="49"/>
        <v>3578.9172799999997</v>
      </c>
      <c r="CZ31" s="104">
        <f t="shared" si="50"/>
        <v>0</v>
      </c>
      <c r="DA31" s="104">
        <v>10.23</v>
      </c>
      <c r="DB31" s="145">
        <f t="shared" si="51"/>
        <v>4860.3099999999995</v>
      </c>
      <c r="DC31" s="241"/>
      <c r="DD31" s="241"/>
      <c r="DE31" s="241"/>
      <c r="DF31" s="107"/>
      <c r="DG31" s="107"/>
      <c r="DJ31" s="21"/>
      <c r="DK31" s="21"/>
      <c r="DL31" s="21"/>
      <c r="DM31" s="21"/>
      <c r="DN31" s="21"/>
      <c r="DO31" s="60">
        <f>+U31-'C&amp;A'!L32-SINDICATO!P32</f>
        <v>0</v>
      </c>
    </row>
    <row r="32" spans="1:119" ht="15.75" hidden="1" thickTop="1" x14ac:dyDescent="0.25">
      <c r="A32" s="20" t="s">
        <v>76</v>
      </c>
      <c r="B32" s="21" t="s">
        <v>741</v>
      </c>
      <c r="C32" s="22">
        <f t="shared" si="12"/>
        <v>608.16</v>
      </c>
      <c r="D32" s="22">
        <v>0</v>
      </c>
      <c r="E32" s="22">
        <f t="shared" si="13"/>
        <v>4586.5200000000004</v>
      </c>
      <c r="F32" s="22">
        <v>0</v>
      </c>
      <c r="G32" s="22">
        <f t="shared" si="14"/>
        <v>5194.68</v>
      </c>
      <c r="H32" s="22">
        <f t="shared" si="15"/>
        <v>1000</v>
      </c>
      <c r="I32" s="22">
        <f t="shared" si="16"/>
        <v>252.32795000000002</v>
      </c>
      <c r="J32" s="22">
        <f t="shared" si="17"/>
        <v>51.4955</v>
      </c>
      <c r="K32" s="22">
        <f t="shared" si="18"/>
        <v>300</v>
      </c>
      <c r="L32" s="22">
        <f t="shared" si="19"/>
        <v>45.13</v>
      </c>
      <c r="M32" s="22">
        <f t="shared" si="20"/>
        <v>0</v>
      </c>
      <c r="N32" s="22">
        <f t="shared" si="21"/>
        <v>0</v>
      </c>
      <c r="O32" s="22">
        <f t="shared" si="22"/>
        <v>514.95500000000004</v>
      </c>
      <c r="P32" s="22">
        <f t="shared" si="23"/>
        <v>0</v>
      </c>
      <c r="Q32" s="22">
        <v>0</v>
      </c>
      <c r="R32" s="22">
        <f t="shared" si="24"/>
        <v>0</v>
      </c>
      <c r="S32" s="22">
        <f t="shared" si="25"/>
        <v>0</v>
      </c>
      <c r="T32" s="22">
        <f t="shared" si="26"/>
        <v>2163.9084500000004</v>
      </c>
      <c r="U32" s="22">
        <f t="shared" si="27"/>
        <v>3030.7715499999999</v>
      </c>
      <c r="V32" s="22">
        <f t="shared" si="28"/>
        <v>5149.55</v>
      </c>
      <c r="W32" s="22">
        <f t="shared" si="29"/>
        <v>0</v>
      </c>
      <c r="X32" s="22">
        <f>+'C&amp;A'!E33*0.02</f>
        <v>10.2256</v>
      </c>
      <c r="Y32" s="22">
        <f t="shared" si="30"/>
        <v>252.32795000000002</v>
      </c>
      <c r="Z32" s="22">
        <f t="shared" si="31"/>
        <v>5412.1035499999998</v>
      </c>
      <c r="AA32" s="22">
        <f t="shared" si="32"/>
        <v>865.93656799999997</v>
      </c>
      <c r="AB32" s="22">
        <f t="shared" si="33"/>
        <v>6278.0401179999999</v>
      </c>
      <c r="AC32" s="60">
        <f t="shared" si="1"/>
        <v>0</v>
      </c>
      <c r="AD32" s="62">
        <f>+U32-'C&amp;A'!L33-SINDICATO!P33</f>
        <v>0</v>
      </c>
      <c r="AE32" s="62">
        <f>+'C&amp;A'!L33+'C&amp;A'!J33+'C&amp;A'!H33+'C&amp;A'!G33+SINDICATO!E33-G32</f>
        <v>0</v>
      </c>
      <c r="AF32" s="62">
        <f t="shared" si="2"/>
        <v>0</v>
      </c>
      <c r="AG32" s="127" t="s">
        <v>381</v>
      </c>
      <c r="AH32" s="127" t="s">
        <v>418</v>
      </c>
      <c r="AI32" s="127"/>
      <c r="AJ32" s="127" t="s">
        <v>76</v>
      </c>
      <c r="AK32" s="127" t="s">
        <v>454</v>
      </c>
      <c r="AL32" s="127"/>
      <c r="AM32" s="127"/>
      <c r="AN32" s="127"/>
      <c r="AO32" s="151">
        <v>608.16</v>
      </c>
      <c r="AP32" s="162">
        <f t="shared" si="34"/>
        <v>0</v>
      </c>
      <c r="AQ32" s="151">
        <f t="shared" si="35"/>
        <v>608.16</v>
      </c>
      <c r="AR32" s="151">
        <f t="shared" si="36"/>
        <v>0</v>
      </c>
      <c r="AS32" s="151">
        <v>4586.5200000000004</v>
      </c>
      <c r="AT32" s="151"/>
      <c r="AU32" s="151"/>
      <c r="AV32" s="151"/>
      <c r="AW32" s="163">
        <v>45.13</v>
      </c>
      <c r="AX32" s="145">
        <f t="shared" si="3"/>
        <v>5149.55</v>
      </c>
      <c r="AY32" s="151"/>
      <c r="AZ32" s="151"/>
      <c r="BA32" s="151">
        <v>1000</v>
      </c>
      <c r="BB32" s="151">
        <f t="shared" si="37"/>
        <v>252.32795000000002</v>
      </c>
      <c r="BC32" s="151">
        <f t="shared" si="38"/>
        <v>51.4955</v>
      </c>
      <c r="BD32" s="151">
        <v>300</v>
      </c>
      <c r="BE32" s="104"/>
      <c r="BF32" s="104"/>
      <c r="BG32" s="271"/>
      <c r="BH32" s="127">
        <v>0</v>
      </c>
      <c r="BI32" s="145">
        <f t="shared" si="4"/>
        <v>3545.7265500000003</v>
      </c>
      <c r="BJ32" s="104">
        <f t="shared" si="39"/>
        <v>514.95500000000004</v>
      </c>
      <c r="BK32" s="145">
        <f t="shared" si="5"/>
        <v>3030.7715500000004</v>
      </c>
      <c r="BL32" s="104">
        <f t="shared" si="40"/>
        <v>0</v>
      </c>
      <c r="BM32" s="104">
        <v>10.23</v>
      </c>
      <c r="BN32" s="145">
        <f t="shared" si="6"/>
        <v>5159.78</v>
      </c>
      <c r="BO32" s="241"/>
      <c r="BP32" s="241"/>
      <c r="BQ32" s="241"/>
      <c r="BR32" s="107"/>
      <c r="BS32" s="107"/>
      <c r="BV32" s="127" t="s">
        <v>381</v>
      </c>
      <c r="BW32" s="127" t="s">
        <v>418</v>
      </c>
      <c r="BX32" s="127"/>
      <c r="BY32" s="127" t="s">
        <v>76</v>
      </c>
      <c r="BZ32" s="127" t="s">
        <v>454</v>
      </c>
      <c r="CA32" s="127"/>
      <c r="CB32" s="127"/>
      <c r="CC32" s="127"/>
      <c r="CD32" s="151">
        <v>608.16</v>
      </c>
      <c r="CE32" s="127"/>
      <c r="CF32" s="151">
        <f t="shared" si="45"/>
        <v>608.16</v>
      </c>
      <c r="CG32" s="151">
        <v>4586.5200000000004</v>
      </c>
      <c r="CH32" s="151"/>
      <c r="CI32" s="151"/>
      <c r="CJ32" s="151"/>
      <c r="CK32" s="163">
        <v>45.13</v>
      </c>
      <c r="CL32" s="145">
        <f t="shared" si="46"/>
        <v>5149.55</v>
      </c>
      <c r="CM32" s="151"/>
      <c r="CN32" s="151"/>
      <c r="CO32" s="151">
        <v>1000</v>
      </c>
      <c r="CP32" s="151">
        <f>CL32*4.9%</f>
        <v>252.32795000000002</v>
      </c>
      <c r="CQ32" s="151">
        <f>CL32*1%</f>
        <v>51.4955</v>
      </c>
      <c r="CR32" s="151">
        <v>300</v>
      </c>
      <c r="CS32" s="104">
        <f t="shared" si="41"/>
        <v>0</v>
      </c>
      <c r="CT32" s="104"/>
      <c r="CU32" s="271"/>
      <c r="CV32" s="127">
        <v>0</v>
      </c>
      <c r="CW32" s="145">
        <f t="shared" si="47"/>
        <v>3545.7265500000003</v>
      </c>
      <c r="CX32" s="104">
        <f t="shared" si="48"/>
        <v>514.95500000000004</v>
      </c>
      <c r="CY32" s="145">
        <f t="shared" si="49"/>
        <v>3030.7715500000004</v>
      </c>
      <c r="CZ32" s="104">
        <f t="shared" si="50"/>
        <v>0</v>
      </c>
      <c r="DA32" s="104">
        <v>10.23</v>
      </c>
      <c r="DB32" s="145">
        <f t="shared" si="51"/>
        <v>5159.78</v>
      </c>
      <c r="DC32" s="241"/>
      <c r="DD32" s="241"/>
      <c r="DE32" s="241"/>
      <c r="DF32" s="107"/>
      <c r="DG32" s="107"/>
      <c r="DJ32" s="21"/>
      <c r="DK32" s="21"/>
      <c r="DL32" s="21"/>
      <c r="DM32" s="21"/>
      <c r="DN32" s="21"/>
      <c r="DO32" s="60">
        <f>+U32-'C&amp;A'!L33-SINDICATO!P33</f>
        <v>0</v>
      </c>
    </row>
    <row r="33" spans="1:119" ht="15.75" hidden="1" thickTop="1" x14ac:dyDescent="0.25">
      <c r="A33" s="20" t="s">
        <v>78</v>
      </c>
      <c r="B33" s="21" t="s">
        <v>79</v>
      </c>
      <c r="C33" s="22">
        <f t="shared" si="12"/>
        <v>1166.26</v>
      </c>
      <c r="D33" s="22">
        <v>0</v>
      </c>
      <c r="E33" s="22">
        <f t="shared" si="13"/>
        <v>326.23</v>
      </c>
      <c r="F33" s="22">
        <v>0</v>
      </c>
      <c r="G33" s="22">
        <f t="shared" si="14"/>
        <v>1492.49</v>
      </c>
      <c r="H33" s="22">
        <f t="shared" si="15"/>
        <v>0</v>
      </c>
      <c r="I33" s="22">
        <f t="shared" si="16"/>
        <v>0</v>
      </c>
      <c r="J33" s="22">
        <f t="shared" si="17"/>
        <v>0</v>
      </c>
      <c r="K33" s="22">
        <f t="shared" si="18"/>
        <v>0</v>
      </c>
      <c r="L33" s="22">
        <f t="shared" si="19"/>
        <v>45.13</v>
      </c>
      <c r="M33" s="22">
        <f t="shared" si="20"/>
        <v>0</v>
      </c>
      <c r="N33" s="22">
        <f t="shared" si="21"/>
        <v>0</v>
      </c>
      <c r="O33" s="22">
        <f t="shared" si="22"/>
        <v>0</v>
      </c>
      <c r="P33" s="22">
        <f t="shared" si="23"/>
        <v>0</v>
      </c>
      <c r="Q33" s="22">
        <v>0</v>
      </c>
      <c r="R33" s="22">
        <f t="shared" si="24"/>
        <v>0</v>
      </c>
      <c r="S33" s="22">
        <f t="shared" si="25"/>
        <v>0</v>
      </c>
      <c r="T33" s="22">
        <f t="shared" si="26"/>
        <v>45.13</v>
      </c>
      <c r="U33" s="22">
        <f t="shared" si="27"/>
        <v>1447.36</v>
      </c>
      <c r="V33" s="22">
        <f t="shared" si="28"/>
        <v>1447.36</v>
      </c>
      <c r="W33" s="22">
        <f t="shared" si="29"/>
        <v>144.73599999999999</v>
      </c>
      <c r="X33" s="22">
        <f>+'C&amp;A'!E34*0.02</f>
        <v>10.2256</v>
      </c>
      <c r="Y33" s="22">
        <f t="shared" si="30"/>
        <v>0</v>
      </c>
      <c r="Z33" s="22">
        <f t="shared" si="31"/>
        <v>1602.3216</v>
      </c>
      <c r="AA33" s="22">
        <f t="shared" si="32"/>
        <v>256.37145600000002</v>
      </c>
      <c r="AB33" s="22">
        <f t="shared" si="33"/>
        <v>1858.6930560000001</v>
      </c>
      <c r="AC33" s="60">
        <f t="shared" si="1"/>
        <v>0</v>
      </c>
      <c r="AD33" s="62">
        <f>+U33-'C&amp;A'!L34-SINDICATO!P34</f>
        <v>0</v>
      </c>
      <c r="AE33" s="62">
        <f>+'C&amp;A'!L34+'C&amp;A'!J34+'C&amp;A'!H34+'C&amp;A'!G34+SINDICATO!E34-G33</f>
        <v>0</v>
      </c>
      <c r="AF33" s="62">
        <f t="shared" si="2"/>
        <v>0</v>
      </c>
      <c r="AG33" s="127" t="s">
        <v>375</v>
      </c>
      <c r="AH33" s="127" t="s">
        <v>420</v>
      </c>
      <c r="AI33" s="127"/>
      <c r="AJ33" s="127" t="s">
        <v>78</v>
      </c>
      <c r="AK33" s="127" t="s">
        <v>179</v>
      </c>
      <c r="AL33" s="127"/>
      <c r="AM33" s="127"/>
      <c r="AN33" s="127"/>
      <c r="AO33" s="151">
        <v>1166.26</v>
      </c>
      <c r="AP33" s="162">
        <f t="shared" si="34"/>
        <v>0</v>
      </c>
      <c r="AQ33" s="151">
        <f t="shared" si="35"/>
        <v>1166.26</v>
      </c>
      <c r="AR33" s="151">
        <f t="shared" si="36"/>
        <v>0</v>
      </c>
      <c r="AS33" s="151">
        <v>326.23</v>
      </c>
      <c r="AT33" s="151"/>
      <c r="AU33" s="151"/>
      <c r="AV33" s="151"/>
      <c r="AW33" s="163">
        <v>45.13</v>
      </c>
      <c r="AX33" s="145">
        <f t="shared" si="3"/>
        <v>1447.36</v>
      </c>
      <c r="AY33" s="151"/>
      <c r="AZ33" s="151"/>
      <c r="BA33" s="151">
        <v>0</v>
      </c>
      <c r="BB33" s="151">
        <f t="shared" si="37"/>
        <v>0</v>
      </c>
      <c r="BC33" s="151">
        <f t="shared" si="38"/>
        <v>0</v>
      </c>
      <c r="BD33" s="151"/>
      <c r="BE33" s="104"/>
      <c r="BF33" s="104"/>
      <c r="BG33" s="127"/>
      <c r="BH33" s="127">
        <v>0</v>
      </c>
      <c r="BI33" s="145">
        <f t="shared" si="4"/>
        <v>1447.36</v>
      </c>
      <c r="BJ33" s="104">
        <f t="shared" si="39"/>
        <v>0</v>
      </c>
      <c r="BK33" s="145">
        <f t="shared" si="5"/>
        <v>1447.36</v>
      </c>
      <c r="BL33" s="104">
        <f t="shared" si="40"/>
        <v>144.73599999999999</v>
      </c>
      <c r="BM33" s="104">
        <v>10.23</v>
      </c>
      <c r="BN33" s="145">
        <f t="shared" si="6"/>
        <v>1602.326</v>
      </c>
      <c r="BO33" s="241"/>
      <c r="BP33" s="241"/>
      <c r="BQ33" s="241"/>
      <c r="BR33" s="107"/>
      <c r="BS33" s="107"/>
      <c r="BV33" s="127" t="s">
        <v>375</v>
      </c>
      <c r="BW33" s="127" t="s">
        <v>420</v>
      </c>
      <c r="BX33" s="127"/>
      <c r="BY33" s="127" t="s">
        <v>78</v>
      </c>
      <c r="BZ33" s="127" t="s">
        <v>179</v>
      </c>
      <c r="CA33" s="127"/>
      <c r="CB33" s="127"/>
      <c r="CC33" s="127"/>
      <c r="CD33" s="151">
        <v>1166.26</v>
      </c>
      <c r="CE33" s="162"/>
      <c r="CF33" s="151">
        <f t="shared" si="45"/>
        <v>1166.26</v>
      </c>
      <c r="CG33" s="151">
        <v>326.23</v>
      </c>
      <c r="CH33" s="151"/>
      <c r="CI33" s="151"/>
      <c r="CJ33" s="151"/>
      <c r="CK33" s="163">
        <v>45.13</v>
      </c>
      <c r="CL33" s="145">
        <f t="shared" si="46"/>
        <v>1447.36</v>
      </c>
      <c r="CM33" s="151"/>
      <c r="CN33" s="151"/>
      <c r="CO33" s="151">
        <v>0</v>
      </c>
      <c r="CP33" s="151"/>
      <c r="CQ33" s="151"/>
      <c r="CR33" s="151"/>
      <c r="CS33" s="104">
        <f t="shared" si="41"/>
        <v>0</v>
      </c>
      <c r="CT33" s="104"/>
      <c r="CU33" s="127"/>
      <c r="CV33" s="127">
        <v>0</v>
      </c>
      <c r="CW33" s="145">
        <f t="shared" si="47"/>
        <v>1447.36</v>
      </c>
      <c r="CX33" s="104">
        <f t="shared" si="48"/>
        <v>0</v>
      </c>
      <c r="CY33" s="145">
        <f t="shared" si="49"/>
        <v>1447.36</v>
      </c>
      <c r="CZ33" s="104">
        <f t="shared" si="50"/>
        <v>144.73599999999999</v>
      </c>
      <c r="DA33" s="104">
        <v>10.23</v>
      </c>
      <c r="DB33" s="145">
        <f t="shared" si="51"/>
        <v>1602.326</v>
      </c>
      <c r="DC33" s="241"/>
      <c r="DD33" s="241"/>
      <c r="DE33" s="241"/>
      <c r="DF33" s="107"/>
      <c r="DG33" s="107"/>
      <c r="DJ33" s="21"/>
      <c r="DK33" s="21"/>
      <c r="DL33" s="21"/>
      <c r="DM33" s="21"/>
      <c r="DN33" s="21"/>
      <c r="DO33" s="60">
        <f>+U33-'C&amp;A'!L34-SINDICATO!P34</f>
        <v>0</v>
      </c>
    </row>
    <row r="34" spans="1:119" ht="15.75" hidden="1" thickTop="1" x14ac:dyDescent="0.25">
      <c r="A34" s="20"/>
      <c r="B34" s="21" t="s">
        <v>619</v>
      </c>
      <c r="C34" s="22">
        <f t="shared" si="12"/>
        <v>739.23</v>
      </c>
      <c r="D34" s="22">
        <v>0</v>
      </c>
      <c r="E34" s="22">
        <f t="shared" si="13"/>
        <v>0</v>
      </c>
      <c r="F34" s="22">
        <v>0</v>
      </c>
      <c r="G34" s="22">
        <f t="shared" si="14"/>
        <v>739.23</v>
      </c>
      <c r="H34" s="22">
        <f t="shared" si="15"/>
        <v>0</v>
      </c>
      <c r="I34" s="22">
        <f t="shared" si="16"/>
        <v>0</v>
      </c>
      <c r="J34" s="22">
        <f t="shared" si="17"/>
        <v>0</v>
      </c>
      <c r="K34" s="22">
        <f t="shared" si="18"/>
        <v>0</v>
      </c>
      <c r="L34" s="22">
        <f t="shared" si="19"/>
        <v>45.13</v>
      </c>
      <c r="M34" s="22">
        <f t="shared" si="20"/>
        <v>0</v>
      </c>
      <c r="N34" s="22">
        <f t="shared" si="21"/>
        <v>0</v>
      </c>
      <c r="O34" s="22">
        <f t="shared" si="22"/>
        <v>0</v>
      </c>
      <c r="P34" s="22">
        <f t="shared" si="23"/>
        <v>0</v>
      </c>
      <c r="Q34" s="22">
        <v>0</v>
      </c>
      <c r="R34" s="22">
        <f t="shared" si="24"/>
        <v>0</v>
      </c>
      <c r="S34" s="22">
        <f t="shared" si="25"/>
        <v>0</v>
      </c>
      <c r="T34" s="22">
        <f t="shared" si="26"/>
        <v>45.13</v>
      </c>
      <c r="U34" s="22">
        <f t="shared" si="27"/>
        <v>694.1</v>
      </c>
      <c r="V34" s="22">
        <f t="shared" si="28"/>
        <v>694.1</v>
      </c>
      <c r="W34" s="22">
        <f t="shared" si="29"/>
        <v>69.410000000000011</v>
      </c>
      <c r="X34" s="22">
        <f>+'C&amp;A'!E35*0.02</f>
        <v>10.2256</v>
      </c>
      <c r="Y34" s="22">
        <f t="shared" si="30"/>
        <v>0</v>
      </c>
      <c r="Z34" s="22">
        <f t="shared" si="31"/>
        <v>773.73559999999998</v>
      </c>
      <c r="AA34" s="22">
        <f t="shared" si="32"/>
        <v>123.797696</v>
      </c>
      <c r="AB34" s="22">
        <f t="shared" si="33"/>
        <v>897.53329599999995</v>
      </c>
      <c r="AC34" s="60">
        <f t="shared" si="1"/>
        <v>0</v>
      </c>
      <c r="AD34" s="62">
        <f>+U34-'C&amp;A'!L35-SINDICATO!P35</f>
        <v>0</v>
      </c>
      <c r="AE34" s="62">
        <f>+'C&amp;A'!L35+'C&amp;A'!J35+'C&amp;A'!H35+'C&amp;A'!G35+SINDICATO!E35-G34</f>
        <v>0</v>
      </c>
      <c r="AF34" s="62">
        <f t="shared" si="2"/>
        <v>0</v>
      </c>
      <c r="AG34" s="127" t="s">
        <v>383</v>
      </c>
      <c r="AH34" s="127" t="s">
        <v>619</v>
      </c>
      <c r="AI34" s="127"/>
      <c r="AJ34" s="127"/>
      <c r="AK34" s="127" t="s">
        <v>385</v>
      </c>
      <c r="AL34" s="165">
        <v>42422</v>
      </c>
      <c r="AM34" s="127"/>
      <c r="AN34" s="127"/>
      <c r="AO34" s="151">
        <v>739.23</v>
      </c>
      <c r="AP34" s="162">
        <f t="shared" si="34"/>
        <v>0</v>
      </c>
      <c r="AQ34" s="151">
        <f t="shared" si="35"/>
        <v>739.23</v>
      </c>
      <c r="AR34" s="151">
        <f t="shared" si="36"/>
        <v>0</v>
      </c>
      <c r="AS34" s="151"/>
      <c r="AT34" s="151"/>
      <c r="AU34" s="151"/>
      <c r="AV34" s="151"/>
      <c r="AW34" s="163">
        <v>45.13</v>
      </c>
      <c r="AX34" s="145">
        <f t="shared" si="3"/>
        <v>694.1</v>
      </c>
      <c r="AY34" s="151"/>
      <c r="AZ34" s="151"/>
      <c r="BA34" s="151">
        <v>0</v>
      </c>
      <c r="BB34" s="151">
        <f t="shared" si="37"/>
        <v>0</v>
      </c>
      <c r="BC34" s="151">
        <f t="shared" si="38"/>
        <v>0</v>
      </c>
      <c r="BD34" s="151"/>
      <c r="BE34" s="104"/>
      <c r="BF34" s="104"/>
      <c r="BG34" s="127"/>
      <c r="BH34" s="127">
        <v>0</v>
      </c>
      <c r="BI34" s="145">
        <f t="shared" si="4"/>
        <v>694.1</v>
      </c>
      <c r="BJ34" s="104">
        <f t="shared" si="39"/>
        <v>0</v>
      </c>
      <c r="BK34" s="145">
        <f t="shared" si="5"/>
        <v>694.1</v>
      </c>
      <c r="BL34" s="104">
        <f t="shared" si="40"/>
        <v>69.410000000000011</v>
      </c>
      <c r="BM34" s="104">
        <v>10.23</v>
      </c>
      <c r="BN34" s="145">
        <f t="shared" si="6"/>
        <v>773.74</v>
      </c>
      <c r="BO34" s="241"/>
      <c r="BP34" s="241"/>
      <c r="BQ34" s="241"/>
      <c r="BR34" s="107">
        <v>1182316935</v>
      </c>
      <c r="BS34" s="88"/>
      <c r="BV34" s="127" t="s">
        <v>383</v>
      </c>
      <c r="BW34" s="127" t="s">
        <v>619</v>
      </c>
      <c r="BX34" s="127"/>
      <c r="BY34" s="127"/>
      <c r="BZ34" s="127" t="s">
        <v>385</v>
      </c>
      <c r="CA34" s="165">
        <v>42422</v>
      </c>
      <c r="CB34" s="127"/>
      <c r="CC34" s="127"/>
      <c r="CD34" s="151">
        <v>739.23</v>
      </c>
      <c r="CE34" s="162"/>
      <c r="CF34" s="151">
        <f t="shared" si="45"/>
        <v>739.23</v>
      </c>
      <c r="CG34" s="151"/>
      <c r="CH34" s="151"/>
      <c r="CI34" s="151"/>
      <c r="CJ34" s="151"/>
      <c r="CK34" s="163">
        <v>45.13</v>
      </c>
      <c r="CL34" s="145">
        <f t="shared" si="46"/>
        <v>694.1</v>
      </c>
      <c r="CM34" s="151"/>
      <c r="CN34" s="151"/>
      <c r="CO34" s="151">
        <v>0</v>
      </c>
      <c r="CP34" s="151"/>
      <c r="CQ34" s="151"/>
      <c r="CR34" s="151"/>
      <c r="CS34" s="104">
        <f t="shared" si="41"/>
        <v>0</v>
      </c>
      <c r="CT34" s="104"/>
      <c r="CU34" s="127"/>
      <c r="CV34" s="127">
        <v>0</v>
      </c>
      <c r="CW34" s="145">
        <f t="shared" si="47"/>
        <v>694.1</v>
      </c>
      <c r="CX34" s="104">
        <f t="shared" si="48"/>
        <v>0</v>
      </c>
      <c r="CY34" s="145">
        <f t="shared" si="49"/>
        <v>694.1</v>
      </c>
      <c r="CZ34" s="104">
        <f t="shared" si="50"/>
        <v>69.410000000000011</v>
      </c>
      <c r="DA34" s="104">
        <v>10.23</v>
      </c>
      <c r="DB34" s="145">
        <f t="shared" si="51"/>
        <v>773.74</v>
      </c>
      <c r="DC34" s="241"/>
      <c r="DD34" s="241"/>
      <c r="DE34" s="241"/>
      <c r="DF34" s="107">
        <v>1182316935</v>
      </c>
      <c r="DG34" s="88"/>
      <c r="DJ34" s="21"/>
      <c r="DK34" s="21"/>
      <c r="DL34" s="21"/>
      <c r="DM34" s="21"/>
      <c r="DN34" s="21"/>
      <c r="DO34" s="60">
        <f>+U34-'C&amp;A'!L35-SINDICATO!P35</f>
        <v>0</v>
      </c>
    </row>
    <row r="35" spans="1:119" ht="15.75" hidden="1" thickTop="1" x14ac:dyDescent="0.25">
      <c r="A35" s="50" t="s">
        <v>500</v>
      </c>
      <c r="B35" s="21" t="s">
        <v>501</v>
      </c>
      <c r="C35" s="22">
        <f t="shared" si="12"/>
        <v>1166.6600000000001</v>
      </c>
      <c r="D35" s="22">
        <v>0</v>
      </c>
      <c r="E35" s="22">
        <f t="shared" si="13"/>
        <v>0</v>
      </c>
      <c r="F35" s="22">
        <v>0</v>
      </c>
      <c r="G35" s="22">
        <f t="shared" si="14"/>
        <v>1166.6600000000001</v>
      </c>
      <c r="H35" s="22">
        <f t="shared" si="15"/>
        <v>0</v>
      </c>
      <c r="I35" s="22">
        <f t="shared" si="16"/>
        <v>0</v>
      </c>
      <c r="J35" s="22">
        <f t="shared" si="17"/>
        <v>0</v>
      </c>
      <c r="K35" s="22">
        <f t="shared" si="18"/>
        <v>0</v>
      </c>
      <c r="L35" s="22">
        <f t="shared" si="19"/>
        <v>45.13</v>
      </c>
      <c r="M35" s="22">
        <f t="shared" si="20"/>
        <v>0</v>
      </c>
      <c r="N35" s="22">
        <f t="shared" si="21"/>
        <v>0</v>
      </c>
      <c r="O35" s="22">
        <f t="shared" si="22"/>
        <v>0</v>
      </c>
      <c r="P35" s="22">
        <f t="shared" si="23"/>
        <v>0</v>
      </c>
      <c r="Q35" s="22">
        <v>0</v>
      </c>
      <c r="R35" s="22">
        <f t="shared" si="24"/>
        <v>0</v>
      </c>
      <c r="S35" s="22">
        <f t="shared" si="25"/>
        <v>0</v>
      </c>
      <c r="T35" s="22">
        <f t="shared" si="26"/>
        <v>45.13</v>
      </c>
      <c r="U35" s="22">
        <f t="shared" si="27"/>
        <v>1121.53</v>
      </c>
      <c r="V35" s="22">
        <f t="shared" si="28"/>
        <v>1121.53</v>
      </c>
      <c r="W35" s="22">
        <f t="shared" si="29"/>
        <v>112.15300000000001</v>
      </c>
      <c r="X35" s="22">
        <f>+'C&amp;A'!E36*0.02</f>
        <v>8.5213999999999999</v>
      </c>
      <c r="Y35" s="22">
        <f t="shared" si="30"/>
        <v>0</v>
      </c>
      <c r="Z35" s="22">
        <f t="shared" si="31"/>
        <v>1242.2044000000001</v>
      </c>
      <c r="AA35" s="22">
        <f t="shared" si="32"/>
        <v>198.75270400000002</v>
      </c>
      <c r="AB35" s="22">
        <f t="shared" si="33"/>
        <v>1440.9571040000001</v>
      </c>
      <c r="AC35" s="60">
        <f t="shared" si="1"/>
        <v>0</v>
      </c>
      <c r="AD35" s="62">
        <f>+U35-'C&amp;A'!L36-SINDICATO!P36</f>
        <v>0</v>
      </c>
      <c r="AE35" s="62">
        <f>+'C&amp;A'!L36+'C&amp;A'!J36+'C&amp;A'!H36+'C&amp;A'!G36+SINDICATO!E36-G35</f>
        <v>0</v>
      </c>
      <c r="AF35" s="62">
        <f t="shared" si="2"/>
        <v>0</v>
      </c>
      <c r="AG35" s="127" t="s">
        <v>377</v>
      </c>
      <c r="AH35" s="127" t="s">
        <v>742</v>
      </c>
      <c r="AI35" s="127" t="s">
        <v>30</v>
      </c>
      <c r="AJ35" s="127"/>
      <c r="AK35" s="127" t="s">
        <v>189</v>
      </c>
      <c r="AL35" s="165">
        <v>42415</v>
      </c>
      <c r="AM35" s="127"/>
      <c r="AN35" s="127"/>
      <c r="AO35" s="151">
        <v>513.33000000000004</v>
      </c>
      <c r="AP35" s="162">
        <f t="shared" si="34"/>
        <v>653.33000000000004</v>
      </c>
      <c r="AQ35" s="151">
        <f t="shared" si="35"/>
        <v>1166.6600000000001</v>
      </c>
      <c r="AR35" s="151">
        <f t="shared" si="36"/>
        <v>0</v>
      </c>
      <c r="AS35" s="151"/>
      <c r="AT35" s="151"/>
      <c r="AU35" s="151"/>
      <c r="AV35" s="151"/>
      <c r="AW35" s="163">
        <v>45.13</v>
      </c>
      <c r="AX35" s="145">
        <f t="shared" si="3"/>
        <v>1121.53</v>
      </c>
      <c r="AY35" s="151"/>
      <c r="AZ35" s="151"/>
      <c r="BA35" s="151">
        <v>0</v>
      </c>
      <c r="BB35" s="151">
        <f t="shared" si="37"/>
        <v>0</v>
      </c>
      <c r="BC35" s="151">
        <f t="shared" si="38"/>
        <v>0</v>
      </c>
      <c r="BD35" s="151"/>
      <c r="BE35" s="104"/>
      <c r="BF35" s="104"/>
      <c r="BG35" s="127"/>
      <c r="BH35" s="127">
        <v>0</v>
      </c>
      <c r="BI35" s="145">
        <f t="shared" si="4"/>
        <v>1121.53</v>
      </c>
      <c r="BJ35" s="104">
        <f t="shared" si="39"/>
        <v>0</v>
      </c>
      <c r="BK35" s="145">
        <f t="shared" si="5"/>
        <v>1121.53</v>
      </c>
      <c r="BL35" s="104">
        <f t="shared" si="40"/>
        <v>112.15300000000001</v>
      </c>
      <c r="BM35" s="104">
        <v>10.23</v>
      </c>
      <c r="BN35" s="145">
        <f t="shared" si="6"/>
        <v>1243.913</v>
      </c>
      <c r="BO35" s="241"/>
      <c r="BP35" s="241"/>
      <c r="BQ35" s="241"/>
      <c r="BR35" s="107"/>
      <c r="BS35" s="107"/>
      <c r="BV35" s="127" t="s">
        <v>377</v>
      </c>
      <c r="BW35" s="127" t="s">
        <v>421</v>
      </c>
      <c r="BX35" s="127" t="s">
        <v>30</v>
      </c>
      <c r="BY35" s="127"/>
      <c r="BZ35" s="127" t="s">
        <v>189</v>
      </c>
      <c r="CA35" s="165">
        <v>42415</v>
      </c>
      <c r="CB35" s="127"/>
      <c r="CC35" s="127"/>
      <c r="CD35" s="151">
        <v>513.33000000000004</v>
      </c>
      <c r="CE35" s="162">
        <v>653.33000000000004</v>
      </c>
      <c r="CF35" s="151">
        <f t="shared" si="45"/>
        <v>1166.6600000000001</v>
      </c>
      <c r="CG35" s="151"/>
      <c r="CH35" s="151"/>
      <c r="CI35" s="151"/>
      <c r="CJ35" s="151"/>
      <c r="CK35" s="163">
        <v>45.13</v>
      </c>
      <c r="CL35" s="145">
        <f t="shared" si="46"/>
        <v>1121.53</v>
      </c>
      <c r="CM35" s="151"/>
      <c r="CN35" s="151"/>
      <c r="CO35" s="151">
        <v>0</v>
      </c>
      <c r="CP35" s="151"/>
      <c r="CQ35" s="151"/>
      <c r="CR35" s="151"/>
      <c r="CS35" s="104">
        <f t="shared" si="41"/>
        <v>0</v>
      </c>
      <c r="CT35" s="104"/>
      <c r="CU35" s="127"/>
      <c r="CV35" s="127">
        <v>0</v>
      </c>
      <c r="CW35" s="145">
        <f t="shared" si="47"/>
        <v>1121.53</v>
      </c>
      <c r="CX35" s="104">
        <f t="shared" si="48"/>
        <v>0</v>
      </c>
      <c r="CY35" s="145">
        <f t="shared" si="49"/>
        <v>1121.53</v>
      </c>
      <c r="CZ35" s="104">
        <f t="shared" si="50"/>
        <v>112.15300000000001</v>
      </c>
      <c r="DA35" s="104">
        <v>10.23</v>
      </c>
      <c r="DB35" s="145">
        <f t="shared" si="51"/>
        <v>1243.913</v>
      </c>
      <c r="DC35" s="241"/>
      <c r="DD35" s="241"/>
      <c r="DE35" s="241"/>
      <c r="DF35" s="107"/>
      <c r="DG35" s="107"/>
      <c r="DJ35" s="21"/>
      <c r="DK35" s="21"/>
      <c r="DL35" s="21"/>
      <c r="DM35" s="21"/>
      <c r="DN35" s="21"/>
      <c r="DO35" s="60">
        <f>+U35-'C&amp;A'!L36-SINDICATO!P36</f>
        <v>0</v>
      </c>
    </row>
    <row r="36" spans="1:119" ht="15.75" hidden="1" thickTop="1" x14ac:dyDescent="0.25">
      <c r="A36" s="20" t="s">
        <v>80</v>
      </c>
      <c r="B36" s="21" t="s">
        <v>81</v>
      </c>
      <c r="C36" s="22">
        <f t="shared" si="12"/>
        <v>513.33000000000004</v>
      </c>
      <c r="D36" s="22">
        <v>0</v>
      </c>
      <c r="E36" s="22">
        <f t="shared" si="13"/>
        <v>11773.77</v>
      </c>
      <c r="F36" s="22">
        <v>0</v>
      </c>
      <c r="G36" s="22">
        <f t="shared" si="14"/>
        <v>12287.1</v>
      </c>
      <c r="H36" s="22">
        <f t="shared" si="15"/>
        <v>0</v>
      </c>
      <c r="I36" s="22">
        <f t="shared" si="16"/>
        <v>0</v>
      </c>
      <c r="J36" s="22">
        <f t="shared" si="17"/>
        <v>0</v>
      </c>
      <c r="K36" s="22">
        <f t="shared" si="18"/>
        <v>0</v>
      </c>
      <c r="L36" s="22">
        <f t="shared" si="19"/>
        <v>45.13</v>
      </c>
      <c r="M36" s="22">
        <f t="shared" si="20"/>
        <v>0</v>
      </c>
      <c r="N36" s="22">
        <f t="shared" si="21"/>
        <v>349.07</v>
      </c>
      <c r="O36" s="22">
        <f t="shared" si="22"/>
        <v>1224.1970000000001</v>
      </c>
      <c r="P36" s="22">
        <f t="shared" si="23"/>
        <v>58.91</v>
      </c>
      <c r="Q36" s="22">
        <v>0</v>
      </c>
      <c r="R36" s="22">
        <f t="shared" si="24"/>
        <v>0</v>
      </c>
      <c r="S36" s="22">
        <f t="shared" si="25"/>
        <v>0</v>
      </c>
      <c r="T36" s="22">
        <f t="shared" si="26"/>
        <v>1677.3070000000002</v>
      </c>
      <c r="U36" s="22">
        <f t="shared" si="27"/>
        <v>10609.793</v>
      </c>
      <c r="V36" s="22">
        <f t="shared" si="28"/>
        <v>12183.060000000001</v>
      </c>
      <c r="W36" s="22">
        <f t="shared" si="29"/>
        <v>0</v>
      </c>
      <c r="X36" s="22">
        <f>+'C&amp;A'!E37*0.02</f>
        <v>10.2256</v>
      </c>
      <c r="Y36" s="22">
        <f t="shared" si="30"/>
        <v>0</v>
      </c>
      <c r="Z36" s="22">
        <f t="shared" si="31"/>
        <v>12193.285600000001</v>
      </c>
      <c r="AA36" s="22">
        <f t="shared" si="32"/>
        <v>1950.9256960000002</v>
      </c>
      <c r="AB36" s="22">
        <f t="shared" si="33"/>
        <v>14144.211296000001</v>
      </c>
      <c r="AC36" s="60">
        <f t="shared" si="1"/>
        <v>0</v>
      </c>
      <c r="AD36" s="62">
        <f>+U36-'C&amp;A'!L37-SINDICATO!P37</f>
        <v>0</v>
      </c>
      <c r="AE36" s="62">
        <f>+'C&amp;A'!L37+'C&amp;A'!J37+'C&amp;A'!H37+'C&amp;A'!G37+SINDICATO!E37-G36</f>
        <v>0</v>
      </c>
      <c r="AF36" s="62">
        <f t="shared" si="2"/>
        <v>0</v>
      </c>
      <c r="AG36" s="127" t="s">
        <v>377</v>
      </c>
      <c r="AH36" s="127" t="s">
        <v>743</v>
      </c>
      <c r="AI36" s="127" t="s">
        <v>30</v>
      </c>
      <c r="AJ36" s="127" t="s">
        <v>273</v>
      </c>
      <c r="AK36" s="127" t="s">
        <v>189</v>
      </c>
      <c r="AL36" s="127"/>
      <c r="AM36" s="127"/>
      <c r="AN36" s="127"/>
      <c r="AO36" s="151">
        <v>513.33000000000004</v>
      </c>
      <c r="AP36" s="162">
        <f t="shared" si="34"/>
        <v>0</v>
      </c>
      <c r="AQ36" s="151">
        <f t="shared" si="35"/>
        <v>513.33000000000004</v>
      </c>
      <c r="AR36" s="151">
        <f t="shared" si="36"/>
        <v>0</v>
      </c>
      <c r="AS36" s="151">
        <f>9773.77+2000</f>
        <v>11773.77</v>
      </c>
      <c r="AT36" s="151"/>
      <c r="AU36" s="151"/>
      <c r="AV36" s="151"/>
      <c r="AW36" s="163">
        <v>45.13</v>
      </c>
      <c r="AX36" s="145">
        <f t="shared" si="3"/>
        <v>12241.970000000001</v>
      </c>
      <c r="AY36" s="151"/>
      <c r="AZ36" s="151">
        <v>58.91</v>
      </c>
      <c r="BA36" s="151">
        <v>0</v>
      </c>
      <c r="BB36" s="151">
        <f t="shared" si="37"/>
        <v>0</v>
      </c>
      <c r="BC36" s="151">
        <f t="shared" si="38"/>
        <v>0</v>
      </c>
      <c r="BD36" s="151"/>
      <c r="BE36" s="104"/>
      <c r="BF36" s="104"/>
      <c r="BG36" s="127"/>
      <c r="BH36" s="127">
        <v>349.07</v>
      </c>
      <c r="BI36" s="145">
        <f t="shared" si="4"/>
        <v>11833.990000000002</v>
      </c>
      <c r="BJ36" s="104">
        <f t="shared" si="39"/>
        <v>1224.1970000000001</v>
      </c>
      <c r="BK36" s="145">
        <f t="shared" si="5"/>
        <v>10609.793000000001</v>
      </c>
      <c r="BL36" s="104">
        <f t="shared" si="40"/>
        <v>0</v>
      </c>
      <c r="BM36" s="104">
        <v>10.23</v>
      </c>
      <c r="BN36" s="145">
        <f t="shared" si="6"/>
        <v>12252.2</v>
      </c>
      <c r="BO36" s="241"/>
      <c r="BP36" s="241"/>
      <c r="BQ36" s="241"/>
      <c r="BR36" s="107"/>
      <c r="BS36" s="107"/>
      <c r="BV36" s="127" t="s">
        <v>377</v>
      </c>
      <c r="BW36" s="127" t="s">
        <v>422</v>
      </c>
      <c r="BX36" s="127" t="s">
        <v>30</v>
      </c>
      <c r="BY36" s="127" t="s">
        <v>273</v>
      </c>
      <c r="BZ36" s="127" t="s">
        <v>189</v>
      </c>
      <c r="CA36" s="127"/>
      <c r="CB36" s="127"/>
      <c r="CC36" s="127"/>
      <c r="CD36" s="151">
        <v>513.33000000000004</v>
      </c>
      <c r="CE36" s="127"/>
      <c r="CF36" s="151">
        <f t="shared" si="45"/>
        <v>513.33000000000004</v>
      </c>
      <c r="CG36" s="151">
        <f>9773.77+2000</f>
        <v>11773.77</v>
      </c>
      <c r="CH36" s="151"/>
      <c r="CI36" s="151"/>
      <c r="CJ36" s="151"/>
      <c r="CK36" s="163">
        <v>45.13</v>
      </c>
      <c r="CL36" s="145">
        <f t="shared" si="46"/>
        <v>12241.970000000001</v>
      </c>
      <c r="CM36" s="151"/>
      <c r="CN36" s="151">
        <v>58.91</v>
      </c>
      <c r="CO36" s="151">
        <v>0</v>
      </c>
      <c r="CP36" s="151"/>
      <c r="CQ36" s="151"/>
      <c r="CR36" s="151"/>
      <c r="CS36" s="104">
        <f t="shared" si="41"/>
        <v>0</v>
      </c>
      <c r="CT36" s="104"/>
      <c r="CU36" s="127"/>
      <c r="CV36" s="127">
        <v>349.07</v>
      </c>
      <c r="CW36" s="145">
        <f t="shared" si="47"/>
        <v>11833.990000000002</v>
      </c>
      <c r="CX36" s="104">
        <f t="shared" si="48"/>
        <v>1224.1970000000001</v>
      </c>
      <c r="CY36" s="145">
        <f t="shared" si="49"/>
        <v>10609.793000000001</v>
      </c>
      <c r="CZ36" s="104">
        <f t="shared" si="50"/>
        <v>0</v>
      </c>
      <c r="DA36" s="104">
        <v>10.23</v>
      </c>
      <c r="DB36" s="145">
        <f t="shared" si="51"/>
        <v>12252.2</v>
      </c>
      <c r="DC36" s="241"/>
      <c r="DD36" s="241"/>
      <c r="DE36" s="241"/>
      <c r="DF36" s="107"/>
      <c r="DG36" s="107"/>
      <c r="DJ36" s="21"/>
      <c r="DK36" s="21"/>
      <c r="DL36" s="21"/>
      <c r="DM36" s="21"/>
      <c r="DN36" s="21"/>
      <c r="DO36" s="60">
        <f>+U36-'C&amp;A'!L37-SINDICATO!P37</f>
        <v>0</v>
      </c>
    </row>
    <row r="37" spans="1:119" ht="15.75" hidden="1" thickTop="1" x14ac:dyDescent="0.25">
      <c r="A37" s="20" t="s">
        <v>82</v>
      </c>
      <c r="B37" s="21" t="s">
        <v>83</v>
      </c>
      <c r="C37" s="22">
        <f t="shared" si="12"/>
        <v>513.33000000000004</v>
      </c>
      <c r="D37" s="22">
        <v>0</v>
      </c>
      <c r="E37" s="22">
        <f t="shared" si="13"/>
        <v>1015.53</v>
      </c>
      <c r="F37" s="22">
        <v>0</v>
      </c>
      <c r="G37" s="22">
        <f t="shared" si="14"/>
        <v>1528.8600000000001</v>
      </c>
      <c r="H37" s="22">
        <f t="shared" si="15"/>
        <v>0</v>
      </c>
      <c r="I37" s="22">
        <f t="shared" si="16"/>
        <v>0</v>
      </c>
      <c r="J37" s="22">
        <f t="shared" si="17"/>
        <v>0</v>
      </c>
      <c r="K37" s="22">
        <f t="shared" si="18"/>
        <v>0</v>
      </c>
      <c r="L37" s="22">
        <f t="shared" si="19"/>
        <v>45.13</v>
      </c>
      <c r="M37" s="22">
        <f t="shared" si="20"/>
        <v>0</v>
      </c>
      <c r="N37" s="22">
        <f t="shared" si="21"/>
        <v>0</v>
      </c>
      <c r="O37" s="22">
        <f t="shared" si="22"/>
        <v>0</v>
      </c>
      <c r="P37" s="22">
        <f t="shared" si="23"/>
        <v>58.91</v>
      </c>
      <c r="Q37" s="22">
        <v>0</v>
      </c>
      <c r="R37" s="22">
        <f t="shared" si="24"/>
        <v>0</v>
      </c>
      <c r="S37" s="22">
        <f t="shared" si="25"/>
        <v>0</v>
      </c>
      <c r="T37" s="22">
        <f t="shared" si="26"/>
        <v>104.03999999999999</v>
      </c>
      <c r="U37" s="22">
        <f t="shared" si="27"/>
        <v>1424.8200000000002</v>
      </c>
      <c r="V37" s="22">
        <f t="shared" si="28"/>
        <v>1424.82</v>
      </c>
      <c r="W37" s="22">
        <f t="shared" si="29"/>
        <v>148.37300000000002</v>
      </c>
      <c r="X37" s="22">
        <f>+'C&amp;A'!E38*0.02</f>
        <v>10.2256</v>
      </c>
      <c r="Y37" s="22">
        <f t="shared" si="30"/>
        <v>0</v>
      </c>
      <c r="Z37" s="22">
        <f t="shared" si="31"/>
        <v>1583.4186</v>
      </c>
      <c r="AA37" s="22">
        <f t="shared" si="32"/>
        <v>253.34697600000001</v>
      </c>
      <c r="AB37" s="22">
        <f t="shared" si="33"/>
        <v>1836.765576</v>
      </c>
      <c r="AC37" s="60">
        <f t="shared" si="1"/>
        <v>0</v>
      </c>
      <c r="AD37" s="62">
        <f>+U37-'C&amp;A'!L38-SINDICATO!P38</f>
        <v>0</v>
      </c>
      <c r="AE37" s="62">
        <f>+'C&amp;A'!L38+'C&amp;A'!J38+'C&amp;A'!H38+'C&amp;A'!G38+SINDICATO!E38-G37</f>
        <v>0</v>
      </c>
      <c r="AF37" s="62">
        <f t="shared" si="2"/>
        <v>0</v>
      </c>
      <c r="AG37" s="127" t="s">
        <v>377</v>
      </c>
      <c r="AH37" s="127" t="s">
        <v>423</v>
      </c>
      <c r="AI37" s="127" t="s">
        <v>30</v>
      </c>
      <c r="AJ37" s="127" t="s">
        <v>82</v>
      </c>
      <c r="AK37" s="127" t="s">
        <v>189</v>
      </c>
      <c r="AL37" s="127"/>
      <c r="AM37" s="127"/>
      <c r="AN37" s="127"/>
      <c r="AO37" s="151">
        <v>513.33000000000004</v>
      </c>
      <c r="AP37" s="162">
        <f t="shared" si="34"/>
        <v>0</v>
      </c>
      <c r="AQ37" s="151">
        <f t="shared" si="35"/>
        <v>513.33000000000004</v>
      </c>
      <c r="AR37" s="151">
        <f t="shared" si="36"/>
        <v>0</v>
      </c>
      <c r="AS37" s="151">
        <v>1015.53</v>
      </c>
      <c r="AT37" s="151"/>
      <c r="AU37" s="151"/>
      <c r="AV37" s="151"/>
      <c r="AW37" s="163">
        <v>45.13</v>
      </c>
      <c r="AX37" s="145">
        <f t="shared" si="3"/>
        <v>1483.73</v>
      </c>
      <c r="AY37" s="151"/>
      <c r="AZ37" s="151">
        <v>58.91</v>
      </c>
      <c r="BA37" s="151">
        <v>0</v>
      </c>
      <c r="BB37" s="151">
        <f t="shared" si="37"/>
        <v>0</v>
      </c>
      <c r="BC37" s="151">
        <f t="shared" si="38"/>
        <v>0</v>
      </c>
      <c r="BD37" s="151"/>
      <c r="BE37" s="104"/>
      <c r="BF37" s="104"/>
      <c r="BG37" s="127"/>
      <c r="BH37" s="127">
        <v>0</v>
      </c>
      <c r="BI37" s="145">
        <f t="shared" si="4"/>
        <v>1424.82</v>
      </c>
      <c r="BJ37" s="104">
        <f t="shared" si="39"/>
        <v>0</v>
      </c>
      <c r="BK37" s="145">
        <f t="shared" si="5"/>
        <v>1424.82</v>
      </c>
      <c r="BL37" s="104">
        <f t="shared" si="40"/>
        <v>148.37300000000002</v>
      </c>
      <c r="BM37" s="104">
        <v>10.23</v>
      </c>
      <c r="BN37" s="145">
        <f t="shared" si="6"/>
        <v>1642.3330000000001</v>
      </c>
      <c r="BO37" s="241"/>
      <c r="BP37" s="241"/>
      <c r="BQ37" s="241"/>
      <c r="BR37" s="107"/>
      <c r="BS37" s="107"/>
      <c r="BV37" s="127" t="s">
        <v>377</v>
      </c>
      <c r="BW37" s="127" t="s">
        <v>423</v>
      </c>
      <c r="BX37" s="127" t="s">
        <v>30</v>
      </c>
      <c r="BY37" s="127" t="s">
        <v>82</v>
      </c>
      <c r="BZ37" s="127" t="s">
        <v>189</v>
      </c>
      <c r="CA37" s="127"/>
      <c r="CB37" s="127"/>
      <c r="CC37" s="127"/>
      <c r="CD37" s="151">
        <v>513.33000000000004</v>
      </c>
      <c r="CE37" s="127"/>
      <c r="CF37" s="151">
        <f t="shared" si="45"/>
        <v>513.33000000000004</v>
      </c>
      <c r="CG37" s="151">
        <v>1015.53</v>
      </c>
      <c r="CH37" s="151"/>
      <c r="CI37" s="151"/>
      <c r="CJ37" s="151"/>
      <c r="CK37" s="163">
        <v>45.13</v>
      </c>
      <c r="CL37" s="145">
        <f t="shared" si="46"/>
        <v>1483.73</v>
      </c>
      <c r="CM37" s="151"/>
      <c r="CN37" s="151">
        <v>58.91</v>
      </c>
      <c r="CO37" s="151">
        <v>0</v>
      </c>
      <c r="CP37" s="151"/>
      <c r="CQ37" s="151"/>
      <c r="CR37" s="151"/>
      <c r="CS37" s="104">
        <f t="shared" si="41"/>
        <v>0</v>
      </c>
      <c r="CT37" s="104"/>
      <c r="CU37" s="127"/>
      <c r="CV37" s="127">
        <v>0</v>
      </c>
      <c r="CW37" s="145">
        <f t="shared" si="47"/>
        <v>1424.82</v>
      </c>
      <c r="CX37" s="104">
        <f t="shared" si="48"/>
        <v>0</v>
      </c>
      <c r="CY37" s="145">
        <f t="shared" si="49"/>
        <v>1424.82</v>
      </c>
      <c r="CZ37" s="104">
        <f t="shared" si="50"/>
        <v>148.37300000000002</v>
      </c>
      <c r="DA37" s="104">
        <v>10.23</v>
      </c>
      <c r="DB37" s="145">
        <f t="shared" si="51"/>
        <v>1642.3330000000001</v>
      </c>
      <c r="DC37" s="241"/>
      <c r="DD37" s="241"/>
      <c r="DE37" s="241"/>
      <c r="DF37" s="107"/>
      <c r="DG37" s="107"/>
      <c r="DJ37" s="21"/>
      <c r="DK37" s="21"/>
      <c r="DL37" s="21"/>
      <c r="DM37" s="21"/>
      <c r="DN37" s="21"/>
      <c r="DO37" s="60">
        <f>+U37-'C&amp;A'!L38-SINDICATO!P38</f>
        <v>0</v>
      </c>
    </row>
    <row r="38" spans="1:119" ht="15.75" hidden="1" thickTop="1" x14ac:dyDescent="0.25">
      <c r="A38" s="20" t="s">
        <v>197</v>
      </c>
      <c r="B38" s="21" t="s">
        <v>198</v>
      </c>
      <c r="C38" s="22">
        <f t="shared" si="12"/>
        <v>1166.26</v>
      </c>
      <c r="D38" s="22">
        <v>0</v>
      </c>
      <c r="E38" s="22">
        <f t="shared" si="13"/>
        <v>0</v>
      </c>
      <c r="F38" s="22">
        <v>0</v>
      </c>
      <c r="G38" s="22">
        <f t="shared" si="14"/>
        <v>1166.26</v>
      </c>
      <c r="H38" s="22">
        <f t="shared" si="15"/>
        <v>0</v>
      </c>
      <c r="I38" s="22">
        <f t="shared" si="16"/>
        <v>0</v>
      </c>
      <c r="J38" s="22">
        <f t="shared" si="17"/>
        <v>0</v>
      </c>
      <c r="K38" s="22">
        <f t="shared" si="18"/>
        <v>0</v>
      </c>
      <c r="L38" s="22">
        <f t="shared" si="19"/>
        <v>45.13</v>
      </c>
      <c r="M38" s="22">
        <f t="shared" si="20"/>
        <v>0</v>
      </c>
      <c r="N38" s="22">
        <f t="shared" si="21"/>
        <v>0</v>
      </c>
      <c r="O38" s="22">
        <f t="shared" si="22"/>
        <v>0</v>
      </c>
      <c r="P38" s="22">
        <f t="shared" si="23"/>
        <v>58.91</v>
      </c>
      <c r="Q38" s="22">
        <v>0</v>
      </c>
      <c r="R38" s="22">
        <f t="shared" si="24"/>
        <v>0</v>
      </c>
      <c r="S38" s="22">
        <f t="shared" si="25"/>
        <v>0</v>
      </c>
      <c r="T38" s="22">
        <f t="shared" si="26"/>
        <v>104.03999999999999</v>
      </c>
      <c r="U38" s="22">
        <f t="shared" si="27"/>
        <v>1062.22</v>
      </c>
      <c r="V38" s="22">
        <f t="shared" si="28"/>
        <v>1062.2199999999998</v>
      </c>
      <c r="W38" s="22">
        <f t="shared" si="29"/>
        <v>112.113</v>
      </c>
      <c r="X38" s="22">
        <f>+'C&amp;A'!E39*0.02</f>
        <v>10.2256</v>
      </c>
      <c r="Y38" s="22">
        <f t="shared" si="30"/>
        <v>0</v>
      </c>
      <c r="Z38" s="22">
        <f t="shared" si="31"/>
        <v>1184.5585999999998</v>
      </c>
      <c r="AA38" s="22">
        <f t="shared" si="32"/>
        <v>189.52937599999998</v>
      </c>
      <c r="AB38" s="22">
        <f t="shared" si="33"/>
        <v>1374.0879759999998</v>
      </c>
      <c r="AC38" s="60">
        <f t="shared" si="1"/>
        <v>0</v>
      </c>
      <c r="AD38" s="62">
        <f>+U38-'C&amp;A'!L39-SINDICATO!P39</f>
        <v>0</v>
      </c>
      <c r="AE38" s="62">
        <f>+'C&amp;A'!L39+'C&amp;A'!J39+'C&amp;A'!H39+'C&amp;A'!G39+SINDICATO!E39-G38</f>
        <v>0</v>
      </c>
      <c r="AF38" s="62">
        <f t="shared" si="2"/>
        <v>0</v>
      </c>
      <c r="AG38" s="127" t="s">
        <v>377</v>
      </c>
      <c r="AH38" s="127" t="s">
        <v>744</v>
      </c>
      <c r="AI38" s="127" t="s">
        <v>30</v>
      </c>
      <c r="AJ38" s="273"/>
      <c r="AK38" s="127" t="s">
        <v>189</v>
      </c>
      <c r="AL38" s="127"/>
      <c r="AM38" s="127"/>
      <c r="AN38" s="127"/>
      <c r="AO38" s="151">
        <v>1166.26</v>
      </c>
      <c r="AP38" s="162">
        <f t="shared" si="34"/>
        <v>0</v>
      </c>
      <c r="AQ38" s="151">
        <f t="shared" si="35"/>
        <v>1166.26</v>
      </c>
      <c r="AR38" s="151">
        <f t="shared" si="36"/>
        <v>0</v>
      </c>
      <c r="AS38" s="151"/>
      <c r="AT38" s="151"/>
      <c r="AU38" s="151"/>
      <c r="AV38" s="151"/>
      <c r="AW38" s="163">
        <v>45.13</v>
      </c>
      <c r="AX38" s="145">
        <f t="shared" si="3"/>
        <v>1121.1299999999999</v>
      </c>
      <c r="AY38" s="151"/>
      <c r="AZ38" s="151">
        <v>58.91</v>
      </c>
      <c r="BA38" s="151"/>
      <c r="BB38" s="151">
        <f t="shared" si="37"/>
        <v>0</v>
      </c>
      <c r="BC38" s="151">
        <f t="shared" si="38"/>
        <v>0</v>
      </c>
      <c r="BD38" s="151"/>
      <c r="BE38" s="104"/>
      <c r="BF38" s="104"/>
      <c r="BG38" s="127"/>
      <c r="BH38" s="127">
        <v>0</v>
      </c>
      <c r="BI38" s="145">
        <f t="shared" si="4"/>
        <v>1062.2199999999998</v>
      </c>
      <c r="BJ38" s="104">
        <f t="shared" si="39"/>
        <v>0</v>
      </c>
      <c r="BK38" s="145">
        <f t="shared" si="5"/>
        <v>1062.2199999999998</v>
      </c>
      <c r="BL38" s="104">
        <f t="shared" si="40"/>
        <v>112.113</v>
      </c>
      <c r="BM38" s="104">
        <v>10.23</v>
      </c>
      <c r="BN38" s="145">
        <f t="shared" si="6"/>
        <v>1243.473</v>
      </c>
      <c r="BO38" s="241"/>
      <c r="BP38" s="241"/>
      <c r="BQ38" s="241"/>
      <c r="BR38" s="107"/>
      <c r="BS38" s="107"/>
      <c r="BV38" s="127" t="s">
        <v>377</v>
      </c>
      <c r="BW38" s="127" t="s">
        <v>483</v>
      </c>
      <c r="BX38" s="127" t="s">
        <v>30</v>
      </c>
      <c r="BY38" s="273"/>
      <c r="BZ38" s="127" t="s">
        <v>189</v>
      </c>
      <c r="CA38" s="127"/>
      <c r="CB38" s="127"/>
      <c r="CC38" s="127"/>
      <c r="CD38" s="151">
        <v>1166.26</v>
      </c>
      <c r="CE38" s="127"/>
      <c r="CF38" s="151">
        <f t="shared" si="45"/>
        <v>1166.26</v>
      </c>
      <c r="CG38" s="151"/>
      <c r="CH38" s="151"/>
      <c r="CI38" s="151"/>
      <c r="CJ38" s="151"/>
      <c r="CK38" s="163">
        <v>45.13</v>
      </c>
      <c r="CL38" s="145">
        <f t="shared" si="46"/>
        <v>1121.1299999999999</v>
      </c>
      <c r="CM38" s="151"/>
      <c r="CN38" s="151">
        <v>58.91</v>
      </c>
      <c r="CO38" s="151"/>
      <c r="CP38" s="151"/>
      <c r="CQ38" s="151"/>
      <c r="CR38" s="151"/>
      <c r="CS38" s="104">
        <f t="shared" si="41"/>
        <v>0</v>
      </c>
      <c r="CT38" s="104"/>
      <c r="CU38" s="127"/>
      <c r="CV38" s="127">
        <v>0</v>
      </c>
      <c r="CW38" s="145">
        <f t="shared" si="47"/>
        <v>1062.2199999999998</v>
      </c>
      <c r="CX38" s="104">
        <f t="shared" si="48"/>
        <v>0</v>
      </c>
      <c r="CY38" s="145">
        <f t="shared" si="49"/>
        <v>1062.2199999999998</v>
      </c>
      <c r="CZ38" s="104">
        <f t="shared" si="50"/>
        <v>112.113</v>
      </c>
      <c r="DA38" s="104">
        <v>10.23</v>
      </c>
      <c r="DB38" s="145">
        <f t="shared" si="51"/>
        <v>1243.473</v>
      </c>
      <c r="DC38" s="241"/>
      <c r="DD38" s="241"/>
      <c r="DE38" s="241"/>
      <c r="DF38" s="107"/>
      <c r="DG38" s="107"/>
      <c r="DJ38" s="21"/>
      <c r="DK38" s="21"/>
      <c r="DL38" s="21"/>
      <c r="DM38" s="21"/>
      <c r="DN38" s="21"/>
      <c r="DO38" s="60">
        <f>+U38-'C&amp;A'!L39-SINDICATO!P39</f>
        <v>0</v>
      </c>
    </row>
    <row r="39" spans="1:119" ht="15.75" hidden="1" thickTop="1" x14ac:dyDescent="0.25">
      <c r="A39" s="20" t="s">
        <v>86</v>
      </c>
      <c r="B39" s="21" t="s">
        <v>87</v>
      </c>
      <c r="C39" s="22">
        <f t="shared" si="12"/>
        <v>739.23</v>
      </c>
      <c r="D39" s="22">
        <v>0</v>
      </c>
      <c r="E39" s="22">
        <f t="shared" si="13"/>
        <v>1583.84</v>
      </c>
      <c r="F39" s="22">
        <v>0</v>
      </c>
      <c r="G39" s="22">
        <f t="shared" si="14"/>
        <v>2323.0699999999997</v>
      </c>
      <c r="H39" s="22">
        <f t="shared" si="15"/>
        <v>0</v>
      </c>
      <c r="I39" s="22">
        <f t="shared" si="16"/>
        <v>0</v>
      </c>
      <c r="J39" s="22">
        <f t="shared" si="17"/>
        <v>0</v>
      </c>
      <c r="K39" s="22">
        <f t="shared" si="18"/>
        <v>0</v>
      </c>
      <c r="L39" s="22">
        <f t="shared" si="19"/>
        <v>45.13</v>
      </c>
      <c r="M39" s="22">
        <f t="shared" si="20"/>
        <v>0</v>
      </c>
      <c r="N39" s="22">
        <f t="shared" si="21"/>
        <v>0</v>
      </c>
      <c r="O39" s="22">
        <f t="shared" si="22"/>
        <v>0</v>
      </c>
      <c r="P39" s="22">
        <f t="shared" si="23"/>
        <v>0</v>
      </c>
      <c r="Q39" s="22">
        <v>0</v>
      </c>
      <c r="R39" s="22">
        <f t="shared" si="24"/>
        <v>0</v>
      </c>
      <c r="S39" s="22">
        <f t="shared" si="25"/>
        <v>0</v>
      </c>
      <c r="T39" s="22">
        <f t="shared" si="26"/>
        <v>45.13</v>
      </c>
      <c r="U39" s="22">
        <f t="shared" si="27"/>
        <v>2277.9399999999996</v>
      </c>
      <c r="V39" s="22">
        <f t="shared" si="28"/>
        <v>2277.9399999999996</v>
      </c>
      <c r="W39" s="22">
        <f t="shared" si="29"/>
        <v>227.79399999999998</v>
      </c>
      <c r="X39" s="22">
        <f>+'C&amp;A'!E40*0.02</f>
        <v>10.2256</v>
      </c>
      <c r="Y39" s="22">
        <f t="shared" si="30"/>
        <v>0</v>
      </c>
      <c r="Z39" s="22">
        <f t="shared" si="31"/>
        <v>2515.9595999999997</v>
      </c>
      <c r="AA39" s="22">
        <f t="shared" si="32"/>
        <v>402.55353599999995</v>
      </c>
      <c r="AB39" s="22">
        <f t="shared" si="33"/>
        <v>2918.5131359999996</v>
      </c>
      <c r="AC39" s="60">
        <f t="shared" si="1"/>
        <v>0</v>
      </c>
      <c r="AD39" s="62">
        <f>+U39-'C&amp;A'!L40-SINDICATO!P40</f>
        <v>0</v>
      </c>
      <c r="AE39" s="62">
        <f>+'C&amp;A'!L40+'C&amp;A'!J40+'C&amp;A'!H40+'C&amp;A'!G40+SINDICATO!E40-G39</f>
        <v>0</v>
      </c>
      <c r="AF39" s="62">
        <f t="shared" si="2"/>
        <v>0</v>
      </c>
      <c r="AG39" s="127" t="s">
        <v>383</v>
      </c>
      <c r="AH39" s="127" t="s">
        <v>425</v>
      </c>
      <c r="AI39" s="127"/>
      <c r="AJ39" s="127" t="s">
        <v>86</v>
      </c>
      <c r="AK39" s="127" t="s">
        <v>181</v>
      </c>
      <c r="AL39" s="127"/>
      <c r="AM39" s="127"/>
      <c r="AN39" s="127"/>
      <c r="AO39" s="151">
        <v>739.23</v>
      </c>
      <c r="AP39" s="162">
        <f t="shared" si="34"/>
        <v>0</v>
      </c>
      <c r="AQ39" s="151">
        <f t="shared" si="35"/>
        <v>739.23</v>
      </c>
      <c r="AR39" s="151">
        <f t="shared" si="36"/>
        <v>0</v>
      </c>
      <c r="AS39" s="151">
        <v>1583.84</v>
      </c>
      <c r="AT39" s="151"/>
      <c r="AU39" s="151"/>
      <c r="AV39" s="151"/>
      <c r="AW39" s="163">
        <v>45.13</v>
      </c>
      <c r="AX39" s="145">
        <f t="shared" si="3"/>
        <v>2277.9399999999996</v>
      </c>
      <c r="AY39" s="151"/>
      <c r="AZ39" s="151"/>
      <c r="BA39" s="151">
        <v>0</v>
      </c>
      <c r="BB39" s="151">
        <f t="shared" si="37"/>
        <v>0</v>
      </c>
      <c r="BC39" s="151">
        <f t="shared" si="38"/>
        <v>0</v>
      </c>
      <c r="BD39" s="151"/>
      <c r="BE39" s="104"/>
      <c r="BF39" s="104"/>
      <c r="BG39" s="127"/>
      <c r="BH39" s="127">
        <v>0</v>
      </c>
      <c r="BI39" s="145">
        <f t="shared" si="4"/>
        <v>2277.9399999999996</v>
      </c>
      <c r="BJ39" s="104">
        <f t="shared" si="39"/>
        <v>0</v>
      </c>
      <c r="BK39" s="145">
        <f t="shared" si="5"/>
        <v>2277.9399999999996</v>
      </c>
      <c r="BL39" s="104">
        <f t="shared" si="40"/>
        <v>227.79399999999998</v>
      </c>
      <c r="BM39" s="104">
        <v>10.23</v>
      </c>
      <c r="BN39" s="145">
        <f t="shared" si="6"/>
        <v>2515.9639999999995</v>
      </c>
      <c r="BO39" s="241"/>
      <c r="BP39" s="241"/>
      <c r="BQ39" s="241"/>
      <c r="BR39" s="107"/>
      <c r="BS39" s="107"/>
      <c r="BV39" s="127" t="s">
        <v>383</v>
      </c>
      <c r="BW39" s="127" t="s">
        <v>425</v>
      </c>
      <c r="BX39" s="127"/>
      <c r="BY39" s="127" t="s">
        <v>86</v>
      </c>
      <c r="BZ39" s="127" t="s">
        <v>181</v>
      </c>
      <c r="CA39" s="127"/>
      <c r="CB39" s="127"/>
      <c r="CC39" s="127"/>
      <c r="CD39" s="151">
        <v>739.23</v>
      </c>
      <c r="CE39" s="127"/>
      <c r="CF39" s="151">
        <f t="shared" si="45"/>
        <v>739.23</v>
      </c>
      <c r="CG39" s="151">
        <v>1583.84</v>
      </c>
      <c r="CH39" s="151"/>
      <c r="CI39" s="151"/>
      <c r="CJ39" s="151"/>
      <c r="CK39" s="163">
        <v>45.13</v>
      </c>
      <c r="CL39" s="145">
        <f t="shared" si="46"/>
        <v>2277.9399999999996</v>
      </c>
      <c r="CM39" s="151"/>
      <c r="CN39" s="151"/>
      <c r="CO39" s="151">
        <v>0</v>
      </c>
      <c r="CP39" s="151"/>
      <c r="CQ39" s="151"/>
      <c r="CR39" s="151"/>
      <c r="CS39" s="104">
        <f t="shared" si="41"/>
        <v>0</v>
      </c>
      <c r="CT39" s="104"/>
      <c r="CU39" s="127"/>
      <c r="CV39" s="127">
        <v>0</v>
      </c>
      <c r="CW39" s="145">
        <f t="shared" si="47"/>
        <v>2277.9399999999996</v>
      </c>
      <c r="CX39" s="104">
        <f t="shared" si="48"/>
        <v>0</v>
      </c>
      <c r="CY39" s="145">
        <f t="shared" si="49"/>
        <v>2277.9399999999996</v>
      </c>
      <c r="CZ39" s="104">
        <f t="shared" si="50"/>
        <v>227.79399999999998</v>
      </c>
      <c r="DA39" s="104">
        <v>10.23</v>
      </c>
      <c r="DB39" s="145">
        <f t="shared" si="51"/>
        <v>2515.9639999999995</v>
      </c>
      <c r="DC39" s="241"/>
      <c r="DD39" s="241"/>
      <c r="DE39" s="241"/>
      <c r="DF39" s="107"/>
      <c r="DG39" s="107"/>
      <c r="DJ39" s="21"/>
      <c r="DK39" s="21"/>
      <c r="DL39" s="21"/>
      <c r="DM39" s="21"/>
      <c r="DN39" s="21"/>
      <c r="DO39" s="60">
        <f>+U39-'C&amp;A'!L40-SINDICATO!P40</f>
        <v>0</v>
      </c>
    </row>
    <row r="40" spans="1:119" ht="15.75" hidden="1" thickTop="1" x14ac:dyDescent="0.25">
      <c r="A40" s="20" t="s">
        <v>88</v>
      </c>
      <c r="B40" s="21" t="s">
        <v>89</v>
      </c>
      <c r="C40" s="22">
        <f t="shared" si="12"/>
        <v>513.33000000000004</v>
      </c>
      <c r="D40" s="22">
        <v>0</v>
      </c>
      <c r="E40" s="22">
        <f t="shared" si="13"/>
        <v>2664.11</v>
      </c>
      <c r="F40" s="22">
        <v>0</v>
      </c>
      <c r="G40" s="22">
        <f t="shared" si="14"/>
        <v>3177.44</v>
      </c>
      <c r="H40" s="22">
        <f t="shared" si="15"/>
        <v>0</v>
      </c>
      <c r="I40" s="22">
        <f t="shared" si="16"/>
        <v>0</v>
      </c>
      <c r="J40" s="22">
        <f t="shared" si="17"/>
        <v>0</v>
      </c>
      <c r="K40" s="22">
        <f t="shared" si="18"/>
        <v>0</v>
      </c>
      <c r="L40" s="22">
        <f t="shared" si="19"/>
        <v>45.13</v>
      </c>
      <c r="M40" s="22">
        <f t="shared" si="20"/>
        <v>0</v>
      </c>
      <c r="N40" s="22">
        <f t="shared" si="21"/>
        <v>0</v>
      </c>
      <c r="O40" s="22">
        <f t="shared" si="22"/>
        <v>0</v>
      </c>
      <c r="P40" s="22">
        <f t="shared" si="23"/>
        <v>58.91</v>
      </c>
      <c r="Q40" s="22">
        <v>0</v>
      </c>
      <c r="R40" s="22">
        <f t="shared" si="24"/>
        <v>0</v>
      </c>
      <c r="S40" s="22">
        <f t="shared" si="25"/>
        <v>0</v>
      </c>
      <c r="T40" s="22">
        <f t="shared" si="26"/>
        <v>104.03999999999999</v>
      </c>
      <c r="U40" s="22">
        <f t="shared" si="27"/>
        <v>3073.4</v>
      </c>
      <c r="V40" s="22">
        <f t="shared" si="28"/>
        <v>3073.4</v>
      </c>
      <c r="W40" s="22">
        <f t="shared" si="29"/>
        <v>313.23099999999999</v>
      </c>
      <c r="X40" s="22">
        <f>+'C&amp;A'!E41*0.02</f>
        <v>10.2256</v>
      </c>
      <c r="Y40" s="22">
        <f t="shared" si="30"/>
        <v>0</v>
      </c>
      <c r="Z40" s="22">
        <f t="shared" si="31"/>
        <v>3396.8566000000005</v>
      </c>
      <c r="AA40" s="22">
        <f t="shared" si="32"/>
        <v>543.49705600000004</v>
      </c>
      <c r="AB40" s="22">
        <f t="shared" si="33"/>
        <v>3940.3536560000007</v>
      </c>
      <c r="AC40" s="60">
        <f t="shared" si="1"/>
        <v>0</v>
      </c>
      <c r="AD40" s="62">
        <f>+U40-'C&amp;A'!L41-SINDICATO!P41</f>
        <v>0</v>
      </c>
      <c r="AE40" s="62">
        <f>+'C&amp;A'!L41+'C&amp;A'!J41+'C&amp;A'!H41+'C&amp;A'!G41+SINDICATO!E41-G40</f>
        <v>0</v>
      </c>
      <c r="AF40" s="62">
        <f t="shared" si="2"/>
        <v>0</v>
      </c>
      <c r="AG40" s="127" t="s">
        <v>377</v>
      </c>
      <c r="AH40" s="127" t="s">
        <v>745</v>
      </c>
      <c r="AI40" s="127" t="s">
        <v>32</v>
      </c>
      <c r="AJ40" s="127" t="s">
        <v>88</v>
      </c>
      <c r="AK40" s="127" t="s">
        <v>189</v>
      </c>
      <c r="AL40" s="127"/>
      <c r="AM40" s="127"/>
      <c r="AN40" s="127"/>
      <c r="AO40" s="151">
        <v>513.33000000000004</v>
      </c>
      <c r="AP40" s="162">
        <f t="shared" si="34"/>
        <v>0</v>
      </c>
      <c r="AQ40" s="151">
        <f t="shared" si="35"/>
        <v>513.33000000000004</v>
      </c>
      <c r="AR40" s="151">
        <f t="shared" si="36"/>
        <v>0</v>
      </c>
      <c r="AS40" s="151">
        <v>2664.11</v>
      </c>
      <c r="AT40" s="151"/>
      <c r="AU40" s="151"/>
      <c r="AV40" s="151"/>
      <c r="AW40" s="163">
        <v>45.13</v>
      </c>
      <c r="AX40" s="145">
        <f t="shared" si="3"/>
        <v>3132.31</v>
      </c>
      <c r="AY40" s="151"/>
      <c r="AZ40" s="151">
        <v>58.91</v>
      </c>
      <c r="BA40" s="151">
        <v>0</v>
      </c>
      <c r="BB40" s="151">
        <f t="shared" si="37"/>
        <v>0</v>
      </c>
      <c r="BC40" s="151">
        <f t="shared" si="38"/>
        <v>0</v>
      </c>
      <c r="BD40" s="151"/>
      <c r="BE40" s="104"/>
      <c r="BF40" s="104"/>
      <c r="BG40" s="127"/>
      <c r="BH40" s="127">
        <v>0</v>
      </c>
      <c r="BI40" s="145">
        <f t="shared" si="4"/>
        <v>3073.4</v>
      </c>
      <c r="BJ40" s="104">
        <f t="shared" si="39"/>
        <v>0</v>
      </c>
      <c r="BK40" s="145">
        <f t="shared" si="5"/>
        <v>3073.4</v>
      </c>
      <c r="BL40" s="104">
        <f t="shared" si="40"/>
        <v>313.23099999999999</v>
      </c>
      <c r="BM40" s="104">
        <v>10.23</v>
      </c>
      <c r="BN40" s="145">
        <f t="shared" si="6"/>
        <v>3455.7710000000002</v>
      </c>
      <c r="BO40" s="241"/>
      <c r="BP40" s="241"/>
      <c r="BQ40" s="241"/>
      <c r="BR40" s="107"/>
      <c r="BS40" s="107"/>
      <c r="BV40" s="127" t="s">
        <v>377</v>
      </c>
      <c r="BW40" s="127" t="s">
        <v>426</v>
      </c>
      <c r="BX40" s="127" t="s">
        <v>32</v>
      </c>
      <c r="BY40" s="127" t="s">
        <v>88</v>
      </c>
      <c r="BZ40" s="127" t="s">
        <v>189</v>
      </c>
      <c r="CA40" s="127"/>
      <c r="CB40" s="127"/>
      <c r="CC40" s="127"/>
      <c r="CD40" s="151">
        <v>513.33000000000004</v>
      </c>
      <c r="CE40" s="127"/>
      <c r="CF40" s="151">
        <f t="shared" si="45"/>
        <v>513.33000000000004</v>
      </c>
      <c r="CG40" s="151">
        <v>2664.11</v>
      </c>
      <c r="CH40" s="151"/>
      <c r="CI40" s="151"/>
      <c r="CJ40" s="151"/>
      <c r="CK40" s="163">
        <v>45.13</v>
      </c>
      <c r="CL40" s="145">
        <f t="shared" si="46"/>
        <v>3132.31</v>
      </c>
      <c r="CM40" s="151"/>
      <c r="CN40" s="151">
        <v>58.91</v>
      </c>
      <c r="CO40" s="151">
        <v>0</v>
      </c>
      <c r="CP40" s="151"/>
      <c r="CQ40" s="151"/>
      <c r="CR40" s="151"/>
      <c r="CS40" s="104">
        <f t="shared" si="41"/>
        <v>0</v>
      </c>
      <c r="CT40" s="104"/>
      <c r="CU40" s="127"/>
      <c r="CV40" s="127">
        <v>0</v>
      </c>
      <c r="CW40" s="145">
        <f t="shared" si="47"/>
        <v>3073.4</v>
      </c>
      <c r="CX40" s="104">
        <f t="shared" si="48"/>
        <v>0</v>
      </c>
      <c r="CY40" s="145">
        <f t="shared" si="49"/>
        <v>3073.4</v>
      </c>
      <c r="CZ40" s="104">
        <f t="shared" si="50"/>
        <v>313.23099999999999</v>
      </c>
      <c r="DA40" s="104">
        <v>10.23</v>
      </c>
      <c r="DB40" s="145">
        <f t="shared" si="51"/>
        <v>3455.7710000000002</v>
      </c>
      <c r="DC40" s="241"/>
      <c r="DD40" s="241"/>
      <c r="DE40" s="241"/>
      <c r="DF40" s="107"/>
      <c r="DG40" s="107"/>
      <c r="DJ40" s="21"/>
      <c r="DK40" s="21"/>
      <c r="DL40" s="21"/>
      <c r="DM40" s="21"/>
      <c r="DN40" s="21"/>
      <c r="DO40" s="60">
        <f>+U40-'C&amp;A'!L41-SINDICATO!P41</f>
        <v>0</v>
      </c>
    </row>
    <row r="41" spans="1:119" ht="15.75" hidden="1" thickTop="1" x14ac:dyDescent="0.25">
      <c r="A41" s="20" t="s">
        <v>90</v>
      </c>
      <c r="B41" s="21" t="s">
        <v>91</v>
      </c>
      <c r="C41" s="22">
        <f t="shared" si="12"/>
        <v>513.33000000000004</v>
      </c>
      <c r="D41" s="22">
        <v>0</v>
      </c>
      <c r="E41" s="22">
        <f t="shared" si="13"/>
        <v>2610.83</v>
      </c>
      <c r="F41" s="22">
        <v>0</v>
      </c>
      <c r="G41" s="22">
        <f t="shared" si="14"/>
        <v>3124.16</v>
      </c>
      <c r="H41" s="22">
        <f t="shared" si="15"/>
        <v>0</v>
      </c>
      <c r="I41" s="22">
        <f t="shared" si="16"/>
        <v>0</v>
      </c>
      <c r="J41" s="22">
        <f t="shared" si="17"/>
        <v>0</v>
      </c>
      <c r="K41" s="22">
        <f t="shared" si="18"/>
        <v>0</v>
      </c>
      <c r="L41" s="22">
        <f t="shared" si="19"/>
        <v>45.13</v>
      </c>
      <c r="M41" s="22">
        <f t="shared" si="20"/>
        <v>0</v>
      </c>
      <c r="N41" s="22">
        <f t="shared" si="21"/>
        <v>208.6</v>
      </c>
      <c r="O41" s="22">
        <f t="shared" si="22"/>
        <v>0</v>
      </c>
      <c r="P41" s="22">
        <f t="shared" si="23"/>
        <v>0</v>
      </c>
      <c r="Q41" s="22">
        <v>0</v>
      </c>
      <c r="R41" s="22">
        <f t="shared" si="24"/>
        <v>0</v>
      </c>
      <c r="S41" s="22">
        <f t="shared" si="25"/>
        <v>0</v>
      </c>
      <c r="T41" s="22">
        <f t="shared" si="26"/>
        <v>253.73</v>
      </c>
      <c r="U41" s="22">
        <f t="shared" si="27"/>
        <v>2870.43</v>
      </c>
      <c r="V41" s="22">
        <f t="shared" si="28"/>
        <v>3079.0299999999997</v>
      </c>
      <c r="W41" s="22">
        <f t="shared" si="29"/>
        <v>307.90300000000002</v>
      </c>
      <c r="X41" s="22">
        <f>+'C&amp;A'!E42*0.02</f>
        <v>10.2256</v>
      </c>
      <c r="Y41" s="22">
        <f t="shared" si="30"/>
        <v>0</v>
      </c>
      <c r="Z41" s="22">
        <f t="shared" si="31"/>
        <v>3397.1586000000002</v>
      </c>
      <c r="AA41" s="22">
        <f t="shared" si="32"/>
        <v>543.54537600000003</v>
      </c>
      <c r="AB41" s="22">
        <f t="shared" si="33"/>
        <v>3940.7039760000002</v>
      </c>
      <c r="AC41" s="60">
        <f t="shared" ref="AC41:AC72" si="52">+U41-BK41</f>
        <v>0</v>
      </c>
      <c r="AD41" s="22">
        <f>+U41-'C&amp;A'!L42-SINDICATO!P42</f>
        <v>0</v>
      </c>
      <c r="AE41" s="62">
        <f>+'C&amp;A'!L42+'C&amp;A'!J42+'C&amp;A'!H42+'C&amp;A'!G42+SINDICATO!E42-G41</f>
        <v>0</v>
      </c>
      <c r="AF41" s="62">
        <f t="shared" ref="AF41:AF72" si="53">+AQ41-CF41</f>
        <v>0</v>
      </c>
      <c r="AG41" s="127" t="s">
        <v>377</v>
      </c>
      <c r="AH41" s="127" t="s">
        <v>746</v>
      </c>
      <c r="AI41" s="127" t="s">
        <v>31</v>
      </c>
      <c r="AJ41" s="127" t="s">
        <v>90</v>
      </c>
      <c r="AK41" s="127" t="s">
        <v>189</v>
      </c>
      <c r="AL41" s="127"/>
      <c r="AM41" s="127"/>
      <c r="AN41" s="127"/>
      <c r="AO41" s="151">
        <v>513.33000000000004</v>
      </c>
      <c r="AP41" s="162">
        <f t="shared" si="34"/>
        <v>0</v>
      </c>
      <c r="AQ41" s="151">
        <f t="shared" ref="AQ41:AQ70" si="54">+AO41+AP41</f>
        <v>513.33000000000004</v>
      </c>
      <c r="AR41" s="151">
        <f t="shared" si="36"/>
        <v>0</v>
      </c>
      <c r="AS41" s="151">
        <v>2610.83</v>
      </c>
      <c r="AT41" s="151"/>
      <c r="AU41" s="151"/>
      <c r="AV41" s="151"/>
      <c r="AW41" s="163">
        <v>45.13</v>
      </c>
      <c r="AX41" s="145">
        <f t="shared" ref="AX41:AX70" si="55">SUM(AQ41:AV41)-AW41</f>
        <v>3079.0299999999997</v>
      </c>
      <c r="AY41" s="151"/>
      <c r="AZ41" s="151"/>
      <c r="BA41" s="151">
        <v>0</v>
      </c>
      <c r="BB41" s="151">
        <f t="shared" si="37"/>
        <v>0</v>
      </c>
      <c r="BC41" s="151">
        <f t="shared" si="38"/>
        <v>0</v>
      </c>
      <c r="BD41" s="151"/>
      <c r="BE41" s="104"/>
      <c r="BF41" s="104"/>
      <c r="BG41" s="127"/>
      <c r="BH41" s="127">
        <v>208.6</v>
      </c>
      <c r="BI41" s="145">
        <f t="shared" ref="BI41:BI70" si="56">+AX41-SUM(AY41:BH41)</f>
        <v>2870.43</v>
      </c>
      <c r="BJ41" s="104">
        <f t="shared" si="39"/>
        <v>0</v>
      </c>
      <c r="BK41" s="145">
        <f t="shared" ref="BK41:BK70" si="57">+BI41-BJ41</f>
        <v>2870.43</v>
      </c>
      <c r="BL41" s="104">
        <f t="shared" si="40"/>
        <v>307.90300000000002</v>
      </c>
      <c r="BM41" s="104">
        <v>10.23</v>
      </c>
      <c r="BN41" s="145">
        <f t="shared" ref="BN41:BN72" si="58">+AX41+BL41+BM41</f>
        <v>3397.163</v>
      </c>
      <c r="BO41" s="241"/>
      <c r="BP41" s="241"/>
      <c r="BQ41" s="241"/>
      <c r="BR41" s="107"/>
      <c r="BS41" s="107"/>
      <c r="BV41" s="127" t="s">
        <v>377</v>
      </c>
      <c r="BW41" s="127" t="s">
        <v>427</v>
      </c>
      <c r="BX41" s="127" t="s">
        <v>31</v>
      </c>
      <c r="BY41" s="127" t="s">
        <v>90</v>
      </c>
      <c r="BZ41" s="127" t="s">
        <v>189</v>
      </c>
      <c r="CA41" s="127"/>
      <c r="CB41" s="127"/>
      <c r="CC41" s="127"/>
      <c r="CD41" s="151">
        <v>513.33000000000004</v>
      </c>
      <c r="CE41" s="127"/>
      <c r="CF41" s="151">
        <f t="shared" si="45"/>
        <v>513.33000000000004</v>
      </c>
      <c r="CG41" s="151">
        <v>2610.83</v>
      </c>
      <c r="CH41" s="151"/>
      <c r="CI41" s="151"/>
      <c r="CJ41" s="151"/>
      <c r="CK41" s="163">
        <v>45.13</v>
      </c>
      <c r="CL41" s="145">
        <f t="shared" si="46"/>
        <v>3079.0299999999997</v>
      </c>
      <c r="CM41" s="151"/>
      <c r="CN41" s="151"/>
      <c r="CO41" s="151">
        <v>0</v>
      </c>
      <c r="CP41" s="151"/>
      <c r="CQ41" s="151"/>
      <c r="CR41" s="151"/>
      <c r="CS41" s="104">
        <f t="shared" si="41"/>
        <v>0</v>
      </c>
      <c r="CT41" s="104"/>
      <c r="CU41" s="127"/>
      <c r="CV41" s="127">
        <v>208.6</v>
      </c>
      <c r="CW41" s="145">
        <f t="shared" si="47"/>
        <v>2870.43</v>
      </c>
      <c r="CX41" s="104">
        <f t="shared" si="48"/>
        <v>0</v>
      </c>
      <c r="CY41" s="145">
        <f t="shared" si="49"/>
        <v>2870.43</v>
      </c>
      <c r="CZ41" s="104">
        <f t="shared" si="50"/>
        <v>307.90300000000002</v>
      </c>
      <c r="DA41" s="104">
        <v>10.23</v>
      </c>
      <c r="DB41" s="145">
        <f t="shared" si="51"/>
        <v>3397.163</v>
      </c>
      <c r="DC41" s="241"/>
      <c r="DD41" s="241"/>
      <c r="DE41" s="241"/>
      <c r="DF41" s="107"/>
      <c r="DG41" s="107"/>
      <c r="DJ41" s="21"/>
      <c r="DK41" s="21"/>
      <c r="DL41" s="21"/>
      <c r="DM41" s="21"/>
      <c r="DN41" s="21"/>
      <c r="DO41" s="60">
        <f>+U41-'C&amp;A'!L42-SINDICATO!P42</f>
        <v>0</v>
      </c>
    </row>
    <row r="42" spans="1:119" ht="15.75" hidden="1" thickTop="1" x14ac:dyDescent="0.25">
      <c r="A42" s="20" t="s">
        <v>92</v>
      </c>
      <c r="B42" s="21" t="s">
        <v>93</v>
      </c>
      <c r="C42" s="22">
        <f t="shared" si="12"/>
        <v>513.33000000000004</v>
      </c>
      <c r="D42" s="22">
        <v>93.675398729432189</v>
      </c>
      <c r="E42" s="22">
        <f t="shared" si="13"/>
        <v>0</v>
      </c>
      <c r="F42" s="22">
        <v>0</v>
      </c>
      <c r="G42" s="22">
        <f t="shared" si="14"/>
        <v>607.00539872943227</v>
      </c>
      <c r="H42" s="22">
        <f t="shared" si="15"/>
        <v>0</v>
      </c>
      <c r="I42" s="22">
        <f t="shared" si="16"/>
        <v>0</v>
      </c>
      <c r="J42" s="22">
        <f t="shared" si="17"/>
        <v>0</v>
      </c>
      <c r="K42" s="22">
        <f t="shared" si="18"/>
        <v>0</v>
      </c>
      <c r="L42" s="22">
        <f t="shared" si="19"/>
        <v>45.13</v>
      </c>
      <c r="M42" s="22">
        <f t="shared" si="20"/>
        <v>0</v>
      </c>
      <c r="N42" s="22">
        <f t="shared" si="21"/>
        <v>0</v>
      </c>
      <c r="O42" s="22">
        <f t="shared" si="22"/>
        <v>0</v>
      </c>
      <c r="P42" s="22">
        <f t="shared" si="23"/>
        <v>58.91</v>
      </c>
      <c r="Q42" s="22">
        <v>0</v>
      </c>
      <c r="R42" s="22">
        <f t="shared" si="24"/>
        <v>0</v>
      </c>
      <c r="S42" s="22">
        <f t="shared" si="25"/>
        <v>0</v>
      </c>
      <c r="T42" s="22">
        <f t="shared" si="26"/>
        <v>104.03999999999999</v>
      </c>
      <c r="U42" s="22">
        <f t="shared" si="27"/>
        <v>502.96539872943231</v>
      </c>
      <c r="V42" s="22">
        <f t="shared" si="28"/>
        <v>502.96539872943231</v>
      </c>
      <c r="W42" s="22">
        <f t="shared" si="29"/>
        <v>46.820000000000007</v>
      </c>
      <c r="X42" s="22">
        <f>+'C&amp;A'!E43*0.02</f>
        <v>8.5213999999999999</v>
      </c>
      <c r="Y42" s="22">
        <f t="shared" si="30"/>
        <v>0</v>
      </c>
      <c r="Z42" s="22">
        <f t="shared" si="31"/>
        <v>558.30679872943233</v>
      </c>
      <c r="AA42" s="22">
        <f t="shared" si="32"/>
        <v>89.329087796709175</v>
      </c>
      <c r="AB42" s="22">
        <f t="shared" si="33"/>
        <v>647.63588652614146</v>
      </c>
      <c r="AC42" s="60">
        <f t="shared" si="52"/>
        <v>93.675398729432231</v>
      </c>
      <c r="AD42" s="22">
        <f>+U42-'C&amp;A'!L43-SINDICATO!P43</f>
        <v>2.8421709430404007E-14</v>
      </c>
      <c r="AE42" s="62">
        <f>+'C&amp;A'!L43+'C&amp;A'!J43+'C&amp;A'!H43+'C&amp;A'!G43+SINDICATO!E43-G42</f>
        <v>0</v>
      </c>
      <c r="AF42" s="62">
        <f t="shared" si="53"/>
        <v>0</v>
      </c>
      <c r="AG42" s="127" t="s">
        <v>389</v>
      </c>
      <c r="AH42" s="127" t="s">
        <v>428</v>
      </c>
      <c r="AI42" s="127" t="s">
        <v>391</v>
      </c>
      <c r="AJ42" s="127" t="s">
        <v>92</v>
      </c>
      <c r="AK42" s="127" t="s">
        <v>392</v>
      </c>
      <c r="AL42" s="127"/>
      <c r="AM42" s="127"/>
      <c r="AN42" s="127"/>
      <c r="AO42" s="151">
        <v>513.33000000000004</v>
      </c>
      <c r="AP42" s="162">
        <f t="shared" si="34"/>
        <v>0</v>
      </c>
      <c r="AQ42" s="151">
        <f t="shared" si="54"/>
        <v>513.33000000000004</v>
      </c>
      <c r="AR42" s="151">
        <f t="shared" si="36"/>
        <v>0</v>
      </c>
      <c r="AS42" s="151"/>
      <c r="AT42" s="151"/>
      <c r="AU42" s="151"/>
      <c r="AV42" s="151"/>
      <c r="AW42" s="163">
        <v>45.13</v>
      </c>
      <c r="AX42" s="145">
        <f t="shared" si="55"/>
        <v>468.20000000000005</v>
      </c>
      <c r="AY42" s="151"/>
      <c r="AZ42" s="151">
        <v>58.91</v>
      </c>
      <c r="BA42" s="151">
        <v>0</v>
      </c>
      <c r="BB42" s="151">
        <f t="shared" si="37"/>
        <v>0</v>
      </c>
      <c r="BC42" s="151">
        <f t="shared" si="38"/>
        <v>0</v>
      </c>
      <c r="BD42" s="151"/>
      <c r="BE42" s="104"/>
      <c r="BF42" s="104"/>
      <c r="BG42" s="127"/>
      <c r="BH42" s="127">
        <v>0</v>
      </c>
      <c r="BI42" s="145">
        <f t="shared" si="56"/>
        <v>409.29000000000008</v>
      </c>
      <c r="BJ42" s="104">
        <f t="shared" si="39"/>
        <v>0</v>
      </c>
      <c r="BK42" s="145">
        <f t="shared" si="57"/>
        <v>409.29000000000008</v>
      </c>
      <c r="BL42" s="104">
        <f t="shared" si="40"/>
        <v>46.820000000000007</v>
      </c>
      <c r="BM42" s="104">
        <v>10.23</v>
      </c>
      <c r="BN42" s="145">
        <f t="shared" si="58"/>
        <v>525.25000000000011</v>
      </c>
      <c r="BO42" s="241"/>
      <c r="BP42" s="241"/>
      <c r="BQ42" s="241"/>
      <c r="BR42" s="107"/>
      <c r="BS42" s="107"/>
      <c r="BV42" s="127" t="s">
        <v>389</v>
      </c>
      <c r="BW42" s="127" t="s">
        <v>428</v>
      </c>
      <c r="BX42" s="127" t="s">
        <v>391</v>
      </c>
      <c r="BY42" s="127" t="s">
        <v>92</v>
      </c>
      <c r="BZ42" s="127" t="s">
        <v>392</v>
      </c>
      <c r="CA42" s="127"/>
      <c r="CB42" s="127"/>
      <c r="CC42" s="127"/>
      <c r="CD42" s="151">
        <v>513.33000000000004</v>
      </c>
      <c r="CE42" s="127"/>
      <c r="CF42" s="151">
        <f t="shared" si="45"/>
        <v>513.33000000000004</v>
      </c>
      <c r="CG42" s="151"/>
      <c r="CH42" s="151"/>
      <c r="CI42" s="151"/>
      <c r="CJ42" s="151"/>
      <c r="CK42" s="163">
        <v>45.13</v>
      </c>
      <c r="CL42" s="145">
        <f t="shared" si="46"/>
        <v>468.20000000000005</v>
      </c>
      <c r="CM42" s="151"/>
      <c r="CN42" s="151">
        <v>58.91</v>
      </c>
      <c r="CO42" s="151">
        <v>0</v>
      </c>
      <c r="CP42" s="151"/>
      <c r="CQ42" s="151"/>
      <c r="CR42" s="151"/>
      <c r="CS42" s="104">
        <f t="shared" si="41"/>
        <v>0</v>
      </c>
      <c r="CT42" s="104"/>
      <c r="CU42" s="127"/>
      <c r="CV42" s="127">
        <v>0</v>
      </c>
      <c r="CW42" s="145">
        <f t="shared" si="47"/>
        <v>409.29000000000008</v>
      </c>
      <c r="CX42" s="104">
        <f t="shared" si="48"/>
        <v>0</v>
      </c>
      <c r="CY42" s="145">
        <f t="shared" si="49"/>
        <v>409.29000000000008</v>
      </c>
      <c r="CZ42" s="104">
        <f t="shared" si="50"/>
        <v>46.820000000000007</v>
      </c>
      <c r="DA42" s="104">
        <v>10.23</v>
      </c>
      <c r="DB42" s="145">
        <f t="shared" si="51"/>
        <v>525.25000000000011</v>
      </c>
      <c r="DC42" s="241"/>
      <c r="DD42" s="241"/>
      <c r="DE42" s="241"/>
      <c r="DF42" s="107"/>
      <c r="DG42" s="107"/>
      <c r="DJ42" s="21"/>
      <c r="DK42" s="21"/>
      <c r="DL42" s="21"/>
      <c r="DM42" s="21"/>
      <c r="DN42" s="21"/>
      <c r="DO42" s="60">
        <f>+U42-'C&amp;A'!L43-SINDICATO!P43</f>
        <v>2.8421709430404007E-14</v>
      </c>
    </row>
    <row r="43" spans="1:119" ht="15.75" hidden="1" thickTop="1" x14ac:dyDescent="0.25">
      <c r="A43" s="20" t="s">
        <v>94</v>
      </c>
      <c r="B43" s="21" t="s">
        <v>95</v>
      </c>
      <c r="C43" s="22">
        <f t="shared" si="12"/>
        <v>513.33000000000004</v>
      </c>
      <c r="D43" s="22">
        <v>0</v>
      </c>
      <c r="E43" s="22">
        <f t="shared" si="13"/>
        <v>650.58000000000004</v>
      </c>
      <c r="F43" s="22">
        <v>0</v>
      </c>
      <c r="G43" s="22">
        <f t="shared" si="14"/>
        <v>1163.9100000000001</v>
      </c>
      <c r="H43" s="22">
        <f t="shared" si="15"/>
        <v>0</v>
      </c>
      <c r="I43" s="22">
        <f t="shared" si="16"/>
        <v>0</v>
      </c>
      <c r="J43" s="22">
        <f t="shared" si="17"/>
        <v>0</v>
      </c>
      <c r="K43" s="22">
        <f t="shared" si="18"/>
        <v>0</v>
      </c>
      <c r="L43" s="22">
        <f t="shared" si="19"/>
        <v>45.13</v>
      </c>
      <c r="M43" s="22">
        <f t="shared" si="20"/>
        <v>0</v>
      </c>
      <c r="N43" s="22">
        <f t="shared" si="21"/>
        <v>0</v>
      </c>
      <c r="O43" s="22">
        <f t="shared" si="22"/>
        <v>0</v>
      </c>
      <c r="P43" s="22">
        <f t="shared" si="23"/>
        <v>0</v>
      </c>
      <c r="Q43" s="22">
        <v>0</v>
      </c>
      <c r="R43" s="22">
        <f t="shared" si="24"/>
        <v>0</v>
      </c>
      <c r="S43" s="22">
        <f t="shared" si="25"/>
        <v>0</v>
      </c>
      <c r="T43" s="22">
        <f t="shared" si="26"/>
        <v>45.13</v>
      </c>
      <c r="U43" s="22">
        <f t="shared" si="27"/>
        <v>1118.78</v>
      </c>
      <c r="V43" s="22">
        <f t="shared" si="28"/>
        <v>1118.78</v>
      </c>
      <c r="W43" s="22">
        <f t="shared" si="29"/>
        <v>111.878</v>
      </c>
      <c r="X43" s="22">
        <f>+'C&amp;A'!E44*0.02</f>
        <v>10.2256</v>
      </c>
      <c r="Y43" s="22">
        <f t="shared" si="30"/>
        <v>0</v>
      </c>
      <c r="Z43" s="22">
        <f t="shared" si="31"/>
        <v>1240.8835999999999</v>
      </c>
      <c r="AA43" s="22">
        <f t="shared" si="32"/>
        <v>198.54137599999999</v>
      </c>
      <c r="AB43" s="22">
        <f t="shared" si="33"/>
        <v>1439.4249759999998</v>
      </c>
      <c r="AC43" s="60">
        <f t="shared" si="52"/>
        <v>0</v>
      </c>
      <c r="AD43" s="22">
        <f>+U43-'C&amp;A'!L44-SINDICATO!P44</f>
        <v>0</v>
      </c>
      <c r="AE43" s="62">
        <f>+'C&amp;A'!L44+'C&amp;A'!J44+'C&amp;A'!H44+'C&amp;A'!G44+SINDICATO!E44-G43</f>
        <v>0</v>
      </c>
      <c r="AF43" s="62">
        <f t="shared" si="53"/>
        <v>0</v>
      </c>
      <c r="AG43" s="127" t="s">
        <v>377</v>
      </c>
      <c r="AH43" s="127" t="s">
        <v>747</v>
      </c>
      <c r="AI43" s="127" t="s">
        <v>31</v>
      </c>
      <c r="AJ43" s="127" t="s">
        <v>94</v>
      </c>
      <c r="AK43" s="127" t="s">
        <v>189</v>
      </c>
      <c r="AL43" s="127"/>
      <c r="AM43" s="127"/>
      <c r="AN43" s="127"/>
      <c r="AO43" s="151">
        <v>513.33000000000004</v>
      </c>
      <c r="AP43" s="162">
        <f t="shared" si="34"/>
        <v>0</v>
      </c>
      <c r="AQ43" s="151">
        <f t="shared" si="54"/>
        <v>513.33000000000004</v>
      </c>
      <c r="AR43" s="151">
        <f t="shared" si="36"/>
        <v>0</v>
      </c>
      <c r="AS43" s="151">
        <v>650.58000000000004</v>
      </c>
      <c r="AT43" s="151"/>
      <c r="AU43" s="151"/>
      <c r="AV43" s="151"/>
      <c r="AW43" s="163">
        <v>45.13</v>
      </c>
      <c r="AX43" s="145">
        <f t="shared" si="55"/>
        <v>1118.78</v>
      </c>
      <c r="AY43" s="151"/>
      <c r="AZ43" s="151"/>
      <c r="BA43" s="151">
        <v>0</v>
      </c>
      <c r="BB43" s="151">
        <f t="shared" si="37"/>
        <v>0</v>
      </c>
      <c r="BC43" s="151">
        <f t="shared" si="38"/>
        <v>0</v>
      </c>
      <c r="BD43" s="151"/>
      <c r="BE43" s="104"/>
      <c r="BF43" s="104"/>
      <c r="BG43" s="127"/>
      <c r="BH43" s="127">
        <v>0</v>
      </c>
      <c r="BI43" s="145">
        <f t="shared" si="56"/>
        <v>1118.78</v>
      </c>
      <c r="BJ43" s="104">
        <f t="shared" si="39"/>
        <v>0</v>
      </c>
      <c r="BK43" s="145">
        <f t="shared" si="57"/>
        <v>1118.78</v>
      </c>
      <c r="BL43" s="104">
        <f t="shared" si="40"/>
        <v>111.878</v>
      </c>
      <c r="BM43" s="104">
        <v>10.23</v>
      </c>
      <c r="BN43" s="145">
        <f t="shared" si="58"/>
        <v>1240.8879999999999</v>
      </c>
      <c r="BO43" s="241"/>
      <c r="BP43" s="241"/>
      <c r="BQ43" s="241"/>
      <c r="BR43" s="107"/>
      <c r="BS43" s="107"/>
      <c r="BV43" s="127" t="s">
        <v>377</v>
      </c>
      <c r="BW43" s="127" t="s">
        <v>429</v>
      </c>
      <c r="BX43" s="127" t="s">
        <v>31</v>
      </c>
      <c r="BY43" s="127" t="s">
        <v>94</v>
      </c>
      <c r="BZ43" s="127" t="s">
        <v>189</v>
      </c>
      <c r="CA43" s="127"/>
      <c r="CB43" s="127"/>
      <c r="CC43" s="127"/>
      <c r="CD43" s="151">
        <v>513.33000000000004</v>
      </c>
      <c r="CE43" s="127"/>
      <c r="CF43" s="151">
        <f t="shared" si="45"/>
        <v>513.33000000000004</v>
      </c>
      <c r="CG43" s="151">
        <v>650.58000000000004</v>
      </c>
      <c r="CH43" s="151"/>
      <c r="CI43" s="151"/>
      <c r="CJ43" s="151"/>
      <c r="CK43" s="163">
        <v>45.13</v>
      </c>
      <c r="CL43" s="145">
        <f t="shared" si="46"/>
        <v>1118.78</v>
      </c>
      <c r="CM43" s="151"/>
      <c r="CN43" s="151"/>
      <c r="CO43" s="151">
        <v>0</v>
      </c>
      <c r="CP43" s="151"/>
      <c r="CQ43" s="151"/>
      <c r="CR43" s="151"/>
      <c r="CS43" s="104">
        <f t="shared" si="41"/>
        <v>0</v>
      </c>
      <c r="CT43" s="104"/>
      <c r="CU43" s="127"/>
      <c r="CV43" s="127">
        <v>0</v>
      </c>
      <c r="CW43" s="145">
        <f t="shared" si="47"/>
        <v>1118.78</v>
      </c>
      <c r="CX43" s="104">
        <f t="shared" si="48"/>
        <v>0</v>
      </c>
      <c r="CY43" s="145">
        <f t="shared" si="49"/>
        <v>1118.78</v>
      </c>
      <c r="CZ43" s="104">
        <f t="shared" si="50"/>
        <v>111.878</v>
      </c>
      <c r="DA43" s="104">
        <v>10.23</v>
      </c>
      <c r="DB43" s="145">
        <f t="shared" si="51"/>
        <v>1240.8879999999999</v>
      </c>
      <c r="DC43" s="241"/>
      <c r="DD43" s="241"/>
      <c r="DE43" s="241"/>
      <c r="DF43" s="107"/>
      <c r="DG43" s="107"/>
      <c r="DJ43" s="21"/>
      <c r="DK43" s="21"/>
      <c r="DL43" s="21"/>
      <c r="DM43" s="21"/>
      <c r="DN43" s="21"/>
      <c r="DO43" s="60">
        <f>+U43-'C&amp;A'!L44-SINDICATO!P44</f>
        <v>0</v>
      </c>
    </row>
    <row r="44" spans="1:119" ht="15.75" hidden="1" thickTop="1" x14ac:dyDescent="0.25">
      <c r="A44" s="20" t="s">
        <v>96</v>
      </c>
      <c r="B44" s="21" t="s">
        <v>97</v>
      </c>
      <c r="C44" s="22">
        <f t="shared" si="12"/>
        <v>1633.33</v>
      </c>
      <c r="D44" s="22">
        <v>0</v>
      </c>
      <c r="E44" s="22">
        <f t="shared" si="13"/>
        <v>1000</v>
      </c>
      <c r="F44" s="22">
        <v>0</v>
      </c>
      <c r="G44" s="22">
        <f t="shared" si="14"/>
        <v>2633.33</v>
      </c>
      <c r="H44" s="22">
        <f t="shared" si="15"/>
        <v>0</v>
      </c>
      <c r="I44" s="22">
        <f t="shared" si="16"/>
        <v>0</v>
      </c>
      <c r="J44" s="22">
        <f t="shared" si="17"/>
        <v>0</v>
      </c>
      <c r="K44" s="22">
        <f t="shared" si="18"/>
        <v>0</v>
      </c>
      <c r="L44" s="22">
        <f t="shared" si="19"/>
        <v>45.13</v>
      </c>
      <c r="M44" s="22">
        <f t="shared" si="20"/>
        <v>0</v>
      </c>
      <c r="N44" s="22">
        <f t="shared" si="21"/>
        <v>0</v>
      </c>
      <c r="O44" s="22">
        <f t="shared" si="22"/>
        <v>0</v>
      </c>
      <c r="P44" s="22">
        <f t="shared" si="23"/>
        <v>0</v>
      </c>
      <c r="Q44" s="22">
        <v>0</v>
      </c>
      <c r="R44" s="22">
        <f t="shared" si="24"/>
        <v>0</v>
      </c>
      <c r="S44" s="22">
        <f t="shared" si="25"/>
        <v>0</v>
      </c>
      <c r="T44" s="22">
        <f t="shared" si="26"/>
        <v>45.13</v>
      </c>
      <c r="U44" s="22">
        <f t="shared" si="27"/>
        <v>2588.1999999999998</v>
      </c>
      <c r="V44" s="22">
        <f t="shared" si="28"/>
        <v>2588.1999999999998</v>
      </c>
      <c r="W44" s="22">
        <f t="shared" si="29"/>
        <v>258.82</v>
      </c>
      <c r="X44" s="22">
        <f>+'C&amp;A'!E45*0.02</f>
        <v>10.2256</v>
      </c>
      <c r="Y44" s="22">
        <f t="shared" si="30"/>
        <v>0</v>
      </c>
      <c r="Z44" s="22">
        <f t="shared" si="31"/>
        <v>2857.2456000000002</v>
      </c>
      <c r="AA44" s="22">
        <f t="shared" si="32"/>
        <v>457.15929600000004</v>
      </c>
      <c r="AB44" s="22">
        <f t="shared" si="33"/>
        <v>3314.404896</v>
      </c>
      <c r="AC44" s="60">
        <f t="shared" si="52"/>
        <v>0</v>
      </c>
      <c r="AD44" s="22">
        <f>+U44-'C&amp;A'!L45-SINDICATO!P45</f>
        <v>0</v>
      </c>
      <c r="AE44" s="62">
        <f>+'C&amp;A'!L45+'C&amp;A'!J45+'C&amp;A'!H45+'C&amp;A'!G45+SINDICATO!E45-G44</f>
        <v>0</v>
      </c>
      <c r="AF44" s="62">
        <f t="shared" si="53"/>
        <v>0</v>
      </c>
      <c r="AG44" s="127" t="s">
        <v>375</v>
      </c>
      <c r="AH44" s="127" t="s">
        <v>430</v>
      </c>
      <c r="AI44" s="127"/>
      <c r="AJ44" s="127" t="s">
        <v>96</v>
      </c>
      <c r="AK44" s="127" t="s">
        <v>187</v>
      </c>
      <c r="AL44" s="127"/>
      <c r="AM44" s="127"/>
      <c r="AN44" s="127"/>
      <c r="AO44" s="151">
        <v>1633.33</v>
      </c>
      <c r="AP44" s="162">
        <f t="shared" si="34"/>
        <v>0</v>
      </c>
      <c r="AQ44" s="151">
        <f t="shared" si="54"/>
        <v>1633.33</v>
      </c>
      <c r="AR44" s="151">
        <f t="shared" si="36"/>
        <v>0</v>
      </c>
      <c r="AS44" s="151">
        <v>1000</v>
      </c>
      <c r="AT44" s="151"/>
      <c r="AU44" s="151"/>
      <c r="AV44" s="151"/>
      <c r="AW44" s="163">
        <v>45.13</v>
      </c>
      <c r="AX44" s="145">
        <f t="shared" si="55"/>
        <v>2588.1999999999998</v>
      </c>
      <c r="AY44" s="151"/>
      <c r="AZ44" s="151"/>
      <c r="BA44" s="151">
        <v>0</v>
      </c>
      <c r="BB44" s="151">
        <f t="shared" si="37"/>
        <v>0</v>
      </c>
      <c r="BC44" s="151">
        <f t="shared" si="38"/>
        <v>0</v>
      </c>
      <c r="BD44" s="151"/>
      <c r="BE44" s="104"/>
      <c r="BF44" s="104"/>
      <c r="BG44" s="127"/>
      <c r="BH44" s="127">
        <v>0</v>
      </c>
      <c r="BI44" s="145">
        <f t="shared" si="56"/>
        <v>2588.1999999999998</v>
      </c>
      <c r="BJ44" s="104">
        <f t="shared" si="39"/>
        <v>0</v>
      </c>
      <c r="BK44" s="145">
        <f t="shared" si="57"/>
        <v>2588.1999999999998</v>
      </c>
      <c r="BL44" s="104">
        <f t="shared" si="40"/>
        <v>258.82</v>
      </c>
      <c r="BM44" s="104">
        <v>10.23</v>
      </c>
      <c r="BN44" s="145">
        <f t="shared" si="58"/>
        <v>2857.25</v>
      </c>
      <c r="BO44" s="241"/>
      <c r="BP44" s="241"/>
      <c r="BQ44" s="241"/>
      <c r="BR44" s="107"/>
      <c r="BS44" s="107"/>
      <c r="BV44" s="127" t="s">
        <v>375</v>
      </c>
      <c r="BW44" s="127" t="s">
        <v>430</v>
      </c>
      <c r="BX44" s="127"/>
      <c r="BY44" s="127" t="s">
        <v>96</v>
      </c>
      <c r="BZ44" s="127" t="s">
        <v>187</v>
      </c>
      <c r="CA44" s="127"/>
      <c r="CB44" s="127"/>
      <c r="CC44" s="127"/>
      <c r="CD44" s="151">
        <v>1633.33</v>
      </c>
      <c r="CE44" s="127"/>
      <c r="CF44" s="151">
        <f t="shared" si="45"/>
        <v>1633.33</v>
      </c>
      <c r="CG44" s="151">
        <v>1000</v>
      </c>
      <c r="CH44" s="151"/>
      <c r="CI44" s="151"/>
      <c r="CJ44" s="151"/>
      <c r="CK44" s="163">
        <v>45.13</v>
      </c>
      <c r="CL44" s="145">
        <f t="shared" si="46"/>
        <v>2588.1999999999998</v>
      </c>
      <c r="CM44" s="151"/>
      <c r="CN44" s="151"/>
      <c r="CO44" s="151">
        <v>0</v>
      </c>
      <c r="CP44" s="151"/>
      <c r="CQ44" s="151"/>
      <c r="CR44" s="151"/>
      <c r="CS44" s="104">
        <f t="shared" si="41"/>
        <v>0</v>
      </c>
      <c r="CT44" s="104"/>
      <c r="CU44" s="127"/>
      <c r="CV44" s="127">
        <v>0</v>
      </c>
      <c r="CW44" s="145">
        <f t="shared" si="47"/>
        <v>2588.1999999999998</v>
      </c>
      <c r="CX44" s="104">
        <f t="shared" si="48"/>
        <v>0</v>
      </c>
      <c r="CY44" s="145">
        <f t="shared" si="49"/>
        <v>2588.1999999999998</v>
      </c>
      <c r="CZ44" s="104">
        <f t="shared" si="50"/>
        <v>258.82</v>
      </c>
      <c r="DA44" s="104">
        <v>10.23</v>
      </c>
      <c r="DB44" s="145">
        <f t="shared" si="51"/>
        <v>2857.25</v>
      </c>
      <c r="DC44" s="241"/>
      <c r="DD44" s="241"/>
      <c r="DE44" s="241"/>
      <c r="DF44" s="107"/>
      <c r="DG44" s="107"/>
      <c r="DJ44" s="21"/>
      <c r="DK44" s="21"/>
      <c r="DL44" s="21"/>
      <c r="DM44" s="21"/>
      <c r="DN44" s="21"/>
      <c r="DO44" s="60">
        <f>+U44-'C&amp;A'!L45-SINDICATO!P45</f>
        <v>0</v>
      </c>
    </row>
    <row r="45" spans="1:119" ht="15.75" hidden="1" thickTop="1" x14ac:dyDescent="0.25">
      <c r="A45" s="20" t="s">
        <v>99</v>
      </c>
      <c r="B45" s="21" t="s">
        <v>100</v>
      </c>
      <c r="C45" s="22">
        <f t="shared" si="12"/>
        <v>513.33000000000004</v>
      </c>
      <c r="D45" s="22">
        <v>0</v>
      </c>
      <c r="E45" s="22">
        <f t="shared" si="13"/>
        <v>3555.63</v>
      </c>
      <c r="F45" s="22">
        <v>0</v>
      </c>
      <c r="G45" s="22">
        <f t="shared" si="14"/>
        <v>4068.96</v>
      </c>
      <c r="H45" s="22">
        <f t="shared" si="15"/>
        <v>0</v>
      </c>
      <c r="I45" s="22">
        <f t="shared" si="16"/>
        <v>0</v>
      </c>
      <c r="J45" s="22">
        <f t="shared" si="17"/>
        <v>0</v>
      </c>
      <c r="K45" s="22">
        <f t="shared" si="18"/>
        <v>0</v>
      </c>
      <c r="L45" s="22">
        <f t="shared" si="19"/>
        <v>45.13</v>
      </c>
      <c r="M45" s="22">
        <f t="shared" si="20"/>
        <v>0</v>
      </c>
      <c r="N45" s="22">
        <f t="shared" si="21"/>
        <v>0</v>
      </c>
      <c r="O45" s="22">
        <f t="shared" si="22"/>
        <v>402.38300000000004</v>
      </c>
      <c r="P45" s="22">
        <f t="shared" si="23"/>
        <v>0</v>
      </c>
      <c r="Q45" s="22">
        <v>0</v>
      </c>
      <c r="R45" s="22">
        <f t="shared" si="24"/>
        <v>0</v>
      </c>
      <c r="S45" s="22">
        <f t="shared" si="25"/>
        <v>0</v>
      </c>
      <c r="T45" s="22">
        <f t="shared" si="26"/>
        <v>447.51300000000003</v>
      </c>
      <c r="U45" s="22">
        <f t="shared" si="27"/>
        <v>3621.4470000000001</v>
      </c>
      <c r="V45" s="22">
        <f t="shared" si="28"/>
        <v>4023.83</v>
      </c>
      <c r="W45" s="22">
        <f t="shared" si="29"/>
        <v>0</v>
      </c>
      <c r="X45" s="22">
        <f>+'C&amp;A'!E46*0.02</f>
        <v>10.2256</v>
      </c>
      <c r="Y45" s="22">
        <f t="shared" si="30"/>
        <v>0</v>
      </c>
      <c r="Z45" s="22">
        <f t="shared" si="31"/>
        <v>4034.0556000000001</v>
      </c>
      <c r="AA45" s="22">
        <f t="shared" si="32"/>
        <v>645.44889599999999</v>
      </c>
      <c r="AB45" s="22">
        <f t="shared" si="33"/>
        <v>4679.5044960000005</v>
      </c>
      <c r="AC45" s="60">
        <f t="shared" si="52"/>
        <v>0</v>
      </c>
      <c r="AD45" s="62">
        <f>+U45-'C&amp;A'!L46-SINDICATO!P46</f>
        <v>0</v>
      </c>
      <c r="AE45" s="62">
        <f>+'C&amp;A'!L46+'C&amp;A'!J46+'C&amp;A'!H46+'C&amp;A'!G46+SINDICATO!E46-G45</f>
        <v>0</v>
      </c>
      <c r="AF45" s="62">
        <f t="shared" si="53"/>
        <v>0</v>
      </c>
      <c r="AG45" s="127" t="s">
        <v>377</v>
      </c>
      <c r="AH45" s="127" t="s">
        <v>620</v>
      </c>
      <c r="AI45" s="127"/>
      <c r="AJ45" s="127" t="s">
        <v>99</v>
      </c>
      <c r="AK45" s="127" t="s">
        <v>189</v>
      </c>
      <c r="AL45" s="127"/>
      <c r="AM45" s="127"/>
      <c r="AN45" s="127"/>
      <c r="AO45" s="151">
        <v>513.33000000000004</v>
      </c>
      <c r="AP45" s="162">
        <f t="shared" si="34"/>
        <v>0</v>
      </c>
      <c r="AQ45" s="151">
        <f t="shared" si="54"/>
        <v>513.33000000000004</v>
      </c>
      <c r="AR45" s="151">
        <f t="shared" si="36"/>
        <v>0</v>
      </c>
      <c r="AS45" s="151">
        <v>3555.63</v>
      </c>
      <c r="AT45" s="151"/>
      <c r="AU45" s="151"/>
      <c r="AV45" s="151"/>
      <c r="AW45" s="163">
        <v>45.13</v>
      </c>
      <c r="AX45" s="145">
        <f t="shared" si="55"/>
        <v>4023.83</v>
      </c>
      <c r="AY45" s="151"/>
      <c r="AZ45" s="151"/>
      <c r="BA45" s="151">
        <v>0</v>
      </c>
      <c r="BB45" s="151">
        <f t="shared" si="37"/>
        <v>0</v>
      </c>
      <c r="BC45" s="151">
        <f t="shared" si="38"/>
        <v>0</v>
      </c>
      <c r="BD45" s="151"/>
      <c r="BE45" s="104"/>
      <c r="BF45" s="104"/>
      <c r="BG45" s="127"/>
      <c r="BH45" s="127">
        <v>0</v>
      </c>
      <c r="BI45" s="145">
        <f t="shared" si="56"/>
        <v>4023.83</v>
      </c>
      <c r="BJ45" s="104">
        <f t="shared" si="39"/>
        <v>402.38300000000004</v>
      </c>
      <c r="BK45" s="145">
        <f t="shared" si="57"/>
        <v>3621.4470000000001</v>
      </c>
      <c r="BL45" s="104">
        <f t="shared" si="40"/>
        <v>0</v>
      </c>
      <c r="BM45" s="104">
        <v>10.23</v>
      </c>
      <c r="BN45" s="145">
        <f t="shared" si="58"/>
        <v>4034.06</v>
      </c>
      <c r="BO45" s="241"/>
      <c r="BP45" s="241"/>
      <c r="BQ45" s="241"/>
      <c r="BR45" s="107"/>
      <c r="BS45" s="107"/>
      <c r="BV45" s="127" t="s">
        <v>377</v>
      </c>
      <c r="BW45" s="127" t="s">
        <v>620</v>
      </c>
      <c r="BX45" s="127"/>
      <c r="BY45" s="127" t="s">
        <v>99</v>
      </c>
      <c r="BZ45" s="127" t="s">
        <v>189</v>
      </c>
      <c r="CA45" s="127"/>
      <c r="CB45" s="127"/>
      <c r="CC45" s="127"/>
      <c r="CD45" s="151">
        <v>513.33000000000004</v>
      </c>
      <c r="CE45" s="127"/>
      <c r="CF45" s="151">
        <f t="shared" si="45"/>
        <v>513.33000000000004</v>
      </c>
      <c r="CG45" s="151">
        <v>3555.63</v>
      </c>
      <c r="CH45" s="151"/>
      <c r="CI45" s="151"/>
      <c r="CJ45" s="151"/>
      <c r="CK45" s="163">
        <v>45.13</v>
      </c>
      <c r="CL45" s="145">
        <f t="shared" si="46"/>
        <v>4023.83</v>
      </c>
      <c r="CM45" s="151"/>
      <c r="CN45" s="151"/>
      <c r="CO45" s="151">
        <v>0</v>
      </c>
      <c r="CP45" s="151"/>
      <c r="CQ45" s="151"/>
      <c r="CR45" s="151"/>
      <c r="CS45" s="104">
        <f t="shared" si="41"/>
        <v>0</v>
      </c>
      <c r="CT45" s="104"/>
      <c r="CU45" s="127"/>
      <c r="CV45" s="127">
        <v>0</v>
      </c>
      <c r="CW45" s="145">
        <f t="shared" si="47"/>
        <v>4023.83</v>
      </c>
      <c r="CX45" s="104">
        <f t="shared" si="48"/>
        <v>402.38300000000004</v>
      </c>
      <c r="CY45" s="145">
        <f t="shared" si="49"/>
        <v>3621.4470000000001</v>
      </c>
      <c r="CZ45" s="104">
        <f t="shared" si="50"/>
        <v>0</v>
      </c>
      <c r="DA45" s="104">
        <v>10.23</v>
      </c>
      <c r="DB45" s="145">
        <f t="shared" si="51"/>
        <v>4034.06</v>
      </c>
      <c r="DC45" s="241"/>
      <c r="DD45" s="241"/>
      <c r="DE45" s="241"/>
      <c r="DF45" s="107"/>
      <c r="DG45" s="107"/>
      <c r="DJ45" s="21"/>
      <c r="DK45" s="21"/>
      <c r="DL45" s="21"/>
      <c r="DM45" s="21"/>
      <c r="DN45" s="21"/>
      <c r="DO45" s="60">
        <f>+U45-'C&amp;A'!L46-SINDICATO!P46</f>
        <v>0</v>
      </c>
    </row>
    <row r="46" spans="1:119" ht="15.75" hidden="1" thickTop="1" x14ac:dyDescent="0.25">
      <c r="A46" s="20" t="s">
        <v>101</v>
      </c>
      <c r="B46" s="21" t="s">
        <v>102</v>
      </c>
      <c r="C46" s="22">
        <f t="shared" si="12"/>
        <v>543.20000000000005</v>
      </c>
      <c r="D46" s="22">
        <v>0</v>
      </c>
      <c r="E46" s="22">
        <f t="shared" si="13"/>
        <v>387.5</v>
      </c>
      <c r="F46" s="22">
        <v>0</v>
      </c>
      <c r="G46" s="22">
        <f t="shared" si="14"/>
        <v>930.7</v>
      </c>
      <c r="H46" s="22">
        <f t="shared" si="15"/>
        <v>100</v>
      </c>
      <c r="I46" s="22">
        <f t="shared" si="16"/>
        <v>43.392930000000007</v>
      </c>
      <c r="J46" s="22">
        <f t="shared" si="17"/>
        <v>8.8557000000000006</v>
      </c>
      <c r="K46" s="22">
        <f t="shared" si="18"/>
        <v>0</v>
      </c>
      <c r="L46" s="22">
        <f t="shared" si="19"/>
        <v>45.13</v>
      </c>
      <c r="M46" s="22">
        <f t="shared" si="20"/>
        <v>0</v>
      </c>
      <c r="N46" s="22">
        <f t="shared" si="21"/>
        <v>0</v>
      </c>
      <c r="O46" s="22">
        <f t="shared" si="22"/>
        <v>0</v>
      </c>
      <c r="P46" s="22">
        <f t="shared" si="23"/>
        <v>0</v>
      </c>
      <c r="Q46" s="22">
        <v>0</v>
      </c>
      <c r="R46" s="22">
        <f t="shared" si="24"/>
        <v>0</v>
      </c>
      <c r="S46" s="22">
        <f t="shared" si="25"/>
        <v>0</v>
      </c>
      <c r="T46" s="22">
        <f t="shared" si="26"/>
        <v>197.37863000000002</v>
      </c>
      <c r="U46" s="22">
        <f t="shared" si="27"/>
        <v>733.32137</v>
      </c>
      <c r="V46" s="22">
        <f t="shared" si="28"/>
        <v>885.57</v>
      </c>
      <c r="W46" s="22">
        <f t="shared" si="29"/>
        <v>88.557000000000016</v>
      </c>
      <c r="X46" s="22">
        <f>+'C&amp;A'!E47*0.02</f>
        <v>10.2256</v>
      </c>
      <c r="Y46" s="22">
        <f t="shared" si="30"/>
        <v>43.392930000000007</v>
      </c>
      <c r="Z46" s="22">
        <f t="shared" si="31"/>
        <v>1027.7455300000001</v>
      </c>
      <c r="AA46" s="22">
        <f t="shared" si="32"/>
        <v>164.43928480000002</v>
      </c>
      <c r="AB46" s="22">
        <f t="shared" si="33"/>
        <v>1192.1848148000001</v>
      </c>
      <c r="AC46" s="60">
        <f t="shared" si="52"/>
        <v>0</v>
      </c>
      <c r="AD46" s="62">
        <f>+U46-'C&amp;A'!L47-SINDICATO!P47</f>
        <v>0</v>
      </c>
      <c r="AE46" s="62">
        <f>+'C&amp;A'!L47+'C&amp;A'!J47+'C&amp;A'!H47+'C&amp;A'!G47+SINDICATO!E47-G46</f>
        <v>0</v>
      </c>
      <c r="AF46" s="62">
        <f t="shared" si="53"/>
        <v>0</v>
      </c>
      <c r="AG46" s="127" t="s">
        <v>381</v>
      </c>
      <c r="AH46" s="127" t="s">
        <v>748</v>
      </c>
      <c r="AI46" s="127"/>
      <c r="AJ46" s="127" t="s">
        <v>101</v>
      </c>
      <c r="AK46" s="127" t="s">
        <v>190</v>
      </c>
      <c r="AL46" s="127"/>
      <c r="AM46" s="127"/>
      <c r="AN46" s="127"/>
      <c r="AO46" s="151">
        <f>+CD46</f>
        <v>543.20000000000005</v>
      </c>
      <c r="AP46" s="162">
        <f t="shared" si="34"/>
        <v>0</v>
      </c>
      <c r="AQ46" s="151">
        <f t="shared" si="54"/>
        <v>543.20000000000005</v>
      </c>
      <c r="AR46" s="151">
        <f t="shared" si="36"/>
        <v>0</v>
      </c>
      <c r="AS46" s="151">
        <v>387.5</v>
      </c>
      <c r="AT46" s="151"/>
      <c r="AU46" s="151"/>
      <c r="AV46" s="151"/>
      <c r="AW46" s="163">
        <v>45.13</v>
      </c>
      <c r="AX46" s="145">
        <f t="shared" si="55"/>
        <v>885.57</v>
      </c>
      <c r="AY46" s="151"/>
      <c r="AZ46" s="151"/>
      <c r="BA46" s="151">
        <v>100</v>
      </c>
      <c r="BB46" s="151">
        <f t="shared" si="37"/>
        <v>43.392930000000007</v>
      </c>
      <c r="BC46" s="151">
        <f t="shared" si="38"/>
        <v>8.8557000000000006</v>
      </c>
      <c r="BD46" s="151"/>
      <c r="BE46" s="104"/>
      <c r="BF46" s="104"/>
      <c r="BG46" s="127"/>
      <c r="BH46" s="127">
        <v>0</v>
      </c>
      <c r="BI46" s="145">
        <f t="shared" si="56"/>
        <v>733.32137</v>
      </c>
      <c r="BJ46" s="104">
        <f t="shared" si="39"/>
        <v>0</v>
      </c>
      <c r="BK46" s="145">
        <f t="shared" si="57"/>
        <v>733.32137</v>
      </c>
      <c r="BL46" s="104">
        <f t="shared" si="40"/>
        <v>88.557000000000016</v>
      </c>
      <c r="BM46" s="104">
        <v>10.23</v>
      </c>
      <c r="BN46" s="145">
        <f t="shared" si="58"/>
        <v>984.35700000000008</v>
      </c>
      <c r="BO46" s="241"/>
      <c r="BP46" s="241"/>
      <c r="BQ46" s="241"/>
      <c r="BR46" s="107"/>
      <c r="BS46" s="107"/>
      <c r="BV46" s="127" t="s">
        <v>381</v>
      </c>
      <c r="BW46" s="127" t="s">
        <v>433</v>
      </c>
      <c r="BX46" s="127"/>
      <c r="BY46" s="127" t="s">
        <v>101</v>
      </c>
      <c r="BZ46" s="127" t="s">
        <v>190</v>
      </c>
      <c r="CA46" s="127"/>
      <c r="CB46" s="127"/>
      <c r="CC46" s="127"/>
      <c r="CD46" s="151">
        <v>543.20000000000005</v>
      </c>
      <c r="CE46" s="127"/>
      <c r="CF46" s="151">
        <f t="shared" si="45"/>
        <v>543.20000000000005</v>
      </c>
      <c r="CG46" s="151">
        <v>387.5</v>
      </c>
      <c r="CH46" s="151"/>
      <c r="CI46" s="151"/>
      <c r="CJ46" s="151"/>
      <c r="CK46" s="163">
        <v>45.13</v>
      </c>
      <c r="CL46" s="145">
        <f t="shared" si="46"/>
        <v>885.57</v>
      </c>
      <c r="CM46" s="151"/>
      <c r="CN46" s="151"/>
      <c r="CO46" s="151">
        <v>100</v>
      </c>
      <c r="CP46" s="151">
        <f>CL46*4.9%</f>
        <v>43.392930000000007</v>
      </c>
      <c r="CQ46" s="151">
        <f>CL46*1%</f>
        <v>8.8557000000000006</v>
      </c>
      <c r="CR46" s="151"/>
      <c r="CS46" s="104">
        <f t="shared" si="41"/>
        <v>0</v>
      </c>
      <c r="CT46" s="104"/>
      <c r="CU46" s="127"/>
      <c r="CV46" s="127">
        <v>0</v>
      </c>
      <c r="CW46" s="145">
        <f t="shared" si="47"/>
        <v>733.32137</v>
      </c>
      <c r="CX46" s="104">
        <f t="shared" si="48"/>
        <v>0</v>
      </c>
      <c r="CY46" s="145">
        <f t="shared" si="49"/>
        <v>733.32137</v>
      </c>
      <c r="CZ46" s="104">
        <f t="shared" si="50"/>
        <v>88.557000000000016</v>
      </c>
      <c r="DA46" s="104">
        <v>10.23</v>
      </c>
      <c r="DB46" s="145">
        <f t="shared" si="51"/>
        <v>984.35700000000008</v>
      </c>
      <c r="DC46" s="241"/>
      <c r="DD46" s="241"/>
      <c r="DE46" s="241"/>
      <c r="DF46" s="107"/>
      <c r="DG46" s="107"/>
      <c r="DJ46" s="21"/>
      <c r="DK46" s="21"/>
      <c r="DL46" s="21"/>
      <c r="DM46" s="21"/>
      <c r="DN46" s="21"/>
      <c r="DO46" s="60">
        <f>+U46-'C&amp;A'!L47-SINDICATO!P47</f>
        <v>0</v>
      </c>
    </row>
    <row r="47" spans="1:119" ht="15.75" hidden="1" thickTop="1" x14ac:dyDescent="0.25">
      <c r="A47" s="20"/>
      <c r="B47" s="21" t="s">
        <v>621</v>
      </c>
      <c r="C47" s="22">
        <f t="shared" si="12"/>
        <v>608.16</v>
      </c>
      <c r="D47" s="22">
        <v>0</v>
      </c>
      <c r="E47" s="22">
        <f t="shared" si="13"/>
        <v>2408.89</v>
      </c>
      <c r="F47" s="22">
        <v>0</v>
      </c>
      <c r="G47" s="22">
        <f t="shared" si="14"/>
        <v>3017.0499999999997</v>
      </c>
      <c r="H47" s="22">
        <f t="shared" si="15"/>
        <v>0</v>
      </c>
      <c r="I47" s="22">
        <f t="shared" si="16"/>
        <v>145.62407999999999</v>
      </c>
      <c r="J47" s="22">
        <f t="shared" si="17"/>
        <v>29.719199999999997</v>
      </c>
      <c r="K47" s="22">
        <f t="shared" si="18"/>
        <v>0</v>
      </c>
      <c r="L47" s="22">
        <f t="shared" si="19"/>
        <v>45.13</v>
      </c>
      <c r="M47" s="22">
        <f t="shared" si="20"/>
        <v>0</v>
      </c>
      <c r="N47" s="22">
        <f t="shared" si="21"/>
        <v>0</v>
      </c>
      <c r="O47" s="22">
        <f t="shared" si="22"/>
        <v>0</v>
      </c>
      <c r="P47" s="22">
        <f t="shared" si="23"/>
        <v>0</v>
      </c>
      <c r="Q47" s="22">
        <v>0</v>
      </c>
      <c r="R47" s="22">
        <f t="shared" si="24"/>
        <v>0</v>
      </c>
      <c r="S47" s="22">
        <f t="shared" si="25"/>
        <v>0</v>
      </c>
      <c r="T47" s="22">
        <f t="shared" si="26"/>
        <v>220.47327999999999</v>
      </c>
      <c r="U47" s="22">
        <f t="shared" si="27"/>
        <v>2796.5767199999996</v>
      </c>
      <c r="V47" s="22">
        <f t="shared" si="28"/>
        <v>2971.9199999999996</v>
      </c>
      <c r="W47" s="22">
        <f t="shared" si="29"/>
        <v>297.19199999999995</v>
      </c>
      <c r="X47" s="22">
        <f>+'C&amp;A'!E48*0.02</f>
        <v>10.2256</v>
      </c>
      <c r="Y47" s="22">
        <f t="shared" si="30"/>
        <v>145.62407999999999</v>
      </c>
      <c r="Z47" s="22">
        <f t="shared" si="31"/>
        <v>3424.9616799999999</v>
      </c>
      <c r="AA47" s="22">
        <f t="shared" si="32"/>
        <v>547.99386879999997</v>
      </c>
      <c r="AB47" s="22">
        <f t="shared" si="33"/>
        <v>3972.9555487999996</v>
      </c>
      <c r="AC47" s="60">
        <f t="shared" si="52"/>
        <v>0</v>
      </c>
      <c r="AD47" s="62">
        <f>+U47-'C&amp;A'!L48-SINDICATO!P48</f>
        <v>0</v>
      </c>
      <c r="AE47" s="62">
        <f>+'C&amp;A'!L48+'C&amp;A'!J48+'C&amp;A'!H48+'C&amp;A'!G48+SINDICATO!E48-G47</f>
        <v>0</v>
      </c>
      <c r="AF47" s="62">
        <f t="shared" si="53"/>
        <v>0</v>
      </c>
      <c r="AG47" s="127" t="s">
        <v>375</v>
      </c>
      <c r="AH47" s="127" t="s">
        <v>621</v>
      </c>
      <c r="AI47" s="127"/>
      <c r="AJ47" s="127" t="s">
        <v>622</v>
      </c>
      <c r="AK47" s="127" t="s">
        <v>190</v>
      </c>
      <c r="AL47" s="127"/>
      <c r="AM47" s="127"/>
      <c r="AN47" s="127"/>
      <c r="AO47" s="151">
        <v>608.16</v>
      </c>
      <c r="AP47" s="162">
        <f t="shared" si="34"/>
        <v>0</v>
      </c>
      <c r="AQ47" s="151">
        <f t="shared" si="54"/>
        <v>608.16</v>
      </c>
      <c r="AR47" s="151">
        <f t="shared" si="36"/>
        <v>0</v>
      </c>
      <c r="AS47" s="151">
        <v>2408.89</v>
      </c>
      <c r="AT47" s="151"/>
      <c r="AU47" s="151"/>
      <c r="AV47" s="151"/>
      <c r="AW47" s="163">
        <v>45.13</v>
      </c>
      <c r="AX47" s="145">
        <f t="shared" si="55"/>
        <v>2971.9199999999996</v>
      </c>
      <c r="AY47" s="151"/>
      <c r="AZ47" s="151"/>
      <c r="BA47" s="151">
        <v>0</v>
      </c>
      <c r="BB47" s="151">
        <f t="shared" si="37"/>
        <v>145.62407999999999</v>
      </c>
      <c r="BC47" s="151">
        <f t="shared" si="38"/>
        <v>29.719199999999997</v>
      </c>
      <c r="BD47" s="151"/>
      <c r="BE47" s="104"/>
      <c r="BF47" s="104"/>
      <c r="BG47" s="127"/>
      <c r="BH47" s="127">
        <v>0</v>
      </c>
      <c r="BI47" s="145">
        <f t="shared" si="56"/>
        <v>2796.5767199999996</v>
      </c>
      <c r="BJ47" s="104">
        <f t="shared" si="39"/>
        <v>0</v>
      </c>
      <c r="BK47" s="145">
        <f t="shared" si="57"/>
        <v>2796.5767199999996</v>
      </c>
      <c r="BL47" s="104">
        <f t="shared" si="40"/>
        <v>297.19199999999995</v>
      </c>
      <c r="BM47" s="104">
        <v>10.23</v>
      </c>
      <c r="BN47" s="145">
        <f t="shared" si="58"/>
        <v>3279.3419999999996</v>
      </c>
      <c r="BO47" s="241"/>
      <c r="BP47" s="241"/>
      <c r="BQ47" s="241"/>
      <c r="BR47" s="107">
        <v>2948910731</v>
      </c>
      <c r="BS47" s="88"/>
      <c r="BV47" s="127" t="s">
        <v>375</v>
      </c>
      <c r="BW47" s="127" t="s">
        <v>621</v>
      </c>
      <c r="BX47" s="127"/>
      <c r="BY47" s="127" t="s">
        <v>622</v>
      </c>
      <c r="BZ47" s="127" t="s">
        <v>190</v>
      </c>
      <c r="CA47" s="127"/>
      <c r="CB47" s="127"/>
      <c r="CC47" s="127"/>
      <c r="CD47" s="151">
        <v>608.16</v>
      </c>
      <c r="CE47" s="127"/>
      <c r="CF47" s="151">
        <f t="shared" ref="CF47:CF78" si="59">+CD47+CE47</f>
        <v>608.16</v>
      </c>
      <c r="CG47" s="151">
        <v>2408.89</v>
      </c>
      <c r="CH47" s="151"/>
      <c r="CI47" s="151"/>
      <c r="CJ47" s="151"/>
      <c r="CK47" s="163">
        <v>45.13</v>
      </c>
      <c r="CL47" s="145">
        <f t="shared" ref="CL47:CL78" si="60">SUM(CF47:CJ47)-CK47</f>
        <v>2971.9199999999996</v>
      </c>
      <c r="CM47" s="151"/>
      <c r="CN47" s="151"/>
      <c r="CO47" s="151">
        <v>0</v>
      </c>
      <c r="CP47" s="151">
        <f>CL47*4.9%</f>
        <v>145.62407999999999</v>
      </c>
      <c r="CQ47" s="151">
        <f>CL47*1%</f>
        <v>29.719199999999997</v>
      </c>
      <c r="CR47" s="151"/>
      <c r="CS47" s="104">
        <f t="shared" si="41"/>
        <v>0</v>
      </c>
      <c r="CT47" s="104"/>
      <c r="CU47" s="127"/>
      <c r="CV47" s="127">
        <v>0</v>
      </c>
      <c r="CW47" s="145">
        <f t="shared" ref="CW47:CW78" si="61">+CL47-SUM(CM47:CV47)</f>
        <v>2796.5767199999996</v>
      </c>
      <c r="CX47" s="104">
        <f t="shared" ref="CX47:CX78" si="62">IF(CL47&gt;3500,CL47*0.1,0)</f>
        <v>0</v>
      </c>
      <c r="CY47" s="145">
        <f t="shared" ref="CY47:CY78" si="63">+CW47-CX47</f>
        <v>2796.5767199999996</v>
      </c>
      <c r="CZ47" s="104">
        <f t="shared" ref="CZ47:CZ78" si="64">IF(CL47&lt;3500,CL47*0.1,0)</f>
        <v>297.19199999999995</v>
      </c>
      <c r="DA47" s="104">
        <v>10.23</v>
      </c>
      <c r="DB47" s="145">
        <f t="shared" ref="DB47:DB78" si="65">+CL47+CZ47+DA47</f>
        <v>3279.3419999999996</v>
      </c>
      <c r="DC47" s="241"/>
      <c r="DD47" s="241"/>
      <c r="DE47" s="241"/>
      <c r="DF47" s="107">
        <v>2948910731</v>
      </c>
      <c r="DG47" s="88"/>
      <c r="DJ47" s="21"/>
      <c r="DK47" s="21"/>
      <c r="DL47" s="21"/>
      <c r="DM47" s="21"/>
      <c r="DN47" s="21"/>
      <c r="DO47" s="60">
        <f>+U47-'C&amp;A'!L48-SINDICATO!P48</f>
        <v>0</v>
      </c>
    </row>
    <row r="48" spans="1:119" ht="15.75" hidden="1" thickTop="1" x14ac:dyDescent="0.25">
      <c r="A48" s="20" t="s">
        <v>103</v>
      </c>
      <c r="B48" s="21" t="s">
        <v>104</v>
      </c>
      <c r="C48" s="22">
        <f t="shared" si="12"/>
        <v>608.16</v>
      </c>
      <c r="D48" s="22">
        <v>0</v>
      </c>
      <c r="E48" s="22">
        <f t="shared" si="13"/>
        <v>2627.28</v>
      </c>
      <c r="F48" s="22">
        <v>0</v>
      </c>
      <c r="G48" s="22">
        <f t="shared" si="14"/>
        <v>3235.44</v>
      </c>
      <c r="H48" s="22">
        <f t="shared" si="15"/>
        <v>0</v>
      </c>
      <c r="I48" s="22">
        <f t="shared" si="16"/>
        <v>156.32518999999999</v>
      </c>
      <c r="J48" s="22">
        <f t="shared" si="17"/>
        <v>31.903099999999998</v>
      </c>
      <c r="K48" s="22">
        <f t="shared" si="18"/>
        <v>0</v>
      </c>
      <c r="L48" s="22">
        <f t="shared" si="19"/>
        <v>45.13</v>
      </c>
      <c r="M48" s="22">
        <f t="shared" si="20"/>
        <v>0</v>
      </c>
      <c r="N48" s="22">
        <f t="shared" si="21"/>
        <v>0</v>
      </c>
      <c r="O48" s="22">
        <f t="shared" si="22"/>
        <v>0</v>
      </c>
      <c r="P48" s="22">
        <f t="shared" si="23"/>
        <v>0</v>
      </c>
      <c r="Q48" s="22">
        <v>0</v>
      </c>
      <c r="R48" s="22">
        <f t="shared" si="24"/>
        <v>0</v>
      </c>
      <c r="S48" s="22">
        <f t="shared" si="25"/>
        <v>0</v>
      </c>
      <c r="T48" s="22">
        <f t="shared" si="26"/>
        <v>233.35828999999998</v>
      </c>
      <c r="U48" s="22">
        <f t="shared" si="27"/>
        <v>3002.0817099999999</v>
      </c>
      <c r="V48" s="22">
        <f t="shared" si="28"/>
        <v>3190.31</v>
      </c>
      <c r="W48" s="22">
        <f t="shared" si="29"/>
        <v>319.03100000000001</v>
      </c>
      <c r="X48" s="22">
        <f>+'C&amp;A'!E49*0.02</f>
        <v>10.2256</v>
      </c>
      <c r="Y48" s="22">
        <f t="shared" si="30"/>
        <v>156.32518999999999</v>
      </c>
      <c r="Z48" s="22">
        <f t="shared" si="31"/>
        <v>3675.8917900000001</v>
      </c>
      <c r="AA48" s="22">
        <f t="shared" si="32"/>
        <v>588.1426864</v>
      </c>
      <c r="AB48" s="22">
        <f t="shared" si="33"/>
        <v>4264.0344764000001</v>
      </c>
      <c r="AC48" s="60">
        <f t="shared" si="52"/>
        <v>0</v>
      </c>
      <c r="AD48" s="62">
        <f>+U48-'C&amp;A'!L49-SINDICATO!P49</f>
        <v>0</v>
      </c>
      <c r="AE48" s="62">
        <f>+'C&amp;A'!L49+'C&amp;A'!J49+'C&amp;A'!H49+'C&amp;A'!G49+SINDICATO!E49-G48</f>
        <v>0</v>
      </c>
      <c r="AF48" s="62">
        <f t="shared" si="53"/>
        <v>0</v>
      </c>
      <c r="AG48" s="127" t="s">
        <v>381</v>
      </c>
      <c r="AH48" s="127" t="s">
        <v>434</v>
      </c>
      <c r="AI48" s="127"/>
      <c r="AJ48" s="127" t="s">
        <v>103</v>
      </c>
      <c r="AK48" s="127" t="s">
        <v>192</v>
      </c>
      <c r="AL48" s="127"/>
      <c r="AM48" s="127"/>
      <c r="AN48" s="127"/>
      <c r="AO48" s="151">
        <v>608.16</v>
      </c>
      <c r="AP48" s="162">
        <f t="shared" si="34"/>
        <v>0</v>
      </c>
      <c r="AQ48" s="151">
        <f t="shared" si="54"/>
        <v>608.16</v>
      </c>
      <c r="AR48" s="151">
        <f t="shared" si="36"/>
        <v>0</v>
      </c>
      <c r="AS48" s="151">
        <v>2627.28</v>
      </c>
      <c r="AT48" s="151"/>
      <c r="AU48" s="151"/>
      <c r="AV48" s="151"/>
      <c r="AW48" s="163">
        <v>45.13</v>
      </c>
      <c r="AX48" s="145">
        <f t="shared" si="55"/>
        <v>3190.31</v>
      </c>
      <c r="AY48" s="151"/>
      <c r="AZ48" s="151"/>
      <c r="BA48" s="151"/>
      <c r="BB48" s="151">
        <f t="shared" si="37"/>
        <v>156.32518999999999</v>
      </c>
      <c r="BC48" s="151">
        <f t="shared" si="38"/>
        <v>31.903099999999998</v>
      </c>
      <c r="BD48" s="151"/>
      <c r="BE48" s="104"/>
      <c r="BF48" s="104"/>
      <c r="BG48" s="127"/>
      <c r="BH48" s="127">
        <v>0</v>
      </c>
      <c r="BI48" s="145">
        <f t="shared" si="56"/>
        <v>3002.0817099999999</v>
      </c>
      <c r="BJ48" s="104">
        <f t="shared" si="39"/>
        <v>0</v>
      </c>
      <c r="BK48" s="145">
        <f t="shared" si="57"/>
        <v>3002.0817099999999</v>
      </c>
      <c r="BL48" s="104">
        <f t="shared" si="40"/>
        <v>319.03100000000001</v>
      </c>
      <c r="BM48" s="104">
        <v>10.23</v>
      </c>
      <c r="BN48" s="145">
        <f t="shared" si="58"/>
        <v>3519.5709999999999</v>
      </c>
      <c r="BO48" s="241"/>
      <c r="BP48" s="241"/>
      <c r="BQ48" s="241"/>
      <c r="BR48" s="107"/>
      <c r="BS48" s="107"/>
      <c r="BV48" s="127" t="s">
        <v>381</v>
      </c>
      <c r="BW48" s="127" t="s">
        <v>434</v>
      </c>
      <c r="BX48" s="127"/>
      <c r="BY48" s="127" t="s">
        <v>103</v>
      </c>
      <c r="BZ48" s="127" t="s">
        <v>192</v>
      </c>
      <c r="CA48" s="127"/>
      <c r="CB48" s="127"/>
      <c r="CC48" s="127"/>
      <c r="CD48" s="151">
        <v>608.16</v>
      </c>
      <c r="CE48" s="127"/>
      <c r="CF48" s="151">
        <f t="shared" si="59"/>
        <v>608.16</v>
      </c>
      <c r="CG48" s="151">
        <v>2627.28</v>
      </c>
      <c r="CH48" s="151"/>
      <c r="CI48" s="151"/>
      <c r="CJ48" s="151"/>
      <c r="CK48" s="163">
        <v>45.13</v>
      </c>
      <c r="CL48" s="145">
        <f t="shared" si="60"/>
        <v>3190.31</v>
      </c>
      <c r="CM48" s="151"/>
      <c r="CN48" s="151"/>
      <c r="CO48" s="151"/>
      <c r="CP48" s="151">
        <f>CL48*4.9%</f>
        <v>156.32518999999999</v>
      </c>
      <c r="CQ48" s="151">
        <f>CL48*1%</f>
        <v>31.903099999999998</v>
      </c>
      <c r="CR48" s="151"/>
      <c r="CS48" s="104">
        <f t="shared" si="41"/>
        <v>0</v>
      </c>
      <c r="CT48" s="104"/>
      <c r="CU48" s="127"/>
      <c r="CV48" s="127">
        <v>0</v>
      </c>
      <c r="CW48" s="145">
        <f t="shared" si="61"/>
        <v>3002.0817099999999</v>
      </c>
      <c r="CX48" s="104">
        <f t="shared" si="62"/>
        <v>0</v>
      </c>
      <c r="CY48" s="145">
        <f t="shared" si="63"/>
        <v>3002.0817099999999</v>
      </c>
      <c r="CZ48" s="104">
        <f t="shared" si="64"/>
        <v>319.03100000000001</v>
      </c>
      <c r="DA48" s="104">
        <v>10.23</v>
      </c>
      <c r="DB48" s="145">
        <f t="shared" si="65"/>
        <v>3519.5709999999999</v>
      </c>
      <c r="DC48" s="241"/>
      <c r="DD48" s="241"/>
      <c r="DE48" s="241"/>
      <c r="DF48" s="107"/>
      <c r="DG48" s="107"/>
      <c r="DJ48" s="21"/>
      <c r="DK48" s="21"/>
      <c r="DL48" s="21"/>
      <c r="DM48" s="21"/>
      <c r="DN48" s="21"/>
      <c r="DO48" s="60">
        <f>+U48-'C&amp;A'!L49-SINDICATO!P49</f>
        <v>0</v>
      </c>
    </row>
    <row r="49" spans="1:124" ht="15.75" hidden="1" thickTop="1" x14ac:dyDescent="0.25">
      <c r="A49" s="20" t="s">
        <v>105</v>
      </c>
      <c r="B49" s="21" t="s">
        <v>106</v>
      </c>
      <c r="C49" s="22">
        <f t="shared" si="12"/>
        <v>739.23</v>
      </c>
      <c r="D49" s="22">
        <v>0</v>
      </c>
      <c r="E49" s="22">
        <f t="shared" si="13"/>
        <v>2748.19</v>
      </c>
      <c r="F49" s="22">
        <v>0</v>
      </c>
      <c r="G49" s="22">
        <f t="shared" si="14"/>
        <v>3487.42</v>
      </c>
      <c r="H49" s="22">
        <f t="shared" si="15"/>
        <v>0</v>
      </c>
      <c r="I49" s="22">
        <f t="shared" si="16"/>
        <v>0</v>
      </c>
      <c r="J49" s="22">
        <f t="shared" si="17"/>
        <v>0</v>
      </c>
      <c r="K49" s="22">
        <f t="shared" si="18"/>
        <v>0</v>
      </c>
      <c r="L49" s="22">
        <f t="shared" si="19"/>
        <v>45.13</v>
      </c>
      <c r="M49" s="22">
        <f t="shared" si="20"/>
        <v>0</v>
      </c>
      <c r="N49" s="22">
        <f t="shared" si="21"/>
        <v>0</v>
      </c>
      <c r="O49" s="22">
        <f t="shared" si="22"/>
        <v>0</v>
      </c>
      <c r="P49" s="22">
        <f t="shared" si="23"/>
        <v>0</v>
      </c>
      <c r="Q49" s="22">
        <v>0</v>
      </c>
      <c r="R49" s="22">
        <f t="shared" si="24"/>
        <v>0</v>
      </c>
      <c r="S49" s="22">
        <f t="shared" si="25"/>
        <v>0</v>
      </c>
      <c r="T49" s="22">
        <f t="shared" si="26"/>
        <v>45.13</v>
      </c>
      <c r="U49" s="22">
        <f t="shared" si="27"/>
        <v>3442.29</v>
      </c>
      <c r="V49" s="22">
        <f t="shared" si="28"/>
        <v>3442.29</v>
      </c>
      <c r="W49" s="22">
        <f t="shared" si="29"/>
        <v>344.22900000000004</v>
      </c>
      <c r="X49" s="22">
        <f>+'C&amp;A'!E50*0.02</f>
        <v>10.2256</v>
      </c>
      <c r="Y49" s="22">
        <f t="shared" si="30"/>
        <v>0</v>
      </c>
      <c r="Z49" s="22">
        <f t="shared" si="31"/>
        <v>3796.7446000000004</v>
      </c>
      <c r="AA49" s="22">
        <f t="shared" si="32"/>
        <v>607.47913600000004</v>
      </c>
      <c r="AB49" s="22">
        <f t="shared" si="33"/>
        <v>4404.2237360000008</v>
      </c>
      <c r="AC49" s="60">
        <f t="shared" si="52"/>
        <v>0</v>
      </c>
      <c r="AD49" s="62">
        <f>+U49-'C&amp;A'!L50-SINDICATO!P50</f>
        <v>0</v>
      </c>
      <c r="AE49" s="62">
        <f>+'C&amp;A'!L50+'C&amp;A'!J50+'C&amp;A'!H50+'C&amp;A'!G50+SINDICATO!E50-G49</f>
        <v>0</v>
      </c>
      <c r="AF49" s="62">
        <f t="shared" si="53"/>
        <v>0</v>
      </c>
      <c r="AG49" s="127" t="s">
        <v>383</v>
      </c>
      <c r="AH49" s="127" t="s">
        <v>435</v>
      </c>
      <c r="AI49" s="127"/>
      <c r="AJ49" s="127" t="s">
        <v>105</v>
      </c>
      <c r="AK49" s="127" t="s">
        <v>177</v>
      </c>
      <c r="AL49" s="127"/>
      <c r="AM49" s="127"/>
      <c r="AN49" s="127"/>
      <c r="AO49" s="151">
        <v>739.23</v>
      </c>
      <c r="AP49" s="162">
        <f t="shared" si="34"/>
        <v>0</v>
      </c>
      <c r="AQ49" s="151">
        <f t="shared" si="54"/>
        <v>739.23</v>
      </c>
      <c r="AR49" s="151">
        <f t="shared" si="36"/>
        <v>0</v>
      </c>
      <c r="AS49" s="151">
        <v>2748.19</v>
      </c>
      <c r="AT49" s="151"/>
      <c r="AU49" s="151"/>
      <c r="AV49" s="151"/>
      <c r="AW49" s="163">
        <v>45.13</v>
      </c>
      <c r="AX49" s="145">
        <f t="shared" si="55"/>
        <v>3442.29</v>
      </c>
      <c r="AY49" s="151"/>
      <c r="AZ49" s="151"/>
      <c r="BA49" s="151">
        <v>0</v>
      </c>
      <c r="BB49" s="151">
        <f t="shared" si="37"/>
        <v>0</v>
      </c>
      <c r="BC49" s="151">
        <f t="shared" si="38"/>
        <v>0</v>
      </c>
      <c r="BD49" s="151"/>
      <c r="BE49" s="104"/>
      <c r="BF49" s="104"/>
      <c r="BG49" s="127"/>
      <c r="BH49" s="127">
        <v>0</v>
      </c>
      <c r="BI49" s="145">
        <f t="shared" si="56"/>
        <v>3442.29</v>
      </c>
      <c r="BJ49" s="104">
        <f t="shared" si="39"/>
        <v>0</v>
      </c>
      <c r="BK49" s="145">
        <f t="shared" si="57"/>
        <v>3442.29</v>
      </c>
      <c r="BL49" s="104">
        <f t="shared" si="40"/>
        <v>344.22900000000004</v>
      </c>
      <c r="BM49" s="104">
        <v>10.23</v>
      </c>
      <c r="BN49" s="145">
        <f t="shared" si="58"/>
        <v>3796.7490000000003</v>
      </c>
      <c r="BO49" s="241"/>
      <c r="BP49" s="241"/>
      <c r="BQ49" s="241"/>
      <c r="BR49" s="107"/>
      <c r="BS49" s="107"/>
      <c r="BV49" s="127" t="s">
        <v>383</v>
      </c>
      <c r="BW49" s="127" t="s">
        <v>435</v>
      </c>
      <c r="BX49" s="127"/>
      <c r="BY49" s="127" t="s">
        <v>105</v>
      </c>
      <c r="BZ49" s="127" t="s">
        <v>177</v>
      </c>
      <c r="CA49" s="127"/>
      <c r="CB49" s="127"/>
      <c r="CC49" s="127"/>
      <c r="CD49" s="151">
        <v>739.23</v>
      </c>
      <c r="CE49" s="127"/>
      <c r="CF49" s="151">
        <f t="shared" si="59"/>
        <v>739.23</v>
      </c>
      <c r="CG49" s="151">
        <v>2748.19</v>
      </c>
      <c r="CH49" s="151"/>
      <c r="CI49" s="151"/>
      <c r="CJ49" s="151"/>
      <c r="CK49" s="163">
        <v>45.13</v>
      </c>
      <c r="CL49" s="145">
        <f t="shared" si="60"/>
        <v>3442.29</v>
      </c>
      <c r="CM49" s="151"/>
      <c r="CN49" s="151"/>
      <c r="CO49" s="151">
        <v>0</v>
      </c>
      <c r="CP49" s="151"/>
      <c r="CQ49" s="151"/>
      <c r="CR49" s="151"/>
      <c r="CS49" s="104">
        <f t="shared" si="41"/>
        <v>0</v>
      </c>
      <c r="CT49" s="104"/>
      <c r="CU49" s="127"/>
      <c r="CV49" s="127">
        <v>0</v>
      </c>
      <c r="CW49" s="145">
        <f t="shared" si="61"/>
        <v>3442.29</v>
      </c>
      <c r="CX49" s="104">
        <f t="shared" si="62"/>
        <v>0</v>
      </c>
      <c r="CY49" s="145">
        <f t="shared" si="63"/>
        <v>3442.29</v>
      </c>
      <c r="CZ49" s="104">
        <f t="shared" si="64"/>
        <v>344.22900000000004</v>
      </c>
      <c r="DA49" s="104">
        <v>10.23</v>
      </c>
      <c r="DB49" s="145">
        <f t="shared" si="65"/>
        <v>3796.7490000000003</v>
      </c>
      <c r="DC49" s="241"/>
      <c r="DD49" s="241"/>
      <c r="DE49" s="241"/>
      <c r="DF49" s="107"/>
      <c r="DG49" s="107"/>
      <c r="DJ49" s="21"/>
      <c r="DK49" s="21"/>
      <c r="DL49" s="21"/>
      <c r="DM49" s="21"/>
      <c r="DN49" s="21"/>
      <c r="DO49" s="60">
        <f>+U49-'C&amp;A'!L50-SINDICATO!P50</f>
        <v>0</v>
      </c>
    </row>
    <row r="50" spans="1:124" ht="15.75" hidden="1" thickTop="1" x14ac:dyDescent="0.25">
      <c r="A50" s="50" t="s">
        <v>516</v>
      </c>
      <c r="B50" s="21" t="s">
        <v>515</v>
      </c>
      <c r="C50" s="22">
        <f t="shared" si="12"/>
        <v>739.23</v>
      </c>
      <c r="D50" s="22">
        <v>0</v>
      </c>
      <c r="E50" s="22">
        <f t="shared" si="13"/>
        <v>2398.5300000000002</v>
      </c>
      <c r="F50" s="22">
        <v>0</v>
      </c>
      <c r="G50" s="22">
        <f t="shared" si="14"/>
        <v>3137.76</v>
      </c>
      <c r="H50" s="22">
        <f t="shared" si="15"/>
        <v>0</v>
      </c>
      <c r="I50" s="22">
        <f t="shared" si="16"/>
        <v>0</v>
      </c>
      <c r="J50" s="22">
        <f t="shared" si="17"/>
        <v>30.926300000000001</v>
      </c>
      <c r="K50" s="22">
        <f t="shared" si="18"/>
        <v>0</v>
      </c>
      <c r="L50" s="22">
        <f t="shared" si="19"/>
        <v>45.13</v>
      </c>
      <c r="M50" s="22">
        <f t="shared" si="20"/>
        <v>0</v>
      </c>
      <c r="N50" s="22">
        <f t="shared" si="21"/>
        <v>0</v>
      </c>
      <c r="O50" s="22">
        <f t="shared" si="22"/>
        <v>0</v>
      </c>
      <c r="P50" s="22">
        <f t="shared" si="23"/>
        <v>0</v>
      </c>
      <c r="Q50" s="22">
        <v>0</v>
      </c>
      <c r="R50" s="22">
        <f t="shared" si="24"/>
        <v>0</v>
      </c>
      <c r="S50" s="22">
        <f t="shared" si="25"/>
        <v>0</v>
      </c>
      <c r="T50" s="22">
        <f t="shared" si="26"/>
        <v>76.056300000000007</v>
      </c>
      <c r="U50" s="22">
        <f t="shared" si="27"/>
        <v>3061.7037</v>
      </c>
      <c r="V50" s="22">
        <f t="shared" si="28"/>
        <v>3092.63</v>
      </c>
      <c r="W50" s="22">
        <f t="shared" si="29"/>
        <v>309.26300000000003</v>
      </c>
      <c r="X50" s="22">
        <f>+'C&amp;A'!E51*0.02</f>
        <v>10.2256</v>
      </c>
      <c r="Y50" s="22">
        <f t="shared" si="30"/>
        <v>0</v>
      </c>
      <c r="Z50" s="22">
        <f t="shared" si="31"/>
        <v>3412.1186000000002</v>
      </c>
      <c r="AA50" s="22">
        <f t="shared" si="32"/>
        <v>545.93897600000003</v>
      </c>
      <c r="AB50" s="22">
        <f t="shared" si="33"/>
        <v>3958.0575760000002</v>
      </c>
      <c r="AC50" s="60">
        <f t="shared" si="52"/>
        <v>0</v>
      </c>
      <c r="AD50" s="62">
        <f>+U50-'C&amp;A'!L51-SINDICATO!P51</f>
        <v>0</v>
      </c>
      <c r="AE50" s="62">
        <f>+'C&amp;A'!L51+'C&amp;A'!J51+'C&amp;A'!H51+'C&amp;A'!G51+SINDICATO!E51-G50</f>
        <v>0</v>
      </c>
      <c r="AF50" s="62">
        <f t="shared" si="53"/>
        <v>0</v>
      </c>
      <c r="AG50" s="127" t="s">
        <v>381</v>
      </c>
      <c r="AH50" s="127" t="s">
        <v>749</v>
      </c>
      <c r="AI50" s="127"/>
      <c r="AJ50" s="127"/>
      <c r="AK50" s="127" t="s">
        <v>177</v>
      </c>
      <c r="AL50" s="165">
        <v>42416</v>
      </c>
      <c r="AM50" s="127"/>
      <c r="AN50" s="127"/>
      <c r="AO50" s="151">
        <v>739.23</v>
      </c>
      <c r="AP50" s="162">
        <f t="shared" si="34"/>
        <v>0</v>
      </c>
      <c r="AQ50" s="151">
        <f t="shared" si="54"/>
        <v>739.23</v>
      </c>
      <c r="AR50" s="151">
        <f t="shared" si="36"/>
        <v>0</v>
      </c>
      <c r="AS50" s="151">
        <v>2398.5300000000002</v>
      </c>
      <c r="AT50" s="151"/>
      <c r="AU50" s="151"/>
      <c r="AV50" s="151"/>
      <c r="AW50" s="163">
        <v>45.13</v>
      </c>
      <c r="AX50" s="145">
        <f t="shared" si="55"/>
        <v>3092.63</v>
      </c>
      <c r="AY50" s="151"/>
      <c r="AZ50" s="151"/>
      <c r="BA50" s="151">
        <v>0</v>
      </c>
      <c r="BB50" s="151">
        <f t="shared" si="37"/>
        <v>0</v>
      </c>
      <c r="BC50" s="151">
        <f t="shared" si="38"/>
        <v>30.926300000000001</v>
      </c>
      <c r="BD50" s="151"/>
      <c r="BE50" s="104"/>
      <c r="BF50" s="104"/>
      <c r="BG50" s="127"/>
      <c r="BH50" s="127">
        <v>0</v>
      </c>
      <c r="BI50" s="145">
        <f t="shared" si="56"/>
        <v>3061.7037</v>
      </c>
      <c r="BJ50" s="104">
        <f t="shared" si="39"/>
        <v>0</v>
      </c>
      <c r="BK50" s="145">
        <f t="shared" si="57"/>
        <v>3061.7037</v>
      </c>
      <c r="BL50" s="104">
        <f t="shared" si="40"/>
        <v>309.26300000000003</v>
      </c>
      <c r="BM50" s="104">
        <v>10.23</v>
      </c>
      <c r="BN50" s="145">
        <f t="shared" si="58"/>
        <v>3412.123</v>
      </c>
      <c r="BO50" s="241"/>
      <c r="BP50" s="241"/>
      <c r="BQ50" s="241"/>
      <c r="BR50" s="107">
        <v>1296641458</v>
      </c>
      <c r="BS50" s="107"/>
      <c r="BV50" s="127" t="s">
        <v>381</v>
      </c>
      <c r="BW50" s="127" t="s">
        <v>436</v>
      </c>
      <c r="BX50" s="127"/>
      <c r="BY50" s="127"/>
      <c r="BZ50" s="127" t="s">
        <v>177</v>
      </c>
      <c r="CA50" s="165">
        <v>42416</v>
      </c>
      <c r="CB50" s="127"/>
      <c r="CC50" s="127"/>
      <c r="CD50" s="151">
        <v>739.23</v>
      </c>
      <c r="CE50" s="127"/>
      <c r="CF50" s="151">
        <f t="shared" si="59"/>
        <v>739.23</v>
      </c>
      <c r="CG50" s="151">
        <v>2398.5300000000002</v>
      </c>
      <c r="CH50" s="151"/>
      <c r="CI50" s="151"/>
      <c r="CJ50" s="151"/>
      <c r="CK50" s="163">
        <v>45.13</v>
      </c>
      <c r="CL50" s="145">
        <f t="shared" si="60"/>
        <v>3092.63</v>
      </c>
      <c r="CM50" s="151"/>
      <c r="CN50" s="151"/>
      <c r="CO50" s="151">
        <v>0</v>
      </c>
      <c r="CP50" s="151"/>
      <c r="CQ50" s="151">
        <f>CL50*1%</f>
        <v>30.926300000000001</v>
      </c>
      <c r="CR50" s="151"/>
      <c r="CS50" s="104">
        <f t="shared" si="41"/>
        <v>0</v>
      </c>
      <c r="CT50" s="104"/>
      <c r="CU50" s="127"/>
      <c r="CV50" s="127">
        <v>0</v>
      </c>
      <c r="CW50" s="145">
        <f t="shared" si="61"/>
        <v>3061.7037</v>
      </c>
      <c r="CX50" s="104">
        <f t="shared" si="62"/>
        <v>0</v>
      </c>
      <c r="CY50" s="145">
        <f t="shared" si="63"/>
        <v>3061.7037</v>
      </c>
      <c r="CZ50" s="104">
        <f t="shared" si="64"/>
        <v>309.26300000000003</v>
      </c>
      <c r="DA50" s="104">
        <v>10.23</v>
      </c>
      <c r="DB50" s="145">
        <f t="shared" si="65"/>
        <v>3412.123</v>
      </c>
      <c r="DC50" s="241"/>
      <c r="DD50" s="241"/>
      <c r="DE50" s="241"/>
      <c r="DF50" s="107">
        <v>1296641458</v>
      </c>
      <c r="DG50" s="107"/>
      <c r="DJ50" s="21"/>
      <c r="DK50" s="21"/>
      <c r="DL50" s="21"/>
      <c r="DM50" s="21"/>
      <c r="DN50" s="21"/>
      <c r="DO50" s="60">
        <f>+U50-'C&amp;A'!L51-SINDICATO!P51</f>
        <v>0</v>
      </c>
    </row>
    <row r="51" spans="1:124" ht="15.75" thickTop="1" x14ac:dyDescent="0.25">
      <c r="A51" s="50" t="s">
        <v>504</v>
      </c>
      <c r="B51" s="21" t="s">
        <v>505</v>
      </c>
      <c r="C51" s="22">
        <f t="shared" si="12"/>
        <v>1516.67</v>
      </c>
      <c r="D51" s="22">
        <v>0</v>
      </c>
      <c r="E51" s="22">
        <f t="shared" si="13"/>
        <v>0</v>
      </c>
      <c r="F51" s="22">
        <v>0</v>
      </c>
      <c r="G51" s="22">
        <f t="shared" si="14"/>
        <v>1516.67</v>
      </c>
      <c r="H51" s="22">
        <f t="shared" si="15"/>
        <v>0</v>
      </c>
      <c r="I51" s="22">
        <f t="shared" si="16"/>
        <v>0</v>
      </c>
      <c r="J51" s="22">
        <f t="shared" si="17"/>
        <v>0</v>
      </c>
      <c r="K51" s="22">
        <f t="shared" si="18"/>
        <v>0</v>
      </c>
      <c r="L51" s="22">
        <f t="shared" si="19"/>
        <v>45.13</v>
      </c>
      <c r="M51" s="22">
        <f t="shared" si="20"/>
        <v>0</v>
      </c>
      <c r="N51" s="22">
        <f t="shared" si="21"/>
        <v>0</v>
      </c>
      <c r="O51" s="22">
        <f t="shared" si="22"/>
        <v>0</v>
      </c>
      <c r="P51" s="22">
        <f t="shared" si="23"/>
        <v>0</v>
      </c>
      <c r="Q51" s="22">
        <v>0</v>
      </c>
      <c r="R51" s="22">
        <f t="shared" si="24"/>
        <v>0</v>
      </c>
      <c r="S51" s="22">
        <f t="shared" si="25"/>
        <v>0</v>
      </c>
      <c r="T51" s="22">
        <f t="shared" si="26"/>
        <v>45.13</v>
      </c>
      <c r="U51" s="22">
        <f t="shared" si="27"/>
        <v>1471.54</v>
      </c>
      <c r="V51" s="22">
        <f t="shared" si="28"/>
        <v>1471.54</v>
      </c>
      <c r="W51" s="22">
        <f t="shared" si="29"/>
        <v>147.154</v>
      </c>
      <c r="X51" s="22">
        <f>+'C&amp;A'!E52*0.02</f>
        <v>10.2256</v>
      </c>
      <c r="Y51" s="22">
        <f t="shared" si="30"/>
        <v>0</v>
      </c>
      <c r="Z51" s="22">
        <f t="shared" si="31"/>
        <v>1628.9195999999999</v>
      </c>
      <c r="AA51" s="22">
        <f t="shared" si="32"/>
        <v>260.62713600000001</v>
      </c>
      <c r="AB51" s="22">
        <f t="shared" si="33"/>
        <v>1889.546736</v>
      </c>
      <c r="AC51" s="60">
        <f t="shared" si="52"/>
        <v>0</v>
      </c>
      <c r="AD51" s="62">
        <f>+U51-'C&amp;A'!L52-SINDICATO!P52</f>
        <v>0</v>
      </c>
      <c r="AE51" s="62">
        <f>+'C&amp;A'!L52+'C&amp;A'!J52+'C&amp;A'!H52+'C&amp;A'!G52+SINDICATO!E52-G51</f>
        <v>0</v>
      </c>
      <c r="AF51" s="62">
        <f t="shared" si="53"/>
        <v>0</v>
      </c>
      <c r="AG51" s="127" t="s">
        <v>431</v>
      </c>
      <c r="AH51" s="127" t="s">
        <v>432</v>
      </c>
      <c r="AI51" s="127"/>
      <c r="AJ51" s="127"/>
      <c r="AK51" s="127" t="s">
        <v>186</v>
      </c>
      <c r="AL51" s="165">
        <v>42413</v>
      </c>
      <c r="AM51" s="127"/>
      <c r="AN51" s="127"/>
      <c r="AO51" s="151">
        <v>1516.67</v>
      </c>
      <c r="AP51" s="162">
        <f t="shared" si="34"/>
        <v>0</v>
      </c>
      <c r="AQ51" s="151">
        <f t="shared" si="54"/>
        <v>1516.67</v>
      </c>
      <c r="AR51" s="151">
        <f t="shared" si="36"/>
        <v>0</v>
      </c>
      <c r="AS51" s="151"/>
      <c r="AT51" s="151"/>
      <c r="AU51" s="151"/>
      <c r="AV51" s="151"/>
      <c r="AW51" s="163">
        <v>45.13</v>
      </c>
      <c r="AX51" s="145">
        <f t="shared" si="55"/>
        <v>1471.54</v>
      </c>
      <c r="AY51" s="151"/>
      <c r="AZ51" s="151"/>
      <c r="BA51" s="151">
        <v>0</v>
      </c>
      <c r="BB51" s="151">
        <f t="shared" si="37"/>
        <v>0</v>
      </c>
      <c r="BC51" s="151">
        <f t="shared" si="38"/>
        <v>0</v>
      </c>
      <c r="BD51" s="151"/>
      <c r="BE51" s="104"/>
      <c r="BF51" s="104"/>
      <c r="BG51" s="127"/>
      <c r="BH51" s="127">
        <v>0</v>
      </c>
      <c r="BI51" s="145">
        <f t="shared" si="56"/>
        <v>1471.54</v>
      </c>
      <c r="BJ51" s="104">
        <f t="shared" si="39"/>
        <v>0</v>
      </c>
      <c r="BK51" s="145">
        <f t="shared" si="57"/>
        <v>1471.54</v>
      </c>
      <c r="BL51" s="104">
        <f t="shared" si="40"/>
        <v>147.154</v>
      </c>
      <c r="BM51" s="104">
        <v>10.23</v>
      </c>
      <c r="BN51" s="145">
        <f t="shared" si="58"/>
        <v>1628.924</v>
      </c>
      <c r="BO51" s="241"/>
      <c r="BP51" s="241"/>
      <c r="BQ51" s="241"/>
      <c r="BR51" s="107" t="s">
        <v>719</v>
      </c>
      <c r="BS51" s="107"/>
      <c r="BV51" s="127" t="s">
        <v>431</v>
      </c>
      <c r="BW51" s="127" t="s">
        <v>432</v>
      </c>
      <c r="BX51" s="127"/>
      <c r="BY51" s="127"/>
      <c r="BZ51" s="127" t="s">
        <v>186</v>
      </c>
      <c r="CA51" s="165">
        <v>42413</v>
      </c>
      <c r="CB51" s="127"/>
      <c r="CC51" s="127"/>
      <c r="CD51" s="151">
        <v>1516.67</v>
      </c>
      <c r="CE51" s="127"/>
      <c r="CF51" s="151">
        <f t="shared" si="59"/>
        <v>1516.67</v>
      </c>
      <c r="CG51" s="151"/>
      <c r="CH51" s="151"/>
      <c r="CI51" s="151"/>
      <c r="CJ51" s="151"/>
      <c r="CK51" s="163">
        <v>45.13</v>
      </c>
      <c r="CL51" s="145">
        <f t="shared" si="60"/>
        <v>1471.54</v>
      </c>
      <c r="CM51" s="151"/>
      <c r="CN51" s="151"/>
      <c r="CO51" s="151">
        <v>0</v>
      </c>
      <c r="CP51" s="151"/>
      <c r="CQ51" s="151"/>
      <c r="CR51" s="151"/>
      <c r="CS51" s="104">
        <f t="shared" si="41"/>
        <v>0</v>
      </c>
      <c r="CT51" s="104"/>
      <c r="CU51" s="127"/>
      <c r="CV51" s="127">
        <v>0</v>
      </c>
      <c r="CW51" s="145">
        <f t="shared" si="61"/>
        <v>1471.54</v>
      </c>
      <c r="CX51" s="104">
        <f t="shared" si="62"/>
        <v>0</v>
      </c>
      <c r="CY51" s="145">
        <f t="shared" si="63"/>
        <v>1471.54</v>
      </c>
      <c r="CZ51" s="104">
        <f t="shared" si="64"/>
        <v>147.154</v>
      </c>
      <c r="DA51" s="104">
        <v>10.23</v>
      </c>
      <c r="DB51" s="145">
        <f t="shared" si="65"/>
        <v>1628.924</v>
      </c>
      <c r="DC51" s="241"/>
      <c r="DD51" s="241"/>
      <c r="DE51" s="241"/>
      <c r="DF51" s="107" t="s">
        <v>719</v>
      </c>
      <c r="DG51" s="107"/>
      <c r="DJ51" s="21"/>
      <c r="DK51" s="21"/>
      <c r="DL51" s="21"/>
      <c r="DM51" s="21"/>
      <c r="DN51" s="21"/>
      <c r="DO51" s="60">
        <f>+U51-'C&amp;A'!L52-SINDICATO!P52</f>
        <v>0</v>
      </c>
    </row>
    <row r="52" spans="1:124" hidden="1" x14ac:dyDescent="0.25">
      <c r="A52" s="20" t="s">
        <v>107</v>
      </c>
      <c r="B52" s="21" t="s">
        <v>108</v>
      </c>
      <c r="C52" s="22">
        <f t="shared" si="12"/>
        <v>513.33000000000004</v>
      </c>
      <c r="D52" s="22">
        <v>0</v>
      </c>
      <c r="E52" s="22">
        <f t="shared" si="13"/>
        <v>1437.61</v>
      </c>
      <c r="F52" s="22">
        <v>0</v>
      </c>
      <c r="G52" s="22">
        <f t="shared" si="14"/>
        <v>1950.94</v>
      </c>
      <c r="H52" s="22">
        <f t="shared" si="15"/>
        <v>0</v>
      </c>
      <c r="I52" s="22">
        <f t="shared" si="16"/>
        <v>0</v>
      </c>
      <c r="J52" s="22">
        <f t="shared" si="17"/>
        <v>0</v>
      </c>
      <c r="K52" s="22">
        <f t="shared" si="18"/>
        <v>0</v>
      </c>
      <c r="L52" s="22">
        <f t="shared" si="19"/>
        <v>45.13</v>
      </c>
      <c r="M52" s="22">
        <f t="shared" si="20"/>
        <v>0</v>
      </c>
      <c r="N52" s="22">
        <f t="shared" si="21"/>
        <v>0</v>
      </c>
      <c r="O52" s="22">
        <f t="shared" si="22"/>
        <v>0</v>
      </c>
      <c r="P52" s="22">
        <f t="shared" si="23"/>
        <v>58.91</v>
      </c>
      <c r="Q52" s="22">
        <v>0</v>
      </c>
      <c r="R52" s="22">
        <f t="shared" si="24"/>
        <v>0</v>
      </c>
      <c r="S52" s="22">
        <f t="shared" si="25"/>
        <v>0</v>
      </c>
      <c r="T52" s="22">
        <f t="shared" si="26"/>
        <v>104.03999999999999</v>
      </c>
      <c r="U52" s="22">
        <f t="shared" si="27"/>
        <v>1846.9</v>
      </c>
      <c r="V52" s="22">
        <f t="shared" si="28"/>
        <v>1846.8999999999999</v>
      </c>
      <c r="W52" s="22">
        <f t="shared" si="29"/>
        <v>190.58100000000002</v>
      </c>
      <c r="X52" s="22">
        <f>+'C&amp;A'!E53*0.02</f>
        <v>10.2256</v>
      </c>
      <c r="Y52" s="22">
        <f t="shared" si="30"/>
        <v>0</v>
      </c>
      <c r="Z52" s="22">
        <f t="shared" si="31"/>
        <v>2047.7065999999998</v>
      </c>
      <c r="AA52" s="22">
        <f t="shared" si="32"/>
        <v>327.63305599999995</v>
      </c>
      <c r="AB52" s="22">
        <f t="shared" si="33"/>
        <v>2375.3396559999996</v>
      </c>
      <c r="AC52" s="60">
        <f t="shared" si="52"/>
        <v>0</v>
      </c>
      <c r="AD52" s="62">
        <f>+U52-'C&amp;A'!L53-SINDICATO!P53</f>
        <v>0</v>
      </c>
      <c r="AE52" s="62">
        <f>+'C&amp;A'!L53+'C&amp;A'!J53+'C&amp;A'!H53+'C&amp;A'!G53+SINDICATO!E53-G52</f>
        <v>0</v>
      </c>
      <c r="AF52" s="62">
        <f t="shared" si="53"/>
        <v>0</v>
      </c>
      <c r="AG52" s="127" t="s">
        <v>377</v>
      </c>
      <c r="AH52" s="127" t="s">
        <v>750</v>
      </c>
      <c r="AI52" s="127" t="s">
        <v>31</v>
      </c>
      <c r="AJ52" s="127" t="s">
        <v>107</v>
      </c>
      <c r="AK52" s="127" t="s">
        <v>189</v>
      </c>
      <c r="AL52" s="127"/>
      <c r="AM52" s="127"/>
      <c r="AN52" s="127"/>
      <c r="AO52" s="151">
        <v>513.33000000000004</v>
      </c>
      <c r="AP52" s="162">
        <f t="shared" si="34"/>
        <v>0</v>
      </c>
      <c r="AQ52" s="151">
        <f t="shared" si="54"/>
        <v>513.33000000000004</v>
      </c>
      <c r="AR52" s="151">
        <f t="shared" si="36"/>
        <v>0</v>
      </c>
      <c r="AS52" s="151">
        <v>1437.61</v>
      </c>
      <c r="AT52" s="151"/>
      <c r="AU52" s="151"/>
      <c r="AV52" s="151"/>
      <c r="AW52" s="163">
        <v>45.13</v>
      </c>
      <c r="AX52" s="145">
        <f t="shared" si="55"/>
        <v>1905.81</v>
      </c>
      <c r="AY52" s="151"/>
      <c r="AZ52" s="151">
        <v>58.91</v>
      </c>
      <c r="BA52" s="151">
        <v>0</v>
      </c>
      <c r="BB52" s="151">
        <f t="shared" si="37"/>
        <v>0</v>
      </c>
      <c r="BC52" s="151">
        <f t="shared" si="38"/>
        <v>0</v>
      </c>
      <c r="BD52" s="151"/>
      <c r="BE52" s="104"/>
      <c r="BF52" s="104"/>
      <c r="BG52" s="127"/>
      <c r="BH52" s="127">
        <v>0</v>
      </c>
      <c r="BI52" s="145">
        <f t="shared" si="56"/>
        <v>1846.8999999999999</v>
      </c>
      <c r="BJ52" s="104">
        <f t="shared" si="39"/>
        <v>0</v>
      </c>
      <c r="BK52" s="145">
        <f t="shared" si="57"/>
        <v>1846.8999999999999</v>
      </c>
      <c r="BL52" s="104">
        <f t="shared" si="40"/>
        <v>190.58100000000002</v>
      </c>
      <c r="BM52" s="104">
        <v>10.23</v>
      </c>
      <c r="BN52" s="145">
        <f t="shared" si="58"/>
        <v>2106.6210000000001</v>
      </c>
      <c r="BO52" s="241"/>
      <c r="BP52" s="241"/>
      <c r="BQ52" s="241"/>
      <c r="BR52" s="107"/>
      <c r="BS52" s="107"/>
      <c r="BV52" s="127" t="s">
        <v>377</v>
      </c>
      <c r="BW52" s="127" t="s">
        <v>437</v>
      </c>
      <c r="BX52" s="127" t="s">
        <v>31</v>
      </c>
      <c r="BY52" s="127" t="s">
        <v>107</v>
      </c>
      <c r="BZ52" s="127" t="s">
        <v>189</v>
      </c>
      <c r="CA52" s="127"/>
      <c r="CB52" s="127"/>
      <c r="CC52" s="127"/>
      <c r="CD52" s="151">
        <v>513.33000000000004</v>
      </c>
      <c r="CE52" s="127"/>
      <c r="CF52" s="151">
        <f t="shared" si="59"/>
        <v>513.33000000000004</v>
      </c>
      <c r="CG52" s="151">
        <v>1437.61</v>
      </c>
      <c r="CH52" s="151"/>
      <c r="CI52" s="151"/>
      <c r="CJ52" s="151"/>
      <c r="CK52" s="163">
        <v>45.13</v>
      </c>
      <c r="CL52" s="145">
        <f t="shared" si="60"/>
        <v>1905.81</v>
      </c>
      <c r="CM52" s="151"/>
      <c r="CN52" s="151">
        <v>58.91</v>
      </c>
      <c r="CO52" s="151">
        <v>0</v>
      </c>
      <c r="CP52" s="151"/>
      <c r="CQ52" s="151"/>
      <c r="CR52" s="151"/>
      <c r="CS52" s="104">
        <f t="shared" si="41"/>
        <v>0</v>
      </c>
      <c r="CT52" s="104"/>
      <c r="CU52" s="127"/>
      <c r="CV52" s="127">
        <v>0</v>
      </c>
      <c r="CW52" s="145">
        <f t="shared" si="61"/>
        <v>1846.8999999999999</v>
      </c>
      <c r="CX52" s="104">
        <f t="shared" si="62"/>
        <v>0</v>
      </c>
      <c r="CY52" s="145">
        <f t="shared" si="63"/>
        <v>1846.8999999999999</v>
      </c>
      <c r="CZ52" s="104">
        <f t="shared" si="64"/>
        <v>190.58100000000002</v>
      </c>
      <c r="DA52" s="104">
        <v>10.23</v>
      </c>
      <c r="DB52" s="145">
        <f t="shared" si="65"/>
        <v>2106.6210000000001</v>
      </c>
      <c r="DC52" s="241"/>
      <c r="DD52" s="241"/>
      <c r="DE52" s="241"/>
      <c r="DF52" s="107"/>
      <c r="DG52" s="107"/>
      <c r="DJ52" s="21"/>
      <c r="DK52" s="21"/>
      <c r="DL52" s="21"/>
      <c r="DM52" s="21"/>
      <c r="DN52" s="21"/>
      <c r="DO52" s="60">
        <f>+U52-'C&amp;A'!L53-SINDICATO!P53</f>
        <v>0</v>
      </c>
    </row>
    <row r="53" spans="1:124" hidden="1" x14ac:dyDescent="0.25">
      <c r="A53" s="20" t="s">
        <v>109</v>
      </c>
      <c r="B53" s="21" t="s">
        <v>110</v>
      </c>
      <c r="C53" s="22">
        <f t="shared" si="12"/>
        <v>513.33000000000004</v>
      </c>
      <c r="D53" s="22">
        <v>0</v>
      </c>
      <c r="E53" s="22">
        <f t="shared" si="13"/>
        <v>5086.41</v>
      </c>
      <c r="F53" s="22">
        <v>0</v>
      </c>
      <c r="G53" s="22">
        <f t="shared" si="14"/>
        <v>5599.74</v>
      </c>
      <c r="H53" s="22">
        <f t="shared" si="15"/>
        <v>0</v>
      </c>
      <c r="I53" s="22">
        <f t="shared" si="16"/>
        <v>0</v>
      </c>
      <c r="J53" s="22">
        <f t="shared" si="17"/>
        <v>0</v>
      </c>
      <c r="K53" s="22">
        <f t="shared" si="18"/>
        <v>0</v>
      </c>
      <c r="L53" s="22">
        <f t="shared" si="19"/>
        <v>45.13</v>
      </c>
      <c r="M53" s="22">
        <f t="shared" si="20"/>
        <v>0</v>
      </c>
      <c r="N53" s="22">
        <f t="shared" si="21"/>
        <v>0</v>
      </c>
      <c r="O53" s="22">
        <f t="shared" si="22"/>
        <v>555.46100000000001</v>
      </c>
      <c r="P53" s="22">
        <f t="shared" si="23"/>
        <v>0</v>
      </c>
      <c r="Q53" s="22">
        <v>0</v>
      </c>
      <c r="R53" s="22">
        <f t="shared" si="24"/>
        <v>0</v>
      </c>
      <c r="S53" s="22">
        <f t="shared" si="25"/>
        <v>0</v>
      </c>
      <c r="T53" s="22">
        <f t="shared" si="26"/>
        <v>600.59100000000001</v>
      </c>
      <c r="U53" s="22">
        <f t="shared" si="27"/>
        <v>4999.1489999999994</v>
      </c>
      <c r="V53" s="22">
        <f t="shared" si="28"/>
        <v>5554.61</v>
      </c>
      <c r="W53" s="22">
        <f t="shared" si="29"/>
        <v>0</v>
      </c>
      <c r="X53" s="22">
        <f>+'C&amp;A'!E54*0.02</f>
        <v>10.2256</v>
      </c>
      <c r="Y53" s="22">
        <f t="shared" si="30"/>
        <v>0</v>
      </c>
      <c r="Z53" s="22">
        <f t="shared" si="31"/>
        <v>5564.8355999999994</v>
      </c>
      <c r="AA53" s="22">
        <f t="shared" si="32"/>
        <v>890.37369599999988</v>
      </c>
      <c r="AB53" s="22">
        <f t="shared" si="33"/>
        <v>6455.2092959999991</v>
      </c>
      <c r="AC53" s="60">
        <f t="shared" si="52"/>
        <v>0</v>
      </c>
      <c r="AD53" s="62">
        <f>+U53-'C&amp;A'!L54-SINDICATO!P54</f>
        <v>0</v>
      </c>
      <c r="AE53" s="62">
        <f>+'C&amp;A'!L54+'C&amp;A'!J54+'C&amp;A'!H54+'C&amp;A'!G54+SINDICATO!E54-G53</f>
        <v>0</v>
      </c>
      <c r="AF53" s="62">
        <f t="shared" si="53"/>
        <v>0</v>
      </c>
      <c r="AG53" s="127" t="s">
        <v>377</v>
      </c>
      <c r="AH53" s="127" t="s">
        <v>751</v>
      </c>
      <c r="AI53" s="127" t="s">
        <v>32</v>
      </c>
      <c r="AJ53" s="127">
        <v>30</v>
      </c>
      <c r="AK53" s="127" t="s">
        <v>189</v>
      </c>
      <c r="AL53" s="127"/>
      <c r="AM53" s="127"/>
      <c r="AN53" s="127"/>
      <c r="AO53" s="151">
        <v>513.33000000000004</v>
      </c>
      <c r="AP53" s="162">
        <f t="shared" si="34"/>
        <v>0</v>
      </c>
      <c r="AQ53" s="151">
        <f t="shared" si="54"/>
        <v>513.33000000000004</v>
      </c>
      <c r="AR53" s="151">
        <f t="shared" si="36"/>
        <v>0</v>
      </c>
      <c r="AS53" s="151">
        <v>5086.41</v>
      </c>
      <c r="AT53" s="151"/>
      <c r="AU53" s="151"/>
      <c r="AV53" s="151"/>
      <c r="AW53" s="163">
        <v>45.13</v>
      </c>
      <c r="AX53" s="145">
        <f t="shared" si="55"/>
        <v>5554.61</v>
      </c>
      <c r="AY53" s="151"/>
      <c r="AZ53" s="151"/>
      <c r="BA53" s="151">
        <v>0</v>
      </c>
      <c r="BB53" s="151">
        <f t="shared" si="37"/>
        <v>0</v>
      </c>
      <c r="BC53" s="151">
        <f t="shared" si="38"/>
        <v>0</v>
      </c>
      <c r="BD53" s="151"/>
      <c r="BE53" s="104"/>
      <c r="BF53" s="104"/>
      <c r="BG53" s="127"/>
      <c r="BH53" s="127">
        <v>0</v>
      </c>
      <c r="BI53" s="145">
        <f t="shared" si="56"/>
        <v>5554.61</v>
      </c>
      <c r="BJ53" s="104">
        <f t="shared" si="39"/>
        <v>555.46100000000001</v>
      </c>
      <c r="BK53" s="145">
        <f t="shared" si="57"/>
        <v>4999.1489999999994</v>
      </c>
      <c r="BL53" s="104">
        <f t="shared" si="40"/>
        <v>0</v>
      </c>
      <c r="BM53" s="104">
        <v>10.23</v>
      </c>
      <c r="BN53" s="145">
        <f t="shared" si="58"/>
        <v>5564.8399999999992</v>
      </c>
      <c r="BO53" s="241"/>
      <c r="BP53" s="241"/>
      <c r="BQ53" s="241"/>
      <c r="BR53" s="107"/>
      <c r="BS53" s="107"/>
      <c r="BV53" s="127" t="s">
        <v>377</v>
      </c>
      <c r="BW53" s="127" t="s">
        <v>438</v>
      </c>
      <c r="BX53" s="127" t="s">
        <v>32</v>
      </c>
      <c r="BY53" s="127">
        <v>30</v>
      </c>
      <c r="BZ53" s="127" t="s">
        <v>189</v>
      </c>
      <c r="CA53" s="127"/>
      <c r="CB53" s="127"/>
      <c r="CC53" s="127"/>
      <c r="CD53" s="151">
        <v>513.33000000000004</v>
      </c>
      <c r="CE53" s="127"/>
      <c r="CF53" s="151">
        <f t="shared" si="59"/>
        <v>513.33000000000004</v>
      </c>
      <c r="CG53" s="151">
        <v>5086.41</v>
      </c>
      <c r="CH53" s="151"/>
      <c r="CI53" s="151"/>
      <c r="CJ53" s="151"/>
      <c r="CK53" s="163">
        <v>45.13</v>
      </c>
      <c r="CL53" s="145">
        <f t="shared" si="60"/>
        <v>5554.61</v>
      </c>
      <c r="CM53" s="151"/>
      <c r="CN53" s="151"/>
      <c r="CO53" s="151">
        <v>0</v>
      </c>
      <c r="CP53" s="151"/>
      <c r="CQ53" s="151"/>
      <c r="CR53" s="151"/>
      <c r="CS53" s="104">
        <f t="shared" si="41"/>
        <v>0</v>
      </c>
      <c r="CT53" s="104"/>
      <c r="CU53" s="127"/>
      <c r="CV53" s="127">
        <v>0</v>
      </c>
      <c r="CW53" s="145">
        <f t="shared" si="61"/>
        <v>5554.61</v>
      </c>
      <c r="CX53" s="104">
        <f t="shared" si="62"/>
        <v>555.46100000000001</v>
      </c>
      <c r="CY53" s="145">
        <f t="shared" si="63"/>
        <v>4999.1489999999994</v>
      </c>
      <c r="CZ53" s="104">
        <f t="shared" si="64"/>
        <v>0</v>
      </c>
      <c r="DA53" s="104">
        <v>10.23</v>
      </c>
      <c r="DB53" s="145">
        <f t="shared" si="65"/>
        <v>5564.8399999999992</v>
      </c>
      <c r="DC53" s="241"/>
      <c r="DD53" s="241"/>
      <c r="DE53" s="241"/>
      <c r="DF53" s="107"/>
      <c r="DG53" s="107"/>
      <c r="DJ53" s="21"/>
      <c r="DK53" s="21"/>
      <c r="DL53" s="21"/>
      <c r="DM53" s="21"/>
      <c r="DN53" s="21"/>
      <c r="DO53" s="60">
        <f>+U53-'C&amp;A'!L54-SINDICATO!P54</f>
        <v>0</v>
      </c>
    </row>
    <row r="54" spans="1:124" hidden="1" x14ac:dyDescent="0.25">
      <c r="A54" s="20" t="s">
        <v>196</v>
      </c>
      <c r="B54" s="21" t="s">
        <v>296</v>
      </c>
      <c r="C54" s="22">
        <f t="shared" si="12"/>
        <v>1166.6600000000001</v>
      </c>
      <c r="D54" s="22">
        <v>0</v>
      </c>
      <c r="E54" s="22">
        <f t="shared" si="13"/>
        <v>896.73</v>
      </c>
      <c r="F54" s="22">
        <v>0</v>
      </c>
      <c r="G54" s="22">
        <f t="shared" si="14"/>
        <v>2063.3900000000003</v>
      </c>
      <c r="H54" s="22">
        <f t="shared" si="15"/>
        <v>0</v>
      </c>
      <c r="I54" s="22">
        <f t="shared" si="16"/>
        <v>0</v>
      </c>
      <c r="J54" s="22">
        <f t="shared" si="17"/>
        <v>0</v>
      </c>
      <c r="K54" s="22">
        <f t="shared" si="18"/>
        <v>0</v>
      </c>
      <c r="L54" s="22">
        <f t="shared" si="19"/>
        <v>45.13</v>
      </c>
      <c r="M54" s="22">
        <f t="shared" si="20"/>
        <v>0</v>
      </c>
      <c r="N54" s="22">
        <f t="shared" si="21"/>
        <v>875.69</v>
      </c>
      <c r="O54" s="22">
        <f t="shared" si="22"/>
        <v>0</v>
      </c>
      <c r="P54" s="22">
        <f t="shared" si="23"/>
        <v>0</v>
      </c>
      <c r="Q54" s="22">
        <v>0</v>
      </c>
      <c r="R54" s="22">
        <f t="shared" si="24"/>
        <v>0</v>
      </c>
      <c r="S54" s="22">
        <f t="shared" si="25"/>
        <v>0</v>
      </c>
      <c r="T54" s="22">
        <f t="shared" si="26"/>
        <v>920.82</v>
      </c>
      <c r="U54" s="22">
        <f t="shared" si="27"/>
        <v>1142.5700000000002</v>
      </c>
      <c r="V54" s="22">
        <f t="shared" si="28"/>
        <v>2018.2600000000002</v>
      </c>
      <c r="W54" s="22">
        <f t="shared" si="29"/>
        <v>201.82600000000002</v>
      </c>
      <c r="X54" s="22">
        <f>+'C&amp;A'!E55*0.02</f>
        <v>10.2256</v>
      </c>
      <c r="Y54" s="22">
        <f t="shared" si="30"/>
        <v>0</v>
      </c>
      <c r="Z54" s="22">
        <f t="shared" si="31"/>
        <v>2230.3116000000005</v>
      </c>
      <c r="AA54" s="22">
        <f t="shared" si="32"/>
        <v>356.8498560000001</v>
      </c>
      <c r="AB54" s="22">
        <f t="shared" si="33"/>
        <v>2587.1614560000007</v>
      </c>
      <c r="AC54" s="60">
        <f t="shared" si="52"/>
        <v>0</v>
      </c>
      <c r="AD54" s="62">
        <f>+U54-'C&amp;A'!L55-SINDICATO!P55</f>
        <v>0</v>
      </c>
      <c r="AE54" s="62">
        <f>+'C&amp;A'!L55+'C&amp;A'!J55+'C&amp;A'!H55+'C&amp;A'!G55+SINDICATO!E55-G54</f>
        <v>0</v>
      </c>
      <c r="AF54" s="62">
        <f t="shared" si="53"/>
        <v>0</v>
      </c>
      <c r="AG54" s="127" t="s">
        <v>377</v>
      </c>
      <c r="AH54" s="127" t="s">
        <v>439</v>
      </c>
      <c r="AI54" s="127" t="s">
        <v>30</v>
      </c>
      <c r="AJ54" s="127" t="s">
        <v>196</v>
      </c>
      <c r="AK54" s="127" t="s">
        <v>189</v>
      </c>
      <c r="AL54" s="165">
        <v>42408</v>
      </c>
      <c r="AM54" s="127"/>
      <c r="AN54" s="127"/>
      <c r="AO54" s="151">
        <v>513.33000000000004</v>
      </c>
      <c r="AP54" s="162">
        <f t="shared" si="34"/>
        <v>653.33000000000004</v>
      </c>
      <c r="AQ54" s="151">
        <f t="shared" si="54"/>
        <v>1166.6600000000001</v>
      </c>
      <c r="AR54" s="151">
        <f t="shared" si="36"/>
        <v>0</v>
      </c>
      <c r="AS54" s="151">
        <v>896.73</v>
      </c>
      <c r="AT54" s="151"/>
      <c r="AU54" s="151"/>
      <c r="AV54" s="151"/>
      <c r="AW54" s="163">
        <v>45.13</v>
      </c>
      <c r="AX54" s="145">
        <f t="shared" si="55"/>
        <v>2018.2600000000002</v>
      </c>
      <c r="AY54" s="151"/>
      <c r="AZ54" s="151"/>
      <c r="BA54" s="151">
        <v>0</v>
      </c>
      <c r="BB54" s="151">
        <f t="shared" si="37"/>
        <v>0</v>
      </c>
      <c r="BC54" s="151">
        <f t="shared" si="38"/>
        <v>0</v>
      </c>
      <c r="BD54" s="151"/>
      <c r="BE54" s="104"/>
      <c r="BF54" s="104"/>
      <c r="BG54" s="271"/>
      <c r="BH54" s="271">
        <f>+CV54</f>
        <v>875.69</v>
      </c>
      <c r="BI54" s="145">
        <f t="shared" si="56"/>
        <v>1142.5700000000002</v>
      </c>
      <c r="BJ54" s="104">
        <f t="shared" si="39"/>
        <v>0</v>
      </c>
      <c r="BK54" s="145">
        <f t="shared" si="57"/>
        <v>1142.5700000000002</v>
      </c>
      <c r="BL54" s="104">
        <f t="shared" si="40"/>
        <v>201.82600000000002</v>
      </c>
      <c r="BM54" s="104">
        <v>10.23</v>
      </c>
      <c r="BN54" s="145">
        <f t="shared" si="58"/>
        <v>2230.3160000000003</v>
      </c>
      <c r="BO54" s="241"/>
      <c r="BP54" s="241"/>
      <c r="BQ54" s="248"/>
      <c r="BR54" s="107"/>
      <c r="BS54" s="107"/>
      <c r="BV54" s="127" t="s">
        <v>377</v>
      </c>
      <c r="BW54" s="127" t="s">
        <v>439</v>
      </c>
      <c r="BX54" s="127" t="s">
        <v>30</v>
      </c>
      <c r="BY54" s="127" t="s">
        <v>196</v>
      </c>
      <c r="BZ54" s="127" t="s">
        <v>189</v>
      </c>
      <c r="CA54" s="165">
        <v>42408</v>
      </c>
      <c r="CB54" s="127"/>
      <c r="CC54" s="127"/>
      <c r="CD54" s="151">
        <v>513.33000000000004</v>
      </c>
      <c r="CE54" s="127">
        <v>653.33000000000004</v>
      </c>
      <c r="CF54" s="151">
        <f t="shared" si="59"/>
        <v>1166.6600000000001</v>
      </c>
      <c r="CG54" s="151">
        <v>896.73</v>
      </c>
      <c r="CH54" s="151"/>
      <c r="CI54" s="151"/>
      <c r="CJ54" s="151"/>
      <c r="CK54" s="163">
        <v>45.13</v>
      </c>
      <c r="CL54" s="145">
        <f t="shared" si="60"/>
        <v>2018.2600000000002</v>
      </c>
      <c r="CM54" s="151"/>
      <c r="CN54" s="151"/>
      <c r="CO54" s="151">
        <v>0</v>
      </c>
      <c r="CP54" s="151"/>
      <c r="CQ54" s="151"/>
      <c r="CR54" s="151"/>
      <c r="CS54" s="104">
        <f t="shared" si="41"/>
        <v>0</v>
      </c>
      <c r="CT54" s="104"/>
      <c r="CU54" s="271"/>
      <c r="CV54" s="271">
        <v>875.69</v>
      </c>
      <c r="CW54" s="145">
        <f t="shared" si="61"/>
        <v>1142.5700000000002</v>
      </c>
      <c r="CX54" s="104">
        <f t="shared" si="62"/>
        <v>0</v>
      </c>
      <c r="CY54" s="145">
        <f t="shared" si="63"/>
        <v>1142.5700000000002</v>
      </c>
      <c r="CZ54" s="104">
        <f t="shared" si="64"/>
        <v>201.82600000000002</v>
      </c>
      <c r="DA54" s="104">
        <v>10.23</v>
      </c>
      <c r="DB54" s="145">
        <f t="shared" si="65"/>
        <v>2230.3160000000003</v>
      </c>
      <c r="DC54" s="241"/>
      <c r="DD54" s="241"/>
      <c r="DE54" s="248"/>
      <c r="DF54" s="107"/>
      <c r="DG54" s="107"/>
      <c r="DH54" s="107">
        <v>2967093632</v>
      </c>
      <c r="DJ54" s="21"/>
      <c r="DK54" s="21"/>
      <c r="DL54" s="21"/>
      <c r="DM54" s="21"/>
      <c r="DN54" s="21"/>
      <c r="DO54" s="60">
        <f>+U54-'C&amp;A'!L55-SINDICATO!P55</f>
        <v>0</v>
      </c>
    </row>
    <row r="55" spans="1:124" hidden="1" x14ac:dyDescent="0.25">
      <c r="A55" s="20" t="s">
        <v>111</v>
      </c>
      <c r="B55" s="21" t="s">
        <v>112</v>
      </c>
      <c r="C55" s="22">
        <f t="shared" si="12"/>
        <v>1166.6600000000001</v>
      </c>
      <c r="D55" s="22">
        <v>0</v>
      </c>
      <c r="E55" s="22">
        <f t="shared" si="13"/>
        <v>1667.49</v>
      </c>
      <c r="F55" s="22">
        <v>0</v>
      </c>
      <c r="G55" s="22">
        <f t="shared" si="14"/>
        <v>2834.15</v>
      </c>
      <c r="H55" s="22">
        <f t="shared" si="15"/>
        <v>0</v>
      </c>
      <c r="I55" s="22">
        <f t="shared" si="16"/>
        <v>0</v>
      </c>
      <c r="J55" s="22">
        <f t="shared" si="17"/>
        <v>0</v>
      </c>
      <c r="K55" s="22">
        <f t="shared" si="18"/>
        <v>0</v>
      </c>
      <c r="L55" s="22">
        <f t="shared" si="19"/>
        <v>45.13</v>
      </c>
      <c r="M55" s="22">
        <f t="shared" si="20"/>
        <v>0</v>
      </c>
      <c r="N55" s="22">
        <f t="shared" si="21"/>
        <v>0</v>
      </c>
      <c r="O55" s="22">
        <f t="shared" si="22"/>
        <v>0</v>
      </c>
      <c r="P55" s="22">
        <f t="shared" si="23"/>
        <v>0</v>
      </c>
      <c r="Q55" s="22">
        <v>0</v>
      </c>
      <c r="R55" s="22">
        <f t="shared" si="24"/>
        <v>532.30999999999995</v>
      </c>
      <c r="S55" s="22">
        <f t="shared" si="25"/>
        <v>0</v>
      </c>
      <c r="T55" s="22">
        <f t="shared" si="26"/>
        <v>577.43999999999994</v>
      </c>
      <c r="U55" s="22">
        <f t="shared" si="27"/>
        <v>2256.71</v>
      </c>
      <c r="V55" s="22">
        <f t="shared" si="28"/>
        <v>2789.02</v>
      </c>
      <c r="W55" s="22">
        <f t="shared" si="29"/>
        <v>278.90199999999999</v>
      </c>
      <c r="X55" s="22">
        <f>+'C&amp;A'!E56*0.02</f>
        <v>10.2256</v>
      </c>
      <c r="Y55" s="22">
        <f t="shared" si="30"/>
        <v>0</v>
      </c>
      <c r="Z55" s="22">
        <f t="shared" si="31"/>
        <v>3078.1476000000002</v>
      </c>
      <c r="AA55" s="22">
        <f t="shared" si="32"/>
        <v>492.50361600000002</v>
      </c>
      <c r="AB55" s="22">
        <f t="shared" si="33"/>
        <v>3570.6512160000002</v>
      </c>
      <c r="AC55" s="60">
        <f t="shared" si="52"/>
        <v>0</v>
      </c>
      <c r="AD55" s="62">
        <f>+U55-'C&amp;A'!L56-SINDICATO!P56</f>
        <v>0</v>
      </c>
      <c r="AE55" s="62">
        <f>+'C&amp;A'!L56+'C&amp;A'!J56+'C&amp;A'!H56+'C&amp;A'!G56+SINDICATO!E56-G55</f>
        <v>0</v>
      </c>
      <c r="AF55" s="62">
        <f t="shared" si="53"/>
        <v>0</v>
      </c>
      <c r="AG55" s="127" t="s">
        <v>389</v>
      </c>
      <c r="AH55" s="127" t="s">
        <v>440</v>
      </c>
      <c r="AI55" s="127" t="s">
        <v>391</v>
      </c>
      <c r="AJ55" s="127" t="s">
        <v>111</v>
      </c>
      <c r="AK55" s="127" t="s">
        <v>392</v>
      </c>
      <c r="AL55" s="165">
        <v>42352</v>
      </c>
      <c r="AM55" s="127"/>
      <c r="AN55" s="127"/>
      <c r="AO55" s="151">
        <v>513.33000000000004</v>
      </c>
      <c r="AP55" s="162">
        <f t="shared" si="34"/>
        <v>653.33000000000004</v>
      </c>
      <c r="AQ55" s="151">
        <f t="shared" si="54"/>
        <v>1166.6600000000001</v>
      </c>
      <c r="AR55" s="151">
        <f t="shared" si="36"/>
        <v>0</v>
      </c>
      <c r="AS55" s="151">
        <v>1667.49</v>
      </c>
      <c r="AT55" s="151"/>
      <c r="AU55" s="151"/>
      <c r="AV55" s="151"/>
      <c r="AW55" s="163">
        <v>45.13</v>
      </c>
      <c r="AX55" s="145">
        <f t="shared" si="55"/>
        <v>2789.02</v>
      </c>
      <c r="AY55" s="151"/>
      <c r="AZ55" s="151"/>
      <c r="BA55" s="151">
        <v>0</v>
      </c>
      <c r="BB55" s="151">
        <f t="shared" si="37"/>
        <v>0</v>
      </c>
      <c r="BC55" s="151">
        <f t="shared" si="38"/>
        <v>0</v>
      </c>
      <c r="BD55" s="151"/>
      <c r="BE55" s="104">
        <v>532.30999999999995</v>
      </c>
      <c r="BF55" s="104"/>
      <c r="BG55" s="127"/>
      <c r="BH55" s="127">
        <v>0</v>
      </c>
      <c r="BI55" s="145">
        <f t="shared" si="56"/>
        <v>2256.71</v>
      </c>
      <c r="BJ55" s="104">
        <f t="shared" si="39"/>
        <v>0</v>
      </c>
      <c r="BK55" s="145">
        <f t="shared" si="57"/>
        <v>2256.71</v>
      </c>
      <c r="BL55" s="104">
        <f t="shared" si="40"/>
        <v>278.90199999999999</v>
      </c>
      <c r="BM55" s="104">
        <v>10.23</v>
      </c>
      <c r="BN55" s="145">
        <f t="shared" si="58"/>
        <v>3078.152</v>
      </c>
      <c r="BO55" s="241"/>
      <c r="BP55" s="241"/>
      <c r="BQ55" s="241"/>
      <c r="BR55" s="107"/>
      <c r="BS55" s="107" t="s">
        <v>768</v>
      </c>
      <c r="BV55" s="127" t="s">
        <v>389</v>
      </c>
      <c r="BW55" s="127" t="s">
        <v>440</v>
      </c>
      <c r="BX55" s="127" t="s">
        <v>391</v>
      </c>
      <c r="BY55" s="127" t="s">
        <v>111</v>
      </c>
      <c r="BZ55" s="127" t="s">
        <v>392</v>
      </c>
      <c r="CA55" s="165">
        <v>42352</v>
      </c>
      <c r="CB55" s="127"/>
      <c r="CC55" s="127"/>
      <c r="CD55" s="151">
        <v>513.33000000000004</v>
      </c>
      <c r="CE55" s="127">
        <v>653.33000000000004</v>
      </c>
      <c r="CF55" s="151">
        <f t="shared" si="59"/>
        <v>1166.6600000000001</v>
      </c>
      <c r="CG55" s="151">
        <v>1667.49</v>
      </c>
      <c r="CH55" s="151"/>
      <c r="CI55" s="151"/>
      <c r="CJ55" s="151"/>
      <c r="CK55" s="163">
        <v>45.13</v>
      </c>
      <c r="CL55" s="145">
        <f t="shared" si="60"/>
        <v>2789.02</v>
      </c>
      <c r="CM55" s="151"/>
      <c r="CN55" s="151"/>
      <c r="CO55" s="151">
        <v>0</v>
      </c>
      <c r="CP55" s="151"/>
      <c r="CQ55" s="151"/>
      <c r="CR55" s="151"/>
      <c r="CS55" s="104">
        <f t="shared" si="41"/>
        <v>532.30999999999995</v>
      </c>
      <c r="CT55" s="104"/>
      <c r="CU55" s="127"/>
      <c r="CV55" s="127">
        <v>0</v>
      </c>
      <c r="CW55" s="145">
        <f t="shared" si="61"/>
        <v>2256.71</v>
      </c>
      <c r="CX55" s="104">
        <f t="shared" si="62"/>
        <v>0</v>
      </c>
      <c r="CY55" s="145">
        <f t="shared" si="63"/>
        <v>2256.71</v>
      </c>
      <c r="CZ55" s="104">
        <f t="shared" si="64"/>
        <v>278.90199999999999</v>
      </c>
      <c r="DA55" s="104">
        <v>10.23</v>
      </c>
      <c r="DB55" s="145">
        <f t="shared" si="65"/>
        <v>3078.152</v>
      </c>
      <c r="DC55" s="241"/>
      <c r="DD55" s="241"/>
      <c r="DE55" s="241"/>
      <c r="DF55" s="107"/>
      <c r="DG55" s="107"/>
      <c r="DJ55" s="21"/>
      <c r="DK55" s="21"/>
      <c r="DL55" s="21"/>
      <c r="DM55" s="21"/>
      <c r="DN55" s="21"/>
      <c r="DO55" s="60">
        <f>+U55-'C&amp;A'!L56-SINDICATO!P56</f>
        <v>0</v>
      </c>
    </row>
    <row r="56" spans="1:124" hidden="1" x14ac:dyDescent="0.25">
      <c r="A56" s="20"/>
      <c r="B56" s="21" t="s">
        <v>625</v>
      </c>
      <c r="C56" s="22">
        <f t="shared" si="12"/>
        <v>1166.6600000000001</v>
      </c>
      <c r="D56" s="22">
        <v>0</v>
      </c>
      <c r="E56" s="22">
        <f t="shared" si="13"/>
        <v>0</v>
      </c>
      <c r="F56" s="22">
        <v>0</v>
      </c>
      <c r="G56" s="22">
        <f t="shared" si="14"/>
        <v>1166.6600000000001</v>
      </c>
      <c r="H56" s="22">
        <f t="shared" si="15"/>
        <v>0</v>
      </c>
      <c r="I56" s="22">
        <f t="shared" si="16"/>
        <v>0</v>
      </c>
      <c r="J56" s="22">
        <f t="shared" si="17"/>
        <v>0</v>
      </c>
      <c r="K56" s="22">
        <f t="shared" si="18"/>
        <v>0</v>
      </c>
      <c r="L56" s="22">
        <f t="shared" si="19"/>
        <v>45.13</v>
      </c>
      <c r="M56" s="22">
        <f t="shared" si="20"/>
        <v>0</v>
      </c>
      <c r="N56" s="22">
        <f t="shared" si="21"/>
        <v>0</v>
      </c>
      <c r="O56" s="22">
        <f t="shared" si="22"/>
        <v>0</v>
      </c>
      <c r="P56" s="22">
        <f t="shared" si="23"/>
        <v>0</v>
      </c>
      <c r="Q56" s="22">
        <v>0</v>
      </c>
      <c r="R56" s="22">
        <f t="shared" si="24"/>
        <v>0</v>
      </c>
      <c r="S56" s="22">
        <f t="shared" si="25"/>
        <v>0</v>
      </c>
      <c r="T56" s="22">
        <f t="shared" si="26"/>
        <v>45.13</v>
      </c>
      <c r="U56" s="22">
        <f t="shared" si="27"/>
        <v>1121.53</v>
      </c>
      <c r="V56" s="22">
        <f t="shared" si="28"/>
        <v>1121.53</v>
      </c>
      <c r="W56" s="22">
        <f t="shared" si="29"/>
        <v>112.15300000000001</v>
      </c>
      <c r="X56" s="22">
        <f>+'C&amp;A'!E57*0.02</f>
        <v>8.5213999999999999</v>
      </c>
      <c r="Y56" s="22">
        <f t="shared" si="30"/>
        <v>0</v>
      </c>
      <c r="Z56" s="22">
        <f t="shared" si="31"/>
        <v>1242.2044000000001</v>
      </c>
      <c r="AA56" s="22">
        <f t="shared" si="32"/>
        <v>198.75270400000002</v>
      </c>
      <c r="AB56" s="22">
        <f t="shared" si="33"/>
        <v>1440.9571040000001</v>
      </c>
      <c r="AC56" s="60">
        <f t="shared" si="52"/>
        <v>0</v>
      </c>
      <c r="AD56" s="62">
        <f>+U56-'C&amp;A'!L57-SINDICATO!P57</f>
        <v>0</v>
      </c>
      <c r="AE56" s="62">
        <f>+'C&amp;A'!L57+'C&amp;A'!J57+'C&amp;A'!H57+'C&amp;A'!G57+SINDICATO!E57-G56</f>
        <v>0</v>
      </c>
      <c r="AF56" s="62">
        <f t="shared" si="53"/>
        <v>0</v>
      </c>
      <c r="AG56" s="127" t="s">
        <v>377</v>
      </c>
      <c r="AH56" s="127" t="s">
        <v>625</v>
      </c>
      <c r="AI56" s="127"/>
      <c r="AJ56" s="127"/>
      <c r="AK56" s="127" t="s">
        <v>189</v>
      </c>
      <c r="AL56" s="165">
        <v>42055</v>
      </c>
      <c r="AM56" s="127"/>
      <c r="AN56" s="127"/>
      <c r="AO56" s="151">
        <v>513.33000000000004</v>
      </c>
      <c r="AP56" s="162">
        <f t="shared" si="34"/>
        <v>653.33000000000004</v>
      </c>
      <c r="AQ56" s="151">
        <f t="shared" si="54"/>
        <v>1166.6600000000001</v>
      </c>
      <c r="AR56" s="151">
        <f t="shared" si="36"/>
        <v>0</v>
      </c>
      <c r="AS56" s="151"/>
      <c r="AT56" s="151"/>
      <c r="AU56" s="151"/>
      <c r="AV56" s="151"/>
      <c r="AW56" s="163">
        <v>45.13</v>
      </c>
      <c r="AX56" s="145">
        <f t="shared" si="55"/>
        <v>1121.53</v>
      </c>
      <c r="AY56" s="151"/>
      <c r="AZ56" s="151"/>
      <c r="BA56" s="151">
        <v>0</v>
      </c>
      <c r="BB56" s="151">
        <f t="shared" si="37"/>
        <v>0</v>
      </c>
      <c r="BC56" s="151">
        <f t="shared" si="38"/>
        <v>0</v>
      </c>
      <c r="BD56" s="151"/>
      <c r="BE56" s="104"/>
      <c r="BF56" s="104"/>
      <c r="BG56" s="127"/>
      <c r="BH56" s="127">
        <v>0</v>
      </c>
      <c r="BI56" s="145">
        <f t="shared" si="56"/>
        <v>1121.53</v>
      </c>
      <c r="BJ56" s="104">
        <f t="shared" si="39"/>
        <v>0</v>
      </c>
      <c r="BK56" s="145">
        <f t="shared" si="57"/>
        <v>1121.53</v>
      </c>
      <c r="BL56" s="104">
        <f t="shared" si="40"/>
        <v>112.15300000000001</v>
      </c>
      <c r="BM56" s="104">
        <v>10.23</v>
      </c>
      <c r="BN56" s="145">
        <f t="shared" si="58"/>
        <v>1243.913</v>
      </c>
      <c r="BO56" s="241"/>
      <c r="BP56" s="241"/>
      <c r="BQ56" s="241"/>
      <c r="BR56" s="107">
        <v>1905307865</v>
      </c>
      <c r="BS56" s="88"/>
      <c r="BV56" s="127" t="s">
        <v>377</v>
      </c>
      <c r="BW56" s="127" t="s">
        <v>625</v>
      </c>
      <c r="BX56" s="127"/>
      <c r="BY56" s="127"/>
      <c r="BZ56" s="127" t="s">
        <v>189</v>
      </c>
      <c r="CA56" s="165">
        <v>42055</v>
      </c>
      <c r="CB56" s="127"/>
      <c r="CC56" s="127"/>
      <c r="CD56" s="151">
        <v>513.33000000000004</v>
      </c>
      <c r="CE56" s="127">
        <v>653.33000000000004</v>
      </c>
      <c r="CF56" s="151">
        <f t="shared" si="59"/>
        <v>1166.6600000000001</v>
      </c>
      <c r="CG56" s="151"/>
      <c r="CH56" s="151"/>
      <c r="CI56" s="151"/>
      <c r="CJ56" s="151"/>
      <c r="CK56" s="163">
        <v>45.13</v>
      </c>
      <c r="CL56" s="145">
        <f t="shared" si="60"/>
        <v>1121.53</v>
      </c>
      <c r="CM56" s="151"/>
      <c r="CN56" s="151"/>
      <c r="CO56" s="151">
        <v>0</v>
      </c>
      <c r="CP56" s="151"/>
      <c r="CQ56" s="151"/>
      <c r="CR56" s="151"/>
      <c r="CS56" s="104">
        <f t="shared" si="41"/>
        <v>0</v>
      </c>
      <c r="CT56" s="104"/>
      <c r="CU56" s="127"/>
      <c r="CV56" s="127">
        <v>0</v>
      </c>
      <c r="CW56" s="145">
        <f t="shared" si="61"/>
        <v>1121.53</v>
      </c>
      <c r="CX56" s="104">
        <f t="shared" si="62"/>
        <v>0</v>
      </c>
      <c r="CY56" s="145">
        <f t="shared" si="63"/>
        <v>1121.53</v>
      </c>
      <c r="CZ56" s="104">
        <f t="shared" si="64"/>
        <v>112.15300000000001</v>
      </c>
      <c r="DA56" s="104">
        <v>10.23</v>
      </c>
      <c r="DB56" s="145">
        <f t="shared" si="65"/>
        <v>1243.913</v>
      </c>
      <c r="DC56" s="241"/>
      <c r="DD56" s="241"/>
      <c r="DE56" s="241"/>
      <c r="DF56" s="107">
        <v>1905307865</v>
      </c>
      <c r="DG56" s="88"/>
      <c r="DJ56" s="21"/>
      <c r="DK56" s="21"/>
      <c r="DL56" s="21"/>
      <c r="DM56" s="21"/>
      <c r="DN56" s="21"/>
      <c r="DO56" s="60">
        <f>+U56-'C&amp;A'!L57-SINDICATO!P57</f>
        <v>0</v>
      </c>
    </row>
    <row r="57" spans="1:124" hidden="1" x14ac:dyDescent="0.25">
      <c r="A57" s="20"/>
      <c r="B57" s="21" t="s">
        <v>721</v>
      </c>
      <c r="C57" s="22">
        <f t="shared" si="12"/>
        <v>173.76</v>
      </c>
      <c r="D57" s="22">
        <v>93.75</v>
      </c>
      <c r="E57" s="22">
        <f t="shared" si="13"/>
        <v>0</v>
      </c>
      <c r="F57" s="22">
        <v>0</v>
      </c>
      <c r="G57" s="22">
        <f t="shared" si="14"/>
        <v>267.51</v>
      </c>
      <c r="H57" s="22">
        <f t="shared" si="15"/>
        <v>0</v>
      </c>
      <c r="I57" s="22">
        <f t="shared" si="16"/>
        <v>0</v>
      </c>
      <c r="J57" s="22">
        <f t="shared" si="17"/>
        <v>0</v>
      </c>
      <c r="K57" s="22">
        <f t="shared" si="18"/>
        <v>0</v>
      </c>
      <c r="L57" s="22">
        <f t="shared" si="19"/>
        <v>45.13</v>
      </c>
      <c r="M57" s="22">
        <f t="shared" si="20"/>
        <v>0</v>
      </c>
      <c r="N57" s="22">
        <f t="shared" si="21"/>
        <v>0</v>
      </c>
      <c r="O57" s="22">
        <f t="shared" si="22"/>
        <v>0</v>
      </c>
      <c r="P57" s="22">
        <f t="shared" si="23"/>
        <v>0</v>
      </c>
      <c r="Q57" s="22">
        <v>0</v>
      </c>
      <c r="R57" s="22">
        <f t="shared" si="24"/>
        <v>0</v>
      </c>
      <c r="S57" s="22">
        <f t="shared" si="25"/>
        <v>0</v>
      </c>
      <c r="T57" s="22">
        <f t="shared" si="26"/>
        <v>45.13</v>
      </c>
      <c r="U57" s="22">
        <f t="shared" si="27"/>
        <v>222.38</v>
      </c>
      <c r="V57" s="22">
        <f t="shared" si="28"/>
        <v>222.38</v>
      </c>
      <c r="W57" s="22">
        <f t="shared" si="29"/>
        <v>12.863</v>
      </c>
      <c r="X57" s="22">
        <f>+'C&amp;A'!E58*0.02</f>
        <v>3.4085333333333336</v>
      </c>
      <c r="Y57" s="22">
        <f t="shared" si="30"/>
        <v>0</v>
      </c>
      <c r="Z57" s="22">
        <f t="shared" si="31"/>
        <v>238.65153333333333</v>
      </c>
      <c r="AA57" s="22">
        <f t="shared" si="32"/>
        <v>38.184245333333337</v>
      </c>
      <c r="AB57" s="22">
        <f t="shared" si="33"/>
        <v>276.83577866666667</v>
      </c>
      <c r="AC57" s="60">
        <f t="shared" si="52"/>
        <v>93.75</v>
      </c>
      <c r="AD57" s="62">
        <f>+U57-'C&amp;A'!L58-SINDICATO!P58</f>
        <v>0</v>
      </c>
      <c r="AE57" s="62">
        <f>+'C&amp;A'!L58+'C&amp;A'!J58+'C&amp;A'!H58+'C&amp;A'!G58+SINDICATO!E58-G57</f>
        <v>0</v>
      </c>
      <c r="AF57" s="62">
        <f t="shared" si="53"/>
        <v>0</v>
      </c>
      <c r="AG57" s="127" t="s">
        <v>375</v>
      </c>
      <c r="AH57" s="127" t="s">
        <v>721</v>
      </c>
      <c r="AI57" s="127"/>
      <c r="AJ57" s="273"/>
      <c r="AK57" s="127" t="s">
        <v>722</v>
      </c>
      <c r="AL57" s="127"/>
      <c r="AM57" s="127"/>
      <c r="AN57" s="151" t="s">
        <v>626</v>
      </c>
      <c r="AO57" s="151">
        <f>608.16/7*2</f>
        <v>173.76</v>
      </c>
      <c r="AP57" s="162">
        <f t="shared" si="34"/>
        <v>0</v>
      </c>
      <c r="AQ57" s="151">
        <f t="shared" si="54"/>
        <v>173.76</v>
      </c>
      <c r="AR57" s="151">
        <f t="shared" si="36"/>
        <v>0</v>
      </c>
      <c r="AS57" s="151">
        <v>0</v>
      </c>
      <c r="AT57" s="151"/>
      <c r="AU57" s="151"/>
      <c r="AV57" s="151"/>
      <c r="AW57" s="163">
        <v>45.13</v>
      </c>
      <c r="AX57" s="145">
        <f t="shared" si="55"/>
        <v>128.63</v>
      </c>
      <c r="AY57" s="151"/>
      <c r="AZ57" s="151"/>
      <c r="BA57" s="151"/>
      <c r="BB57" s="151">
        <f t="shared" si="37"/>
        <v>0</v>
      </c>
      <c r="BC57" s="151">
        <f t="shared" si="38"/>
        <v>0</v>
      </c>
      <c r="BD57" s="151"/>
      <c r="BE57" s="104"/>
      <c r="BF57" s="104"/>
      <c r="BG57" s="127"/>
      <c r="BH57" s="127">
        <v>0</v>
      </c>
      <c r="BI57" s="145">
        <f t="shared" si="56"/>
        <v>128.63</v>
      </c>
      <c r="BJ57" s="104">
        <f t="shared" si="39"/>
        <v>0</v>
      </c>
      <c r="BK57" s="145">
        <f t="shared" si="57"/>
        <v>128.63</v>
      </c>
      <c r="BL57" s="104">
        <f t="shared" si="40"/>
        <v>12.863</v>
      </c>
      <c r="BM57" s="104">
        <v>10.23</v>
      </c>
      <c r="BN57" s="145">
        <f t="shared" si="58"/>
        <v>151.72299999999998</v>
      </c>
      <c r="BO57" s="241"/>
      <c r="BP57" s="241"/>
      <c r="BQ57" s="241"/>
      <c r="BR57" s="107"/>
      <c r="BS57" s="107"/>
      <c r="BV57" s="127" t="s">
        <v>375</v>
      </c>
      <c r="BW57" s="127" t="s">
        <v>721</v>
      </c>
      <c r="BX57" s="127"/>
      <c r="BY57" s="273"/>
      <c r="BZ57" s="127" t="s">
        <v>722</v>
      </c>
      <c r="CA57" s="127"/>
      <c r="CB57" s="127"/>
      <c r="CC57" s="127"/>
      <c r="CD57" s="151">
        <f>608.16/7*2</f>
        <v>173.76</v>
      </c>
      <c r="CE57" s="127"/>
      <c r="CF57" s="151">
        <f t="shared" si="59"/>
        <v>173.76</v>
      </c>
      <c r="CG57" s="151" t="s">
        <v>626</v>
      </c>
      <c r="CH57" s="151"/>
      <c r="CI57" s="151"/>
      <c r="CJ57" s="151"/>
      <c r="CK57" s="163">
        <v>45.13</v>
      </c>
      <c r="CL57" s="145">
        <f t="shared" si="60"/>
        <v>128.63</v>
      </c>
      <c r="CM57" s="151"/>
      <c r="CN57" s="151"/>
      <c r="CO57" s="151"/>
      <c r="CP57" s="151"/>
      <c r="CQ57" s="151"/>
      <c r="CR57" s="151"/>
      <c r="CS57" s="104">
        <f t="shared" si="41"/>
        <v>0</v>
      </c>
      <c r="CT57" s="104"/>
      <c r="CU57" s="127"/>
      <c r="CV57" s="127">
        <v>0</v>
      </c>
      <c r="CW57" s="145">
        <f t="shared" si="61"/>
        <v>128.63</v>
      </c>
      <c r="CX57" s="104">
        <f t="shared" si="62"/>
        <v>0</v>
      </c>
      <c r="CY57" s="145">
        <f t="shared" si="63"/>
        <v>128.63</v>
      </c>
      <c r="CZ57" s="104">
        <f t="shared" si="64"/>
        <v>12.863</v>
      </c>
      <c r="DA57" s="104">
        <v>10.23</v>
      </c>
      <c r="DB57" s="145">
        <f t="shared" si="65"/>
        <v>151.72299999999998</v>
      </c>
      <c r="DC57" s="241"/>
      <c r="DD57" s="241"/>
      <c r="DE57" s="241"/>
      <c r="DF57" s="107"/>
      <c r="DG57" s="107"/>
      <c r="DJ57" s="21"/>
      <c r="DK57" s="21"/>
      <c r="DL57" s="21"/>
      <c r="DM57" s="21"/>
      <c r="DN57" s="21"/>
      <c r="DO57" s="60">
        <f>+U57-'C&amp;A'!L58-SINDICATO!P58</f>
        <v>0</v>
      </c>
    </row>
    <row r="58" spans="1:124" hidden="1" x14ac:dyDescent="0.25">
      <c r="A58" s="20"/>
      <c r="B58" s="21" t="s">
        <v>725</v>
      </c>
      <c r="C58" s="22">
        <f t="shared" si="12"/>
        <v>1250</v>
      </c>
      <c r="D58" s="22">
        <v>0</v>
      </c>
      <c r="E58" s="22">
        <f t="shared" si="13"/>
        <v>1000</v>
      </c>
      <c r="F58" s="22">
        <v>0</v>
      </c>
      <c r="G58" s="22">
        <f t="shared" si="14"/>
        <v>2250</v>
      </c>
      <c r="H58" s="22">
        <f t="shared" si="15"/>
        <v>0</v>
      </c>
      <c r="I58" s="22">
        <f t="shared" si="16"/>
        <v>0</v>
      </c>
      <c r="J58" s="22">
        <f t="shared" si="17"/>
        <v>0</v>
      </c>
      <c r="K58" s="22">
        <f t="shared" si="18"/>
        <v>0</v>
      </c>
      <c r="L58" s="22">
        <f t="shared" si="19"/>
        <v>45.13</v>
      </c>
      <c r="M58" s="22">
        <f t="shared" si="20"/>
        <v>0</v>
      </c>
      <c r="N58" s="22">
        <f t="shared" si="21"/>
        <v>0</v>
      </c>
      <c r="O58" s="22">
        <f t="shared" si="22"/>
        <v>0</v>
      </c>
      <c r="P58" s="22">
        <f t="shared" si="23"/>
        <v>0</v>
      </c>
      <c r="Q58" s="22">
        <v>0</v>
      </c>
      <c r="R58" s="22">
        <f t="shared" si="24"/>
        <v>0</v>
      </c>
      <c r="S58" s="22">
        <f t="shared" si="25"/>
        <v>0</v>
      </c>
      <c r="T58" s="22">
        <f t="shared" si="26"/>
        <v>45.13</v>
      </c>
      <c r="U58" s="22">
        <f t="shared" si="27"/>
        <v>2204.87</v>
      </c>
      <c r="V58" s="22">
        <f t="shared" si="28"/>
        <v>2204.87</v>
      </c>
      <c r="W58" s="22">
        <f t="shared" si="29"/>
        <v>220.48699999999999</v>
      </c>
      <c r="X58" s="22">
        <f>+'C&amp;A'!E59*0.02</f>
        <v>10.2256</v>
      </c>
      <c r="Y58" s="22">
        <f t="shared" si="30"/>
        <v>0</v>
      </c>
      <c r="Z58" s="22">
        <f t="shared" si="31"/>
        <v>2435.5826000000002</v>
      </c>
      <c r="AA58" s="22">
        <f t="shared" si="32"/>
        <v>389.69321600000006</v>
      </c>
      <c r="AB58" s="22">
        <f t="shared" si="33"/>
        <v>2825.2758160000003</v>
      </c>
      <c r="AC58" s="60">
        <f t="shared" si="52"/>
        <v>0</v>
      </c>
      <c r="AD58" s="62">
        <f>+U58-'C&amp;A'!L59-SINDICATO!P59</f>
        <v>0</v>
      </c>
      <c r="AE58" s="62">
        <f>+'C&amp;A'!L59+'C&amp;A'!J59+'C&amp;A'!H59+'C&amp;A'!G59+SINDICATO!E59-G58</f>
        <v>0</v>
      </c>
      <c r="AF58" s="62">
        <f t="shared" si="53"/>
        <v>0</v>
      </c>
      <c r="AG58" s="274" t="s">
        <v>377</v>
      </c>
      <c r="AH58" s="274" t="s">
        <v>725</v>
      </c>
      <c r="AI58" s="127" t="s">
        <v>391</v>
      </c>
      <c r="AJ58" s="274" t="s">
        <v>726</v>
      </c>
      <c r="AK58" s="127" t="s">
        <v>727</v>
      </c>
      <c r="AL58" s="127"/>
      <c r="AM58" s="127"/>
      <c r="AN58" s="127"/>
      <c r="AO58" s="151">
        <v>1250</v>
      </c>
      <c r="AP58" s="162">
        <f t="shared" si="34"/>
        <v>0</v>
      </c>
      <c r="AQ58" s="151">
        <f t="shared" si="54"/>
        <v>1250</v>
      </c>
      <c r="AR58" s="151">
        <f t="shared" si="36"/>
        <v>0</v>
      </c>
      <c r="AS58" s="151">
        <v>1000</v>
      </c>
      <c r="AT58" s="151"/>
      <c r="AU58" s="151"/>
      <c r="AV58" s="151"/>
      <c r="AW58" s="163">
        <v>45.13</v>
      </c>
      <c r="AX58" s="145">
        <f t="shared" si="55"/>
        <v>2204.87</v>
      </c>
      <c r="AY58" s="151"/>
      <c r="AZ58" s="151"/>
      <c r="BA58" s="151"/>
      <c r="BB58" s="151">
        <f t="shared" si="37"/>
        <v>0</v>
      </c>
      <c r="BC58" s="151">
        <f t="shared" si="38"/>
        <v>0</v>
      </c>
      <c r="BD58" s="151"/>
      <c r="BE58" s="104"/>
      <c r="BF58" s="104"/>
      <c r="BG58" s="127"/>
      <c r="BH58" s="127">
        <v>0</v>
      </c>
      <c r="BI58" s="145">
        <f t="shared" si="56"/>
        <v>2204.87</v>
      </c>
      <c r="BJ58" s="104">
        <f t="shared" si="39"/>
        <v>0</v>
      </c>
      <c r="BK58" s="145">
        <f t="shared" si="57"/>
        <v>2204.87</v>
      </c>
      <c r="BL58" s="104">
        <f t="shared" si="40"/>
        <v>220.48699999999999</v>
      </c>
      <c r="BM58" s="104">
        <v>10.23</v>
      </c>
      <c r="BN58" s="145">
        <f t="shared" si="58"/>
        <v>2435.587</v>
      </c>
      <c r="BO58" s="241"/>
      <c r="BP58" s="241"/>
      <c r="BQ58" s="241"/>
      <c r="BR58" s="107"/>
      <c r="BS58" s="107" t="s">
        <v>728</v>
      </c>
      <c r="BV58" s="274" t="s">
        <v>377</v>
      </c>
      <c r="BW58" s="274" t="s">
        <v>725</v>
      </c>
      <c r="BX58" s="127" t="s">
        <v>391</v>
      </c>
      <c r="BY58" s="274" t="s">
        <v>726</v>
      </c>
      <c r="BZ58" s="127" t="s">
        <v>727</v>
      </c>
      <c r="CA58" s="127"/>
      <c r="CB58" s="127"/>
      <c r="CC58" s="127"/>
      <c r="CD58" s="151">
        <v>1250</v>
      </c>
      <c r="CE58" s="127"/>
      <c r="CF58" s="151">
        <f t="shared" si="59"/>
        <v>1250</v>
      </c>
      <c r="CG58" s="151">
        <v>1000</v>
      </c>
      <c r="CH58" s="151"/>
      <c r="CI58" s="151"/>
      <c r="CJ58" s="151"/>
      <c r="CK58" s="163">
        <v>45.13</v>
      </c>
      <c r="CL58" s="145">
        <f t="shared" si="60"/>
        <v>2204.87</v>
      </c>
      <c r="CM58" s="151"/>
      <c r="CN58" s="151"/>
      <c r="CO58" s="151"/>
      <c r="CP58" s="151"/>
      <c r="CQ58" s="151"/>
      <c r="CR58" s="151"/>
      <c r="CS58" s="104">
        <f t="shared" si="41"/>
        <v>0</v>
      </c>
      <c r="CT58" s="104"/>
      <c r="CU58" s="127"/>
      <c r="CV58" s="127">
        <v>0</v>
      </c>
      <c r="CW58" s="145">
        <f t="shared" si="61"/>
        <v>2204.87</v>
      </c>
      <c r="CX58" s="104">
        <f t="shared" si="62"/>
        <v>0</v>
      </c>
      <c r="CY58" s="145">
        <f t="shared" si="63"/>
        <v>2204.87</v>
      </c>
      <c r="CZ58" s="104">
        <f t="shared" si="64"/>
        <v>220.48699999999999</v>
      </c>
      <c r="DA58" s="104">
        <v>10.23</v>
      </c>
      <c r="DB58" s="145">
        <f t="shared" si="65"/>
        <v>2435.587</v>
      </c>
      <c r="DC58" s="241"/>
      <c r="DD58" s="241"/>
      <c r="DE58" s="241"/>
      <c r="DF58" s="107"/>
      <c r="DG58" s="107" t="s">
        <v>728</v>
      </c>
      <c r="DJ58" s="21"/>
      <c r="DK58" s="21"/>
      <c r="DL58" s="21"/>
      <c r="DM58" s="21"/>
      <c r="DN58" s="21"/>
      <c r="DO58" s="60">
        <f>+U58-'C&amp;A'!L59-SINDICATO!P59</f>
        <v>0</v>
      </c>
    </row>
    <row r="59" spans="1:124" s="23" customFormat="1" hidden="1" x14ac:dyDescent="0.25">
      <c r="A59" s="20" t="s">
        <v>113</v>
      </c>
      <c r="B59" s="21" t="s">
        <v>114</v>
      </c>
      <c r="C59" s="22">
        <f t="shared" si="12"/>
        <v>513.33000000000004</v>
      </c>
      <c r="D59" s="22">
        <v>0</v>
      </c>
      <c r="E59" s="22">
        <f t="shared" si="13"/>
        <v>7636.06</v>
      </c>
      <c r="F59" s="22">
        <v>0</v>
      </c>
      <c r="G59" s="22">
        <f t="shared" si="14"/>
        <v>8149.39</v>
      </c>
      <c r="H59" s="22">
        <f t="shared" si="15"/>
        <v>0</v>
      </c>
      <c r="I59" s="22">
        <f t="shared" si="16"/>
        <v>0</v>
      </c>
      <c r="J59" s="22">
        <f t="shared" si="17"/>
        <v>0</v>
      </c>
      <c r="K59" s="22">
        <f t="shared" si="18"/>
        <v>0</v>
      </c>
      <c r="L59" s="22">
        <f t="shared" si="19"/>
        <v>45.13</v>
      </c>
      <c r="M59" s="22">
        <f t="shared" si="20"/>
        <v>0</v>
      </c>
      <c r="N59" s="22">
        <f t="shared" si="21"/>
        <v>86.56</v>
      </c>
      <c r="O59" s="22">
        <f t="shared" si="22"/>
        <v>810.42600000000004</v>
      </c>
      <c r="P59" s="22">
        <f t="shared" si="23"/>
        <v>0</v>
      </c>
      <c r="Q59" s="22">
        <v>0</v>
      </c>
      <c r="R59" s="22">
        <f t="shared" si="24"/>
        <v>460.45</v>
      </c>
      <c r="S59" s="22">
        <f t="shared" si="25"/>
        <v>0</v>
      </c>
      <c r="T59" s="22">
        <f t="shared" si="26"/>
        <v>1402.566</v>
      </c>
      <c r="U59" s="22">
        <f t="shared" si="27"/>
        <v>6746.8240000000005</v>
      </c>
      <c r="V59" s="22">
        <f t="shared" si="28"/>
        <v>8104.26</v>
      </c>
      <c r="W59" s="22">
        <f t="shared" si="29"/>
        <v>0</v>
      </c>
      <c r="X59" s="22">
        <f>+'C&amp;A'!E60*0.02</f>
        <v>10.2256</v>
      </c>
      <c r="Y59" s="22">
        <f t="shared" si="30"/>
        <v>0</v>
      </c>
      <c r="Z59" s="22">
        <f t="shared" si="31"/>
        <v>8114.4856</v>
      </c>
      <c r="AA59" s="22">
        <f t="shared" si="32"/>
        <v>1298.3176960000001</v>
      </c>
      <c r="AB59" s="22">
        <f t="shared" si="33"/>
        <v>9412.803296</v>
      </c>
      <c r="AC59" s="60">
        <f t="shared" si="52"/>
        <v>0</v>
      </c>
      <c r="AD59" s="62">
        <f>+U59-'C&amp;A'!L60-SINDICATO!P60</f>
        <v>0</v>
      </c>
      <c r="AE59" s="62">
        <f>+'C&amp;A'!L60+'C&amp;A'!J60+'C&amp;A'!H60+'C&amp;A'!G60+SINDICATO!E60-G59</f>
        <v>0</v>
      </c>
      <c r="AF59" s="62">
        <f t="shared" si="53"/>
        <v>0</v>
      </c>
      <c r="AG59" s="127" t="s">
        <v>377</v>
      </c>
      <c r="AH59" s="127" t="s">
        <v>627</v>
      </c>
      <c r="AI59" s="127" t="s">
        <v>32</v>
      </c>
      <c r="AJ59" s="127" t="s">
        <v>113</v>
      </c>
      <c r="AK59" s="127" t="s">
        <v>189</v>
      </c>
      <c r="AL59" s="127"/>
      <c r="AM59" s="127"/>
      <c r="AN59" s="127"/>
      <c r="AO59" s="151">
        <v>513.33000000000004</v>
      </c>
      <c r="AP59" s="162">
        <f t="shared" si="34"/>
        <v>0</v>
      </c>
      <c r="AQ59" s="151">
        <f t="shared" si="54"/>
        <v>513.33000000000004</v>
      </c>
      <c r="AR59" s="151">
        <f t="shared" si="36"/>
        <v>0</v>
      </c>
      <c r="AS59" s="151">
        <v>7636.06</v>
      </c>
      <c r="AT59" s="151"/>
      <c r="AU59" s="151"/>
      <c r="AV59" s="151"/>
      <c r="AW59" s="163">
        <v>45.13</v>
      </c>
      <c r="AX59" s="145">
        <f t="shared" si="55"/>
        <v>8104.26</v>
      </c>
      <c r="AY59" s="151"/>
      <c r="AZ59" s="151"/>
      <c r="BA59" s="151">
        <v>0</v>
      </c>
      <c r="BB59" s="151">
        <f t="shared" si="37"/>
        <v>0</v>
      </c>
      <c r="BC59" s="151">
        <f t="shared" si="38"/>
        <v>0</v>
      </c>
      <c r="BD59" s="151"/>
      <c r="BE59" s="104">
        <v>460.45</v>
      </c>
      <c r="BF59" s="104"/>
      <c r="BG59" s="127"/>
      <c r="BH59" s="127">
        <v>86.56</v>
      </c>
      <c r="BI59" s="145">
        <f t="shared" si="56"/>
        <v>7557.25</v>
      </c>
      <c r="BJ59" s="104">
        <f t="shared" si="39"/>
        <v>810.42600000000004</v>
      </c>
      <c r="BK59" s="145">
        <f t="shared" si="57"/>
        <v>6746.8239999999996</v>
      </c>
      <c r="BL59" s="104">
        <f t="shared" si="40"/>
        <v>0</v>
      </c>
      <c r="BM59" s="104">
        <v>10.23</v>
      </c>
      <c r="BN59" s="145">
        <f t="shared" si="58"/>
        <v>8114.49</v>
      </c>
      <c r="BO59" s="241"/>
      <c r="BP59" s="241"/>
      <c r="BQ59" s="241"/>
      <c r="BR59" s="107"/>
      <c r="BS59" s="107" t="s">
        <v>767</v>
      </c>
      <c r="BT59" s="107"/>
      <c r="BU59" s="107"/>
      <c r="BV59" s="127" t="s">
        <v>377</v>
      </c>
      <c r="BW59" s="127" t="s">
        <v>627</v>
      </c>
      <c r="BX59" s="127" t="s">
        <v>32</v>
      </c>
      <c r="BY59" s="127" t="s">
        <v>113</v>
      </c>
      <c r="BZ59" s="127" t="s">
        <v>189</v>
      </c>
      <c r="CA59" s="127"/>
      <c r="CB59" s="127"/>
      <c r="CC59" s="127"/>
      <c r="CD59" s="151">
        <v>513.33000000000004</v>
      </c>
      <c r="CE59" s="127"/>
      <c r="CF59" s="151">
        <f t="shared" si="59"/>
        <v>513.33000000000004</v>
      </c>
      <c r="CG59" s="151">
        <v>7636.06</v>
      </c>
      <c r="CH59" s="151"/>
      <c r="CI59" s="151"/>
      <c r="CJ59" s="151"/>
      <c r="CK59" s="163">
        <v>45.13</v>
      </c>
      <c r="CL59" s="145">
        <f t="shared" si="60"/>
        <v>8104.26</v>
      </c>
      <c r="CM59" s="151"/>
      <c r="CN59" s="151"/>
      <c r="CO59" s="151">
        <v>0</v>
      </c>
      <c r="CP59" s="151"/>
      <c r="CQ59" s="151"/>
      <c r="CR59" s="151"/>
      <c r="CS59" s="104">
        <f t="shared" si="41"/>
        <v>460.45</v>
      </c>
      <c r="CT59" s="104"/>
      <c r="CU59" s="127"/>
      <c r="CV59" s="127">
        <v>86.56</v>
      </c>
      <c r="CW59" s="145">
        <f t="shared" si="61"/>
        <v>7557.25</v>
      </c>
      <c r="CX59" s="104">
        <f t="shared" si="62"/>
        <v>810.42600000000004</v>
      </c>
      <c r="CY59" s="145">
        <f t="shared" si="63"/>
        <v>6746.8239999999996</v>
      </c>
      <c r="CZ59" s="104">
        <f t="shared" si="64"/>
        <v>0</v>
      </c>
      <c r="DA59" s="104">
        <v>10.23</v>
      </c>
      <c r="DB59" s="145">
        <f t="shared" si="65"/>
        <v>8114.49</v>
      </c>
      <c r="DC59" s="241"/>
      <c r="DD59" s="241"/>
      <c r="DE59" s="241"/>
      <c r="DF59" s="107"/>
      <c r="DG59" s="107"/>
      <c r="DH59" s="107"/>
      <c r="DI59" s="107"/>
      <c r="DJ59" s="21"/>
      <c r="DK59" s="21"/>
      <c r="DL59" s="21"/>
      <c r="DM59" s="21"/>
      <c r="DN59" s="21"/>
      <c r="DO59" s="60">
        <f>+U59-'C&amp;A'!L60-SINDICATO!P60</f>
        <v>0</v>
      </c>
      <c r="DP59" s="21"/>
      <c r="DQ59" s="21"/>
      <c r="DR59" s="21"/>
      <c r="DS59" s="21"/>
      <c r="DT59" s="21"/>
    </row>
    <row r="60" spans="1:124" s="24" customFormat="1" hidden="1" x14ac:dyDescent="0.25">
      <c r="A60" s="20" t="s">
        <v>115</v>
      </c>
      <c r="B60" s="21" t="s">
        <v>116</v>
      </c>
      <c r="C60" s="22">
        <f t="shared" si="12"/>
        <v>1100</v>
      </c>
      <c r="D60" s="22">
        <v>0</v>
      </c>
      <c r="E60" s="22">
        <f t="shared" si="13"/>
        <v>378</v>
      </c>
      <c r="F60" s="22">
        <v>0</v>
      </c>
      <c r="G60" s="22">
        <f t="shared" si="14"/>
        <v>1478</v>
      </c>
      <c r="H60" s="22">
        <f t="shared" si="15"/>
        <v>14.3287</v>
      </c>
      <c r="I60" s="22">
        <f t="shared" si="16"/>
        <v>70.210629999999995</v>
      </c>
      <c r="J60" s="22">
        <f t="shared" si="17"/>
        <v>0</v>
      </c>
      <c r="K60" s="22">
        <f t="shared" si="18"/>
        <v>0</v>
      </c>
      <c r="L60" s="22">
        <f t="shared" si="19"/>
        <v>45.13</v>
      </c>
      <c r="M60" s="22">
        <f t="shared" si="20"/>
        <v>0</v>
      </c>
      <c r="N60" s="22">
        <f t="shared" si="21"/>
        <v>0</v>
      </c>
      <c r="O60" s="22">
        <f t="shared" si="22"/>
        <v>0</v>
      </c>
      <c r="P60" s="22">
        <f t="shared" si="23"/>
        <v>0</v>
      </c>
      <c r="Q60" s="22">
        <v>0</v>
      </c>
      <c r="R60" s="22">
        <f t="shared" si="24"/>
        <v>0</v>
      </c>
      <c r="S60" s="22">
        <f t="shared" si="25"/>
        <v>0</v>
      </c>
      <c r="T60" s="22">
        <f t="shared" si="26"/>
        <v>129.66933</v>
      </c>
      <c r="U60" s="22">
        <f t="shared" si="27"/>
        <v>1348.3306700000001</v>
      </c>
      <c r="V60" s="22">
        <f t="shared" si="28"/>
        <v>1432.87</v>
      </c>
      <c r="W60" s="22">
        <f t="shared" si="29"/>
        <v>143.28700000000001</v>
      </c>
      <c r="X60" s="22">
        <f>+'C&amp;A'!E61*0.02</f>
        <v>10.2256</v>
      </c>
      <c r="Y60" s="22">
        <f t="shared" si="30"/>
        <v>70.210629999999995</v>
      </c>
      <c r="Z60" s="22">
        <f t="shared" si="31"/>
        <v>1656.5932299999999</v>
      </c>
      <c r="AA60" s="22">
        <f t="shared" si="32"/>
        <v>265.0549168</v>
      </c>
      <c r="AB60" s="22">
        <f t="shared" si="33"/>
        <v>1921.6481467999999</v>
      </c>
      <c r="AC60" s="60">
        <f t="shared" si="52"/>
        <v>0</v>
      </c>
      <c r="AD60" s="62">
        <f>+U60-'C&amp;A'!L61-SINDICATO!P61</f>
        <v>0</v>
      </c>
      <c r="AE60" s="62">
        <f>+'C&amp;A'!L61+'C&amp;A'!J61+'C&amp;A'!H61+'C&amp;A'!G61+SINDICATO!E61-G60</f>
        <v>0</v>
      </c>
      <c r="AF60" s="62">
        <f t="shared" si="53"/>
        <v>0</v>
      </c>
      <c r="AG60" s="127" t="s">
        <v>381</v>
      </c>
      <c r="AH60" s="127" t="s">
        <v>442</v>
      </c>
      <c r="AI60" s="127"/>
      <c r="AJ60" s="127" t="s">
        <v>115</v>
      </c>
      <c r="AK60" s="127" t="s">
        <v>443</v>
      </c>
      <c r="AL60" s="127"/>
      <c r="AM60" s="127"/>
      <c r="AN60" s="127"/>
      <c r="AO60" s="151">
        <v>1100</v>
      </c>
      <c r="AP60" s="162">
        <f t="shared" si="34"/>
        <v>0</v>
      </c>
      <c r="AQ60" s="151">
        <f t="shared" si="54"/>
        <v>1100</v>
      </c>
      <c r="AR60" s="151">
        <f t="shared" si="36"/>
        <v>0</v>
      </c>
      <c r="AS60" s="151">
        <v>378</v>
      </c>
      <c r="AT60" s="151"/>
      <c r="AU60" s="151"/>
      <c r="AV60" s="151"/>
      <c r="AW60" s="163">
        <v>45.13</v>
      </c>
      <c r="AX60" s="145">
        <f t="shared" si="55"/>
        <v>1432.87</v>
      </c>
      <c r="AY60" s="151"/>
      <c r="AZ60" s="151"/>
      <c r="BA60" s="151">
        <f>+AX60*1%</f>
        <v>14.3287</v>
      </c>
      <c r="BB60" s="151">
        <f t="shared" si="37"/>
        <v>70.210629999999995</v>
      </c>
      <c r="BC60" s="151">
        <f t="shared" si="38"/>
        <v>0</v>
      </c>
      <c r="BD60" s="151"/>
      <c r="BE60" s="104"/>
      <c r="BF60" s="104"/>
      <c r="BG60" s="127"/>
      <c r="BH60" s="127">
        <v>0</v>
      </c>
      <c r="BI60" s="145">
        <f t="shared" si="56"/>
        <v>1348.3306699999998</v>
      </c>
      <c r="BJ60" s="104">
        <f t="shared" si="39"/>
        <v>0</v>
      </c>
      <c r="BK60" s="145">
        <f t="shared" si="57"/>
        <v>1348.3306699999998</v>
      </c>
      <c r="BL60" s="104">
        <f t="shared" si="40"/>
        <v>143.28700000000001</v>
      </c>
      <c r="BM60" s="104">
        <v>10.23</v>
      </c>
      <c r="BN60" s="145">
        <f t="shared" si="58"/>
        <v>1586.3869999999999</v>
      </c>
      <c r="BO60" s="241"/>
      <c r="BP60" s="241"/>
      <c r="BQ60" s="241"/>
      <c r="BR60" s="107"/>
      <c r="BS60" s="107"/>
      <c r="BT60" s="107"/>
      <c r="BU60" s="107"/>
      <c r="BV60" s="127" t="s">
        <v>381</v>
      </c>
      <c r="BW60" s="127" t="s">
        <v>442</v>
      </c>
      <c r="BX60" s="127"/>
      <c r="BY60" s="127" t="s">
        <v>115</v>
      </c>
      <c r="BZ60" s="127" t="s">
        <v>443</v>
      </c>
      <c r="CA60" s="127"/>
      <c r="CB60" s="127"/>
      <c r="CC60" s="127"/>
      <c r="CD60" s="151">
        <v>1100</v>
      </c>
      <c r="CE60" s="127"/>
      <c r="CF60" s="151">
        <f t="shared" si="59"/>
        <v>1100</v>
      </c>
      <c r="CG60" s="151">
        <v>378</v>
      </c>
      <c r="CH60" s="151"/>
      <c r="CI60" s="151"/>
      <c r="CJ60" s="151"/>
      <c r="CK60" s="163">
        <v>45.13</v>
      </c>
      <c r="CL60" s="145">
        <f t="shared" si="60"/>
        <v>1432.87</v>
      </c>
      <c r="CM60" s="151"/>
      <c r="CN60" s="151"/>
      <c r="CO60" s="151">
        <f>+CL60*1%</f>
        <v>14.3287</v>
      </c>
      <c r="CP60" s="151">
        <f>+CL60*4.9%</f>
        <v>70.210629999999995</v>
      </c>
      <c r="CQ60" s="151"/>
      <c r="CR60" s="151"/>
      <c r="CS60" s="104">
        <f t="shared" si="41"/>
        <v>0</v>
      </c>
      <c r="CT60" s="104"/>
      <c r="CU60" s="127"/>
      <c r="CV60" s="127">
        <v>0</v>
      </c>
      <c r="CW60" s="145">
        <f t="shared" si="61"/>
        <v>1348.3306699999998</v>
      </c>
      <c r="CX60" s="104">
        <f t="shared" si="62"/>
        <v>0</v>
      </c>
      <c r="CY60" s="145">
        <f t="shared" si="63"/>
        <v>1348.3306699999998</v>
      </c>
      <c r="CZ60" s="104">
        <f t="shared" si="64"/>
        <v>143.28700000000001</v>
      </c>
      <c r="DA60" s="104">
        <v>10.23</v>
      </c>
      <c r="DB60" s="145">
        <f t="shared" si="65"/>
        <v>1586.3869999999999</v>
      </c>
      <c r="DC60" s="241"/>
      <c r="DD60" s="241"/>
      <c r="DE60" s="241"/>
      <c r="DF60" s="107"/>
      <c r="DG60" s="107"/>
      <c r="DH60" s="107"/>
      <c r="DI60" s="107"/>
      <c r="DJ60" s="21"/>
      <c r="DK60" s="23"/>
      <c r="DL60" s="23"/>
      <c r="DM60" s="23"/>
      <c r="DN60" s="23"/>
      <c r="DO60" s="60">
        <f>+U60-'C&amp;A'!L61-SINDICATO!P61</f>
        <v>0</v>
      </c>
      <c r="DP60" s="23"/>
      <c r="DQ60" s="21"/>
      <c r="DR60" s="21"/>
      <c r="DS60" s="21"/>
      <c r="DT60" s="21"/>
    </row>
    <row r="61" spans="1:124" hidden="1" x14ac:dyDescent="0.25">
      <c r="A61" s="20" t="s">
        <v>121</v>
      </c>
      <c r="B61" s="21" t="s">
        <v>122</v>
      </c>
      <c r="C61" s="22">
        <f t="shared" si="12"/>
        <v>511.28</v>
      </c>
      <c r="D61" s="22">
        <v>0</v>
      </c>
      <c r="E61" s="22">
        <f t="shared" si="13"/>
        <v>961.2</v>
      </c>
      <c r="F61" s="22">
        <v>0</v>
      </c>
      <c r="G61" s="22">
        <f t="shared" si="14"/>
        <v>1472.48</v>
      </c>
      <c r="H61" s="22">
        <f t="shared" si="15"/>
        <v>100</v>
      </c>
      <c r="I61" s="22">
        <f t="shared" si="16"/>
        <v>69.940150000000003</v>
      </c>
      <c r="J61" s="22">
        <f t="shared" si="17"/>
        <v>14.273499999999999</v>
      </c>
      <c r="K61" s="22">
        <f t="shared" si="18"/>
        <v>0</v>
      </c>
      <c r="L61" s="22">
        <f t="shared" si="19"/>
        <v>45.13</v>
      </c>
      <c r="M61" s="22">
        <f t="shared" si="20"/>
        <v>0</v>
      </c>
      <c r="N61" s="22">
        <f t="shared" si="21"/>
        <v>0</v>
      </c>
      <c r="O61" s="22">
        <f t="shared" si="22"/>
        <v>0</v>
      </c>
      <c r="P61" s="22">
        <f t="shared" si="23"/>
        <v>0</v>
      </c>
      <c r="Q61" s="22">
        <v>0</v>
      </c>
      <c r="R61" s="22">
        <f t="shared" si="24"/>
        <v>0</v>
      </c>
      <c r="S61" s="22">
        <f t="shared" si="25"/>
        <v>0</v>
      </c>
      <c r="T61" s="22">
        <f t="shared" si="26"/>
        <v>229.34365000000003</v>
      </c>
      <c r="U61" s="22">
        <f t="shared" si="27"/>
        <v>1243.13635</v>
      </c>
      <c r="V61" s="22">
        <f t="shared" si="28"/>
        <v>1427.35</v>
      </c>
      <c r="W61" s="22">
        <f t="shared" si="29"/>
        <v>142.73499999999999</v>
      </c>
      <c r="X61" s="22">
        <f>+'C&amp;A'!E62*0.02</f>
        <v>10.2256</v>
      </c>
      <c r="Y61" s="22">
        <f t="shared" si="30"/>
        <v>69.940150000000003</v>
      </c>
      <c r="Z61" s="22">
        <f t="shared" si="31"/>
        <v>1650.2507499999997</v>
      </c>
      <c r="AA61" s="22">
        <f t="shared" si="32"/>
        <v>264.04011999999994</v>
      </c>
      <c r="AB61" s="22">
        <f t="shared" si="33"/>
        <v>1914.2908699999996</v>
      </c>
      <c r="AC61" s="60">
        <f t="shared" si="52"/>
        <v>0</v>
      </c>
      <c r="AD61" s="62">
        <f>+U61-'C&amp;A'!L62-SINDICATO!P62</f>
        <v>0</v>
      </c>
      <c r="AE61" s="62">
        <f>+'C&amp;A'!L62+'C&amp;A'!J62+'C&amp;A'!H62+'C&amp;A'!G62+SINDICATO!E62-G61</f>
        <v>0</v>
      </c>
      <c r="AF61" s="62">
        <f t="shared" si="53"/>
        <v>0</v>
      </c>
      <c r="AG61" s="127" t="s">
        <v>381</v>
      </c>
      <c r="AH61" s="127" t="s">
        <v>752</v>
      </c>
      <c r="AI61" s="127"/>
      <c r="AJ61" s="127" t="s">
        <v>121</v>
      </c>
      <c r="AK61" s="127" t="s">
        <v>610</v>
      </c>
      <c r="AL61" s="127"/>
      <c r="AM61" s="127"/>
      <c r="AN61" s="127"/>
      <c r="AO61" s="151">
        <v>511.28</v>
      </c>
      <c r="AP61" s="162">
        <f t="shared" si="34"/>
        <v>0</v>
      </c>
      <c r="AQ61" s="151">
        <f t="shared" si="54"/>
        <v>511.28</v>
      </c>
      <c r="AR61" s="151">
        <f t="shared" si="36"/>
        <v>0</v>
      </c>
      <c r="AS61" s="151">
        <v>961.2</v>
      </c>
      <c r="AT61" s="151"/>
      <c r="AU61" s="151"/>
      <c r="AV61" s="151"/>
      <c r="AW61" s="163">
        <v>45.13</v>
      </c>
      <c r="AX61" s="145">
        <f t="shared" si="55"/>
        <v>1427.35</v>
      </c>
      <c r="AY61" s="151"/>
      <c r="AZ61" s="151"/>
      <c r="BA61" s="151">
        <v>100</v>
      </c>
      <c r="BB61" s="151">
        <f t="shared" si="37"/>
        <v>69.940150000000003</v>
      </c>
      <c r="BC61" s="151">
        <f t="shared" si="38"/>
        <v>14.273499999999999</v>
      </c>
      <c r="BD61" s="151"/>
      <c r="BE61" s="104"/>
      <c r="BF61" s="104"/>
      <c r="BG61" s="127"/>
      <c r="BH61" s="127">
        <v>0</v>
      </c>
      <c r="BI61" s="145">
        <f t="shared" si="56"/>
        <v>1243.1363499999998</v>
      </c>
      <c r="BJ61" s="104">
        <f t="shared" si="39"/>
        <v>0</v>
      </c>
      <c r="BK61" s="145">
        <f t="shared" si="57"/>
        <v>1243.1363499999998</v>
      </c>
      <c r="BL61" s="104">
        <f t="shared" si="40"/>
        <v>142.73499999999999</v>
      </c>
      <c r="BM61" s="104">
        <v>10.23</v>
      </c>
      <c r="BN61" s="145">
        <f t="shared" si="58"/>
        <v>1580.3149999999998</v>
      </c>
      <c r="BO61" s="241"/>
      <c r="BP61" s="241"/>
      <c r="BQ61" s="241"/>
      <c r="BR61" s="107"/>
      <c r="BS61" s="107"/>
      <c r="BV61" s="127" t="s">
        <v>381</v>
      </c>
      <c r="BW61" s="127" t="s">
        <v>446</v>
      </c>
      <c r="BX61" s="127"/>
      <c r="BY61" s="127" t="s">
        <v>121</v>
      </c>
      <c r="BZ61" s="127" t="s">
        <v>610</v>
      </c>
      <c r="CA61" s="127"/>
      <c r="CB61" s="127"/>
      <c r="CC61" s="127"/>
      <c r="CD61" s="151">
        <v>511.28</v>
      </c>
      <c r="CE61" s="127"/>
      <c r="CF61" s="151">
        <f t="shared" si="59"/>
        <v>511.28</v>
      </c>
      <c r="CG61" s="151">
        <v>961.2</v>
      </c>
      <c r="CH61" s="151"/>
      <c r="CI61" s="151"/>
      <c r="CJ61" s="151"/>
      <c r="CK61" s="163">
        <v>45.13</v>
      </c>
      <c r="CL61" s="145">
        <f t="shared" si="60"/>
        <v>1427.35</v>
      </c>
      <c r="CM61" s="151"/>
      <c r="CN61" s="151"/>
      <c r="CO61" s="151">
        <v>100</v>
      </c>
      <c r="CP61" s="151">
        <f>CL61*4.9%</f>
        <v>69.940150000000003</v>
      </c>
      <c r="CQ61" s="151">
        <f>CL61*1%</f>
        <v>14.273499999999999</v>
      </c>
      <c r="CR61" s="151"/>
      <c r="CS61" s="104">
        <f t="shared" si="41"/>
        <v>0</v>
      </c>
      <c r="CT61" s="104"/>
      <c r="CU61" s="127"/>
      <c r="CV61" s="127">
        <v>0</v>
      </c>
      <c r="CW61" s="145">
        <f t="shared" si="61"/>
        <v>1243.1363499999998</v>
      </c>
      <c r="CX61" s="104">
        <f t="shared" si="62"/>
        <v>0</v>
      </c>
      <c r="CY61" s="145">
        <f t="shared" si="63"/>
        <v>1243.1363499999998</v>
      </c>
      <c r="CZ61" s="104">
        <f t="shared" si="64"/>
        <v>142.73499999999999</v>
      </c>
      <c r="DA61" s="104">
        <v>10.23</v>
      </c>
      <c r="DB61" s="145">
        <f t="shared" si="65"/>
        <v>1580.3149999999998</v>
      </c>
      <c r="DC61" s="241"/>
      <c r="DD61" s="241"/>
      <c r="DE61" s="241"/>
      <c r="DF61" s="107"/>
      <c r="DG61" s="107"/>
      <c r="DJ61" s="21"/>
      <c r="DK61" s="21"/>
      <c r="DL61" s="21"/>
      <c r="DM61" s="21"/>
      <c r="DN61" s="21"/>
      <c r="DO61" s="60">
        <f>+U61-'C&amp;A'!L62-SINDICATO!P62</f>
        <v>0</v>
      </c>
      <c r="DQ61" s="24"/>
      <c r="DR61" s="24"/>
    </row>
    <row r="62" spans="1:124" hidden="1" x14ac:dyDescent="0.25">
      <c r="A62" s="20" t="s">
        <v>117</v>
      </c>
      <c r="B62" s="21" t="s">
        <v>118</v>
      </c>
      <c r="C62" s="22">
        <f t="shared" si="12"/>
        <v>739.23</v>
      </c>
      <c r="D62" s="22">
        <v>0</v>
      </c>
      <c r="E62" s="22">
        <f t="shared" si="13"/>
        <v>2684.68</v>
      </c>
      <c r="F62" s="22">
        <v>0</v>
      </c>
      <c r="G62" s="22">
        <f t="shared" si="14"/>
        <v>3423.91</v>
      </c>
      <c r="H62" s="22">
        <f t="shared" si="15"/>
        <v>0</v>
      </c>
      <c r="I62" s="22">
        <f t="shared" si="16"/>
        <v>0</v>
      </c>
      <c r="J62" s="22">
        <f t="shared" si="17"/>
        <v>0</v>
      </c>
      <c r="K62" s="22">
        <f t="shared" si="18"/>
        <v>0</v>
      </c>
      <c r="L62" s="22">
        <f t="shared" si="19"/>
        <v>45.13</v>
      </c>
      <c r="M62" s="22">
        <f t="shared" si="20"/>
        <v>0</v>
      </c>
      <c r="N62" s="22">
        <f t="shared" si="21"/>
        <v>0</v>
      </c>
      <c r="O62" s="22">
        <f t="shared" si="22"/>
        <v>0</v>
      </c>
      <c r="P62" s="22">
        <f t="shared" si="23"/>
        <v>0</v>
      </c>
      <c r="Q62" s="22">
        <v>0</v>
      </c>
      <c r="R62" s="22">
        <f t="shared" si="24"/>
        <v>0</v>
      </c>
      <c r="S62" s="22">
        <f t="shared" si="25"/>
        <v>0</v>
      </c>
      <c r="T62" s="22">
        <f t="shared" si="26"/>
        <v>45.13</v>
      </c>
      <c r="U62" s="22">
        <f t="shared" si="27"/>
        <v>3378.7799999999997</v>
      </c>
      <c r="V62" s="22">
        <f t="shared" si="28"/>
        <v>3378.7799999999997</v>
      </c>
      <c r="W62" s="22">
        <f t="shared" si="29"/>
        <v>337.87799999999999</v>
      </c>
      <c r="X62" s="22">
        <f>+'C&amp;A'!E63*0.02</f>
        <v>10.2256</v>
      </c>
      <c r="Y62" s="22">
        <f t="shared" si="30"/>
        <v>0</v>
      </c>
      <c r="Z62" s="22">
        <f t="shared" si="31"/>
        <v>3726.8836000000001</v>
      </c>
      <c r="AA62" s="22">
        <f t="shared" si="32"/>
        <v>596.301376</v>
      </c>
      <c r="AB62" s="22">
        <f t="shared" si="33"/>
        <v>4323.1849760000005</v>
      </c>
      <c r="AC62" s="60">
        <f t="shared" si="52"/>
        <v>0</v>
      </c>
      <c r="AD62" s="62">
        <f>+U62-'C&amp;A'!L63-SINDICATO!P63</f>
        <v>0</v>
      </c>
      <c r="AE62" s="62">
        <f>+'C&amp;A'!L63+'C&amp;A'!J63+'C&amp;A'!H63+'C&amp;A'!G63+SINDICATO!E63-G62</f>
        <v>0</v>
      </c>
      <c r="AF62" s="62">
        <f t="shared" si="53"/>
        <v>0</v>
      </c>
      <c r="AG62" s="127" t="s">
        <v>383</v>
      </c>
      <c r="AH62" s="127" t="s">
        <v>753</v>
      </c>
      <c r="AI62" s="127"/>
      <c r="AJ62" s="127" t="s">
        <v>117</v>
      </c>
      <c r="AK62" s="127" t="s">
        <v>177</v>
      </c>
      <c r="AL62" s="127"/>
      <c r="AM62" s="127"/>
      <c r="AN62" s="127"/>
      <c r="AO62" s="151">
        <v>739.23</v>
      </c>
      <c r="AP62" s="162">
        <f t="shared" si="34"/>
        <v>0</v>
      </c>
      <c r="AQ62" s="151">
        <f t="shared" si="54"/>
        <v>739.23</v>
      </c>
      <c r="AR62" s="151">
        <f t="shared" si="36"/>
        <v>0</v>
      </c>
      <c r="AS62" s="151">
        <v>2684.68</v>
      </c>
      <c r="AT62" s="151"/>
      <c r="AU62" s="151"/>
      <c r="AV62" s="151"/>
      <c r="AW62" s="163">
        <v>45.13</v>
      </c>
      <c r="AX62" s="145">
        <f t="shared" si="55"/>
        <v>3378.7799999999997</v>
      </c>
      <c r="AY62" s="151"/>
      <c r="AZ62" s="151"/>
      <c r="BA62" s="151">
        <v>0</v>
      </c>
      <c r="BB62" s="151">
        <f t="shared" si="37"/>
        <v>0</v>
      </c>
      <c r="BC62" s="151">
        <f t="shared" si="38"/>
        <v>0</v>
      </c>
      <c r="BD62" s="151"/>
      <c r="BE62" s="104"/>
      <c r="BF62" s="104"/>
      <c r="BG62" s="127"/>
      <c r="BH62" s="127">
        <v>0</v>
      </c>
      <c r="BI62" s="145">
        <f t="shared" si="56"/>
        <v>3378.7799999999997</v>
      </c>
      <c r="BJ62" s="104">
        <f t="shared" si="39"/>
        <v>0</v>
      </c>
      <c r="BK62" s="145">
        <f t="shared" si="57"/>
        <v>3378.7799999999997</v>
      </c>
      <c r="BL62" s="104">
        <f t="shared" si="40"/>
        <v>337.87799999999999</v>
      </c>
      <c r="BM62" s="104">
        <v>10.23</v>
      </c>
      <c r="BN62" s="145">
        <f t="shared" si="58"/>
        <v>3726.8879999999999</v>
      </c>
      <c r="BO62" s="241"/>
      <c r="BP62" s="241"/>
      <c r="BQ62" s="241"/>
      <c r="BR62" s="107"/>
      <c r="BS62" s="107"/>
      <c r="BV62" s="127" t="s">
        <v>383</v>
      </c>
      <c r="BW62" s="127" t="s">
        <v>444</v>
      </c>
      <c r="BX62" s="127"/>
      <c r="BY62" s="127" t="s">
        <v>117</v>
      </c>
      <c r="BZ62" s="127" t="s">
        <v>177</v>
      </c>
      <c r="CA62" s="127"/>
      <c r="CB62" s="127"/>
      <c r="CC62" s="127"/>
      <c r="CD62" s="151">
        <v>739.23</v>
      </c>
      <c r="CE62" s="127"/>
      <c r="CF62" s="151">
        <f t="shared" si="59"/>
        <v>739.23</v>
      </c>
      <c r="CG62" s="151">
        <v>2684.68</v>
      </c>
      <c r="CH62" s="151"/>
      <c r="CI62" s="151"/>
      <c r="CJ62" s="151"/>
      <c r="CK62" s="163">
        <v>45.13</v>
      </c>
      <c r="CL62" s="145">
        <f t="shared" si="60"/>
        <v>3378.7799999999997</v>
      </c>
      <c r="CM62" s="151"/>
      <c r="CN62" s="151"/>
      <c r="CO62" s="151">
        <v>0</v>
      </c>
      <c r="CP62" s="151"/>
      <c r="CQ62" s="151"/>
      <c r="CR62" s="151"/>
      <c r="CS62" s="104">
        <f t="shared" si="41"/>
        <v>0</v>
      </c>
      <c r="CT62" s="104"/>
      <c r="CU62" s="127"/>
      <c r="CV62" s="127">
        <v>0</v>
      </c>
      <c r="CW62" s="145">
        <f t="shared" si="61"/>
        <v>3378.7799999999997</v>
      </c>
      <c r="CX62" s="104">
        <f t="shared" si="62"/>
        <v>0</v>
      </c>
      <c r="CY62" s="145">
        <f t="shared" si="63"/>
        <v>3378.7799999999997</v>
      </c>
      <c r="CZ62" s="104">
        <f t="shared" si="64"/>
        <v>337.87799999999999</v>
      </c>
      <c r="DA62" s="104">
        <v>10.23</v>
      </c>
      <c r="DB62" s="145">
        <f t="shared" si="65"/>
        <v>3726.8879999999999</v>
      </c>
      <c r="DC62" s="241"/>
      <c r="DD62" s="241"/>
      <c r="DE62" s="241"/>
      <c r="DF62" s="107"/>
      <c r="DG62" s="107"/>
      <c r="DJ62" s="21"/>
      <c r="DK62" s="24"/>
      <c r="DL62" s="24"/>
      <c r="DM62" s="24"/>
      <c r="DN62" s="24"/>
      <c r="DO62" s="60">
        <f>+U62-'C&amp;A'!L63-SINDICATO!P63</f>
        <v>0</v>
      </c>
      <c r="DP62" s="24"/>
      <c r="DT62" s="23"/>
    </row>
    <row r="63" spans="1:124" hidden="1" x14ac:dyDescent="0.25">
      <c r="A63" s="20" t="s">
        <v>119</v>
      </c>
      <c r="B63" s="21" t="s">
        <v>120</v>
      </c>
      <c r="C63" s="22">
        <f t="shared" si="12"/>
        <v>608.16</v>
      </c>
      <c r="D63" s="22">
        <v>0</v>
      </c>
      <c r="E63" s="22">
        <f t="shared" si="13"/>
        <v>2116.3139999999999</v>
      </c>
      <c r="F63" s="22">
        <v>0</v>
      </c>
      <c r="G63" s="22">
        <f t="shared" si="14"/>
        <v>2724.4739999999997</v>
      </c>
      <c r="H63" s="22">
        <f t="shared" si="15"/>
        <v>0</v>
      </c>
      <c r="I63" s="22">
        <f t="shared" si="16"/>
        <v>131.28785599999998</v>
      </c>
      <c r="J63" s="22">
        <f t="shared" si="17"/>
        <v>26.793439999999997</v>
      </c>
      <c r="K63" s="22">
        <f t="shared" si="18"/>
        <v>0</v>
      </c>
      <c r="L63" s="22">
        <f t="shared" si="19"/>
        <v>45.13</v>
      </c>
      <c r="M63" s="22">
        <f t="shared" si="20"/>
        <v>0</v>
      </c>
      <c r="N63" s="22">
        <f t="shared" si="21"/>
        <v>0</v>
      </c>
      <c r="O63" s="22">
        <f t="shared" si="22"/>
        <v>0</v>
      </c>
      <c r="P63" s="22">
        <f t="shared" si="23"/>
        <v>0</v>
      </c>
      <c r="Q63" s="22">
        <v>0</v>
      </c>
      <c r="R63" s="22">
        <f t="shared" si="24"/>
        <v>0</v>
      </c>
      <c r="S63" s="22">
        <f t="shared" si="25"/>
        <v>0</v>
      </c>
      <c r="T63" s="22">
        <f t="shared" si="26"/>
        <v>203.21129599999998</v>
      </c>
      <c r="U63" s="22">
        <f t="shared" si="27"/>
        <v>2521.2627039999998</v>
      </c>
      <c r="V63" s="22">
        <f t="shared" si="28"/>
        <v>2679.3439999999996</v>
      </c>
      <c r="W63" s="22">
        <f t="shared" si="29"/>
        <v>267.93439999999998</v>
      </c>
      <c r="X63" s="22">
        <f>+'C&amp;A'!E64*0.02</f>
        <v>10.2256</v>
      </c>
      <c r="Y63" s="22">
        <f t="shared" si="30"/>
        <v>131.28785599999998</v>
      </c>
      <c r="Z63" s="22">
        <f t="shared" si="31"/>
        <v>3088.7918559999998</v>
      </c>
      <c r="AA63" s="22">
        <f t="shared" si="32"/>
        <v>494.20669695999999</v>
      </c>
      <c r="AB63" s="22">
        <f t="shared" si="33"/>
        <v>3582.9985529599999</v>
      </c>
      <c r="AC63" s="60">
        <f t="shared" si="52"/>
        <v>0</v>
      </c>
      <c r="AD63" s="62">
        <f>+U63-'C&amp;A'!L64-SINDICATO!P64</f>
        <v>0</v>
      </c>
      <c r="AE63" s="62">
        <f>+'C&amp;A'!L64+'C&amp;A'!J64+'C&amp;A'!H64+'C&amp;A'!G64+SINDICATO!E64-G63</f>
        <v>0</v>
      </c>
      <c r="AF63" s="62">
        <f t="shared" si="53"/>
        <v>0</v>
      </c>
      <c r="AG63" s="127" t="s">
        <v>381</v>
      </c>
      <c r="AH63" s="127" t="s">
        <v>445</v>
      </c>
      <c r="AI63" s="127"/>
      <c r="AJ63" s="127" t="s">
        <v>119</v>
      </c>
      <c r="AK63" s="127" t="s">
        <v>193</v>
      </c>
      <c r="AL63" s="127"/>
      <c r="AM63" s="127"/>
      <c r="AN63" s="127"/>
      <c r="AO63" s="151">
        <v>608.16</v>
      </c>
      <c r="AP63" s="162">
        <f t="shared" si="34"/>
        <v>0</v>
      </c>
      <c r="AQ63" s="151">
        <f t="shared" si="54"/>
        <v>608.16</v>
      </c>
      <c r="AR63" s="151">
        <f t="shared" si="36"/>
        <v>0</v>
      </c>
      <c r="AS63" s="151">
        <v>2116.3139999999999</v>
      </c>
      <c r="AT63" s="151"/>
      <c r="AU63" s="151"/>
      <c r="AV63" s="151"/>
      <c r="AW63" s="163">
        <v>45.13</v>
      </c>
      <c r="AX63" s="145">
        <f t="shared" si="55"/>
        <v>2679.3439999999996</v>
      </c>
      <c r="AY63" s="151"/>
      <c r="AZ63" s="151"/>
      <c r="BA63" s="151"/>
      <c r="BB63" s="151">
        <f t="shared" si="37"/>
        <v>131.28785599999998</v>
      </c>
      <c r="BC63" s="151">
        <f t="shared" si="38"/>
        <v>26.793439999999997</v>
      </c>
      <c r="BD63" s="151"/>
      <c r="BE63" s="104"/>
      <c r="BF63" s="104"/>
      <c r="BG63" s="127"/>
      <c r="BH63" s="127">
        <v>0</v>
      </c>
      <c r="BI63" s="145">
        <f t="shared" si="56"/>
        <v>2521.2627039999998</v>
      </c>
      <c r="BJ63" s="104">
        <f t="shared" si="39"/>
        <v>0</v>
      </c>
      <c r="BK63" s="145">
        <f t="shared" si="57"/>
        <v>2521.2627039999998</v>
      </c>
      <c r="BL63" s="104">
        <f t="shared" si="40"/>
        <v>267.93439999999998</v>
      </c>
      <c r="BM63" s="104">
        <v>10.23</v>
      </c>
      <c r="BN63" s="145">
        <f t="shared" si="58"/>
        <v>2957.5083999999997</v>
      </c>
      <c r="BO63" s="241"/>
      <c r="BP63" s="241"/>
      <c r="BQ63" s="248"/>
      <c r="BR63" s="107" t="s">
        <v>720</v>
      </c>
      <c r="BS63" s="107"/>
      <c r="BV63" s="127" t="s">
        <v>381</v>
      </c>
      <c r="BW63" s="127" t="s">
        <v>445</v>
      </c>
      <c r="BX63" s="127"/>
      <c r="BY63" s="127" t="s">
        <v>119</v>
      </c>
      <c r="BZ63" s="127" t="s">
        <v>193</v>
      </c>
      <c r="CA63" s="127"/>
      <c r="CB63" s="127"/>
      <c r="CC63" s="127"/>
      <c r="CD63" s="151">
        <v>608.16</v>
      </c>
      <c r="CE63" s="127"/>
      <c r="CF63" s="151">
        <f t="shared" si="59"/>
        <v>608.16</v>
      </c>
      <c r="CG63" s="151">
        <v>2116.3139999999999</v>
      </c>
      <c r="CH63" s="151"/>
      <c r="CI63" s="151"/>
      <c r="CJ63" s="151"/>
      <c r="CK63" s="163">
        <v>45.13</v>
      </c>
      <c r="CL63" s="145">
        <f t="shared" si="60"/>
        <v>2679.3439999999996</v>
      </c>
      <c r="CM63" s="151"/>
      <c r="CN63" s="151"/>
      <c r="CO63" s="151"/>
      <c r="CP63" s="151">
        <f>CL63*4.9%</f>
        <v>131.28785599999998</v>
      </c>
      <c r="CQ63" s="151">
        <f>CL63*1%</f>
        <v>26.793439999999997</v>
      </c>
      <c r="CR63" s="151"/>
      <c r="CS63" s="104">
        <f t="shared" si="41"/>
        <v>0</v>
      </c>
      <c r="CT63" s="104"/>
      <c r="CU63" s="127"/>
      <c r="CV63" s="127">
        <v>0</v>
      </c>
      <c r="CW63" s="145">
        <f t="shared" si="61"/>
        <v>2521.2627039999998</v>
      </c>
      <c r="CX63" s="104">
        <f t="shared" si="62"/>
        <v>0</v>
      </c>
      <c r="CY63" s="145">
        <f t="shared" si="63"/>
        <v>2521.2627039999998</v>
      </c>
      <c r="CZ63" s="104">
        <f t="shared" si="64"/>
        <v>267.93439999999998</v>
      </c>
      <c r="DA63" s="104">
        <v>10.23</v>
      </c>
      <c r="DB63" s="145">
        <f t="shared" si="65"/>
        <v>2957.5083999999997</v>
      </c>
      <c r="DC63" s="241"/>
      <c r="DD63" s="241"/>
      <c r="DE63" s="248"/>
      <c r="DF63" s="107" t="s">
        <v>720</v>
      </c>
      <c r="DG63" s="107"/>
      <c r="DJ63" s="21"/>
      <c r="DK63" s="21"/>
      <c r="DL63" s="21"/>
      <c r="DM63" s="21"/>
      <c r="DN63" s="21"/>
      <c r="DO63" s="60">
        <f>+U63-'C&amp;A'!L64-SINDICATO!P64</f>
        <v>0</v>
      </c>
      <c r="DQ63" s="23"/>
      <c r="DR63" s="23"/>
      <c r="DS63" s="23"/>
      <c r="DT63" s="24"/>
    </row>
    <row r="64" spans="1:124" hidden="1" x14ac:dyDescent="0.25">
      <c r="A64" s="20" t="s">
        <v>123</v>
      </c>
      <c r="B64" s="21" t="s">
        <v>124</v>
      </c>
      <c r="C64" s="22">
        <f t="shared" si="12"/>
        <v>513.33000000000004</v>
      </c>
      <c r="D64" s="22">
        <v>0</v>
      </c>
      <c r="E64" s="22">
        <f t="shared" si="13"/>
        <v>209.61</v>
      </c>
      <c r="F64" s="22">
        <v>0</v>
      </c>
      <c r="G64" s="22">
        <f t="shared" si="14"/>
        <v>722.94</v>
      </c>
      <c r="H64" s="22">
        <f t="shared" si="15"/>
        <v>0</v>
      </c>
      <c r="I64" s="22">
        <f t="shared" si="16"/>
        <v>0</v>
      </c>
      <c r="J64" s="22">
        <f t="shared" si="17"/>
        <v>0</v>
      </c>
      <c r="K64" s="22">
        <f t="shared" si="18"/>
        <v>0</v>
      </c>
      <c r="L64" s="22">
        <f t="shared" si="19"/>
        <v>45.13</v>
      </c>
      <c r="M64" s="22">
        <f t="shared" si="20"/>
        <v>0</v>
      </c>
      <c r="N64" s="22">
        <f t="shared" si="21"/>
        <v>0</v>
      </c>
      <c r="O64" s="22">
        <f t="shared" si="22"/>
        <v>0</v>
      </c>
      <c r="P64" s="22">
        <f t="shared" si="23"/>
        <v>0</v>
      </c>
      <c r="Q64" s="22">
        <v>0</v>
      </c>
      <c r="R64" s="22">
        <f t="shared" si="24"/>
        <v>0</v>
      </c>
      <c r="S64" s="22">
        <f t="shared" si="25"/>
        <v>0</v>
      </c>
      <c r="T64" s="22">
        <f t="shared" si="26"/>
        <v>45.13</v>
      </c>
      <c r="U64" s="22">
        <f t="shared" si="27"/>
        <v>677.81000000000006</v>
      </c>
      <c r="V64" s="22">
        <f t="shared" si="28"/>
        <v>677.81000000000006</v>
      </c>
      <c r="W64" s="22">
        <f t="shared" si="29"/>
        <v>67.781000000000006</v>
      </c>
      <c r="X64" s="22">
        <f>+'C&amp;A'!E65*0.02</f>
        <v>10.2256</v>
      </c>
      <c r="Y64" s="22">
        <f t="shared" si="30"/>
        <v>0</v>
      </c>
      <c r="Z64" s="22">
        <f t="shared" si="31"/>
        <v>755.81660000000011</v>
      </c>
      <c r="AA64" s="22">
        <f t="shared" si="32"/>
        <v>120.93065600000001</v>
      </c>
      <c r="AB64" s="22">
        <f t="shared" si="33"/>
        <v>876.74725600000011</v>
      </c>
      <c r="AC64" s="60">
        <f t="shared" si="52"/>
        <v>0</v>
      </c>
      <c r="AD64" s="62">
        <f>+U64-'C&amp;A'!L65-SINDICATO!P65</f>
        <v>0</v>
      </c>
      <c r="AE64" s="62">
        <f>+'C&amp;A'!L65+'C&amp;A'!J65+'C&amp;A'!H65+'C&amp;A'!G65+SINDICATO!E65-G64</f>
        <v>0</v>
      </c>
      <c r="AF64" s="62">
        <f t="shared" si="53"/>
        <v>0</v>
      </c>
      <c r="AG64" s="127" t="s">
        <v>377</v>
      </c>
      <c r="AH64" s="127" t="s">
        <v>628</v>
      </c>
      <c r="AI64" s="127" t="s">
        <v>31</v>
      </c>
      <c r="AJ64" s="127" t="s">
        <v>123</v>
      </c>
      <c r="AK64" s="127" t="s">
        <v>189</v>
      </c>
      <c r="AL64" s="127"/>
      <c r="AM64" s="127"/>
      <c r="AN64" s="127"/>
      <c r="AO64" s="151">
        <v>513.33000000000004</v>
      </c>
      <c r="AP64" s="162">
        <f t="shared" si="34"/>
        <v>0</v>
      </c>
      <c r="AQ64" s="151">
        <f t="shared" si="54"/>
        <v>513.33000000000004</v>
      </c>
      <c r="AR64" s="151">
        <f t="shared" si="36"/>
        <v>0</v>
      </c>
      <c r="AS64" s="151">
        <v>209.61</v>
      </c>
      <c r="AT64" s="151"/>
      <c r="AU64" s="151"/>
      <c r="AV64" s="151"/>
      <c r="AW64" s="163">
        <v>45.13</v>
      </c>
      <c r="AX64" s="145">
        <f t="shared" si="55"/>
        <v>677.81000000000006</v>
      </c>
      <c r="AY64" s="151"/>
      <c r="AZ64" s="151"/>
      <c r="BA64" s="151">
        <v>0</v>
      </c>
      <c r="BB64" s="151">
        <f t="shared" si="37"/>
        <v>0</v>
      </c>
      <c r="BC64" s="151">
        <f t="shared" si="38"/>
        <v>0</v>
      </c>
      <c r="BD64" s="151"/>
      <c r="BE64" s="104"/>
      <c r="BF64" s="104"/>
      <c r="BG64" s="127"/>
      <c r="BH64" s="127">
        <v>0</v>
      </c>
      <c r="BI64" s="145">
        <f t="shared" si="56"/>
        <v>677.81000000000006</v>
      </c>
      <c r="BJ64" s="104">
        <f t="shared" si="39"/>
        <v>0</v>
      </c>
      <c r="BK64" s="145">
        <f t="shared" si="57"/>
        <v>677.81000000000006</v>
      </c>
      <c r="BL64" s="104">
        <f t="shared" si="40"/>
        <v>67.781000000000006</v>
      </c>
      <c r="BM64" s="104">
        <v>10.23</v>
      </c>
      <c r="BN64" s="145">
        <f t="shared" si="58"/>
        <v>755.82100000000014</v>
      </c>
      <c r="BO64" s="241"/>
      <c r="BP64" s="241"/>
      <c r="BQ64" s="241"/>
      <c r="BR64" s="107"/>
      <c r="BS64" s="107"/>
      <c r="BV64" s="127" t="s">
        <v>377</v>
      </c>
      <c r="BW64" s="127" t="s">
        <v>628</v>
      </c>
      <c r="BX64" s="127" t="s">
        <v>31</v>
      </c>
      <c r="BY64" s="127" t="s">
        <v>123</v>
      </c>
      <c r="BZ64" s="127" t="s">
        <v>189</v>
      </c>
      <c r="CA64" s="127"/>
      <c r="CB64" s="127"/>
      <c r="CC64" s="127"/>
      <c r="CD64" s="151">
        <v>513.33000000000004</v>
      </c>
      <c r="CE64" s="127"/>
      <c r="CF64" s="151">
        <f t="shared" si="59"/>
        <v>513.33000000000004</v>
      </c>
      <c r="CG64" s="151">
        <v>209.61</v>
      </c>
      <c r="CH64" s="151"/>
      <c r="CI64" s="151"/>
      <c r="CJ64" s="151"/>
      <c r="CK64" s="163">
        <v>45.13</v>
      </c>
      <c r="CL64" s="145">
        <f t="shared" si="60"/>
        <v>677.81000000000006</v>
      </c>
      <c r="CM64" s="151"/>
      <c r="CN64" s="151"/>
      <c r="CO64" s="151">
        <v>0</v>
      </c>
      <c r="CP64" s="151"/>
      <c r="CQ64" s="151"/>
      <c r="CR64" s="151"/>
      <c r="CS64" s="104">
        <f t="shared" si="41"/>
        <v>0</v>
      </c>
      <c r="CT64" s="104"/>
      <c r="CU64" s="127"/>
      <c r="CV64" s="127">
        <v>0</v>
      </c>
      <c r="CW64" s="145">
        <f t="shared" si="61"/>
        <v>677.81000000000006</v>
      </c>
      <c r="CX64" s="104">
        <f t="shared" si="62"/>
        <v>0</v>
      </c>
      <c r="CY64" s="145">
        <f t="shared" si="63"/>
        <v>677.81000000000006</v>
      </c>
      <c r="CZ64" s="104">
        <f t="shared" si="64"/>
        <v>67.781000000000006</v>
      </c>
      <c r="DA64" s="104">
        <v>10.23</v>
      </c>
      <c r="DB64" s="145">
        <f t="shared" si="65"/>
        <v>755.82100000000014</v>
      </c>
      <c r="DC64" s="241"/>
      <c r="DD64" s="241"/>
      <c r="DE64" s="241"/>
      <c r="DF64" s="107"/>
      <c r="DG64" s="107"/>
      <c r="DJ64" s="23"/>
      <c r="DK64" s="21"/>
      <c r="DL64" s="21"/>
      <c r="DM64" s="21"/>
      <c r="DN64" s="21"/>
      <c r="DO64" s="60">
        <f>+U64-'C&amp;A'!L65-SINDICATO!P65</f>
        <v>0</v>
      </c>
    </row>
    <row r="65" spans="1:119" hidden="1" x14ac:dyDescent="0.25">
      <c r="A65" s="20" t="s">
        <v>125</v>
      </c>
      <c r="B65" s="21" t="s">
        <v>126</v>
      </c>
      <c r="C65" s="22">
        <f t="shared" si="12"/>
        <v>739.23</v>
      </c>
      <c r="D65" s="22">
        <v>0</v>
      </c>
      <c r="E65" s="22">
        <f t="shared" si="13"/>
        <v>3446.21</v>
      </c>
      <c r="F65" s="22">
        <v>0</v>
      </c>
      <c r="G65" s="22">
        <f t="shared" si="14"/>
        <v>4185.4400000000005</v>
      </c>
      <c r="H65" s="22">
        <f t="shared" si="15"/>
        <v>0</v>
      </c>
      <c r="I65" s="22">
        <f t="shared" si="16"/>
        <v>0</v>
      </c>
      <c r="J65" s="22">
        <f t="shared" si="17"/>
        <v>0</v>
      </c>
      <c r="K65" s="22">
        <f t="shared" si="18"/>
        <v>0</v>
      </c>
      <c r="L65" s="22">
        <f t="shared" si="19"/>
        <v>45.13</v>
      </c>
      <c r="M65" s="22">
        <f t="shared" si="20"/>
        <v>0</v>
      </c>
      <c r="N65" s="22">
        <f t="shared" si="21"/>
        <v>0</v>
      </c>
      <c r="O65" s="22">
        <f t="shared" si="22"/>
        <v>414.03100000000006</v>
      </c>
      <c r="P65" s="22">
        <f t="shared" si="23"/>
        <v>0</v>
      </c>
      <c r="Q65" s="22">
        <v>0</v>
      </c>
      <c r="R65" s="22">
        <f t="shared" si="24"/>
        <v>0</v>
      </c>
      <c r="S65" s="22">
        <f t="shared" si="25"/>
        <v>0</v>
      </c>
      <c r="T65" s="22">
        <f t="shared" si="26"/>
        <v>459.16100000000006</v>
      </c>
      <c r="U65" s="22">
        <f t="shared" si="27"/>
        <v>3726.2790000000005</v>
      </c>
      <c r="V65" s="22">
        <f t="shared" si="28"/>
        <v>4140.3100000000004</v>
      </c>
      <c r="W65" s="22">
        <f t="shared" si="29"/>
        <v>0</v>
      </c>
      <c r="X65" s="22">
        <f>+'C&amp;A'!E66*0.02</f>
        <v>10.2256</v>
      </c>
      <c r="Y65" s="22">
        <f t="shared" si="30"/>
        <v>0</v>
      </c>
      <c r="Z65" s="22">
        <f t="shared" si="31"/>
        <v>4150.5356000000002</v>
      </c>
      <c r="AA65" s="22">
        <f t="shared" si="32"/>
        <v>664.08569599999998</v>
      </c>
      <c r="AB65" s="22">
        <f t="shared" si="33"/>
        <v>4814.6212960000003</v>
      </c>
      <c r="AC65" s="60">
        <f t="shared" si="52"/>
        <v>0</v>
      </c>
      <c r="AD65" s="62">
        <f>+U65-'C&amp;A'!L66-SINDICATO!P66</f>
        <v>0</v>
      </c>
      <c r="AE65" s="62">
        <f>+'C&amp;A'!L66+'C&amp;A'!J66+'C&amp;A'!H66+'C&amp;A'!G66+SINDICATO!E66-G65</f>
        <v>0</v>
      </c>
      <c r="AF65" s="62">
        <f t="shared" si="53"/>
        <v>0</v>
      </c>
      <c r="AG65" s="127" t="s">
        <v>383</v>
      </c>
      <c r="AH65" s="127" t="s">
        <v>448</v>
      </c>
      <c r="AI65" s="127"/>
      <c r="AJ65" s="127" t="s">
        <v>125</v>
      </c>
      <c r="AK65" s="127" t="s">
        <v>449</v>
      </c>
      <c r="AL65" s="127"/>
      <c r="AM65" s="127"/>
      <c r="AN65" s="127"/>
      <c r="AO65" s="151">
        <v>739.23</v>
      </c>
      <c r="AP65" s="162">
        <f t="shared" si="34"/>
        <v>0</v>
      </c>
      <c r="AQ65" s="151">
        <f t="shared" si="54"/>
        <v>739.23</v>
      </c>
      <c r="AR65" s="151">
        <f t="shared" si="36"/>
        <v>0</v>
      </c>
      <c r="AS65" s="151">
        <v>3446.21</v>
      </c>
      <c r="AT65" s="151"/>
      <c r="AU65" s="275"/>
      <c r="AV65" s="151"/>
      <c r="AW65" s="163">
        <v>45.13</v>
      </c>
      <c r="AX65" s="145">
        <f t="shared" si="55"/>
        <v>4140.3100000000004</v>
      </c>
      <c r="AY65" s="151"/>
      <c r="AZ65" s="151"/>
      <c r="BA65" s="151">
        <v>0</v>
      </c>
      <c r="BB65" s="151">
        <f t="shared" si="37"/>
        <v>0</v>
      </c>
      <c r="BC65" s="151">
        <f t="shared" si="38"/>
        <v>0</v>
      </c>
      <c r="BD65" s="151"/>
      <c r="BE65" s="104"/>
      <c r="BF65" s="104"/>
      <c r="BG65" s="127"/>
      <c r="BH65" s="127">
        <v>0</v>
      </c>
      <c r="BI65" s="145">
        <f t="shared" si="56"/>
        <v>4140.3100000000004</v>
      </c>
      <c r="BJ65" s="104">
        <f t="shared" si="39"/>
        <v>414.03100000000006</v>
      </c>
      <c r="BK65" s="145">
        <f t="shared" si="57"/>
        <v>3726.2790000000005</v>
      </c>
      <c r="BL65" s="104">
        <f t="shared" si="40"/>
        <v>0</v>
      </c>
      <c r="BM65" s="104">
        <v>10.23</v>
      </c>
      <c r="BN65" s="145">
        <f t="shared" si="58"/>
        <v>4150.54</v>
      </c>
      <c r="BO65" s="241"/>
      <c r="BP65" s="241"/>
      <c r="BQ65" s="241"/>
      <c r="BR65" s="107"/>
      <c r="BS65" s="107"/>
      <c r="BV65" s="127" t="s">
        <v>383</v>
      </c>
      <c r="BW65" s="127" t="s">
        <v>448</v>
      </c>
      <c r="BX65" s="127"/>
      <c r="BY65" s="127" t="s">
        <v>125</v>
      </c>
      <c r="BZ65" s="127" t="s">
        <v>449</v>
      </c>
      <c r="CA65" s="127"/>
      <c r="CB65" s="127"/>
      <c r="CC65" s="127"/>
      <c r="CD65" s="151">
        <v>739.23</v>
      </c>
      <c r="CE65" s="127"/>
      <c r="CF65" s="151">
        <f t="shared" si="59"/>
        <v>739.23</v>
      </c>
      <c r="CG65" s="151">
        <v>3446.21</v>
      </c>
      <c r="CH65" s="151"/>
      <c r="CI65" s="275"/>
      <c r="CJ65" s="151"/>
      <c r="CK65" s="163">
        <v>45.13</v>
      </c>
      <c r="CL65" s="145">
        <f t="shared" si="60"/>
        <v>4140.3100000000004</v>
      </c>
      <c r="CM65" s="151"/>
      <c r="CN65" s="151"/>
      <c r="CO65" s="151">
        <v>0</v>
      </c>
      <c r="CP65" s="151"/>
      <c r="CQ65" s="151"/>
      <c r="CR65" s="151"/>
      <c r="CS65" s="104">
        <f t="shared" si="41"/>
        <v>0</v>
      </c>
      <c r="CT65" s="104"/>
      <c r="CU65" s="127"/>
      <c r="CV65" s="127">
        <v>0</v>
      </c>
      <c r="CW65" s="145">
        <f t="shared" si="61"/>
        <v>4140.3100000000004</v>
      </c>
      <c r="CX65" s="104">
        <f t="shared" si="62"/>
        <v>414.03100000000006</v>
      </c>
      <c r="CY65" s="145">
        <f t="shared" si="63"/>
        <v>3726.2790000000005</v>
      </c>
      <c r="CZ65" s="104">
        <f t="shared" si="64"/>
        <v>0</v>
      </c>
      <c r="DA65" s="104">
        <v>10.23</v>
      </c>
      <c r="DB65" s="145">
        <f t="shared" si="65"/>
        <v>4150.54</v>
      </c>
      <c r="DC65" s="241"/>
      <c r="DD65" s="241"/>
      <c r="DE65" s="241"/>
      <c r="DF65" s="107"/>
      <c r="DG65" s="107"/>
      <c r="DJ65" s="24"/>
      <c r="DK65" s="21"/>
      <c r="DL65" s="21"/>
      <c r="DM65" s="21"/>
      <c r="DN65" s="21"/>
      <c r="DO65" s="60">
        <f>+U65-'C&amp;A'!L66-SINDICATO!P66</f>
        <v>0</v>
      </c>
    </row>
    <row r="66" spans="1:119" hidden="1" x14ac:dyDescent="0.25">
      <c r="A66" s="20" t="s">
        <v>129</v>
      </c>
      <c r="B66" s="21" t="s">
        <v>130</v>
      </c>
      <c r="C66" s="22">
        <f t="shared" si="12"/>
        <v>739.23</v>
      </c>
      <c r="D66" s="22">
        <v>0</v>
      </c>
      <c r="E66" s="22">
        <f t="shared" si="13"/>
        <v>2636.35</v>
      </c>
      <c r="F66" s="22">
        <v>0</v>
      </c>
      <c r="G66" s="22">
        <f t="shared" si="14"/>
        <v>3375.58</v>
      </c>
      <c r="H66" s="22">
        <f t="shared" si="15"/>
        <v>0</v>
      </c>
      <c r="I66" s="22">
        <f t="shared" si="16"/>
        <v>0</v>
      </c>
      <c r="J66" s="22">
        <f t="shared" si="17"/>
        <v>0</v>
      </c>
      <c r="K66" s="22">
        <f t="shared" si="18"/>
        <v>0</v>
      </c>
      <c r="L66" s="22">
        <f t="shared" si="19"/>
        <v>45.13</v>
      </c>
      <c r="M66" s="22">
        <f t="shared" si="20"/>
        <v>0</v>
      </c>
      <c r="N66" s="22">
        <f t="shared" si="21"/>
        <v>0</v>
      </c>
      <c r="O66" s="22">
        <f t="shared" si="22"/>
        <v>0</v>
      </c>
      <c r="P66" s="22">
        <f t="shared" si="23"/>
        <v>0</v>
      </c>
      <c r="Q66" s="22">
        <v>0</v>
      </c>
      <c r="R66" s="22">
        <f t="shared" si="24"/>
        <v>0</v>
      </c>
      <c r="S66" s="22">
        <f t="shared" si="25"/>
        <v>0</v>
      </c>
      <c r="T66" s="22">
        <f t="shared" si="26"/>
        <v>45.13</v>
      </c>
      <c r="U66" s="22">
        <f t="shared" si="27"/>
        <v>3330.45</v>
      </c>
      <c r="V66" s="22">
        <f t="shared" si="28"/>
        <v>3330.45</v>
      </c>
      <c r="W66" s="22">
        <f t="shared" si="29"/>
        <v>333.04500000000002</v>
      </c>
      <c r="X66" s="22">
        <f>+'C&amp;A'!E67*0.02</f>
        <v>10.2256</v>
      </c>
      <c r="Y66" s="22">
        <f t="shared" si="30"/>
        <v>0</v>
      </c>
      <c r="Z66" s="22">
        <f t="shared" si="31"/>
        <v>3673.7206000000001</v>
      </c>
      <c r="AA66" s="22">
        <f t="shared" si="32"/>
        <v>587.79529600000001</v>
      </c>
      <c r="AB66" s="22">
        <f t="shared" si="33"/>
        <v>4261.5158959999999</v>
      </c>
      <c r="AC66" s="60">
        <f t="shared" si="52"/>
        <v>0</v>
      </c>
      <c r="AD66" s="62">
        <f>+U66-'C&amp;A'!L67-SINDICATO!P67</f>
        <v>0</v>
      </c>
      <c r="AE66" s="62">
        <f>+'C&amp;A'!L67+'C&amp;A'!J67+'C&amp;A'!H67+'C&amp;A'!G67+SINDICATO!E67-G66</f>
        <v>0</v>
      </c>
      <c r="AF66" s="62">
        <f t="shared" si="53"/>
        <v>0</v>
      </c>
      <c r="AG66" s="127" t="s">
        <v>383</v>
      </c>
      <c r="AH66" s="127" t="s">
        <v>452</v>
      </c>
      <c r="AI66" s="127"/>
      <c r="AJ66" s="127" t="s">
        <v>129</v>
      </c>
      <c r="AK66" s="127" t="s">
        <v>177</v>
      </c>
      <c r="AL66" s="127"/>
      <c r="AM66" s="127"/>
      <c r="AN66" s="127"/>
      <c r="AO66" s="151">
        <v>739.23</v>
      </c>
      <c r="AP66" s="162">
        <f t="shared" si="34"/>
        <v>0</v>
      </c>
      <c r="AQ66" s="151">
        <f t="shared" si="54"/>
        <v>739.23</v>
      </c>
      <c r="AR66" s="151">
        <f t="shared" si="36"/>
        <v>0</v>
      </c>
      <c r="AS66" s="151">
        <v>2636.35</v>
      </c>
      <c r="AT66" s="151"/>
      <c r="AU66" s="151"/>
      <c r="AV66" s="151"/>
      <c r="AW66" s="163">
        <v>45.13</v>
      </c>
      <c r="AX66" s="145">
        <f t="shared" si="55"/>
        <v>3330.45</v>
      </c>
      <c r="AY66" s="151"/>
      <c r="AZ66" s="151"/>
      <c r="BA66" s="151">
        <v>0</v>
      </c>
      <c r="BB66" s="151">
        <f t="shared" si="37"/>
        <v>0</v>
      </c>
      <c r="BC66" s="151">
        <f t="shared" si="38"/>
        <v>0</v>
      </c>
      <c r="BD66" s="151"/>
      <c r="BE66" s="104"/>
      <c r="BF66" s="104"/>
      <c r="BG66" s="127"/>
      <c r="BH66" s="127">
        <v>0</v>
      </c>
      <c r="BI66" s="145">
        <f t="shared" si="56"/>
        <v>3330.45</v>
      </c>
      <c r="BJ66" s="104">
        <f t="shared" si="39"/>
        <v>0</v>
      </c>
      <c r="BK66" s="145">
        <f t="shared" si="57"/>
        <v>3330.45</v>
      </c>
      <c r="BL66" s="104">
        <f t="shared" si="40"/>
        <v>333.04500000000002</v>
      </c>
      <c r="BM66" s="104">
        <v>10.23</v>
      </c>
      <c r="BN66" s="145">
        <f t="shared" si="58"/>
        <v>3673.7249999999999</v>
      </c>
      <c r="BO66" s="241"/>
      <c r="BP66" s="241"/>
      <c r="BQ66" s="241"/>
      <c r="BR66" s="107"/>
      <c r="BS66" s="107"/>
      <c r="BV66" s="127" t="s">
        <v>383</v>
      </c>
      <c r="BW66" s="127" t="s">
        <v>452</v>
      </c>
      <c r="BX66" s="127"/>
      <c r="BY66" s="127" t="s">
        <v>129</v>
      </c>
      <c r="BZ66" s="127" t="s">
        <v>177</v>
      </c>
      <c r="CA66" s="127"/>
      <c r="CB66" s="127"/>
      <c r="CC66" s="127"/>
      <c r="CD66" s="151">
        <v>739.23</v>
      </c>
      <c r="CE66" s="127"/>
      <c r="CF66" s="151">
        <f t="shared" si="59"/>
        <v>739.23</v>
      </c>
      <c r="CG66" s="151">
        <v>2636.35</v>
      </c>
      <c r="CH66" s="151"/>
      <c r="CI66" s="151"/>
      <c r="CJ66" s="151"/>
      <c r="CK66" s="163">
        <v>45.13</v>
      </c>
      <c r="CL66" s="145">
        <f t="shared" si="60"/>
        <v>3330.45</v>
      </c>
      <c r="CM66" s="151"/>
      <c r="CN66" s="151"/>
      <c r="CO66" s="151">
        <v>0</v>
      </c>
      <c r="CP66" s="151"/>
      <c r="CQ66" s="151"/>
      <c r="CR66" s="151"/>
      <c r="CS66" s="104">
        <f t="shared" si="41"/>
        <v>0</v>
      </c>
      <c r="CT66" s="104"/>
      <c r="CU66" s="127"/>
      <c r="CV66" s="127">
        <v>0</v>
      </c>
      <c r="CW66" s="145">
        <f t="shared" si="61"/>
        <v>3330.45</v>
      </c>
      <c r="CX66" s="104">
        <f t="shared" si="62"/>
        <v>0</v>
      </c>
      <c r="CY66" s="145">
        <f t="shared" si="63"/>
        <v>3330.45</v>
      </c>
      <c r="CZ66" s="104">
        <f t="shared" si="64"/>
        <v>333.04500000000002</v>
      </c>
      <c r="DA66" s="104">
        <v>10.23</v>
      </c>
      <c r="DB66" s="145">
        <f t="shared" si="65"/>
        <v>3673.7249999999999</v>
      </c>
      <c r="DC66" s="241"/>
      <c r="DD66" s="241"/>
      <c r="DE66" s="241"/>
      <c r="DF66" s="107"/>
      <c r="DG66" s="107"/>
      <c r="DJ66" s="21"/>
      <c r="DK66" s="21"/>
      <c r="DL66" s="21"/>
      <c r="DM66" s="21"/>
      <c r="DN66" s="21"/>
      <c r="DO66" s="60">
        <f>+U66-'C&amp;A'!L67-SINDICATO!P67</f>
        <v>0</v>
      </c>
    </row>
    <row r="67" spans="1:119" hidden="1" x14ac:dyDescent="0.25">
      <c r="A67" s="20"/>
      <c r="B67" s="21" t="s">
        <v>629</v>
      </c>
      <c r="C67" s="22">
        <f t="shared" si="12"/>
        <v>739.23</v>
      </c>
      <c r="D67" s="22">
        <v>0</v>
      </c>
      <c r="E67" s="22">
        <f t="shared" si="13"/>
        <v>523.84</v>
      </c>
      <c r="F67" s="22">
        <v>0</v>
      </c>
      <c r="G67" s="22">
        <f t="shared" si="14"/>
        <v>1263.0700000000002</v>
      </c>
      <c r="H67" s="22">
        <f t="shared" si="15"/>
        <v>0</v>
      </c>
      <c r="I67" s="22">
        <f t="shared" si="16"/>
        <v>0</v>
      </c>
      <c r="J67" s="22">
        <f t="shared" si="17"/>
        <v>0</v>
      </c>
      <c r="K67" s="22">
        <f t="shared" si="18"/>
        <v>0</v>
      </c>
      <c r="L67" s="22">
        <f t="shared" si="19"/>
        <v>45.13</v>
      </c>
      <c r="M67" s="22">
        <f t="shared" si="20"/>
        <v>0</v>
      </c>
      <c r="N67" s="22">
        <f t="shared" si="21"/>
        <v>0</v>
      </c>
      <c r="O67" s="22">
        <f t="shared" si="22"/>
        <v>0</v>
      </c>
      <c r="P67" s="22">
        <f t="shared" si="23"/>
        <v>0</v>
      </c>
      <c r="Q67" s="22">
        <v>0</v>
      </c>
      <c r="R67" s="22">
        <f t="shared" si="24"/>
        <v>0</v>
      </c>
      <c r="S67" s="22">
        <f t="shared" si="25"/>
        <v>0</v>
      </c>
      <c r="T67" s="22">
        <f t="shared" si="26"/>
        <v>45.13</v>
      </c>
      <c r="U67" s="22">
        <f t="shared" si="27"/>
        <v>1217.94</v>
      </c>
      <c r="V67" s="22">
        <f t="shared" si="28"/>
        <v>1217.94</v>
      </c>
      <c r="W67" s="22">
        <f t="shared" si="29"/>
        <v>121.79400000000001</v>
      </c>
      <c r="X67" s="22">
        <f>+'C&amp;A'!E68*0.02</f>
        <v>10.2256</v>
      </c>
      <c r="Y67" s="22">
        <f t="shared" si="30"/>
        <v>0</v>
      </c>
      <c r="Z67" s="22">
        <f t="shared" si="31"/>
        <v>1349.9596000000001</v>
      </c>
      <c r="AA67" s="22">
        <f t="shared" si="32"/>
        <v>215.99353600000003</v>
      </c>
      <c r="AB67" s="22">
        <f t="shared" si="33"/>
        <v>1565.9531360000001</v>
      </c>
      <c r="AC67" s="60">
        <f t="shared" si="52"/>
        <v>0</v>
      </c>
      <c r="AD67" s="62">
        <f>+U67-'C&amp;A'!L68-SINDICATO!P68</f>
        <v>0</v>
      </c>
      <c r="AE67" s="62">
        <f>+'C&amp;A'!L68+'C&amp;A'!J68+'C&amp;A'!H68+'C&amp;A'!G68+SINDICATO!E68-G67</f>
        <v>0</v>
      </c>
      <c r="AF67" s="62">
        <f t="shared" si="53"/>
        <v>0</v>
      </c>
      <c r="AG67" s="127" t="s">
        <v>383</v>
      </c>
      <c r="AH67" s="127" t="s">
        <v>629</v>
      </c>
      <c r="AI67" s="127"/>
      <c r="AJ67" s="127"/>
      <c r="AK67" s="127" t="s">
        <v>177</v>
      </c>
      <c r="AL67" s="165">
        <v>42422</v>
      </c>
      <c r="AM67" s="127"/>
      <c r="AN67" s="127"/>
      <c r="AO67" s="151">
        <v>739.23</v>
      </c>
      <c r="AP67" s="162">
        <f t="shared" si="34"/>
        <v>0</v>
      </c>
      <c r="AQ67" s="151">
        <f t="shared" si="54"/>
        <v>739.23</v>
      </c>
      <c r="AR67" s="151">
        <f t="shared" si="36"/>
        <v>0</v>
      </c>
      <c r="AS67" s="151">
        <v>523.84</v>
      </c>
      <c r="AT67" s="151"/>
      <c r="AU67" s="151"/>
      <c r="AV67" s="151"/>
      <c r="AW67" s="163">
        <v>45.13</v>
      </c>
      <c r="AX67" s="145">
        <f t="shared" si="55"/>
        <v>1217.94</v>
      </c>
      <c r="AY67" s="151"/>
      <c r="AZ67" s="151"/>
      <c r="BA67" s="151">
        <v>0</v>
      </c>
      <c r="BB67" s="151">
        <f t="shared" si="37"/>
        <v>0</v>
      </c>
      <c r="BC67" s="151">
        <f t="shared" si="38"/>
        <v>0</v>
      </c>
      <c r="BD67" s="151"/>
      <c r="BE67" s="104"/>
      <c r="BF67" s="104"/>
      <c r="BG67" s="127"/>
      <c r="BH67" s="127">
        <v>0</v>
      </c>
      <c r="BI67" s="145">
        <f t="shared" si="56"/>
        <v>1217.94</v>
      </c>
      <c r="BJ67" s="104">
        <f t="shared" si="39"/>
        <v>0</v>
      </c>
      <c r="BK67" s="145">
        <f t="shared" si="57"/>
        <v>1217.94</v>
      </c>
      <c r="BL67" s="104">
        <f t="shared" si="40"/>
        <v>121.79400000000001</v>
      </c>
      <c r="BM67" s="104">
        <v>10.23</v>
      </c>
      <c r="BN67" s="145">
        <f t="shared" si="58"/>
        <v>1349.9640000000002</v>
      </c>
      <c r="BO67" s="241"/>
      <c r="BP67" s="241"/>
      <c r="BQ67" s="241"/>
      <c r="BR67" s="107"/>
      <c r="BS67" s="107"/>
      <c r="BV67" s="127" t="s">
        <v>383</v>
      </c>
      <c r="BW67" s="127" t="s">
        <v>629</v>
      </c>
      <c r="BX67" s="127"/>
      <c r="BY67" s="127"/>
      <c r="BZ67" s="127" t="s">
        <v>177</v>
      </c>
      <c r="CA67" s="165">
        <v>42422</v>
      </c>
      <c r="CB67" s="127"/>
      <c r="CC67" s="127"/>
      <c r="CD67" s="151">
        <v>739.23</v>
      </c>
      <c r="CE67" s="127"/>
      <c r="CF67" s="151">
        <f t="shared" si="59"/>
        <v>739.23</v>
      </c>
      <c r="CG67" s="151">
        <v>523.84</v>
      </c>
      <c r="CH67" s="151"/>
      <c r="CI67" s="151"/>
      <c r="CJ67" s="151"/>
      <c r="CK67" s="163">
        <v>45.13</v>
      </c>
      <c r="CL67" s="145">
        <f t="shared" si="60"/>
        <v>1217.94</v>
      </c>
      <c r="CM67" s="151"/>
      <c r="CN67" s="151"/>
      <c r="CO67" s="151">
        <v>0</v>
      </c>
      <c r="CP67" s="151"/>
      <c r="CQ67" s="151"/>
      <c r="CR67" s="151"/>
      <c r="CS67" s="104">
        <f t="shared" si="41"/>
        <v>0</v>
      </c>
      <c r="CT67" s="104"/>
      <c r="CU67" s="127"/>
      <c r="CV67" s="127">
        <v>0</v>
      </c>
      <c r="CW67" s="145">
        <f t="shared" si="61"/>
        <v>1217.94</v>
      </c>
      <c r="CX67" s="104">
        <f t="shared" si="62"/>
        <v>0</v>
      </c>
      <c r="CY67" s="145">
        <f t="shared" si="63"/>
        <v>1217.94</v>
      </c>
      <c r="CZ67" s="104">
        <f t="shared" si="64"/>
        <v>121.79400000000001</v>
      </c>
      <c r="DA67" s="104">
        <v>10.23</v>
      </c>
      <c r="DB67" s="145">
        <f t="shared" si="65"/>
        <v>1349.9640000000002</v>
      </c>
      <c r="DC67" s="241"/>
      <c r="DD67" s="241"/>
      <c r="DE67" s="241"/>
      <c r="DF67" s="107"/>
      <c r="DG67" s="107"/>
      <c r="DJ67" s="21"/>
      <c r="DK67" s="21"/>
      <c r="DL67" s="21"/>
      <c r="DM67" s="21"/>
      <c r="DN67" s="21"/>
      <c r="DO67" s="60">
        <f>+U67-'C&amp;A'!L68-SINDICATO!P68</f>
        <v>0</v>
      </c>
    </row>
    <row r="68" spans="1:119" hidden="1" x14ac:dyDescent="0.25">
      <c r="A68" s="20" t="s">
        <v>131</v>
      </c>
      <c r="B68" s="21" t="s">
        <v>132</v>
      </c>
      <c r="C68" s="22">
        <f t="shared" si="12"/>
        <v>608.16</v>
      </c>
      <c r="D68" s="22">
        <v>0</v>
      </c>
      <c r="E68" s="22">
        <f t="shared" si="13"/>
        <v>1134.8599999999999</v>
      </c>
      <c r="F68" s="22">
        <v>0</v>
      </c>
      <c r="G68" s="22">
        <f t="shared" si="14"/>
        <v>1743.02</v>
      </c>
      <c r="H68" s="22">
        <f t="shared" si="15"/>
        <v>0</v>
      </c>
      <c r="I68" s="22">
        <f t="shared" si="16"/>
        <v>83.196609999999993</v>
      </c>
      <c r="J68" s="22">
        <f t="shared" si="17"/>
        <v>16.978899999999999</v>
      </c>
      <c r="K68" s="22">
        <f t="shared" si="18"/>
        <v>0</v>
      </c>
      <c r="L68" s="22">
        <f t="shared" si="19"/>
        <v>45.13</v>
      </c>
      <c r="M68" s="22">
        <f t="shared" si="20"/>
        <v>0</v>
      </c>
      <c r="N68" s="22">
        <f t="shared" si="21"/>
        <v>0</v>
      </c>
      <c r="O68" s="22">
        <f t="shared" si="22"/>
        <v>0</v>
      </c>
      <c r="P68" s="22">
        <f t="shared" si="23"/>
        <v>0</v>
      </c>
      <c r="Q68" s="22">
        <v>0</v>
      </c>
      <c r="R68" s="22">
        <f t="shared" si="24"/>
        <v>0</v>
      </c>
      <c r="S68" s="22">
        <f t="shared" si="25"/>
        <v>0</v>
      </c>
      <c r="T68" s="22">
        <f t="shared" si="26"/>
        <v>145.30551</v>
      </c>
      <c r="U68" s="22">
        <f t="shared" si="27"/>
        <v>1597.7144900000001</v>
      </c>
      <c r="V68" s="22">
        <f t="shared" si="28"/>
        <v>1697.8899999999999</v>
      </c>
      <c r="W68" s="22">
        <f t="shared" si="29"/>
        <v>169.78899999999999</v>
      </c>
      <c r="X68" s="22">
        <f>+'C&amp;A'!E69*0.02</f>
        <v>10.2256</v>
      </c>
      <c r="Y68" s="22">
        <f t="shared" si="30"/>
        <v>83.196609999999993</v>
      </c>
      <c r="Z68" s="22">
        <f t="shared" si="31"/>
        <v>1961.1012099999998</v>
      </c>
      <c r="AA68" s="22">
        <f t="shared" si="32"/>
        <v>313.7761936</v>
      </c>
      <c r="AB68" s="22">
        <f t="shared" si="33"/>
        <v>2274.8774036</v>
      </c>
      <c r="AC68" s="60">
        <f t="shared" si="52"/>
        <v>0</v>
      </c>
      <c r="AD68" s="62">
        <f>+U68-'C&amp;A'!L69-SINDICATO!P69</f>
        <v>0</v>
      </c>
      <c r="AE68" s="62">
        <f>+'C&amp;A'!L69+'C&amp;A'!J69+'C&amp;A'!H69+'C&amp;A'!G69+SINDICATO!E69-G68</f>
        <v>0</v>
      </c>
      <c r="AF68" s="62">
        <f t="shared" si="53"/>
        <v>0</v>
      </c>
      <c r="AG68" s="127" t="s">
        <v>381</v>
      </c>
      <c r="AH68" s="127" t="s">
        <v>754</v>
      </c>
      <c r="AI68" s="127"/>
      <c r="AJ68" s="127" t="s">
        <v>131</v>
      </c>
      <c r="AK68" s="127" t="s">
        <v>454</v>
      </c>
      <c r="AL68" s="127"/>
      <c r="AM68" s="127"/>
      <c r="AN68" s="127"/>
      <c r="AO68" s="151">
        <v>608.16</v>
      </c>
      <c r="AP68" s="162">
        <f t="shared" si="34"/>
        <v>0</v>
      </c>
      <c r="AQ68" s="151">
        <f t="shared" si="54"/>
        <v>608.16</v>
      </c>
      <c r="AR68" s="151">
        <f t="shared" si="36"/>
        <v>0</v>
      </c>
      <c r="AS68" s="151">
        <v>1134.8599999999999</v>
      </c>
      <c r="AT68" s="151"/>
      <c r="AU68" s="151"/>
      <c r="AV68" s="151"/>
      <c r="AW68" s="163">
        <v>45.13</v>
      </c>
      <c r="AX68" s="145">
        <f t="shared" si="55"/>
        <v>1697.8899999999999</v>
      </c>
      <c r="AY68" s="151"/>
      <c r="AZ68" s="151"/>
      <c r="BA68" s="151"/>
      <c r="BB68" s="151">
        <f t="shared" si="37"/>
        <v>83.196609999999993</v>
      </c>
      <c r="BC68" s="151">
        <f t="shared" si="38"/>
        <v>16.978899999999999</v>
      </c>
      <c r="BD68" s="151"/>
      <c r="BE68" s="104"/>
      <c r="BF68" s="104"/>
      <c r="BG68" s="127"/>
      <c r="BH68" s="127">
        <v>0</v>
      </c>
      <c r="BI68" s="145">
        <f t="shared" si="56"/>
        <v>1597.7144899999998</v>
      </c>
      <c r="BJ68" s="104">
        <f t="shared" si="39"/>
        <v>0</v>
      </c>
      <c r="BK68" s="145">
        <f t="shared" si="57"/>
        <v>1597.7144899999998</v>
      </c>
      <c r="BL68" s="104">
        <f t="shared" si="40"/>
        <v>169.78899999999999</v>
      </c>
      <c r="BM68" s="104">
        <v>10.23</v>
      </c>
      <c r="BN68" s="145">
        <f t="shared" si="58"/>
        <v>1877.9089999999999</v>
      </c>
      <c r="BO68" s="241"/>
      <c r="BP68" s="241"/>
      <c r="BQ68" s="241"/>
      <c r="BR68" s="107"/>
      <c r="BS68" s="107"/>
      <c r="BV68" s="127" t="s">
        <v>381</v>
      </c>
      <c r="BW68" s="127" t="s">
        <v>453</v>
      </c>
      <c r="BX68" s="127"/>
      <c r="BY68" s="127" t="s">
        <v>131</v>
      </c>
      <c r="BZ68" s="127" t="s">
        <v>454</v>
      </c>
      <c r="CA68" s="127"/>
      <c r="CB68" s="127"/>
      <c r="CC68" s="127"/>
      <c r="CD68" s="151">
        <v>608.16</v>
      </c>
      <c r="CE68" s="127"/>
      <c r="CF68" s="151">
        <f t="shared" si="59"/>
        <v>608.16</v>
      </c>
      <c r="CG68" s="151">
        <v>1134.8599999999999</v>
      </c>
      <c r="CH68" s="151"/>
      <c r="CI68" s="151"/>
      <c r="CJ68" s="151"/>
      <c r="CK68" s="163">
        <v>45.13</v>
      </c>
      <c r="CL68" s="145">
        <f t="shared" si="60"/>
        <v>1697.8899999999999</v>
      </c>
      <c r="CM68" s="151"/>
      <c r="CN68" s="151"/>
      <c r="CO68" s="151"/>
      <c r="CP68" s="151">
        <f>CL68*4.9%</f>
        <v>83.196609999999993</v>
      </c>
      <c r="CQ68" s="151">
        <f>CL68*1%</f>
        <v>16.978899999999999</v>
      </c>
      <c r="CR68" s="151"/>
      <c r="CS68" s="104">
        <f t="shared" si="41"/>
        <v>0</v>
      </c>
      <c r="CT68" s="104"/>
      <c r="CU68" s="127"/>
      <c r="CV68" s="127">
        <v>0</v>
      </c>
      <c r="CW68" s="145">
        <f t="shared" si="61"/>
        <v>1597.7144899999998</v>
      </c>
      <c r="CX68" s="104">
        <f t="shared" si="62"/>
        <v>0</v>
      </c>
      <c r="CY68" s="145">
        <f t="shared" si="63"/>
        <v>1597.7144899999998</v>
      </c>
      <c r="CZ68" s="104">
        <f t="shared" si="64"/>
        <v>169.78899999999999</v>
      </c>
      <c r="DA68" s="104">
        <v>10.23</v>
      </c>
      <c r="DB68" s="145">
        <f t="shared" si="65"/>
        <v>1877.9089999999999</v>
      </c>
      <c r="DC68" s="241"/>
      <c r="DD68" s="241"/>
      <c r="DE68" s="241"/>
      <c r="DF68" s="107"/>
      <c r="DG68" s="107"/>
      <c r="DJ68" s="21"/>
      <c r="DK68" s="21"/>
      <c r="DL68" s="21"/>
      <c r="DM68" s="21"/>
      <c r="DN68" s="21"/>
      <c r="DO68" s="60">
        <f>+U68-'C&amp;A'!L69-SINDICATO!P69</f>
        <v>0</v>
      </c>
    </row>
    <row r="69" spans="1:119" hidden="1" x14ac:dyDescent="0.25">
      <c r="A69" s="20" t="s">
        <v>133</v>
      </c>
      <c r="B69" s="21" t="s">
        <v>134</v>
      </c>
      <c r="C69" s="22">
        <f t="shared" si="12"/>
        <v>608.16</v>
      </c>
      <c r="D69" s="22">
        <v>0</v>
      </c>
      <c r="E69" s="22">
        <f t="shared" si="13"/>
        <v>2584.31</v>
      </c>
      <c r="F69" s="22">
        <v>0</v>
      </c>
      <c r="G69" s="22">
        <f t="shared" si="14"/>
        <v>3192.47</v>
      </c>
      <c r="H69" s="22">
        <f t="shared" si="15"/>
        <v>200</v>
      </c>
      <c r="I69" s="22">
        <f t="shared" si="16"/>
        <v>154.21966</v>
      </c>
      <c r="J69" s="22">
        <f t="shared" si="17"/>
        <v>31.473399999999998</v>
      </c>
      <c r="K69" s="22">
        <f t="shared" si="18"/>
        <v>321.74</v>
      </c>
      <c r="L69" s="22">
        <f t="shared" si="19"/>
        <v>45.13</v>
      </c>
      <c r="M69" s="22">
        <f t="shared" si="20"/>
        <v>0</v>
      </c>
      <c r="N69" s="22">
        <f t="shared" si="21"/>
        <v>0</v>
      </c>
      <c r="O69" s="22">
        <f t="shared" si="22"/>
        <v>0</v>
      </c>
      <c r="P69" s="22">
        <f t="shared" si="23"/>
        <v>0</v>
      </c>
      <c r="Q69" s="22">
        <v>0</v>
      </c>
      <c r="R69" s="22">
        <f t="shared" si="24"/>
        <v>0</v>
      </c>
      <c r="S69" s="22">
        <f t="shared" si="25"/>
        <v>0</v>
      </c>
      <c r="T69" s="22">
        <f t="shared" si="26"/>
        <v>752.56305999999995</v>
      </c>
      <c r="U69" s="22">
        <f t="shared" si="27"/>
        <v>2439.9069399999998</v>
      </c>
      <c r="V69" s="22">
        <f t="shared" si="28"/>
        <v>3147.3399999999997</v>
      </c>
      <c r="W69" s="22">
        <f t="shared" si="29"/>
        <v>314.73399999999998</v>
      </c>
      <c r="X69" s="22">
        <f>+'C&amp;A'!E70*0.02</f>
        <v>10.2256</v>
      </c>
      <c r="Y69" s="22">
        <f t="shared" si="30"/>
        <v>154.21966</v>
      </c>
      <c r="Z69" s="22">
        <f t="shared" si="31"/>
        <v>3626.51926</v>
      </c>
      <c r="AA69" s="22">
        <f t="shared" si="32"/>
        <v>580.24308159999998</v>
      </c>
      <c r="AB69" s="22">
        <f t="shared" si="33"/>
        <v>4206.7623415999997</v>
      </c>
      <c r="AC69" s="60">
        <f t="shared" si="52"/>
        <v>0</v>
      </c>
      <c r="AD69" s="62">
        <f>+U69-'C&amp;A'!L70-SINDICATO!P70</f>
        <v>0</v>
      </c>
      <c r="AE69" s="62">
        <f>+'C&amp;A'!L70+'C&amp;A'!J70+'C&amp;A'!H70+'C&amp;A'!G70+SINDICATO!E70-G69</f>
        <v>0</v>
      </c>
      <c r="AF69" s="62">
        <f t="shared" si="53"/>
        <v>0</v>
      </c>
      <c r="AG69" s="127" t="s">
        <v>381</v>
      </c>
      <c r="AH69" s="127" t="s">
        <v>755</v>
      </c>
      <c r="AI69" s="127"/>
      <c r="AJ69" s="127" t="s">
        <v>133</v>
      </c>
      <c r="AK69" s="127" t="s">
        <v>190</v>
      </c>
      <c r="AL69" s="127"/>
      <c r="AM69" s="127"/>
      <c r="AN69" s="127"/>
      <c r="AO69" s="151">
        <v>608.16</v>
      </c>
      <c r="AP69" s="162">
        <f t="shared" si="34"/>
        <v>0</v>
      </c>
      <c r="AQ69" s="151">
        <f t="shared" si="54"/>
        <v>608.16</v>
      </c>
      <c r="AR69" s="151">
        <f t="shared" si="36"/>
        <v>0</v>
      </c>
      <c r="AS69" s="151">
        <v>2584.31</v>
      </c>
      <c r="AT69" s="151"/>
      <c r="AU69" s="151"/>
      <c r="AV69" s="151"/>
      <c r="AW69" s="163">
        <v>45.13</v>
      </c>
      <c r="AX69" s="145">
        <f t="shared" si="55"/>
        <v>3147.3399999999997</v>
      </c>
      <c r="AY69" s="151"/>
      <c r="AZ69" s="151"/>
      <c r="BA69" s="151">
        <v>200</v>
      </c>
      <c r="BB69" s="151">
        <f t="shared" si="37"/>
        <v>154.21966</v>
      </c>
      <c r="BC69" s="151">
        <f t="shared" si="38"/>
        <v>31.473399999999998</v>
      </c>
      <c r="BD69" s="151">
        <v>321.74</v>
      </c>
      <c r="BE69" s="104"/>
      <c r="BF69" s="104"/>
      <c r="BG69" s="127"/>
      <c r="BH69" s="127">
        <v>0</v>
      </c>
      <c r="BI69" s="145">
        <f t="shared" si="56"/>
        <v>2439.9069399999998</v>
      </c>
      <c r="BJ69" s="104">
        <f t="shared" si="39"/>
        <v>0</v>
      </c>
      <c r="BK69" s="145">
        <f t="shared" si="57"/>
        <v>2439.9069399999998</v>
      </c>
      <c r="BL69" s="104">
        <f t="shared" si="40"/>
        <v>314.73399999999998</v>
      </c>
      <c r="BM69" s="104">
        <v>10.23</v>
      </c>
      <c r="BN69" s="145">
        <f t="shared" si="58"/>
        <v>3472.3039999999996</v>
      </c>
      <c r="BO69" s="241"/>
      <c r="BP69" s="241"/>
      <c r="BQ69" s="241"/>
      <c r="BR69" s="107"/>
      <c r="BS69" s="107"/>
      <c r="BV69" s="127" t="s">
        <v>381</v>
      </c>
      <c r="BW69" s="127" t="s">
        <v>455</v>
      </c>
      <c r="BX69" s="127"/>
      <c r="BY69" s="127" t="s">
        <v>133</v>
      </c>
      <c r="BZ69" s="127" t="s">
        <v>190</v>
      </c>
      <c r="CA69" s="127"/>
      <c r="CB69" s="127"/>
      <c r="CC69" s="127"/>
      <c r="CD69" s="151">
        <v>608.16</v>
      </c>
      <c r="CE69" s="127"/>
      <c r="CF69" s="151">
        <f t="shared" si="59"/>
        <v>608.16</v>
      </c>
      <c r="CG69" s="151">
        <v>2584.31</v>
      </c>
      <c r="CH69" s="151"/>
      <c r="CI69" s="151"/>
      <c r="CJ69" s="151"/>
      <c r="CK69" s="163">
        <v>45.13</v>
      </c>
      <c r="CL69" s="145">
        <f t="shared" si="60"/>
        <v>3147.3399999999997</v>
      </c>
      <c r="CM69" s="151"/>
      <c r="CN69" s="151"/>
      <c r="CO69" s="151">
        <v>200</v>
      </c>
      <c r="CP69" s="151">
        <f>CL69*4.9%</f>
        <v>154.21966</v>
      </c>
      <c r="CQ69" s="151">
        <f>CL69*1%</f>
        <v>31.473399999999998</v>
      </c>
      <c r="CR69" s="151">
        <v>321.74</v>
      </c>
      <c r="CS69" s="104">
        <f t="shared" si="41"/>
        <v>0</v>
      </c>
      <c r="CT69" s="104"/>
      <c r="CU69" s="127"/>
      <c r="CV69" s="127">
        <v>0</v>
      </c>
      <c r="CW69" s="145">
        <f t="shared" si="61"/>
        <v>2439.9069399999998</v>
      </c>
      <c r="CX69" s="104">
        <f t="shared" si="62"/>
        <v>0</v>
      </c>
      <c r="CY69" s="145">
        <f t="shared" si="63"/>
        <v>2439.9069399999998</v>
      </c>
      <c r="CZ69" s="104">
        <f t="shared" si="64"/>
        <v>314.73399999999998</v>
      </c>
      <c r="DA69" s="104">
        <v>10.23</v>
      </c>
      <c r="DB69" s="145">
        <f t="shared" si="65"/>
        <v>3472.3039999999996</v>
      </c>
      <c r="DC69" s="241"/>
      <c r="DD69" s="241"/>
      <c r="DE69" s="241"/>
      <c r="DF69" s="107"/>
      <c r="DG69" s="107"/>
      <c r="DJ69" s="21"/>
      <c r="DK69" s="21"/>
      <c r="DL69" s="21"/>
      <c r="DM69" s="21"/>
      <c r="DN69" s="21"/>
      <c r="DO69" s="60">
        <f>+U69-'C&amp;A'!L70-SINDICATO!P70</f>
        <v>0</v>
      </c>
    </row>
    <row r="70" spans="1:119" hidden="1" x14ac:dyDescent="0.25">
      <c r="A70" s="20" t="s">
        <v>199</v>
      </c>
      <c r="B70" s="21" t="s">
        <v>309</v>
      </c>
      <c r="C70" s="22">
        <f t="shared" si="12"/>
        <v>1166.6600000000001</v>
      </c>
      <c r="D70" s="22">
        <v>0</v>
      </c>
      <c r="E70" s="22">
        <f t="shared" si="13"/>
        <v>13296.42</v>
      </c>
      <c r="F70" s="22">
        <v>0</v>
      </c>
      <c r="G70" s="22">
        <f t="shared" si="14"/>
        <v>14463.08</v>
      </c>
      <c r="H70" s="22">
        <f t="shared" si="15"/>
        <v>0</v>
      </c>
      <c r="I70" s="22">
        <f t="shared" si="16"/>
        <v>0</v>
      </c>
      <c r="J70" s="22">
        <f t="shared" si="17"/>
        <v>0</v>
      </c>
      <c r="K70" s="22">
        <f t="shared" si="18"/>
        <v>0</v>
      </c>
      <c r="L70" s="22">
        <f t="shared" si="19"/>
        <v>45.13</v>
      </c>
      <c r="M70" s="22">
        <f t="shared" si="20"/>
        <v>0</v>
      </c>
      <c r="N70" s="22">
        <f t="shared" si="21"/>
        <v>291.5</v>
      </c>
      <c r="O70" s="22">
        <f t="shared" si="22"/>
        <v>1441.7950000000001</v>
      </c>
      <c r="P70" s="22">
        <f t="shared" si="23"/>
        <v>0</v>
      </c>
      <c r="Q70" s="22">
        <v>0</v>
      </c>
      <c r="R70" s="22">
        <f t="shared" si="24"/>
        <v>0</v>
      </c>
      <c r="S70" s="22">
        <f t="shared" si="25"/>
        <v>0</v>
      </c>
      <c r="T70" s="22">
        <f t="shared" si="26"/>
        <v>1778.4250000000002</v>
      </c>
      <c r="U70" s="22">
        <f t="shared" si="27"/>
        <v>12684.654999999999</v>
      </c>
      <c r="V70" s="22">
        <f t="shared" si="28"/>
        <v>14417.95</v>
      </c>
      <c r="W70" s="22">
        <f t="shared" si="29"/>
        <v>0</v>
      </c>
      <c r="X70" s="22">
        <f>+'C&amp;A'!E71*0.02</f>
        <v>10.2256</v>
      </c>
      <c r="Y70" s="22">
        <f t="shared" si="30"/>
        <v>0</v>
      </c>
      <c r="Z70" s="22">
        <f t="shared" si="31"/>
        <v>14428.1756</v>
      </c>
      <c r="AA70" s="22">
        <f t="shared" si="32"/>
        <v>2308.508096</v>
      </c>
      <c r="AB70" s="22">
        <f t="shared" si="33"/>
        <v>16736.683696</v>
      </c>
      <c r="AC70" s="60">
        <f t="shared" si="52"/>
        <v>0</v>
      </c>
      <c r="AD70" s="62">
        <f>+U70-'C&amp;A'!L71-SINDICATO!P71</f>
        <v>0</v>
      </c>
      <c r="AE70" s="62">
        <f>+'C&amp;A'!L71+'C&amp;A'!J71+'C&amp;A'!H71+'C&amp;A'!G71+SINDICATO!E71-G70</f>
        <v>0</v>
      </c>
      <c r="AF70" s="62">
        <f t="shared" si="53"/>
        <v>0</v>
      </c>
      <c r="AG70" s="127" t="s">
        <v>377</v>
      </c>
      <c r="AH70" s="127" t="s">
        <v>480</v>
      </c>
      <c r="AI70" s="127" t="s">
        <v>32</v>
      </c>
      <c r="AJ70" s="273" t="s">
        <v>199</v>
      </c>
      <c r="AK70" s="127" t="s">
        <v>189</v>
      </c>
      <c r="AL70" s="127"/>
      <c r="AM70" s="127"/>
      <c r="AN70" s="127"/>
      <c r="AO70" s="151">
        <v>513.33000000000004</v>
      </c>
      <c r="AP70" s="162">
        <f t="shared" si="34"/>
        <v>653.33000000000004</v>
      </c>
      <c r="AQ70" s="151">
        <f t="shared" si="54"/>
        <v>1166.6600000000001</v>
      </c>
      <c r="AR70" s="151">
        <f t="shared" si="36"/>
        <v>0</v>
      </c>
      <c r="AS70" s="151">
        <v>13296.42</v>
      </c>
      <c r="AT70" s="151"/>
      <c r="AU70" s="151"/>
      <c r="AV70" s="151"/>
      <c r="AW70" s="163">
        <v>45.13</v>
      </c>
      <c r="AX70" s="145">
        <f t="shared" si="55"/>
        <v>14417.95</v>
      </c>
      <c r="AY70" s="151"/>
      <c r="AZ70" s="151"/>
      <c r="BA70" s="151"/>
      <c r="BB70" s="151">
        <f t="shared" si="37"/>
        <v>0</v>
      </c>
      <c r="BC70" s="151">
        <f t="shared" si="38"/>
        <v>0</v>
      </c>
      <c r="BD70" s="151"/>
      <c r="BE70" s="104"/>
      <c r="BF70" s="104"/>
      <c r="BG70" s="127"/>
      <c r="BH70" s="127">
        <v>291.5</v>
      </c>
      <c r="BI70" s="145">
        <f t="shared" si="56"/>
        <v>14126.45</v>
      </c>
      <c r="BJ70" s="104">
        <f t="shared" si="39"/>
        <v>1441.7950000000001</v>
      </c>
      <c r="BK70" s="145">
        <f t="shared" si="57"/>
        <v>12684.655000000001</v>
      </c>
      <c r="BL70" s="104">
        <f t="shared" si="40"/>
        <v>0</v>
      </c>
      <c r="BM70" s="104">
        <v>10.23</v>
      </c>
      <c r="BN70" s="145">
        <f t="shared" si="58"/>
        <v>14428.18</v>
      </c>
      <c r="BO70" s="241"/>
      <c r="BP70" s="241"/>
      <c r="BQ70" s="241"/>
      <c r="BR70" s="107"/>
      <c r="BS70" s="107"/>
      <c r="BV70" s="127" t="s">
        <v>377</v>
      </c>
      <c r="BW70" s="127" t="s">
        <v>480</v>
      </c>
      <c r="BX70" s="127" t="s">
        <v>32</v>
      </c>
      <c r="BY70" s="273" t="s">
        <v>199</v>
      </c>
      <c r="BZ70" s="127" t="s">
        <v>189</v>
      </c>
      <c r="CA70" s="127"/>
      <c r="CB70" s="127"/>
      <c r="CC70" s="127"/>
      <c r="CD70" s="151">
        <v>513.33000000000004</v>
      </c>
      <c r="CE70" s="127">
        <v>653.33000000000004</v>
      </c>
      <c r="CF70" s="151">
        <f t="shared" si="59"/>
        <v>1166.6600000000001</v>
      </c>
      <c r="CG70" s="151">
        <v>13296.42</v>
      </c>
      <c r="CH70" s="151"/>
      <c r="CI70" s="151"/>
      <c r="CJ70" s="151"/>
      <c r="CK70" s="163">
        <v>45.13</v>
      </c>
      <c r="CL70" s="145">
        <f t="shared" si="60"/>
        <v>14417.95</v>
      </c>
      <c r="CM70" s="151"/>
      <c r="CN70" s="151"/>
      <c r="CO70" s="151"/>
      <c r="CP70" s="151"/>
      <c r="CQ70" s="151"/>
      <c r="CR70" s="151"/>
      <c r="CS70" s="104">
        <f t="shared" si="41"/>
        <v>0</v>
      </c>
      <c r="CT70" s="104"/>
      <c r="CU70" s="127"/>
      <c r="CV70" s="127">
        <v>291.5</v>
      </c>
      <c r="CW70" s="145">
        <f t="shared" si="61"/>
        <v>14126.45</v>
      </c>
      <c r="CX70" s="104">
        <f t="shared" si="62"/>
        <v>1441.7950000000001</v>
      </c>
      <c r="CY70" s="145">
        <f t="shared" si="63"/>
        <v>12684.655000000001</v>
      </c>
      <c r="CZ70" s="104">
        <f t="shared" si="64"/>
        <v>0</v>
      </c>
      <c r="DA70" s="104">
        <v>10.23</v>
      </c>
      <c r="DB70" s="145">
        <f t="shared" si="65"/>
        <v>14428.18</v>
      </c>
      <c r="DC70" s="241"/>
      <c r="DD70" s="241"/>
      <c r="DE70" s="241"/>
      <c r="DF70" s="107"/>
      <c r="DG70" s="107"/>
      <c r="DJ70" s="21"/>
      <c r="DK70" s="21"/>
      <c r="DL70" s="21"/>
      <c r="DM70" s="21"/>
      <c r="DN70" s="21"/>
      <c r="DO70" s="60">
        <f>+U70-'C&amp;A'!L71-SINDICATO!P71</f>
        <v>0</v>
      </c>
    </row>
    <row r="71" spans="1:119" hidden="1" x14ac:dyDescent="0.25">
      <c r="A71" s="20" t="s">
        <v>137</v>
      </c>
      <c r="B71" s="21" t="s">
        <v>138</v>
      </c>
      <c r="C71" s="22">
        <f t="shared" ref="C71:C91" si="66">AQ71</f>
        <v>608.16</v>
      </c>
      <c r="D71" s="22">
        <v>0</v>
      </c>
      <c r="E71" s="22">
        <f t="shared" ref="E71:E91" si="67">+AS71</f>
        <v>373.3</v>
      </c>
      <c r="F71" s="22">
        <v>0</v>
      </c>
      <c r="G71" s="22">
        <f t="shared" si="14"/>
        <v>981.46</v>
      </c>
      <c r="H71" s="22">
        <f t="shared" si="15"/>
        <v>0</v>
      </c>
      <c r="I71" s="22">
        <f t="shared" si="16"/>
        <v>45.880170000000007</v>
      </c>
      <c r="J71" s="22">
        <f t="shared" si="17"/>
        <v>9.3633000000000006</v>
      </c>
      <c r="K71" s="22">
        <f t="shared" si="18"/>
        <v>0</v>
      </c>
      <c r="L71" s="22">
        <f t="shared" si="19"/>
        <v>45.13</v>
      </c>
      <c r="M71" s="22">
        <f t="shared" si="20"/>
        <v>0</v>
      </c>
      <c r="N71" s="22">
        <f t="shared" si="21"/>
        <v>0</v>
      </c>
      <c r="O71" s="22">
        <f t="shared" si="22"/>
        <v>0</v>
      </c>
      <c r="P71" s="22">
        <f t="shared" si="23"/>
        <v>0</v>
      </c>
      <c r="Q71" s="22">
        <v>0</v>
      </c>
      <c r="R71" s="22">
        <f t="shared" si="24"/>
        <v>0</v>
      </c>
      <c r="S71" s="22">
        <f t="shared" si="25"/>
        <v>0</v>
      </c>
      <c r="T71" s="22">
        <f t="shared" si="26"/>
        <v>100.37347000000001</v>
      </c>
      <c r="U71" s="22">
        <f t="shared" si="27"/>
        <v>881.08653000000004</v>
      </c>
      <c r="V71" s="22">
        <f t="shared" si="28"/>
        <v>936.33</v>
      </c>
      <c r="W71" s="22">
        <f t="shared" si="29"/>
        <v>93.63300000000001</v>
      </c>
      <c r="X71" s="22">
        <f>+'C&amp;A'!E72*0.02</f>
        <v>10.2256</v>
      </c>
      <c r="Y71" s="22">
        <f t="shared" si="30"/>
        <v>45.880170000000007</v>
      </c>
      <c r="Z71" s="22">
        <f t="shared" si="31"/>
        <v>1086.0687699999999</v>
      </c>
      <c r="AA71" s="22">
        <f t="shared" si="32"/>
        <v>173.77100319999997</v>
      </c>
      <c r="AB71" s="22">
        <f t="shared" si="33"/>
        <v>1259.8397731999999</v>
      </c>
      <c r="AC71" s="60">
        <f t="shared" si="52"/>
        <v>0</v>
      </c>
      <c r="AD71" s="62">
        <f>+U71-'C&amp;A'!L72-SINDICATO!P72</f>
        <v>0</v>
      </c>
      <c r="AE71" s="62">
        <f>+'C&amp;A'!L72+'C&amp;A'!J72+'C&amp;A'!H72+'C&amp;A'!G72+SINDICATO!E72-G71</f>
        <v>0</v>
      </c>
      <c r="AF71" s="62">
        <f t="shared" si="53"/>
        <v>0</v>
      </c>
      <c r="AG71" s="127" t="s">
        <v>381</v>
      </c>
      <c r="AH71" s="127" t="s">
        <v>457</v>
      </c>
      <c r="AI71" s="127"/>
      <c r="AJ71" s="127" t="s">
        <v>259</v>
      </c>
      <c r="AK71" s="127" t="s">
        <v>190</v>
      </c>
      <c r="AL71" s="127"/>
      <c r="AM71" s="127"/>
      <c r="AN71" s="127"/>
      <c r="AO71" s="151">
        <v>608.16</v>
      </c>
      <c r="AP71" s="162">
        <f t="shared" si="34"/>
        <v>0</v>
      </c>
      <c r="AQ71" s="151">
        <f t="shared" ref="AQ71:AQ91" si="68">+AO71+AP71</f>
        <v>608.16</v>
      </c>
      <c r="AR71" s="151">
        <f t="shared" si="36"/>
        <v>0</v>
      </c>
      <c r="AS71" s="151">
        <v>373.3</v>
      </c>
      <c r="AT71" s="151"/>
      <c r="AU71" s="151"/>
      <c r="AV71" s="151"/>
      <c r="AW71" s="163">
        <v>45.13</v>
      </c>
      <c r="AX71" s="145">
        <f t="shared" ref="AX71:AX91" si="69">SUM(AQ71:AV71)-AW71</f>
        <v>936.33</v>
      </c>
      <c r="AY71" s="151"/>
      <c r="AZ71" s="151"/>
      <c r="BA71" s="151">
        <v>0</v>
      </c>
      <c r="BB71" s="151">
        <f t="shared" si="37"/>
        <v>45.880170000000007</v>
      </c>
      <c r="BC71" s="151">
        <f t="shared" si="38"/>
        <v>9.3633000000000006</v>
      </c>
      <c r="BD71" s="151"/>
      <c r="BE71" s="104"/>
      <c r="BF71" s="104"/>
      <c r="BG71" s="127"/>
      <c r="BH71" s="127">
        <v>0</v>
      </c>
      <c r="BI71" s="145">
        <f t="shared" ref="BI71:BI91" si="70">+AX71-SUM(AY71:BH71)</f>
        <v>881.08653000000004</v>
      </c>
      <c r="BJ71" s="104">
        <f t="shared" si="39"/>
        <v>0</v>
      </c>
      <c r="BK71" s="145">
        <f t="shared" ref="BK71:BK90" si="71">+BI71-BJ71</f>
        <v>881.08653000000004</v>
      </c>
      <c r="BL71" s="104">
        <f t="shared" si="40"/>
        <v>93.63300000000001</v>
      </c>
      <c r="BM71" s="104">
        <v>10.23</v>
      </c>
      <c r="BN71" s="145">
        <f t="shared" si="58"/>
        <v>1040.193</v>
      </c>
      <c r="BO71" s="241"/>
      <c r="BP71" s="241"/>
      <c r="BQ71" s="241"/>
      <c r="BR71" s="107"/>
      <c r="BS71" s="107"/>
      <c r="BV71" s="127" t="s">
        <v>381</v>
      </c>
      <c r="BW71" s="127" t="s">
        <v>457</v>
      </c>
      <c r="BX71" s="127"/>
      <c r="BY71" s="127" t="s">
        <v>259</v>
      </c>
      <c r="BZ71" s="127" t="s">
        <v>190</v>
      </c>
      <c r="CA71" s="127"/>
      <c r="CB71" s="127"/>
      <c r="CC71" s="127"/>
      <c r="CD71" s="151">
        <v>608.16</v>
      </c>
      <c r="CE71" s="127"/>
      <c r="CF71" s="151">
        <f t="shared" si="59"/>
        <v>608.16</v>
      </c>
      <c r="CG71" s="151">
        <v>373.3</v>
      </c>
      <c r="CH71" s="151"/>
      <c r="CI71" s="151"/>
      <c r="CJ71" s="151"/>
      <c r="CK71" s="163">
        <v>45.13</v>
      </c>
      <c r="CL71" s="145">
        <f t="shared" si="60"/>
        <v>936.33</v>
      </c>
      <c r="CM71" s="151"/>
      <c r="CN71" s="151"/>
      <c r="CO71" s="151">
        <v>0</v>
      </c>
      <c r="CP71" s="151">
        <f>CL71*4.9%</f>
        <v>45.880170000000007</v>
      </c>
      <c r="CQ71" s="151">
        <f>CL71*1%</f>
        <v>9.3633000000000006</v>
      </c>
      <c r="CR71" s="151"/>
      <c r="CS71" s="104">
        <f t="shared" si="41"/>
        <v>0</v>
      </c>
      <c r="CT71" s="104"/>
      <c r="CU71" s="127"/>
      <c r="CV71" s="127">
        <v>0</v>
      </c>
      <c r="CW71" s="145">
        <f t="shared" si="61"/>
        <v>881.08653000000004</v>
      </c>
      <c r="CX71" s="104">
        <f t="shared" si="62"/>
        <v>0</v>
      </c>
      <c r="CY71" s="145">
        <f t="shared" si="63"/>
        <v>881.08653000000004</v>
      </c>
      <c r="CZ71" s="104">
        <f t="shared" si="64"/>
        <v>93.63300000000001</v>
      </c>
      <c r="DA71" s="104">
        <v>10.23</v>
      </c>
      <c r="DB71" s="145">
        <f t="shared" si="65"/>
        <v>1040.193</v>
      </c>
      <c r="DC71" s="241"/>
      <c r="DD71" s="241"/>
      <c r="DE71" s="241"/>
      <c r="DF71" s="107"/>
      <c r="DG71" s="107"/>
      <c r="DJ71" s="21"/>
      <c r="DK71" s="21"/>
      <c r="DL71" s="21"/>
      <c r="DM71" s="21"/>
      <c r="DN71" s="21"/>
      <c r="DO71" s="60">
        <f>+U71-'C&amp;A'!L72-SINDICATO!P72</f>
        <v>0</v>
      </c>
    </row>
    <row r="72" spans="1:119" hidden="1" x14ac:dyDescent="0.25">
      <c r="A72" s="20" t="s">
        <v>139</v>
      </c>
      <c r="B72" s="21" t="s">
        <v>140</v>
      </c>
      <c r="C72" s="22">
        <f t="shared" si="66"/>
        <v>1516.67</v>
      </c>
      <c r="D72" s="22">
        <v>0</v>
      </c>
      <c r="E72" s="22">
        <f t="shared" si="67"/>
        <v>0</v>
      </c>
      <c r="F72" s="22">
        <v>0</v>
      </c>
      <c r="G72" s="22">
        <f t="shared" ref="G72:G91" si="72">SUM(C72:F72)</f>
        <v>1516.67</v>
      </c>
      <c r="H72" s="22">
        <f t="shared" ref="H72:H91" si="73">+BA72</f>
        <v>0</v>
      </c>
      <c r="I72" s="22">
        <f t="shared" ref="I72:I91" si="74">+BB72</f>
        <v>0</v>
      </c>
      <c r="J72" s="22">
        <f t="shared" ref="J72:J91" si="75">+BC72</f>
        <v>0</v>
      </c>
      <c r="K72" s="22">
        <f t="shared" ref="K72:K91" si="76">+BD72</f>
        <v>0</v>
      </c>
      <c r="L72" s="22">
        <f t="shared" ref="L72:L91" si="77">+AW72</f>
        <v>45.13</v>
      </c>
      <c r="M72" s="22">
        <f t="shared" ref="M72:M91" si="78">+BG72</f>
        <v>0</v>
      </c>
      <c r="N72" s="22">
        <f t="shared" ref="N72:N91" si="79">+BH72</f>
        <v>0</v>
      </c>
      <c r="O72" s="22">
        <f t="shared" ref="O72:O91" si="80">+BJ72</f>
        <v>0</v>
      </c>
      <c r="P72" s="22">
        <f t="shared" ref="P72:P91" si="81">+AZ72</f>
        <v>0</v>
      </c>
      <c r="Q72" s="22">
        <v>0</v>
      </c>
      <c r="R72" s="22">
        <f t="shared" ref="R72:R91" si="82">+BE72</f>
        <v>0</v>
      </c>
      <c r="S72" s="22">
        <f t="shared" ref="S72:S91" si="83">+BF72</f>
        <v>0</v>
      </c>
      <c r="T72" s="22">
        <f t="shared" ref="T72:T91" si="84">SUM(H72:S72)</f>
        <v>45.13</v>
      </c>
      <c r="U72" s="22">
        <f t="shared" ref="U72:U91" si="85">+G72-T72</f>
        <v>1471.54</v>
      </c>
      <c r="V72" s="22">
        <f t="shared" si="28"/>
        <v>1471.54</v>
      </c>
      <c r="W72" s="22">
        <f t="shared" ref="W72:W91" si="86">+BL72</f>
        <v>147.154</v>
      </c>
      <c r="X72" s="22">
        <f>+'C&amp;A'!E73*0.02</f>
        <v>10.2256</v>
      </c>
      <c r="Y72" s="22">
        <f t="shared" ref="Y72:Y91" si="87">+I72</f>
        <v>0</v>
      </c>
      <c r="Z72" s="22">
        <f t="shared" ref="Z72:Z91" si="88">SUM(V72:Y72)</f>
        <v>1628.9195999999999</v>
      </c>
      <c r="AA72" s="22">
        <f t="shared" ref="AA72:AA91" si="89">+Z72*0.16</f>
        <v>260.62713600000001</v>
      </c>
      <c r="AB72" s="22">
        <f t="shared" ref="AB72:AB91" si="90">+Z72+AA72</f>
        <v>1889.546736</v>
      </c>
      <c r="AC72" s="60">
        <f t="shared" si="52"/>
        <v>0</v>
      </c>
      <c r="AD72" s="62">
        <f>+U72-'C&amp;A'!L73-SINDICATO!P73</f>
        <v>0</v>
      </c>
      <c r="AE72" s="62">
        <f>+'C&amp;A'!L73+'C&amp;A'!J73+'C&amp;A'!H73+'C&amp;A'!G73+SINDICATO!E73-G72</f>
        <v>0</v>
      </c>
      <c r="AF72" s="62">
        <f t="shared" si="53"/>
        <v>0</v>
      </c>
      <c r="AG72" s="127" t="s">
        <v>375</v>
      </c>
      <c r="AH72" s="127" t="s">
        <v>458</v>
      </c>
      <c r="AI72" s="127"/>
      <c r="AJ72" s="127" t="s">
        <v>139</v>
      </c>
      <c r="AK72" s="127" t="s">
        <v>186</v>
      </c>
      <c r="AL72" s="127"/>
      <c r="AM72" s="127"/>
      <c r="AN72" s="127"/>
      <c r="AO72" s="151">
        <v>1516.67</v>
      </c>
      <c r="AP72" s="162">
        <f t="shared" si="34"/>
        <v>0</v>
      </c>
      <c r="AQ72" s="151">
        <f t="shared" si="68"/>
        <v>1516.67</v>
      </c>
      <c r="AR72" s="151">
        <f t="shared" si="36"/>
        <v>0</v>
      </c>
      <c r="AS72" s="151"/>
      <c r="AT72" s="151"/>
      <c r="AU72" s="151"/>
      <c r="AV72" s="151"/>
      <c r="AW72" s="163">
        <v>45.13</v>
      </c>
      <c r="AX72" s="145">
        <f t="shared" si="69"/>
        <v>1471.54</v>
      </c>
      <c r="AY72" s="151"/>
      <c r="AZ72" s="151"/>
      <c r="BA72" s="151">
        <v>0</v>
      </c>
      <c r="BB72" s="151">
        <f t="shared" si="37"/>
        <v>0</v>
      </c>
      <c r="BC72" s="151">
        <f t="shared" si="38"/>
        <v>0</v>
      </c>
      <c r="BD72" s="151"/>
      <c r="BE72" s="104"/>
      <c r="BF72" s="104"/>
      <c r="BG72" s="127"/>
      <c r="BH72" s="127">
        <v>0</v>
      </c>
      <c r="BI72" s="145">
        <f t="shared" si="70"/>
        <v>1471.54</v>
      </c>
      <c r="BJ72" s="104">
        <f t="shared" si="39"/>
        <v>0</v>
      </c>
      <c r="BK72" s="145">
        <f t="shared" si="71"/>
        <v>1471.54</v>
      </c>
      <c r="BL72" s="104">
        <f t="shared" si="40"/>
        <v>147.154</v>
      </c>
      <c r="BM72" s="104">
        <v>10.23</v>
      </c>
      <c r="BN72" s="145">
        <f t="shared" si="58"/>
        <v>1628.924</v>
      </c>
      <c r="BO72" s="241"/>
      <c r="BP72" s="241"/>
      <c r="BQ72" s="241"/>
      <c r="BR72" s="107"/>
      <c r="BS72" s="107"/>
      <c r="BV72" s="127" t="s">
        <v>375</v>
      </c>
      <c r="BW72" s="127" t="s">
        <v>458</v>
      </c>
      <c r="BX72" s="127"/>
      <c r="BY72" s="127" t="s">
        <v>139</v>
      </c>
      <c r="BZ72" s="127" t="s">
        <v>186</v>
      </c>
      <c r="CA72" s="127"/>
      <c r="CB72" s="127"/>
      <c r="CC72" s="127"/>
      <c r="CD72" s="151">
        <v>1516.67</v>
      </c>
      <c r="CE72" s="127"/>
      <c r="CF72" s="151">
        <f t="shared" si="59"/>
        <v>1516.67</v>
      </c>
      <c r="CG72" s="151"/>
      <c r="CH72" s="151"/>
      <c r="CI72" s="151"/>
      <c r="CJ72" s="151"/>
      <c r="CK72" s="163">
        <v>45.13</v>
      </c>
      <c r="CL72" s="145">
        <f t="shared" si="60"/>
        <v>1471.54</v>
      </c>
      <c r="CM72" s="151"/>
      <c r="CN72" s="151"/>
      <c r="CO72" s="151">
        <v>0</v>
      </c>
      <c r="CP72" s="151"/>
      <c r="CQ72" s="151"/>
      <c r="CR72" s="151"/>
      <c r="CS72" s="104">
        <f t="shared" si="41"/>
        <v>0</v>
      </c>
      <c r="CT72" s="104"/>
      <c r="CU72" s="127"/>
      <c r="CV72" s="127">
        <v>0</v>
      </c>
      <c r="CW72" s="145">
        <f t="shared" si="61"/>
        <v>1471.54</v>
      </c>
      <c r="CX72" s="104">
        <f t="shared" si="62"/>
        <v>0</v>
      </c>
      <c r="CY72" s="145">
        <f t="shared" si="63"/>
        <v>1471.54</v>
      </c>
      <c r="CZ72" s="104">
        <f t="shared" si="64"/>
        <v>147.154</v>
      </c>
      <c r="DA72" s="104">
        <v>10.23</v>
      </c>
      <c r="DB72" s="145">
        <f t="shared" si="65"/>
        <v>1628.924</v>
      </c>
      <c r="DC72" s="241"/>
      <c r="DD72" s="241"/>
      <c r="DE72" s="241"/>
      <c r="DF72" s="107"/>
      <c r="DG72" s="107"/>
      <c r="DJ72" s="21"/>
      <c r="DK72" s="21"/>
      <c r="DL72" s="21"/>
      <c r="DM72" s="21"/>
      <c r="DN72" s="21"/>
      <c r="DO72" s="60">
        <f>+U72-'C&amp;A'!L73-SINDICATO!P73</f>
        <v>0</v>
      </c>
    </row>
    <row r="73" spans="1:119" hidden="1" x14ac:dyDescent="0.25">
      <c r="A73" s="50" t="s">
        <v>509</v>
      </c>
      <c r="B73" s="21" t="s">
        <v>510</v>
      </c>
      <c r="C73" s="22">
        <f t="shared" si="66"/>
        <v>739.23</v>
      </c>
      <c r="D73" s="22">
        <v>0</v>
      </c>
      <c r="E73" s="22">
        <f t="shared" si="67"/>
        <v>1523.52</v>
      </c>
      <c r="F73" s="22">
        <v>0</v>
      </c>
      <c r="G73" s="22">
        <f t="shared" si="72"/>
        <v>2262.75</v>
      </c>
      <c r="H73" s="22">
        <f t="shared" si="73"/>
        <v>0</v>
      </c>
      <c r="I73" s="22">
        <f t="shared" si="74"/>
        <v>0</v>
      </c>
      <c r="J73" s="22">
        <f t="shared" si="75"/>
        <v>0</v>
      </c>
      <c r="K73" s="22">
        <f t="shared" si="76"/>
        <v>0</v>
      </c>
      <c r="L73" s="22">
        <f t="shared" si="77"/>
        <v>45.13</v>
      </c>
      <c r="M73" s="22">
        <f t="shared" si="78"/>
        <v>0</v>
      </c>
      <c r="N73" s="22">
        <f t="shared" si="79"/>
        <v>0</v>
      </c>
      <c r="O73" s="22">
        <f t="shared" si="80"/>
        <v>0</v>
      </c>
      <c r="P73" s="22">
        <f t="shared" si="81"/>
        <v>0</v>
      </c>
      <c r="Q73" s="22">
        <v>0</v>
      </c>
      <c r="R73" s="22">
        <f t="shared" si="82"/>
        <v>0</v>
      </c>
      <c r="S73" s="22">
        <f t="shared" si="83"/>
        <v>0</v>
      </c>
      <c r="T73" s="22">
        <f t="shared" si="84"/>
        <v>45.13</v>
      </c>
      <c r="U73" s="22">
        <f t="shared" si="85"/>
        <v>2217.62</v>
      </c>
      <c r="V73" s="22">
        <f t="shared" ref="V73:V91" si="91">+G73-L73-P73-Q73</f>
        <v>2217.62</v>
      </c>
      <c r="W73" s="22">
        <f t="shared" si="86"/>
        <v>221.762</v>
      </c>
      <c r="X73" s="22">
        <f>+'C&amp;A'!E74*0.02</f>
        <v>10.2256</v>
      </c>
      <c r="Y73" s="22">
        <f t="shared" si="87"/>
        <v>0</v>
      </c>
      <c r="Z73" s="22">
        <f t="shared" si="88"/>
        <v>2449.6076000000003</v>
      </c>
      <c r="AA73" s="22">
        <f t="shared" si="89"/>
        <v>391.93721600000003</v>
      </c>
      <c r="AB73" s="22">
        <f t="shared" si="90"/>
        <v>2841.5448160000005</v>
      </c>
      <c r="AC73" s="60">
        <f t="shared" ref="AC73:AC91" si="92">+U73-BK73</f>
        <v>0</v>
      </c>
      <c r="AD73" s="62">
        <f>+U73-'C&amp;A'!L74-SINDICATO!P74</f>
        <v>0</v>
      </c>
      <c r="AE73" s="62">
        <f>+'C&amp;A'!L74+'C&amp;A'!J74+'C&amp;A'!H74+'C&amp;A'!G74+SINDICATO!E74-G73</f>
        <v>0</v>
      </c>
      <c r="AF73" s="62">
        <f t="shared" ref="AF73:AF91" si="93">+AQ73-CF73</f>
        <v>0</v>
      </c>
      <c r="AG73" s="127" t="s">
        <v>383</v>
      </c>
      <c r="AH73" s="127" t="s">
        <v>756</v>
      </c>
      <c r="AI73" s="127"/>
      <c r="AJ73" s="127"/>
      <c r="AK73" s="127" t="s">
        <v>177</v>
      </c>
      <c r="AL73" s="165">
        <v>42416</v>
      </c>
      <c r="AM73" s="127"/>
      <c r="AN73" s="127"/>
      <c r="AO73" s="151">
        <v>739.23</v>
      </c>
      <c r="AP73" s="162">
        <f t="shared" ref="AP73:AP91" si="94">+CE73</f>
        <v>0</v>
      </c>
      <c r="AQ73" s="151">
        <f t="shared" si="68"/>
        <v>739.23</v>
      </c>
      <c r="AR73" s="151">
        <f t="shared" ref="AR73:AR91" si="95">+AQ73-CF73</f>
        <v>0</v>
      </c>
      <c r="AS73" s="151">
        <v>1523.52</v>
      </c>
      <c r="AT73" s="151"/>
      <c r="AU73" s="151"/>
      <c r="AV73" s="151"/>
      <c r="AW73" s="163">
        <v>45.13</v>
      </c>
      <c r="AX73" s="145">
        <f t="shared" si="69"/>
        <v>2217.62</v>
      </c>
      <c r="AY73" s="151"/>
      <c r="AZ73" s="151"/>
      <c r="BA73" s="151">
        <v>0</v>
      </c>
      <c r="BB73" s="151">
        <f t="shared" ref="BB73:BB91" si="96">+CP73</f>
        <v>0</v>
      </c>
      <c r="BC73" s="151">
        <f t="shared" ref="BC73:BC91" si="97">+CQ73</f>
        <v>0</v>
      </c>
      <c r="BD73" s="151"/>
      <c r="BE73" s="104"/>
      <c r="BF73" s="104"/>
      <c r="BG73" s="127"/>
      <c r="BH73" s="127">
        <v>0</v>
      </c>
      <c r="BI73" s="145">
        <f t="shared" si="70"/>
        <v>2217.62</v>
      </c>
      <c r="BJ73" s="104">
        <f t="shared" ref="BJ73:BJ91" si="98">+CX73</f>
        <v>0</v>
      </c>
      <c r="BK73" s="145">
        <f t="shared" si="71"/>
        <v>2217.62</v>
      </c>
      <c r="BL73" s="104">
        <f t="shared" ref="BL73:BL91" si="99">+CZ73</f>
        <v>221.762</v>
      </c>
      <c r="BM73" s="104">
        <v>10.23</v>
      </c>
      <c r="BN73" s="145">
        <f t="shared" ref="BN73:BN91" si="100">+AX73+BL73+BM73</f>
        <v>2449.6120000000001</v>
      </c>
      <c r="BO73" s="241"/>
      <c r="BP73" s="241"/>
      <c r="BQ73" s="241"/>
      <c r="BR73" s="107"/>
      <c r="BS73" s="107"/>
      <c r="BV73" s="127" t="s">
        <v>383</v>
      </c>
      <c r="BW73" s="127" t="s">
        <v>459</v>
      </c>
      <c r="BX73" s="127"/>
      <c r="BY73" s="127"/>
      <c r="BZ73" s="127" t="s">
        <v>177</v>
      </c>
      <c r="CA73" s="165">
        <v>42416</v>
      </c>
      <c r="CB73" s="127"/>
      <c r="CC73" s="127"/>
      <c r="CD73" s="151">
        <v>739.23</v>
      </c>
      <c r="CE73" s="127"/>
      <c r="CF73" s="151">
        <f t="shared" si="59"/>
        <v>739.23</v>
      </c>
      <c r="CG73" s="151">
        <v>1523.52</v>
      </c>
      <c r="CH73" s="151"/>
      <c r="CI73" s="151"/>
      <c r="CJ73" s="151"/>
      <c r="CK73" s="163">
        <v>45.13</v>
      </c>
      <c r="CL73" s="145">
        <f t="shared" si="60"/>
        <v>2217.62</v>
      </c>
      <c r="CM73" s="151"/>
      <c r="CN73" s="151"/>
      <c r="CO73" s="151">
        <v>0</v>
      </c>
      <c r="CP73" s="151"/>
      <c r="CQ73" s="151"/>
      <c r="CR73" s="151"/>
      <c r="CS73" s="104">
        <f t="shared" ref="CS73:CS91" si="101">+BE73</f>
        <v>0</v>
      </c>
      <c r="CT73" s="104"/>
      <c r="CU73" s="127"/>
      <c r="CV73" s="127">
        <v>0</v>
      </c>
      <c r="CW73" s="145">
        <f t="shared" si="61"/>
        <v>2217.62</v>
      </c>
      <c r="CX73" s="104">
        <f t="shared" si="62"/>
        <v>0</v>
      </c>
      <c r="CY73" s="145">
        <f t="shared" si="63"/>
        <v>2217.62</v>
      </c>
      <c r="CZ73" s="104">
        <f t="shared" si="64"/>
        <v>221.762</v>
      </c>
      <c r="DA73" s="104">
        <v>10.23</v>
      </c>
      <c r="DB73" s="145">
        <f t="shared" si="65"/>
        <v>2449.6120000000001</v>
      </c>
      <c r="DC73" s="241"/>
      <c r="DD73" s="241"/>
      <c r="DE73" s="241"/>
      <c r="DF73" s="107"/>
      <c r="DG73" s="107"/>
      <c r="DJ73" s="21"/>
      <c r="DK73" s="21"/>
      <c r="DL73" s="21"/>
      <c r="DM73" s="21"/>
      <c r="DN73" s="21"/>
      <c r="DO73" s="60">
        <f>+U73-'C&amp;A'!L74-SINDICATO!P74</f>
        <v>0</v>
      </c>
    </row>
    <row r="74" spans="1:119" hidden="1" x14ac:dyDescent="0.25">
      <c r="A74" s="20" t="s">
        <v>141</v>
      </c>
      <c r="B74" s="21" t="s">
        <v>142</v>
      </c>
      <c r="C74" s="22">
        <f t="shared" si="66"/>
        <v>511.28</v>
      </c>
      <c r="D74" s="22">
        <v>0</v>
      </c>
      <c r="E74" s="22">
        <f t="shared" si="67"/>
        <v>3524.4</v>
      </c>
      <c r="F74" s="22">
        <v>0</v>
      </c>
      <c r="G74" s="22">
        <f t="shared" si="72"/>
        <v>4035.6800000000003</v>
      </c>
      <c r="H74" s="22">
        <f t="shared" si="73"/>
        <v>300</v>
      </c>
      <c r="I74" s="22">
        <f t="shared" si="74"/>
        <v>0</v>
      </c>
      <c r="J74" s="22">
        <f t="shared" si="75"/>
        <v>0</v>
      </c>
      <c r="K74" s="22">
        <f t="shared" si="76"/>
        <v>0</v>
      </c>
      <c r="L74" s="22">
        <f t="shared" si="77"/>
        <v>45.13</v>
      </c>
      <c r="M74" s="22">
        <f t="shared" si="78"/>
        <v>0</v>
      </c>
      <c r="N74" s="22">
        <f t="shared" si="79"/>
        <v>971.68</v>
      </c>
      <c r="O74" s="22">
        <f t="shared" si="80"/>
        <v>399.05500000000006</v>
      </c>
      <c r="P74" s="22">
        <f t="shared" si="81"/>
        <v>0</v>
      </c>
      <c r="Q74" s="22">
        <v>0</v>
      </c>
      <c r="R74" s="22">
        <f t="shared" si="82"/>
        <v>0</v>
      </c>
      <c r="S74" s="22">
        <f t="shared" si="83"/>
        <v>0</v>
      </c>
      <c r="T74" s="22">
        <f t="shared" si="84"/>
        <v>1715.865</v>
      </c>
      <c r="U74" s="22">
        <f t="shared" si="85"/>
        <v>2319.8150000000005</v>
      </c>
      <c r="V74" s="22">
        <f t="shared" si="91"/>
        <v>3990.55</v>
      </c>
      <c r="W74" s="22">
        <f t="shared" si="86"/>
        <v>0</v>
      </c>
      <c r="X74" s="22">
        <f>+'C&amp;A'!E75*0.02</f>
        <v>10.2256</v>
      </c>
      <c r="Y74" s="22">
        <f t="shared" si="87"/>
        <v>0</v>
      </c>
      <c r="Z74" s="22">
        <f t="shared" si="88"/>
        <v>4000.7756000000004</v>
      </c>
      <c r="AA74" s="22">
        <f t="shared" si="89"/>
        <v>640.12409600000012</v>
      </c>
      <c r="AB74" s="22">
        <f t="shared" si="90"/>
        <v>4640.8996960000004</v>
      </c>
      <c r="AC74" s="60">
        <f t="shared" si="92"/>
        <v>0</v>
      </c>
      <c r="AD74" s="62">
        <f>+U74-'C&amp;A'!L75-SINDICATO!P75</f>
        <v>0</v>
      </c>
      <c r="AE74" s="62">
        <f>+'C&amp;A'!L75+'C&amp;A'!J75+'C&amp;A'!H75+'C&amp;A'!G75+SINDICATO!E75-G74</f>
        <v>0</v>
      </c>
      <c r="AF74" s="62">
        <f t="shared" si="93"/>
        <v>0</v>
      </c>
      <c r="AG74" s="127" t="s">
        <v>381</v>
      </c>
      <c r="AH74" s="127" t="s">
        <v>460</v>
      </c>
      <c r="AI74" s="127"/>
      <c r="AJ74" s="127" t="s">
        <v>141</v>
      </c>
      <c r="AK74" s="127" t="s">
        <v>195</v>
      </c>
      <c r="AL74" s="127"/>
      <c r="AM74" s="127"/>
      <c r="AN74" s="127"/>
      <c r="AO74" s="151">
        <v>511.28</v>
      </c>
      <c r="AP74" s="162">
        <f t="shared" si="94"/>
        <v>0</v>
      </c>
      <c r="AQ74" s="151">
        <f t="shared" si="68"/>
        <v>511.28</v>
      </c>
      <c r="AR74" s="151">
        <f t="shared" si="95"/>
        <v>0</v>
      </c>
      <c r="AS74" s="151">
        <v>3524.4</v>
      </c>
      <c r="AT74" s="151"/>
      <c r="AU74" s="151"/>
      <c r="AV74" s="151"/>
      <c r="AW74" s="163">
        <v>45.13</v>
      </c>
      <c r="AX74" s="145">
        <f t="shared" si="69"/>
        <v>3990.55</v>
      </c>
      <c r="AY74" s="151"/>
      <c r="AZ74" s="151"/>
      <c r="BA74" s="151">
        <v>300</v>
      </c>
      <c r="BB74" s="151">
        <f t="shared" si="96"/>
        <v>0</v>
      </c>
      <c r="BC74" s="151">
        <f t="shared" si="97"/>
        <v>0</v>
      </c>
      <c r="BD74" s="151"/>
      <c r="BE74" s="104"/>
      <c r="BF74" s="104"/>
      <c r="BG74" s="127"/>
      <c r="BH74" s="127">
        <f>831.77+139.91</f>
        <v>971.68</v>
      </c>
      <c r="BI74" s="145">
        <f t="shared" si="70"/>
        <v>2718.8700000000003</v>
      </c>
      <c r="BJ74" s="104">
        <f t="shared" si="98"/>
        <v>399.05500000000006</v>
      </c>
      <c r="BK74" s="145">
        <f t="shared" si="71"/>
        <v>2319.8150000000005</v>
      </c>
      <c r="BL74" s="104">
        <f t="shared" si="99"/>
        <v>0</v>
      </c>
      <c r="BM74" s="104">
        <v>10.23</v>
      </c>
      <c r="BN74" s="145">
        <f t="shared" si="100"/>
        <v>4000.78</v>
      </c>
      <c r="BO74" s="241"/>
      <c r="BP74" s="241"/>
      <c r="BQ74" s="241"/>
      <c r="BR74" s="107"/>
      <c r="BS74" s="107"/>
      <c r="BV74" s="127" t="s">
        <v>381</v>
      </c>
      <c r="BW74" s="127" t="s">
        <v>460</v>
      </c>
      <c r="BX74" s="127"/>
      <c r="BY74" s="127" t="s">
        <v>141</v>
      </c>
      <c r="BZ74" s="127" t="s">
        <v>195</v>
      </c>
      <c r="CA74" s="127"/>
      <c r="CB74" s="127"/>
      <c r="CC74" s="127"/>
      <c r="CD74" s="151">
        <v>511.28</v>
      </c>
      <c r="CE74" s="127"/>
      <c r="CF74" s="151">
        <f t="shared" si="59"/>
        <v>511.28</v>
      </c>
      <c r="CG74" s="151">
        <v>3524.4</v>
      </c>
      <c r="CH74" s="151"/>
      <c r="CI74" s="151"/>
      <c r="CJ74" s="151"/>
      <c r="CK74" s="163">
        <v>45.13</v>
      </c>
      <c r="CL74" s="145">
        <f t="shared" si="60"/>
        <v>3990.55</v>
      </c>
      <c r="CM74" s="151"/>
      <c r="CN74" s="151"/>
      <c r="CO74" s="151">
        <v>300</v>
      </c>
      <c r="CP74" s="151"/>
      <c r="CQ74" s="151"/>
      <c r="CR74" s="151"/>
      <c r="CS74" s="104">
        <f t="shared" si="101"/>
        <v>0</v>
      </c>
      <c r="CT74" s="104"/>
      <c r="CU74" s="127"/>
      <c r="CV74" s="127">
        <f>831.77+139.91</f>
        <v>971.68</v>
      </c>
      <c r="CW74" s="145">
        <f t="shared" si="61"/>
        <v>2718.8700000000003</v>
      </c>
      <c r="CX74" s="104">
        <f t="shared" si="62"/>
        <v>399.05500000000006</v>
      </c>
      <c r="CY74" s="145">
        <f t="shared" si="63"/>
        <v>2319.8150000000005</v>
      </c>
      <c r="CZ74" s="104">
        <f t="shared" si="64"/>
        <v>0</v>
      </c>
      <c r="DA74" s="104">
        <v>10.23</v>
      </c>
      <c r="DB74" s="145">
        <f t="shared" si="65"/>
        <v>4000.78</v>
      </c>
      <c r="DC74" s="241"/>
      <c r="DD74" s="241"/>
      <c r="DE74" s="241"/>
      <c r="DF74" s="107"/>
      <c r="DG74" s="107"/>
      <c r="DJ74" s="21"/>
      <c r="DK74" s="21"/>
      <c r="DL74" s="21"/>
      <c r="DM74" s="21"/>
      <c r="DN74" s="21"/>
      <c r="DO74" s="60">
        <f>+U74-'C&amp;A'!L75-SINDICATO!P75</f>
        <v>0</v>
      </c>
    </row>
    <row r="75" spans="1:119" hidden="1" x14ac:dyDescent="0.25">
      <c r="A75" s="20" t="s">
        <v>143</v>
      </c>
      <c r="B75" s="21" t="s">
        <v>144</v>
      </c>
      <c r="C75" s="22">
        <f t="shared" si="66"/>
        <v>1166.26</v>
      </c>
      <c r="D75" s="22">
        <v>0</v>
      </c>
      <c r="E75" s="22">
        <f t="shared" si="67"/>
        <v>1117.3399999999999</v>
      </c>
      <c r="F75" s="22">
        <v>0</v>
      </c>
      <c r="G75" s="22">
        <f t="shared" si="72"/>
        <v>2283.6</v>
      </c>
      <c r="H75" s="22">
        <f t="shared" si="73"/>
        <v>0</v>
      </c>
      <c r="I75" s="22">
        <f t="shared" si="74"/>
        <v>0</v>
      </c>
      <c r="J75" s="22">
        <f t="shared" si="75"/>
        <v>0</v>
      </c>
      <c r="K75" s="22">
        <f t="shared" si="76"/>
        <v>0</v>
      </c>
      <c r="L75" s="22">
        <f t="shared" si="77"/>
        <v>45.13</v>
      </c>
      <c r="M75" s="22">
        <f t="shared" si="78"/>
        <v>0</v>
      </c>
      <c r="N75" s="22">
        <f t="shared" si="79"/>
        <v>0</v>
      </c>
      <c r="O75" s="22">
        <f t="shared" si="80"/>
        <v>0</v>
      </c>
      <c r="P75" s="22">
        <f t="shared" si="81"/>
        <v>0</v>
      </c>
      <c r="Q75" s="22">
        <v>0</v>
      </c>
      <c r="R75" s="22">
        <f t="shared" si="82"/>
        <v>0</v>
      </c>
      <c r="S75" s="22">
        <f t="shared" si="83"/>
        <v>0</v>
      </c>
      <c r="T75" s="22">
        <f t="shared" si="84"/>
        <v>45.13</v>
      </c>
      <c r="U75" s="22">
        <f t="shared" si="85"/>
        <v>2238.4699999999998</v>
      </c>
      <c r="V75" s="22">
        <f t="shared" si="91"/>
        <v>2238.4699999999998</v>
      </c>
      <c r="W75" s="22">
        <f t="shared" si="86"/>
        <v>223.84699999999998</v>
      </c>
      <c r="X75" s="22">
        <f>+'C&amp;A'!E76*0.02</f>
        <v>10.2256</v>
      </c>
      <c r="Y75" s="22">
        <f t="shared" si="87"/>
        <v>0</v>
      </c>
      <c r="Z75" s="22">
        <f t="shared" si="88"/>
        <v>2472.5426000000002</v>
      </c>
      <c r="AA75" s="22">
        <f t="shared" si="89"/>
        <v>395.60681600000004</v>
      </c>
      <c r="AB75" s="22">
        <f t="shared" si="90"/>
        <v>2868.1494160000002</v>
      </c>
      <c r="AC75" s="60">
        <f t="shared" si="92"/>
        <v>0</v>
      </c>
      <c r="AD75" s="62">
        <f>+U75-'C&amp;A'!L76-SINDICATO!P76</f>
        <v>0</v>
      </c>
      <c r="AE75" s="62">
        <f>+'C&amp;A'!L76+'C&amp;A'!J76+'C&amp;A'!H76+'C&amp;A'!G76+SINDICATO!E76-G75</f>
        <v>0</v>
      </c>
      <c r="AF75" s="62">
        <f t="shared" si="93"/>
        <v>0</v>
      </c>
      <c r="AG75" s="127" t="s">
        <v>375</v>
      </c>
      <c r="AH75" s="127" t="s">
        <v>757</v>
      </c>
      <c r="AI75" s="127"/>
      <c r="AJ75" s="127" t="s">
        <v>143</v>
      </c>
      <c r="AK75" s="127" t="s">
        <v>179</v>
      </c>
      <c r="AL75" s="127"/>
      <c r="AM75" s="127"/>
      <c r="AN75" s="127"/>
      <c r="AO75" s="151">
        <v>1166.26</v>
      </c>
      <c r="AP75" s="162">
        <f t="shared" si="94"/>
        <v>0</v>
      </c>
      <c r="AQ75" s="151">
        <f t="shared" si="68"/>
        <v>1166.26</v>
      </c>
      <c r="AR75" s="151">
        <f t="shared" si="95"/>
        <v>0</v>
      </c>
      <c r="AS75" s="151">
        <v>1117.3399999999999</v>
      </c>
      <c r="AT75" s="151"/>
      <c r="AU75" s="151"/>
      <c r="AV75" s="151"/>
      <c r="AW75" s="163">
        <v>45.13</v>
      </c>
      <c r="AX75" s="145">
        <f t="shared" si="69"/>
        <v>2238.4699999999998</v>
      </c>
      <c r="AY75" s="151"/>
      <c r="AZ75" s="151"/>
      <c r="BA75" s="151">
        <v>0</v>
      </c>
      <c r="BB75" s="151">
        <f t="shared" si="96"/>
        <v>0</v>
      </c>
      <c r="BC75" s="151">
        <f t="shared" si="97"/>
        <v>0</v>
      </c>
      <c r="BD75" s="151"/>
      <c r="BE75" s="104"/>
      <c r="BF75" s="104"/>
      <c r="BG75" s="127"/>
      <c r="BH75" s="127">
        <v>0</v>
      </c>
      <c r="BI75" s="145">
        <f t="shared" si="70"/>
        <v>2238.4699999999998</v>
      </c>
      <c r="BJ75" s="104">
        <f t="shared" si="98"/>
        <v>0</v>
      </c>
      <c r="BK75" s="145">
        <f t="shared" si="71"/>
        <v>2238.4699999999998</v>
      </c>
      <c r="BL75" s="104">
        <f t="shared" si="99"/>
        <v>223.84699999999998</v>
      </c>
      <c r="BM75" s="104">
        <v>10.23</v>
      </c>
      <c r="BN75" s="145">
        <f t="shared" si="100"/>
        <v>2472.547</v>
      </c>
      <c r="BO75" s="241"/>
      <c r="BP75" s="241"/>
      <c r="BQ75" s="241"/>
      <c r="BR75" s="107"/>
      <c r="BS75" s="107"/>
      <c r="BV75" s="127" t="s">
        <v>375</v>
      </c>
      <c r="BW75" s="127" t="s">
        <v>461</v>
      </c>
      <c r="BX75" s="127"/>
      <c r="BY75" s="127" t="s">
        <v>143</v>
      </c>
      <c r="BZ75" s="127" t="s">
        <v>179</v>
      </c>
      <c r="CA75" s="127"/>
      <c r="CB75" s="127"/>
      <c r="CC75" s="127"/>
      <c r="CD75" s="151">
        <v>1166.26</v>
      </c>
      <c r="CE75" s="162"/>
      <c r="CF75" s="151">
        <f t="shared" si="59"/>
        <v>1166.26</v>
      </c>
      <c r="CG75" s="151">
        <v>1117.3399999999999</v>
      </c>
      <c r="CH75" s="151"/>
      <c r="CI75" s="151"/>
      <c r="CJ75" s="151"/>
      <c r="CK75" s="163">
        <v>45.13</v>
      </c>
      <c r="CL75" s="145">
        <f t="shared" si="60"/>
        <v>2238.4699999999998</v>
      </c>
      <c r="CM75" s="151"/>
      <c r="CN75" s="151"/>
      <c r="CO75" s="151">
        <v>0</v>
      </c>
      <c r="CP75" s="151"/>
      <c r="CQ75" s="151"/>
      <c r="CR75" s="151"/>
      <c r="CS75" s="104">
        <f t="shared" si="101"/>
        <v>0</v>
      </c>
      <c r="CT75" s="104"/>
      <c r="CU75" s="127"/>
      <c r="CV75" s="127">
        <v>0</v>
      </c>
      <c r="CW75" s="145">
        <f t="shared" si="61"/>
        <v>2238.4699999999998</v>
      </c>
      <c r="CX75" s="104">
        <f t="shared" si="62"/>
        <v>0</v>
      </c>
      <c r="CY75" s="145">
        <f t="shared" si="63"/>
        <v>2238.4699999999998</v>
      </c>
      <c r="CZ75" s="104">
        <f t="shared" si="64"/>
        <v>223.84699999999998</v>
      </c>
      <c r="DA75" s="104">
        <v>10.23</v>
      </c>
      <c r="DB75" s="145">
        <f t="shared" si="65"/>
        <v>2472.547</v>
      </c>
      <c r="DC75" s="241"/>
      <c r="DD75" s="241"/>
      <c r="DE75" s="241"/>
      <c r="DF75" s="107"/>
      <c r="DG75" s="107"/>
      <c r="DJ75" s="21"/>
      <c r="DK75" s="21"/>
      <c r="DL75" s="21"/>
      <c r="DM75" s="21"/>
      <c r="DN75" s="21"/>
      <c r="DO75" s="60">
        <f>+U75-'C&amp;A'!L76-SINDICATO!P76</f>
        <v>0</v>
      </c>
    </row>
    <row r="76" spans="1:119" x14ac:dyDescent="0.25">
      <c r="A76" s="20" t="s">
        <v>188</v>
      </c>
      <c r="B76" s="21" t="s">
        <v>758</v>
      </c>
      <c r="C76" s="22">
        <f t="shared" si="66"/>
        <v>1100</v>
      </c>
      <c r="D76" s="22">
        <v>0</v>
      </c>
      <c r="E76" s="22">
        <f t="shared" si="67"/>
        <v>0</v>
      </c>
      <c r="F76" s="22">
        <v>0</v>
      </c>
      <c r="G76" s="22">
        <f t="shared" si="72"/>
        <v>1100</v>
      </c>
      <c r="H76" s="22">
        <f t="shared" si="73"/>
        <v>0</v>
      </c>
      <c r="I76" s="22">
        <f t="shared" si="74"/>
        <v>0</v>
      </c>
      <c r="J76" s="22">
        <f t="shared" si="75"/>
        <v>0</v>
      </c>
      <c r="K76" s="22">
        <f t="shared" si="76"/>
        <v>0</v>
      </c>
      <c r="L76" s="22">
        <f t="shared" si="77"/>
        <v>45.13</v>
      </c>
      <c r="M76" s="22">
        <f t="shared" si="78"/>
        <v>0</v>
      </c>
      <c r="N76" s="22">
        <f t="shared" si="79"/>
        <v>0</v>
      </c>
      <c r="O76" s="22">
        <f t="shared" si="80"/>
        <v>0</v>
      </c>
      <c r="P76" s="22">
        <f t="shared" si="81"/>
        <v>0</v>
      </c>
      <c r="Q76" s="22">
        <v>0</v>
      </c>
      <c r="R76" s="22">
        <f t="shared" si="82"/>
        <v>0</v>
      </c>
      <c r="S76" s="22">
        <f t="shared" si="83"/>
        <v>0</v>
      </c>
      <c r="T76" s="22">
        <f t="shared" si="84"/>
        <v>45.13</v>
      </c>
      <c r="U76" s="22">
        <f t="shared" si="85"/>
        <v>1054.8699999999999</v>
      </c>
      <c r="V76" s="22">
        <f t="shared" si="91"/>
        <v>1054.8699999999999</v>
      </c>
      <c r="W76" s="22">
        <f t="shared" si="86"/>
        <v>105.48699999999999</v>
      </c>
      <c r="X76" s="22">
        <f>+'C&amp;A'!E77*0.02</f>
        <v>10.2256</v>
      </c>
      <c r="Y76" s="22">
        <f t="shared" si="87"/>
        <v>0</v>
      </c>
      <c r="Z76" s="22">
        <f t="shared" si="88"/>
        <v>1170.5826</v>
      </c>
      <c r="AA76" s="22">
        <f t="shared" si="89"/>
        <v>187.293216</v>
      </c>
      <c r="AB76" s="22">
        <f t="shared" si="90"/>
        <v>1357.875816</v>
      </c>
      <c r="AC76" s="60">
        <f t="shared" si="92"/>
        <v>0</v>
      </c>
      <c r="AD76" s="62">
        <f>+U76-'C&amp;A'!L77-SINDICATO!P77</f>
        <v>0</v>
      </c>
      <c r="AE76" s="62">
        <f>+'C&amp;A'!L77+'C&amp;A'!J77+'C&amp;A'!H77+'C&amp;A'!G77+SINDICATO!E77-G76</f>
        <v>0</v>
      </c>
      <c r="AF76" s="62">
        <f t="shared" si="93"/>
        <v>0</v>
      </c>
      <c r="AG76" s="127" t="s">
        <v>431</v>
      </c>
      <c r="AH76" s="127" t="s">
        <v>759</v>
      </c>
      <c r="AI76" s="127"/>
      <c r="AJ76" s="127" t="s">
        <v>188</v>
      </c>
      <c r="AK76" s="127" t="s">
        <v>185</v>
      </c>
      <c r="AL76" s="127"/>
      <c r="AM76" s="127"/>
      <c r="AN76" s="127"/>
      <c r="AO76" s="151">
        <v>1100</v>
      </c>
      <c r="AP76" s="162">
        <f t="shared" si="94"/>
        <v>0</v>
      </c>
      <c r="AQ76" s="151">
        <f t="shared" si="68"/>
        <v>1100</v>
      </c>
      <c r="AR76" s="151">
        <f t="shared" si="95"/>
        <v>0</v>
      </c>
      <c r="AS76" s="151"/>
      <c r="AT76" s="151"/>
      <c r="AU76" s="151"/>
      <c r="AV76" s="151"/>
      <c r="AW76" s="163">
        <v>45.13</v>
      </c>
      <c r="AX76" s="145">
        <f t="shared" si="69"/>
        <v>1054.8699999999999</v>
      </c>
      <c r="AY76" s="151"/>
      <c r="AZ76" s="151"/>
      <c r="BA76" s="151">
        <v>0</v>
      </c>
      <c r="BB76" s="151">
        <f t="shared" si="96"/>
        <v>0</v>
      </c>
      <c r="BC76" s="151">
        <f t="shared" si="97"/>
        <v>0</v>
      </c>
      <c r="BD76" s="151"/>
      <c r="BE76" s="104"/>
      <c r="BF76" s="104"/>
      <c r="BG76" s="127"/>
      <c r="BH76" s="127">
        <v>0</v>
      </c>
      <c r="BI76" s="145">
        <f t="shared" si="70"/>
        <v>1054.8699999999999</v>
      </c>
      <c r="BJ76" s="104">
        <f t="shared" si="98"/>
        <v>0</v>
      </c>
      <c r="BK76" s="145">
        <f t="shared" si="71"/>
        <v>1054.8699999999999</v>
      </c>
      <c r="BL76" s="104">
        <f t="shared" si="99"/>
        <v>105.48699999999999</v>
      </c>
      <c r="BM76" s="104">
        <v>10.23</v>
      </c>
      <c r="BN76" s="145">
        <f t="shared" si="100"/>
        <v>1170.587</v>
      </c>
      <c r="BO76" s="241"/>
      <c r="BP76" s="241"/>
      <c r="BQ76" s="241"/>
      <c r="BR76" s="107"/>
      <c r="BS76" s="107"/>
      <c r="BV76" s="127" t="s">
        <v>431</v>
      </c>
      <c r="BW76" s="127" t="s">
        <v>759</v>
      </c>
      <c r="BX76" s="127"/>
      <c r="BY76" s="127" t="s">
        <v>188</v>
      </c>
      <c r="BZ76" s="127" t="s">
        <v>185</v>
      </c>
      <c r="CA76" s="127"/>
      <c r="CB76" s="127"/>
      <c r="CC76" s="127"/>
      <c r="CD76" s="151">
        <v>1100</v>
      </c>
      <c r="CE76" s="127"/>
      <c r="CF76" s="151">
        <f t="shared" si="59"/>
        <v>1100</v>
      </c>
      <c r="CG76" s="151"/>
      <c r="CH76" s="151"/>
      <c r="CI76" s="151"/>
      <c r="CJ76" s="151"/>
      <c r="CK76" s="163">
        <v>45.13</v>
      </c>
      <c r="CL76" s="145">
        <f t="shared" si="60"/>
        <v>1054.8699999999999</v>
      </c>
      <c r="CM76" s="151"/>
      <c r="CN76" s="151"/>
      <c r="CO76" s="151">
        <v>0</v>
      </c>
      <c r="CP76" s="151"/>
      <c r="CQ76" s="151"/>
      <c r="CR76" s="151"/>
      <c r="CS76" s="104">
        <f t="shared" si="101"/>
        <v>0</v>
      </c>
      <c r="CT76" s="104"/>
      <c r="CU76" s="127"/>
      <c r="CV76" s="127">
        <v>0</v>
      </c>
      <c r="CW76" s="145">
        <f t="shared" si="61"/>
        <v>1054.8699999999999</v>
      </c>
      <c r="CX76" s="104">
        <f t="shared" si="62"/>
        <v>0</v>
      </c>
      <c r="CY76" s="145">
        <f t="shared" si="63"/>
        <v>1054.8699999999999</v>
      </c>
      <c r="CZ76" s="104">
        <f t="shared" si="64"/>
        <v>105.48699999999999</v>
      </c>
      <c r="DA76" s="104">
        <v>10.23</v>
      </c>
      <c r="DB76" s="145">
        <f t="shared" si="65"/>
        <v>1170.587</v>
      </c>
      <c r="DC76" s="241"/>
      <c r="DD76" s="241"/>
      <c r="DE76" s="241"/>
      <c r="DF76" s="107"/>
      <c r="DG76" s="107"/>
      <c r="DJ76" s="21"/>
      <c r="DK76" s="21"/>
      <c r="DL76" s="21"/>
      <c r="DM76" s="21"/>
      <c r="DN76" s="21"/>
      <c r="DO76" s="60">
        <f>+U76-'C&amp;A'!L77-SINDICATO!P77</f>
        <v>0</v>
      </c>
    </row>
    <row r="77" spans="1:119" hidden="1" x14ac:dyDescent="0.25">
      <c r="A77" s="20" t="s">
        <v>148</v>
      </c>
      <c r="B77" s="21" t="s">
        <v>149</v>
      </c>
      <c r="C77" s="22">
        <f t="shared" si="66"/>
        <v>513.33000000000004</v>
      </c>
      <c r="D77" s="22">
        <v>0</v>
      </c>
      <c r="E77" s="22">
        <f t="shared" si="67"/>
        <v>2000</v>
      </c>
      <c r="F77" s="22">
        <v>0</v>
      </c>
      <c r="G77" s="22">
        <f t="shared" si="72"/>
        <v>2513.33</v>
      </c>
      <c r="H77" s="22">
        <f t="shared" si="73"/>
        <v>0</v>
      </c>
      <c r="I77" s="22">
        <f t="shared" si="74"/>
        <v>0</v>
      </c>
      <c r="J77" s="22">
        <f t="shared" si="75"/>
        <v>0</v>
      </c>
      <c r="K77" s="22">
        <f t="shared" si="76"/>
        <v>0</v>
      </c>
      <c r="L77" s="22">
        <f t="shared" si="77"/>
        <v>45.13</v>
      </c>
      <c r="M77" s="22">
        <f t="shared" si="78"/>
        <v>0</v>
      </c>
      <c r="N77" s="22">
        <f t="shared" si="79"/>
        <v>0</v>
      </c>
      <c r="O77" s="22">
        <f t="shared" si="80"/>
        <v>0</v>
      </c>
      <c r="P77" s="22">
        <f t="shared" si="81"/>
        <v>58.91</v>
      </c>
      <c r="Q77" s="22">
        <v>0</v>
      </c>
      <c r="R77" s="22">
        <f t="shared" si="82"/>
        <v>0</v>
      </c>
      <c r="S77" s="22">
        <f t="shared" si="83"/>
        <v>0</v>
      </c>
      <c r="T77" s="22">
        <f t="shared" si="84"/>
        <v>104.03999999999999</v>
      </c>
      <c r="U77" s="22">
        <f t="shared" si="85"/>
        <v>2409.29</v>
      </c>
      <c r="V77" s="22">
        <f t="shared" si="91"/>
        <v>2409.29</v>
      </c>
      <c r="W77" s="22">
        <f t="shared" si="86"/>
        <v>246.82</v>
      </c>
      <c r="X77" s="22">
        <f>+'C&amp;A'!E78*0.02</f>
        <v>10.2256</v>
      </c>
      <c r="Y77" s="22">
        <f t="shared" si="87"/>
        <v>0</v>
      </c>
      <c r="Z77" s="22">
        <f t="shared" si="88"/>
        <v>2666.3356000000003</v>
      </c>
      <c r="AA77" s="22">
        <f t="shared" si="89"/>
        <v>426.61369600000006</v>
      </c>
      <c r="AB77" s="22">
        <f t="shared" si="90"/>
        <v>3092.9492960000002</v>
      </c>
      <c r="AC77" s="60">
        <f t="shared" si="92"/>
        <v>0</v>
      </c>
      <c r="AD77" s="62">
        <f>+U77-'C&amp;A'!L78-SINDICATO!P78</f>
        <v>0</v>
      </c>
      <c r="AE77" s="62">
        <f>+'C&amp;A'!L78+'C&amp;A'!J78+'C&amp;A'!H78+'C&amp;A'!G78+SINDICATO!E78-G77</f>
        <v>0</v>
      </c>
      <c r="AF77" s="62">
        <f t="shared" si="93"/>
        <v>0</v>
      </c>
      <c r="AG77" s="127" t="s">
        <v>377</v>
      </c>
      <c r="AH77" s="127" t="s">
        <v>464</v>
      </c>
      <c r="AI77" s="127" t="s">
        <v>30</v>
      </c>
      <c r="AJ77" s="127" t="s">
        <v>148</v>
      </c>
      <c r="AK77" s="127" t="s">
        <v>189</v>
      </c>
      <c r="AL77" s="127"/>
      <c r="AM77" s="127"/>
      <c r="AN77" s="127"/>
      <c r="AO77" s="151">
        <v>513.33000000000004</v>
      </c>
      <c r="AP77" s="162">
        <f t="shared" si="94"/>
        <v>0</v>
      </c>
      <c r="AQ77" s="151">
        <f t="shared" si="68"/>
        <v>513.33000000000004</v>
      </c>
      <c r="AR77" s="151">
        <f t="shared" si="95"/>
        <v>0</v>
      </c>
      <c r="AS77" s="151">
        <v>2000</v>
      </c>
      <c r="AT77" s="151"/>
      <c r="AU77" s="151"/>
      <c r="AV77" s="151"/>
      <c r="AW77" s="163">
        <v>45.13</v>
      </c>
      <c r="AX77" s="145">
        <f t="shared" si="69"/>
        <v>2468.1999999999998</v>
      </c>
      <c r="AY77" s="151"/>
      <c r="AZ77" s="151">
        <v>58.91</v>
      </c>
      <c r="BA77" s="151">
        <v>0</v>
      </c>
      <c r="BB77" s="151">
        <f t="shared" si="96"/>
        <v>0</v>
      </c>
      <c r="BC77" s="151">
        <f t="shared" si="97"/>
        <v>0</v>
      </c>
      <c r="BD77" s="151"/>
      <c r="BE77" s="104"/>
      <c r="BF77" s="104"/>
      <c r="BG77" s="127"/>
      <c r="BH77" s="127">
        <v>0</v>
      </c>
      <c r="BI77" s="145">
        <f t="shared" si="70"/>
        <v>2409.29</v>
      </c>
      <c r="BJ77" s="104">
        <f t="shared" si="98"/>
        <v>0</v>
      </c>
      <c r="BK77" s="145">
        <f t="shared" si="71"/>
        <v>2409.29</v>
      </c>
      <c r="BL77" s="104">
        <f t="shared" si="99"/>
        <v>246.82</v>
      </c>
      <c r="BM77" s="104">
        <v>10.23</v>
      </c>
      <c r="BN77" s="145">
        <f t="shared" si="100"/>
        <v>2725.25</v>
      </c>
      <c r="BO77" s="241"/>
      <c r="BP77" s="241"/>
      <c r="BQ77" s="241"/>
      <c r="BR77" s="107"/>
      <c r="BS77" s="107"/>
      <c r="BV77" s="127" t="s">
        <v>377</v>
      </c>
      <c r="BW77" s="127" t="s">
        <v>464</v>
      </c>
      <c r="BX77" s="127" t="s">
        <v>30</v>
      </c>
      <c r="BY77" s="127" t="s">
        <v>148</v>
      </c>
      <c r="BZ77" s="127" t="s">
        <v>189</v>
      </c>
      <c r="CA77" s="127"/>
      <c r="CB77" s="127"/>
      <c r="CC77" s="127"/>
      <c r="CD77" s="151">
        <v>513.33000000000004</v>
      </c>
      <c r="CE77" s="127"/>
      <c r="CF77" s="151">
        <f t="shared" si="59"/>
        <v>513.33000000000004</v>
      </c>
      <c r="CG77" s="151">
        <v>2000</v>
      </c>
      <c r="CH77" s="151"/>
      <c r="CI77" s="151"/>
      <c r="CJ77" s="151"/>
      <c r="CK77" s="163">
        <v>45.13</v>
      </c>
      <c r="CL77" s="145">
        <f t="shared" si="60"/>
        <v>2468.1999999999998</v>
      </c>
      <c r="CM77" s="151"/>
      <c r="CN77" s="151">
        <v>58.91</v>
      </c>
      <c r="CO77" s="151">
        <v>0</v>
      </c>
      <c r="CP77" s="151"/>
      <c r="CQ77" s="151"/>
      <c r="CR77" s="151"/>
      <c r="CS77" s="104">
        <f t="shared" si="101"/>
        <v>0</v>
      </c>
      <c r="CT77" s="104"/>
      <c r="CU77" s="127"/>
      <c r="CV77" s="127">
        <v>0</v>
      </c>
      <c r="CW77" s="145">
        <f t="shared" si="61"/>
        <v>2409.29</v>
      </c>
      <c r="CX77" s="104">
        <f t="shared" si="62"/>
        <v>0</v>
      </c>
      <c r="CY77" s="145">
        <f t="shared" si="63"/>
        <v>2409.29</v>
      </c>
      <c r="CZ77" s="104">
        <f t="shared" si="64"/>
        <v>246.82</v>
      </c>
      <c r="DA77" s="104">
        <v>10.23</v>
      </c>
      <c r="DB77" s="145">
        <f t="shared" si="65"/>
        <v>2725.25</v>
      </c>
      <c r="DC77" s="241"/>
      <c r="DD77" s="241"/>
      <c r="DE77" s="241"/>
      <c r="DF77" s="107"/>
      <c r="DG77" s="107"/>
      <c r="DJ77" s="21"/>
      <c r="DK77" s="21"/>
      <c r="DL77" s="21"/>
      <c r="DM77" s="21"/>
      <c r="DN77" s="21"/>
      <c r="DO77" s="60">
        <f>+U77-'C&amp;A'!L78-SINDICATO!P78</f>
        <v>0</v>
      </c>
    </row>
    <row r="78" spans="1:119" hidden="1" x14ac:dyDescent="0.25">
      <c r="A78" s="20" t="s">
        <v>150</v>
      </c>
      <c r="B78" s="21" t="s">
        <v>151</v>
      </c>
      <c r="C78" s="22">
        <f t="shared" si="66"/>
        <v>543.20000000000005</v>
      </c>
      <c r="D78" s="22">
        <v>0</v>
      </c>
      <c r="E78" s="22">
        <f t="shared" si="67"/>
        <v>988.4</v>
      </c>
      <c r="F78" s="22">
        <v>0</v>
      </c>
      <c r="G78" s="22">
        <f t="shared" si="72"/>
        <v>1531.6</v>
      </c>
      <c r="H78" s="22">
        <f t="shared" si="73"/>
        <v>0</v>
      </c>
      <c r="I78" s="22">
        <f t="shared" si="74"/>
        <v>72.837029999999999</v>
      </c>
      <c r="J78" s="22">
        <f t="shared" si="75"/>
        <v>14.864699999999999</v>
      </c>
      <c r="K78" s="22">
        <f t="shared" si="76"/>
        <v>0</v>
      </c>
      <c r="L78" s="22">
        <f t="shared" si="77"/>
        <v>45.13</v>
      </c>
      <c r="M78" s="22">
        <f t="shared" si="78"/>
        <v>0</v>
      </c>
      <c r="N78" s="22">
        <f t="shared" si="79"/>
        <v>0</v>
      </c>
      <c r="O78" s="22">
        <f t="shared" si="80"/>
        <v>0</v>
      </c>
      <c r="P78" s="22">
        <f t="shared" si="81"/>
        <v>0</v>
      </c>
      <c r="Q78" s="22">
        <v>0</v>
      </c>
      <c r="R78" s="22">
        <f t="shared" si="82"/>
        <v>0</v>
      </c>
      <c r="S78" s="22">
        <f t="shared" si="83"/>
        <v>0</v>
      </c>
      <c r="T78" s="22">
        <f t="shared" si="84"/>
        <v>132.83172999999999</v>
      </c>
      <c r="U78" s="22">
        <f t="shared" si="85"/>
        <v>1398.76827</v>
      </c>
      <c r="V78" s="22">
        <f t="shared" si="91"/>
        <v>1486.4699999999998</v>
      </c>
      <c r="W78" s="22">
        <f t="shared" si="86"/>
        <v>148.64699999999999</v>
      </c>
      <c r="X78" s="22">
        <f>+'C&amp;A'!E79*0.02</f>
        <v>10.2256</v>
      </c>
      <c r="Y78" s="22">
        <f t="shared" si="87"/>
        <v>72.837029999999999</v>
      </c>
      <c r="Z78" s="22">
        <f t="shared" si="88"/>
        <v>1718.1796299999996</v>
      </c>
      <c r="AA78" s="22">
        <f t="shared" si="89"/>
        <v>274.90874079999998</v>
      </c>
      <c r="AB78" s="22">
        <f t="shared" si="90"/>
        <v>1993.0883707999997</v>
      </c>
      <c r="AC78" s="60">
        <f t="shared" si="92"/>
        <v>0</v>
      </c>
      <c r="AD78" s="62">
        <f>+U78-'C&amp;A'!L79-SINDICATO!P79</f>
        <v>0</v>
      </c>
      <c r="AE78" s="62">
        <f>+'C&amp;A'!L79+'C&amp;A'!J79+'C&amp;A'!H79+'C&amp;A'!G79+SINDICATO!E79-G78</f>
        <v>0</v>
      </c>
      <c r="AF78" s="62">
        <f t="shared" si="93"/>
        <v>0</v>
      </c>
      <c r="AG78" s="127" t="s">
        <v>381</v>
      </c>
      <c r="AH78" s="127" t="s">
        <v>760</v>
      </c>
      <c r="AI78" s="127"/>
      <c r="AJ78" s="127" t="s">
        <v>261</v>
      </c>
      <c r="AK78" s="127" t="s">
        <v>466</v>
      </c>
      <c r="AL78" s="127"/>
      <c r="AM78" s="127"/>
      <c r="AN78" s="127"/>
      <c r="AO78" s="151">
        <v>543.20000000000005</v>
      </c>
      <c r="AP78" s="162">
        <f t="shared" si="94"/>
        <v>0</v>
      </c>
      <c r="AQ78" s="151">
        <f t="shared" si="68"/>
        <v>543.20000000000005</v>
      </c>
      <c r="AR78" s="151">
        <f t="shared" si="95"/>
        <v>0</v>
      </c>
      <c r="AS78" s="151">
        <v>988.4</v>
      </c>
      <c r="AT78" s="151"/>
      <c r="AU78" s="151"/>
      <c r="AV78" s="151"/>
      <c r="AW78" s="163">
        <v>45.13</v>
      </c>
      <c r="AX78" s="145">
        <f t="shared" si="69"/>
        <v>1486.4699999999998</v>
      </c>
      <c r="AY78" s="151"/>
      <c r="AZ78" s="151"/>
      <c r="BA78" s="151">
        <v>0</v>
      </c>
      <c r="BB78" s="151">
        <f t="shared" si="96"/>
        <v>72.837029999999999</v>
      </c>
      <c r="BC78" s="151">
        <f t="shared" si="97"/>
        <v>14.864699999999999</v>
      </c>
      <c r="BD78" s="151"/>
      <c r="BE78" s="104"/>
      <c r="BF78" s="104"/>
      <c r="BG78" s="127"/>
      <c r="BH78" s="127">
        <v>0</v>
      </c>
      <c r="BI78" s="145">
        <f t="shared" si="70"/>
        <v>1398.7682699999998</v>
      </c>
      <c r="BJ78" s="104">
        <f t="shared" si="98"/>
        <v>0</v>
      </c>
      <c r="BK78" s="145">
        <f t="shared" si="71"/>
        <v>1398.7682699999998</v>
      </c>
      <c r="BL78" s="104">
        <f t="shared" si="99"/>
        <v>148.64699999999999</v>
      </c>
      <c r="BM78" s="104">
        <v>10.23</v>
      </c>
      <c r="BN78" s="145">
        <f t="shared" si="100"/>
        <v>1645.3469999999998</v>
      </c>
      <c r="BO78" s="241"/>
      <c r="BP78" s="241"/>
      <c r="BQ78" s="241"/>
      <c r="BR78" s="107"/>
      <c r="BS78" s="107"/>
      <c r="BV78" s="127" t="s">
        <v>381</v>
      </c>
      <c r="BW78" s="127" t="s">
        <v>465</v>
      </c>
      <c r="BX78" s="127"/>
      <c r="BY78" s="127" t="s">
        <v>261</v>
      </c>
      <c r="BZ78" s="127" t="s">
        <v>466</v>
      </c>
      <c r="CA78" s="127"/>
      <c r="CB78" s="127"/>
      <c r="CC78" s="127"/>
      <c r="CD78" s="151">
        <v>543.20000000000005</v>
      </c>
      <c r="CE78" s="127"/>
      <c r="CF78" s="151">
        <f t="shared" si="59"/>
        <v>543.20000000000005</v>
      </c>
      <c r="CG78" s="151">
        <v>988.4</v>
      </c>
      <c r="CH78" s="151"/>
      <c r="CI78" s="151"/>
      <c r="CJ78" s="151"/>
      <c r="CK78" s="163">
        <v>45.13</v>
      </c>
      <c r="CL78" s="145">
        <f t="shared" si="60"/>
        <v>1486.4699999999998</v>
      </c>
      <c r="CM78" s="151"/>
      <c r="CN78" s="151"/>
      <c r="CO78" s="151">
        <v>0</v>
      </c>
      <c r="CP78" s="151">
        <f>CL78*4.9%</f>
        <v>72.837029999999999</v>
      </c>
      <c r="CQ78" s="151">
        <f>CL78*1%</f>
        <v>14.864699999999999</v>
      </c>
      <c r="CR78" s="151"/>
      <c r="CS78" s="104">
        <f t="shared" si="101"/>
        <v>0</v>
      </c>
      <c r="CT78" s="104"/>
      <c r="CU78" s="127"/>
      <c r="CV78" s="127">
        <v>0</v>
      </c>
      <c r="CW78" s="145">
        <f t="shared" si="61"/>
        <v>1398.7682699999998</v>
      </c>
      <c r="CX78" s="104">
        <f t="shared" si="62"/>
        <v>0</v>
      </c>
      <c r="CY78" s="145">
        <f t="shared" si="63"/>
        <v>1398.7682699999998</v>
      </c>
      <c r="CZ78" s="104">
        <f t="shared" si="64"/>
        <v>148.64699999999999</v>
      </c>
      <c r="DA78" s="104">
        <v>10.23</v>
      </c>
      <c r="DB78" s="145">
        <f t="shared" si="65"/>
        <v>1645.3469999999998</v>
      </c>
      <c r="DC78" s="241"/>
      <c r="DD78" s="241"/>
      <c r="DE78" s="241"/>
      <c r="DF78" s="107"/>
      <c r="DG78" s="107"/>
      <c r="DJ78" s="21"/>
      <c r="DK78" s="21"/>
      <c r="DL78" s="21"/>
      <c r="DM78" s="21"/>
      <c r="DN78" s="21"/>
      <c r="DO78" s="60">
        <f>+U78-'C&amp;A'!L79-SINDICATO!P79</f>
        <v>0</v>
      </c>
    </row>
    <row r="79" spans="1:119" hidden="1" x14ac:dyDescent="0.25">
      <c r="A79" s="20" t="s">
        <v>152</v>
      </c>
      <c r="B79" s="21" t="s">
        <v>153</v>
      </c>
      <c r="C79" s="22">
        <f t="shared" si="66"/>
        <v>608.16</v>
      </c>
      <c r="D79" s="22">
        <v>0</v>
      </c>
      <c r="E79" s="22">
        <f t="shared" si="67"/>
        <v>2262.11</v>
      </c>
      <c r="F79" s="22">
        <v>0</v>
      </c>
      <c r="G79" s="22">
        <f t="shared" si="72"/>
        <v>2870.27</v>
      </c>
      <c r="H79" s="22">
        <f t="shared" si="73"/>
        <v>200</v>
      </c>
      <c r="I79" s="22">
        <f t="shared" si="74"/>
        <v>138.43186</v>
      </c>
      <c r="J79" s="22">
        <f t="shared" si="75"/>
        <v>28.2514</v>
      </c>
      <c r="K79" s="22">
        <f t="shared" si="76"/>
        <v>257.64</v>
      </c>
      <c r="L79" s="22">
        <f t="shared" si="77"/>
        <v>45.13</v>
      </c>
      <c r="M79" s="22">
        <f t="shared" si="78"/>
        <v>201.24</v>
      </c>
      <c r="N79" s="22">
        <f t="shared" si="79"/>
        <v>0</v>
      </c>
      <c r="O79" s="22">
        <f t="shared" si="80"/>
        <v>0</v>
      </c>
      <c r="P79" s="22">
        <f t="shared" si="81"/>
        <v>0</v>
      </c>
      <c r="Q79" s="22">
        <v>0</v>
      </c>
      <c r="R79" s="22">
        <f t="shared" si="82"/>
        <v>0</v>
      </c>
      <c r="S79" s="22">
        <f t="shared" si="83"/>
        <v>0</v>
      </c>
      <c r="T79" s="22">
        <f t="shared" si="84"/>
        <v>870.69326000000001</v>
      </c>
      <c r="U79" s="22">
        <f t="shared" si="85"/>
        <v>1999.57674</v>
      </c>
      <c r="V79" s="22">
        <f t="shared" si="91"/>
        <v>2825.14</v>
      </c>
      <c r="W79" s="22">
        <f t="shared" si="86"/>
        <v>282.51400000000001</v>
      </c>
      <c r="X79" s="22">
        <f>+'C&amp;A'!E80*0.02</f>
        <v>10.2256</v>
      </c>
      <c r="Y79" s="22">
        <f t="shared" si="87"/>
        <v>138.43186</v>
      </c>
      <c r="Z79" s="22">
        <f t="shared" si="88"/>
        <v>3256.3114600000004</v>
      </c>
      <c r="AA79" s="22">
        <f t="shared" si="89"/>
        <v>521.00983360000009</v>
      </c>
      <c r="AB79" s="22">
        <f t="shared" si="90"/>
        <v>3777.3212936000004</v>
      </c>
      <c r="AC79" s="60">
        <f t="shared" si="92"/>
        <v>0</v>
      </c>
      <c r="AD79" s="62">
        <f>+U79-'C&amp;A'!L80-SINDICATO!P80</f>
        <v>0</v>
      </c>
      <c r="AE79" s="62">
        <f>+'C&amp;A'!L80+'C&amp;A'!J80+'C&amp;A'!H80+'C&amp;A'!G80+SINDICATO!E80-G79</f>
        <v>0</v>
      </c>
      <c r="AF79" s="62">
        <f t="shared" si="93"/>
        <v>0</v>
      </c>
      <c r="AG79" s="127" t="s">
        <v>381</v>
      </c>
      <c r="AH79" s="127" t="s">
        <v>467</v>
      </c>
      <c r="AI79" s="127"/>
      <c r="AJ79" s="127" t="s">
        <v>152</v>
      </c>
      <c r="AK79" s="127" t="s">
        <v>190</v>
      </c>
      <c r="AL79" s="127"/>
      <c r="AM79" s="127"/>
      <c r="AN79" s="127"/>
      <c r="AO79" s="151">
        <v>608.16</v>
      </c>
      <c r="AP79" s="162">
        <f t="shared" si="94"/>
        <v>0</v>
      </c>
      <c r="AQ79" s="151">
        <f t="shared" si="68"/>
        <v>608.16</v>
      </c>
      <c r="AR79" s="151">
        <f t="shared" si="95"/>
        <v>0</v>
      </c>
      <c r="AS79" s="151">
        <v>2262.11</v>
      </c>
      <c r="AT79" s="151"/>
      <c r="AU79" s="151"/>
      <c r="AV79" s="151"/>
      <c r="AW79" s="163">
        <v>45.13</v>
      </c>
      <c r="AX79" s="145">
        <f t="shared" si="69"/>
        <v>2825.14</v>
      </c>
      <c r="AY79" s="151"/>
      <c r="AZ79" s="151"/>
      <c r="BA79" s="151">
        <v>200</v>
      </c>
      <c r="BB79" s="151">
        <f t="shared" si="96"/>
        <v>138.43186</v>
      </c>
      <c r="BC79" s="151">
        <f t="shared" si="97"/>
        <v>28.2514</v>
      </c>
      <c r="BD79" s="151">
        <v>257.64</v>
      </c>
      <c r="BE79" s="104"/>
      <c r="BF79" s="104"/>
      <c r="BG79" s="127">
        <v>201.24</v>
      </c>
      <c r="BH79" s="127">
        <v>0</v>
      </c>
      <c r="BI79" s="145">
        <f t="shared" si="70"/>
        <v>1999.57674</v>
      </c>
      <c r="BJ79" s="104">
        <f t="shared" si="98"/>
        <v>0</v>
      </c>
      <c r="BK79" s="145">
        <f t="shared" si="71"/>
        <v>1999.57674</v>
      </c>
      <c r="BL79" s="104">
        <f t="shared" si="99"/>
        <v>282.51400000000001</v>
      </c>
      <c r="BM79" s="104">
        <v>10.23</v>
      </c>
      <c r="BN79" s="145">
        <f t="shared" si="100"/>
        <v>3117.884</v>
      </c>
      <c r="BO79" s="241"/>
      <c r="BP79" s="241"/>
      <c r="BQ79" s="248"/>
      <c r="BR79" s="107"/>
      <c r="BS79" s="107"/>
      <c r="BV79" s="127" t="s">
        <v>381</v>
      </c>
      <c r="BW79" s="127" t="s">
        <v>467</v>
      </c>
      <c r="BX79" s="127"/>
      <c r="BY79" s="127" t="s">
        <v>152</v>
      </c>
      <c r="BZ79" s="127" t="s">
        <v>190</v>
      </c>
      <c r="CA79" s="127"/>
      <c r="CB79" s="127"/>
      <c r="CC79" s="127"/>
      <c r="CD79" s="151">
        <v>608.16</v>
      </c>
      <c r="CE79" s="127"/>
      <c r="CF79" s="151">
        <f t="shared" ref="CF79:CF91" si="102">+CD79+CE79</f>
        <v>608.16</v>
      </c>
      <c r="CG79" s="151">
        <v>2262.11</v>
      </c>
      <c r="CH79" s="151"/>
      <c r="CI79" s="151"/>
      <c r="CJ79" s="151"/>
      <c r="CK79" s="163">
        <v>45.13</v>
      </c>
      <c r="CL79" s="145">
        <f t="shared" ref="CL79:CL91" si="103">SUM(CF79:CJ79)-CK79</f>
        <v>2825.14</v>
      </c>
      <c r="CM79" s="151"/>
      <c r="CN79" s="151"/>
      <c r="CO79" s="151">
        <v>200</v>
      </c>
      <c r="CP79" s="151">
        <f>CL79*4.9%</f>
        <v>138.43186</v>
      </c>
      <c r="CQ79" s="151">
        <f>CL79*1%</f>
        <v>28.2514</v>
      </c>
      <c r="CR79" s="151">
        <v>257.64</v>
      </c>
      <c r="CS79" s="104">
        <f t="shared" si="101"/>
        <v>0</v>
      </c>
      <c r="CT79" s="104"/>
      <c r="CU79" s="127">
        <v>201.24</v>
      </c>
      <c r="CV79" s="127">
        <v>0</v>
      </c>
      <c r="CW79" s="145">
        <f t="shared" ref="CW79:CW91" si="104">+CL79-SUM(CM79:CV79)</f>
        <v>1999.57674</v>
      </c>
      <c r="CX79" s="104">
        <f t="shared" ref="CX79:CX91" si="105">IF(CL79&gt;3500,CL79*0.1,0)</f>
        <v>0</v>
      </c>
      <c r="CY79" s="145">
        <f t="shared" ref="CY79:CY91" si="106">+CW79-CX79</f>
        <v>1999.57674</v>
      </c>
      <c r="CZ79" s="104">
        <f t="shared" ref="CZ79:CZ91" si="107">IF(CL79&lt;3500,CL79*0.1,0)</f>
        <v>282.51400000000001</v>
      </c>
      <c r="DA79" s="104">
        <v>10.23</v>
      </c>
      <c r="DB79" s="145">
        <f t="shared" ref="DB79:DB91" si="108">+CL79+CZ79+DA79</f>
        <v>3117.884</v>
      </c>
      <c r="DC79" s="241"/>
      <c r="DD79" s="241"/>
      <c r="DE79" s="248"/>
      <c r="DF79" s="107"/>
      <c r="DG79" s="107"/>
      <c r="DJ79" s="21"/>
      <c r="DK79" s="21"/>
      <c r="DL79" s="21"/>
      <c r="DM79" s="21"/>
      <c r="DN79" s="21"/>
      <c r="DO79" s="60">
        <f>+U79-'C&amp;A'!L80-SINDICATO!P80</f>
        <v>0</v>
      </c>
    </row>
    <row r="80" spans="1:119" hidden="1" x14ac:dyDescent="0.25">
      <c r="A80" s="20" t="s">
        <v>317</v>
      </c>
      <c r="B80" s="21" t="s">
        <v>154</v>
      </c>
      <c r="C80" s="22">
        <f t="shared" si="66"/>
        <v>739.23</v>
      </c>
      <c r="D80" s="22">
        <v>0</v>
      </c>
      <c r="E80" s="22">
        <f t="shared" si="67"/>
        <v>2233.1799999999998</v>
      </c>
      <c r="F80" s="22">
        <v>0</v>
      </c>
      <c r="G80" s="22">
        <f t="shared" si="72"/>
        <v>2972.41</v>
      </c>
      <c r="H80" s="22">
        <f t="shared" si="73"/>
        <v>150</v>
      </c>
      <c r="I80" s="22">
        <f t="shared" si="74"/>
        <v>0</v>
      </c>
      <c r="J80" s="22">
        <f t="shared" si="75"/>
        <v>0</v>
      </c>
      <c r="K80" s="22">
        <f t="shared" si="76"/>
        <v>0</v>
      </c>
      <c r="L80" s="22">
        <f t="shared" si="77"/>
        <v>45.13</v>
      </c>
      <c r="M80" s="22">
        <f t="shared" si="78"/>
        <v>0</v>
      </c>
      <c r="N80" s="22">
        <f t="shared" si="79"/>
        <v>0</v>
      </c>
      <c r="O80" s="22">
        <f t="shared" si="80"/>
        <v>0</v>
      </c>
      <c r="P80" s="22">
        <f t="shared" si="81"/>
        <v>0</v>
      </c>
      <c r="Q80" s="22">
        <v>0</v>
      </c>
      <c r="R80" s="22">
        <f t="shared" si="82"/>
        <v>0</v>
      </c>
      <c r="S80" s="22">
        <f t="shared" si="83"/>
        <v>0</v>
      </c>
      <c r="T80" s="22">
        <f t="shared" si="84"/>
        <v>195.13</v>
      </c>
      <c r="U80" s="22">
        <f t="shared" si="85"/>
        <v>2777.2799999999997</v>
      </c>
      <c r="V80" s="22">
        <f t="shared" si="91"/>
        <v>2927.2799999999997</v>
      </c>
      <c r="W80" s="22">
        <f t="shared" si="86"/>
        <v>292.72800000000001</v>
      </c>
      <c r="X80" s="22">
        <f>+'C&amp;A'!E81*0.02</f>
        <v>10.2256</v>
      </c>
      <c r="Y80" s="22">
        <f t="shared" si="87"/>
        <v>0</v>
      </c>
      <c r="Z80" s="22">
        <f t="shared" si="88"/>
        <v>3230.2336</v>
      </c>
      <c r="AA80" s="22">
        <f t="shared" si="89"/>
        <v>516.83737600000006</v>
      </c>
      <c r="AB80" s="22">
        <f t="shared" si="90"/>
        <v>3747.070976</v>
      </c>
      <c r="AC80" s="60">
        <f t="shared" si="92"/>
        <v>0</v>
      </c>
      <c r="AD80" s="62">
        <f>+U80-'C&amp;A'!L81-SINDICATO!P81</f>
        <v>0</v>
      </c>
      <c r="AE80" s="62">
        <f>+'C&amp;A'!L81+'C&amp;A'!J81+'C&amp;A'!H81+'C&amp;A'!G81+SINDICATO!E81-G80</f>
        <v>0</v>
      </c>
      <c r="AF80" s="62">
        <f t="shared" si="93"/>
        <v>0</v>
      </c>
      <c r="AG80" s="127" t="s">
        <v>383</v>
      </c>
      <c r="AH80" s="127" t="s">
        <v>468</v>
      </c>
      <c r="AI80" s="127"/>
      <c r="AJ80" s="127" t="s">
        <v>182</v>
      </c>
      <c r="AK80" s="127" t="s">
        <v>183</v>
      </c>
      <c r="AL80" s="127"/>
      <c r="AM80" s="127"/>
      <c r="AN80" s="127"/>
      <c r="AO80" s="151">
        <v>739.23</v>
      </c>
      <c r="AP80" s="162">
        <f t="shared" si="94"/>
        <v>0</v>
      </c>
      <c r="AQ80" s="151">
        <f t="shared" si="68"/>
        <v>739.23</v>
      </c>
      <c r="AR80" s="151">
        <f t="shared" si="95"/>
        <v>0</v>
      </c>
      <c r="AS80" s="151">
        <v>2233.1799999999998</v>
      </c>
      <c r="AT80" s="151"/>
      <c r="AU80" s="151"/>
      <c r="AV80" s="151"/>
      <c r="AW80" s="163">
        <v>45.13</v>
      </c>
      <c r="AX80" s="145">
        <f t="shared" si="69"/>
        <v>2927.2799999999997</v>
      </c>
      <c r="AY80" s="151"/>
      <c r="AZ80" s="151"/>
      <c r="BA80" s="151">
        <v>150</v>
      </c>
      <c r="BB80" s="151">
        <f t="shared" si="96"/>
        <v>0</v>
      </c>
      <c r="BC80" s="151">
        <f t="shared" si="97"/>
        <v>0</v>
      </c>
      <c r="BD80" s="151"/>
      <c r="BE80" s="104"/>
      <c r="BF80" s="104"/>
      <c r="BG80" s="127"/>
      <c r="BH80" s="127">
        <v>0</v>
      </c>
      <c r="BI80" s="145">
        <f t="shared" si="70"/>
        <v>2777.2799999999997</v>
      </c>
      <c r="BJ80" s="104">
        <f t="shared" si="98"/>
        <v>0</v>
      </c>
      <c r="BK80" s="145">
        <f t="shared" si="71"/>
        <v>2777.2799999999997</v>
      </c>
      <c r="BL80" s="104">
        <f t="shared" si="99"/>
        <v>292.72800000000001</v>
      </c>
      <c r="BM80" s="104">
        <v>10.23</v>
      </c>
      <c r="BN80" s="145">
        <f t="shared" si="100"/>
        <v>3230.2379999999998</v>
      </c>
      <c r="BO80" s="241"/>
      <c r="BP80" s="241"/>
      <c r="BQ80" s="241"/>
      <c r="BR80" s="107"/>
      <c r="BS80" s="107"/>
      <c r="BV80" s="127" t="s">
        <v>383</v>
      </c>
      <c r="BW80" s="127" t="s">
        <v>468</v>
      </c>
      <c r="BX80" s="127"/>
      <c r="BY80" s="127" t="s">
        <v>182</v>
      </c>
      <c r="BZ80" s="127" t="s">
        <v>183</v>
      </c>
      <c r="CA80" s="127"/>
      <c r="CB80" s="127"/>
      <c r="CC80" s="127"/>
      <c r="CD80" s="151">
        <v>739.23</v>
      </c>
      <c r="CE80" s="127"/>
      <c r="CF80" s="151">
        <f t="shared" si="102"/>
        <v>739.23</v>
      </c>
      <c r="CG80" s="151">
        <v>2233.1799999999998</v>
      </c>
      <c r="CH80" s="151"/>
      <c r="CI80" s="151"/>
      <c r="CJ80" s="151"/>
      <c r="CK80" s="163">
        <v>45.13</v>
      </c>
      <c r="CL80" s="145">
        <f t="shared" si="103"/>
        <v>2927.2799999999997</v>
      </c>
      <c r="CM80" s="151"/>
      <c r="CN80" s="151"/>
      <c r="CO80" s="151">
        <v>150</v>
      </c>
      <c r="CP80" s="151"/>
      <c r="CQ80" s="151"/>
      <c r="CR80" s="151"/>
      <c r="CS80" s="104">
        <f t="shared" si="101"/>
        <v>0</v>
      </c>
      <c r="CT80" s="104"/>
      <c r="CU80" s="127"/>
      <c r="CV80" s="127">
        <v>0</v>
      </c>
      <c r="CW80" s="145">
        <f t="shared" si="104"/>
        <v>2777.2799999999997</v>
      </c>
      <c r="CX80" s="104">
        <f t="shared" si="105"/>
        <v>0</v>
      </c>
      <c r="CY80" s="145">
        <f t="shared" si="106"/>
        <v>2777.2799999999997</v>
      </c>
      <c r="CZ80" s="104">
        <f t="shared" si="107"/>
        <v>292.72800000000001</v>
      </c>
      <c r="DA80" s="104">
        <v>10.23</v>
      </c>
      <c r="DB80" s="145">
        <f t="shared" si="108"/>
        <v>3230.2379999999998</v>
      </c>
      <c r="DC80" s="241"/>
      <c r="DD80" s="241"/>
      <c r="DE80" s="241"/>
      <c r="DF80" s="107"/>
      <c r="DG80" s="107"/>
      <c r="DJ80" s="21"/>
      <c r="DK80" s="21"/>
      <c r="DL80" s="21"/>
      <c r="DM80" s="21"/>
      <c r="DN80" s="21"/>
      <c r="DO80" s="60">
        <f>+U80-'C&amp;A'!L81-SINDICATO!P81</f>
        <v>0</v>
      </c>
    </row>
    <row r="81" spans="1:119" x14ac:dyDescent="0.25">
      <c r="A81" s="20" t="s">
        <v>155</v>
      </c>
      <c r="B81" s="21" t="s">
        <v>156</v>
      </c>
      <c r="C81" s="22">
        <f t="shared" si="66"/>
        <v>1516.67</v>
      </c>
      <c r="D81" s="22">
        <v>0</v>
      </c>
      <c r="E81" s="22">
        <f t="shared" si="67"/>
        <v>0</v>
      </c>
      <c r="F81" s="22">
        <v>0</v>
      </c>
      <c r="G81" s="22">
        <f t="shared" si="72"/>
        <v>1516.67</v>
      </c>
      <c r="H81" s="22">
        <f t="shared" si="73"/>
        <v>0</v>
      </c>
      <c r="I81" s="22">
        <f t="shared" si="74"/>
        <v>0</v>
      </c>
      <c r="J81" s="22">
        <f t="shared" si="75"/>
        <v>0</v>
      </c>
      <c r="K81" s="22">
        <f t="shared" si="76"/>
        <v>0</v>
      </c>
      <c r="L81" s="22">
        <f t="shared" si="77"/>
        <v>45.13</v>
      </c>
      <c r="M81" s="22">
        <f t="shared" si="78"/>
        <v>0</v>
      </c>
      <c r="N81" s="22">
        <f t="shared" si="79"/>
        <v>427.03</v>
      </c>
      <c r="O81" s="22">
        <f t="shared" si="80"/>
        <v>0</v>
      </c>
      <c r="P81" s="22">
        <f t="shared" si="81"/>
        <v>0</v>
      </c>
      <c r="Q81" s="22">
        <v>0</v>
      </c>
      <c r="R81" s="22">
        <f t="shared" si="82"/>
        <v>0</v>
      </c>
      <c r="S81" s="22">
        <f t="shared" si="83"/>
        <v>0</v>
      </c>
      <c r="T81" s="22">
        <f t="shared" si="84"/>
        <v>472.15999999999997</v>
      </c>
      <c r="U81" s="22">
        <f t="shared" si="85"/>
        <v>1044.5100000000002</v>
      </c>
      <c r="V81" s="22">
        <f t="shared" si="91"/>
        <v>1471.54</v>
      </c>
      <c r="W81" s="22">
        <f t="shared" si="86"/>
        <v>147.154</v>
      </c>
      <c r="X81" s="22">
        <f>+'C&amp;A'!E82*0.02</f>
        <v>10.2256</v>
      </c>
      <c r="Y81" s="22">
        <f t="shared" si="87"/>
        <v>0</v>
      </c>
      <c r="Z81" s="22">
        <f t="shared" si="88"/>
        <v>1628.9195999999999</v>
      </c>
      <c r="AA81" s="22">
        <f t="shared" si="89"/>
        <v>260.62713600000001</v>
      </c>
      <c r="AB81" s="22">
        <f t="shared" si="90"/>
        <v>1889.546736</v>
      </c>
      <c r="AC81" s="60">
        <f t="shared" si="92"/>
        <v>0</v>
      </c>
      <c r="AD81" s="62">
        <f>+U81-'C&amp;A'!L82-SINDICATO!P82</f>
        <v>0</v>
      </c>
      <c r="AE81" s="62">
        <f>+'C&amp;A'!L82+'C&amp;A'!J82+'C&amp;A'!H82+'C&amp;A'!G82+SINDICATO!E82-G81</f>
        <v>0</v>
      </c>
      <c r="AF81" s="62">
        <f t="shared" si="93"/>
        <v>0</v>
      </c>
      <c r="AG81" s="127" t="s">
        <v>431</v>
      </c>
      <c r="AH81" s="127" t="s">
        <v>761</v>
      </c>
      <c r="AI81" s="127"/>
      <c r="AJ81" s="127" t="s">
        <v>155</v>
      </c>
      <c r="AK81" s="127" t="s">
        <v>186</v>
      </c>
      <c r="AL81" s="127"/>
      <c r="AM81" s="127"/>
      <c r="AN81" s="127"/>
      <c r="AO81" s="151">
        <v>1516.67</v>
      </c>
      <c r="AP81" s="162">
        <f t="shared" si="94"/>
        <v>0</v>
      </c>
      <c r="AQ81" s="151">
        <f t="shared" si="68"/>
        <v>1516.67</v>
      </c>
      <c r="AR81" s="151">
        <f t="shared" si="95"/>
        <v>0</v>
      </c>
      <c r="AS81" s="151"/>
      <c r="AT81" s="151"/>
      <c r="AU81" s="151"/>
      <c r="AV81" s="151"/>
      <c r="AW81" s="163">
        <v>45.13</v>
      </c>
      <c r="AX81" s="145">
        <f t="shared" si="69"/>
        <v>1471.54</v>
      </c>
      <c r="AY81" s="151"/>
      <c r="AZ81" s="151"/>
      <c r="BA81" s="151">
        <v>0</v>
      </c>
      <c r="BB81" s="151">
        <f t="shared" si="96"/>
        <v>0</v>
      </c>
      <c r="BC81" s="151">
        <f t="shared" si="97"/>
        <v>0</v>
      </c>
      <c r="BD81" s="151"/>
      <c r="BE81" s="104"/>
      <c r="BF81" s="104"/>
      <c r="BG81" s="127"/>
      <c r="BH81" s="127">
        <f>355.65+71.38</f>
        <v>427.03</v>
      </c>
      <c r="BI81" s="145">
        <f t="shared" si="70"/>
        <v>1044.51</v>
      </c>
      <c r="BJ81" s="104">
        <f t="shared" si="98"/>
        <v>0</v>
      </c>
      <c r="BK81" s="145">
        <f t="shared" si="71"/>
        <v>1044.51</v>
      </c>
      <c r="BL81" s="104">
        <f t="shared" si="99"/>
        <v>147.154</v>
      </c>
      <c r="BM81" s="104">
        <v>10.23</v>
      </c>
      <c r="BN81" s="145">
        <f t="shared" si="100"/>
        <v>1628.924</v>
      </c>
      <c r="BO81" s="241"/>
      <c r="BP81" s="241"/>
      <c r="BQ81" s="241"/>
      <c r="BR81" s="107"/>
      <c r="BS81" s="107"/>
      <c r="BV81" s="127" t="s">
        <v>431</v>
      </c>
      <c r="BW81" s="127" t="s">
        <v>469</v>
      </c>
      <c r="BX81" s="127"/>
      <c r="BY81" s="127" t="s">
        <v>155</v>
      </c>
      <c r="BZ81" s="127" t="s">
        <v>186</v>
      </c>
      <c r="CA81" s="127"/>
      <c r="CB81" s="127"/>
      <c r="CC81" s="127"/>
      <c r="CD81" s="151">
        <v>1516.67</v>
      </c>
      <c r="CE81" s="127"/>
      <c r="CF81" s="151">
        <f t="shared" si="102"/>
        <v>1516.67</v>
      </c>
      <c r="CG81" s="151"/>
      <c r="CH81" s="151"/>
      <c r="CI81" s="151"/>
      <c r="CJ81" s="151"/>
      <c r="CK81" s="163">
        <v>45.13</v>
      </c>
      <c r="CL81" s="145">
        <f t="shared" si="103"/>
        <v>1471.54</v>
      </c>
      <c r="CM81" s="151"/>
      <c r="CN81" s="151"/>
      <c r="CO81" s="151">
        <v>0</v>
      </c>
      <c r="CP81" s="151"/>
      <c r="CQ81" s="151"/>
      <c r="CR81" s="151"/>
      <c r="CS81" s="104">
        <f t="shared" si="101"/>
        <v>0</v>
      </c>
      <c r="CT81" s="104"/>
      <c r="CU81" s="127"/>
      <c r="CV81" s="127">
        <f>355.65+71.38</f>
        <v>427.03</v>
      </c>
      <c r="CW81" s="145">
        <f t="shared" si="104"/>
        <v>1044.51</v>
      </c>
      <c r="CX81" s="104">
        <f t="shared" si="105"/>
        <v>0</v>
      </c>
      <c r="CY81" s="145">
        <f t="shared" si="106"/>
        <v>1044.51</v>
      </c>
      <c r="CZ81" s="104">
        <f t="shared" si="107"/>
        <v>147.154</v>
      </c>
      <c r="DA81" s="104">
        <v>10.23</v>
      </c>
      <c r="DB81" s="145">
        <f t="shared" si="108"/>
        <v>1628.924</v>
      </c>
      <c r="DC81" s="241"/>
      <c r="DD81" s="241"/>
      <c r="DE81" s="241"/>
      <c r="DF81" s="107"/>
      <c r="DG81" s="107"/>
      <c r="DJ81" s="21"/>
      <c r="DK81" s="21"/>
      <c r="DL81" s="21"/>
      <c r="DM81" s="21"/>
      <c r="DN81" s="21"/>
      <c r="DO81" s="60">
        <f>+U81-'C&amp;A'!L82-SINDICATO!P82</f>
        <v>0</v>
      </c>
    </row>
    <row r="82" spans="1:119" x14ac:dyDescent="0.25">
      <c r="A82" s="50" t="s">
        <v>511</v>
      </c>
      <c r="B82" s="21" t="s">
        <v>512</v>
      </c>
      <c r="C82" s="22">
        <f t="shared" si="66"/>
        <v>1516.67</v>
      </c>
      <c r="D82" s="22">
        <v>0</v>
      </c>
      <c r="E82" s="22">
        <f t="shared" si="67"/>
        <v>0</v>
      </c>
      <c r="F82" s="22">
        <v>0</v>
      </c>
      <c r="G82" s="22">
        <f t="shared" si="72"/>
        <v>1516.67</v>
      </c>
      <c r="H82" s="22">
        <f t="shared" si="73"/>
        <v>0</v>
      </c>
      <c r="I82" s="22">
        <f t="shared" si="74"/>
        <v>0</v>
      </c>
      <c r="J82" s="22">
        <f t="shared" si="75"/>
        <v>0</v>
      </c>
      <c r="K82" s="22">
        <f t="shared" si="76"/>
        <v>0</v>
      </c>
      <c r="L82" s="22">
        <f t="shared" si="77"/>
        <v>45.13</v>
      </c>
      <c r="M82" s="22">
        <f t="shared" si="78"/>
        <v>0</v>
      </c>
      <c r="N82" s="22">
        <f t="shared" si="79"/>
        <v>0</v>
      </c>
      <c r="O82" s="22">
        <f t="shared" si="80"/>
        <v>0</v>
      </c>
      <c r="P82" s="22">
        <f t="shared" si="81"/>
        <v>0</v>
      </c>
      <c r="Q82" s="22">
        <v>0</v>
      </c>
      <c r="R82" s="22">
        <f t="shared" si="82"/>
        <v>0</v>
      </c>
      <c r="S82" s="22">
        <f t="shared" si="83"/>
        <v>0</v>
      </c>
      <c r="T82" s="22">
        <f t="shared" si="84"/>
        <v>45.13</v>
      </c>
      <c r="U82" s="22">
        <f t="shared" si="85"/>
        <v>1471.54</v>
      </c>
      <c r="V82" s="22">
        <f t="shared" si="91"/>
        <v>1471.54</v>
      </c>
      <c r="W82" s="22">
        <f t="shared" si="86"/>
        <v>147.154</v>
      </c>
      <c r="X82" s="22">
        <f>+'C&amp;A'!E83*0.02</f>
        <v>10.2256</v>
      </c>
      <c r="Y82" s="22">
        <f t="shared" si="87"/>
        <v>0</v>
      </c>
      <c r="Z82" s="22">
        <f t="shared" si="88"/>
        <v>1628.9195999999999</v>
      </c>
      <c r="AA82" s="22">
        <f t="shared" si="89"/>
        <v>260.62713600000001</v>
      </c>
      <c r="AB82" s="22">
        <f t="shared" si="90"/>
        <v>1889.546736</v>
      </c>
      <c r="AC82" s="60">
        <f t="shared" si="92"/>
        <v>0</v>
      </c>
      <c r="AD82" s="62">
        <f>+U82-'C&amp;A'!L83-SINDICATO!P83</f>
        <v>0</v>
      </c>
      <c r="AE82" s="62">
        <f>+'C&amp;A'!L83+'C&amp;A'!J83+'C&amp;A'!H83+'C&amp;A'!G83+SINDICATO!E83-G82</f>
        <v>0</v>
      </c>
      <c r="AF82" s="62">
        <f t="shared" si="93"/>
        <v>0</v>
      </c>
      <c r="AG82" s="127" t="s">
        <v>431</v>
      </c>
      <c r="AH82" s="127" t="s">
        <v>470</v>
      </c>
      <c r="AI82" s="127"/>
      <c r="AJ82" s="127"/>
      <c r="AK82" s="127" t="s">
        <v>186</v>
      </c>
      <c r="AL82" s="165">
        <v>42410</v>
      </c>
      <c r="AM82" s="127"/>
      <c r="AN82" s="127"/>
      <c r="AO82" s="151">
        <v>1516.67</v>
      </c>
      <c r="AP82" s="162">
        <f t="shared" si="94"/>
        <v>0</v>
      </c>
      <c r="AQ82" s="151">
        <f t="shared" si="68"/>
        <v>1516.67</v>
      </c>
      <c r="AR82" s="151">
        <f t="shared" si="95"/>
        <v>0</v>
      </c>
      <c r="AS82" s="151"/>
      <c r="AT82" s="151"/>
      <c r="AU82" s="151"/>
      <c r="AV82" s="151"/>
      <c r="AW82" s="163">
        <v>45.13</v>
      </c>
      <c r="AX82" s="145">
        <f t="shared" si="69"/>
        <v>1471.54</v>
      </c>
      <c r="AY82" s="151"/>
      <c r="AZ82" s="151"/>
      <c r="BA82" s="151">
        <v>0</v>
      </c>
      <c r="BB82" s="151">
        <f t="shared" si="96"/>
        <v>0</v>
      </c>
      <c r="BC82" s="151">
        <f t="shared" si="97"/>
        <v>0</v>
      </c>
      <c r="BD82" s="151"/>
      <c r="BE82" s="104"/>
      <c r="BF82" s="104"/>
      <c r="BG82" s="127"/>
      <c r="BH82" s="127"/>
      <c r="BI82" s="145">
        <f t="shared" si="70"/>
        <v>1471.54</v>
      </c>
      <c r="BJ82" s="104">
        <f t="shared" si="98"/>
        <v>0</v>
      </c>
      <c r="BK82" s="145">
        <f t="shared" si="71"/>
        <v>1471.54</v>
      </c>
      <c r="BL82" s="104">
        <f t="shared" si="99"/>
        <v>147.154</v>
      </c>
      <c r="BM82" s="104">
        <v>10.23</v>
      </c>
      <c r="BN82" s="145">
        <f t="shared" si="100"/>
        <v>1628.924</v>
      </c>
      <c r="BO82" s="241"/>
      <c r="BP82" s="241"/>
      <c r="BQ82" s="241"/>
      <c r="BR82" s="107"/>
      <c r="BS82" s="107"/>
      <c r="BV82" s="127" t="s">
        <v>431</v>
      </c>
      <c r="BW82" s="127" t="s">
        <v>632</v>
      </c>
      <c r="BX82" s="127"/>
      <c r="BY82" s="127"/>
      <c r="BZ82" s="127" t="s">
        <v>186</v>
      </c>
      <c r="CA82" s="165">
        <v>42410</v>
      </c>
      <c r="CB82" s="127"/>
      <c r="CC82" s="127"/>
      <c r="CD82" s="151">
        <v>1516.67</v>
      </c>
      <c r="CE82" s="127"/>
      <c r="CF82" s="151">
        <f t="shared" si="102"/>
        <v>1516.67</v>
      </c>
      <c r="CG82" s="151"/>
      <c r="CH82" s="151"/>
      <c r="CI82" s="151"/>
      <c r="CJ82" s="151"/>
      <c r="CK82" s="163">
        <v>45.13</v>
      </c>
      <c r="CL82" s="145">
        <f t="shared" si="103"/>
        <v>1471.54</v>
      </c>
      <c r="CM82" s="151"/>
      <c r="CN82" s="151"/>
      <c r="CO82" s="151">
        <v>0</v>
      </c>
      <c r="CP82" s="151"/>
      <c r="CQ82" s="151"/>
      <c r="CR82" s="151"/>
      <c r="CS82" s="104">
        <f t="shared" si="101"/>
        <v>0</v>
      </c>
      <c r="CT82" s="104"/>
      <c r="CU82" s="127"/>
      <c r="CV82" s="127"/>
      <c r="CW82" s="145">
        <f t="shared" si="104"/>
        <v>1471.54</v>
      </c>
      <c r="CX82" s="104">
        <f t="shared" si="105"/>
        <v>0</v>
      </c>
      <c r="CY82" s="145">
        <f t="shared" si="106"/>
        <v>1471.54</v>
      </c>
      <c r="CZ82" s="104">
        <f t="shared" si="107"/>
        <v>147.154</v>
      </c>
      <c r="DA82" s="104">
        <v>10.23</v>
      </c>
      <c r="DB82" s="145">
        <f t="shared" si="108"/>
        <v>1628.924</v>
      </c>
      <c r="DC82" s="241"/>
      <c r="DD82" s="241"/>
      <c r="DE82" s="241"/>
      <c r="DF82" s="107"/>
      <c r="DG82" s="107"/>
      <c r="DJ82" s="21"/>
      <c r="DK82" s="21"/>
      <c r="DL82" s="21"/>
      <c r="DM82" s="21"/>
      <c r="DN82" s="21"/>
      <c r="DO82" s="60">
        <f>+U82-'C&amp;A'!L83-SINDICATO!P83</f>
        <v>0</v>
      </c>
    </row>
    <row r="83" spans="1:119" hidden="1" x14ac:dyDescent="0.25">
      <c r="A83" s="20" t="s">
        <v>157</v>
      </c>
      <c r="B83" s="21" t="s">
        <v>158</v>
      </c>
      <c r="C83" s="22">
        <f t="shared" si="66"/>
        <v>739.23</v>
      </c>
      <c r="D83" s="22">
        <v>0</v>
      </c>
      <c r="E83" s="22">
        <f t="shared" si="67"/>
        <v>1419.37</v>
      </c>
      <c r="F83" s="22">
        <v>0</v>
      </c>
      <c r="G83" s="22">
        <f t="shared" si="72"/>
        <v>2158.6</v>
      </c>
      <c r="H83" s="22">
        <f t="shared" si="73"/>
        <v>0</v>
      </c>
      <c r="I83" s="22">
        <f t="shared" si="74"/>
        <v>0</v>
      </c>
      <c r="J83" s="22">
        <f t="shared" si="75"/>
        <v>0</v>
      </c>
      <c r="K83" s="22">
        <f t="shared" si="76"/>
        <v>0</v>
      </c>
      <c r="L83" s="22">
        <f t="shared" si="77"/>
        <v>45.13</v>
      </c>
      <c r="M83" s="22">
        <f t="shared" si="78"/>
        <v>0</v>
      </c>
      <c r="N83" s="22">
        <f t="shared" si="79"/>
        <v>0</v>
      </c>
      <c r="O83" s="22">
        <f t="shared" si="80"/>
        <v>0</v>
      </c>
      <c r="P83" s="22">
        <f t="shared" si="81"/>
        <v>0</v>
      </c>
      <c r="Q83" s="22">
        <v>0</v>
      </c>
      <c r="R83" s="22">
        <f t="shared" si="82"/>
        <v>0</v>
      </c>
      <c r="S83" s="22">
        <f t="shared" si="83"/>
        <v>0</v>
      </c>
      <c r="T83" s="22">
        <f t="shared" si="84"/>
        <v>45.13</v>
      </c>
      <c r="U83" s="22">
        <f t="shared" si="85"/>
        <v>2113.4699999999998</v>
      </c>
      <c r="V83" s="22">
        <f t="shared" si="91"/>
        <v>2113.4699999999998</v>
      </c>
      <c r="W83" s="22">
        <f t="shared" si="86"/>
        <v>211.34699999999998</v>
      </c>
      <c r="X83" s="22">
        <f>+'C&amp;A'!E84*0.02</f>
        <v>10.2256</v>
      </c>
      <c r="Y83" s="22">
        <f t="shared" si="87"/>
        <v>0</v>
      </c>
      <c r="Z83" s="22">
        <f t="shared" si="88"/>
        <v>2335.0426000000002</v>
      </c>
      <c r="AA83" s="22">
        <f t="shared" si="89"/>
        <v>373.60681600000004</v>
      </c>
      <c r="AB83" s="22">
        <f t="shared" si="90"/>
        <v>2708.6494160000002</v>
      </c>
      <c r="AC83" s="60">
        <f t="shared" si="92"/>
        <v>0</v>
      </c>
      <c r="AD83" s="62">
        <f>+U83-'C&amp;A'!L84-SINDICATO!P84</f>
        <v>0</v>
      </c>
      <c r="AE83" s="62">
        <f>+'C&amp;A'!L84+'C&amp;A'!J84+'C&amp;A'!H84+'C&amp;A'!G84+SINDICATO!E84-G83</f>
        <v>0</v>
      </c>
      <c r="AF83" s="62">
        <f t="shared" si="93"/>
        <v>0</v>
      </c>
      <c r="AG83" s="127" t="s">
        <v>383</v>
      </c>
      <c r="AH83" s="127" t="s">
        <v>633</v>
      </c>
      <c r="AI83" s="127"/>
      <c r="AJ83" s="127" t="s">
        <v>157</v>
      </c>
      <c r="AK83" s="127" t="s">
        <v>177</v>
      </c>
      <c r="AL83" s="127"/>
      <c r="AM83" s="127"/>
      <c r="AN83" s="127"/>
      <c r="AO83" s="151">
        <v>739.23</v>
      </c>
      <c r="AP83" s="162">
        <f t="shared" si="94"/>
        <v>0</v>
      </c>
      <c r="AQ83" s="151">
        <f t="shared" si="68"/>
        <v>739.23</v>
      </c>
      <c r="AR83" s="151">
        <f t="shared" si="95"/>
        <v>0</v>
      </c>
      <c r="AS83" s="151">
        <v>1419.37</v>
      </c>
      <c r="AT83" s="151"/>
      <c r="AU83" s="151"/>
      <c r="AV83" s="151"/>
      <c r="AW83" s="163">
        <v>45.13</v>
      </c>
      <c r="AX83" s="145">
        <f t="shared" si="69"/>
        <v>2113.4699999999998</v>
      </c>
      <c r="AY83" s="151"/>
      <c r="AZ83" s="151"/>
      <c r="BA83" s="151">
        <v>0</v>
      </c>
      <c r="BB83" s="151">
        <f t="shared" si="96"/>
        <v>0</v>
      </c>
      <c r="BC83" s="151">
        <f t="shared" si="97"/>
        <v>0</v>
      </c>
      <c r="BD83" s="151"/>
      <c r="BE83" s="104"/>
      <c r="BF83" s="104"/>
      <c r="BG83" s="127"/>
      <c r="BH83" s="127">
        <v>0</v>
      </c>
      <c r="BI83" s="145">
        <f t="shared" si="70"/>
        <v>2113.4699999999998</v>
      </c>
      <c r="BJ83" s="104">
        <f t="shared" si="98"/>
        <v>0</v>
      </c>
      <c r="BK83" s="145">
        <f t="shared" si="71"/>
        <v>2113.4699999999998</v>
      </c>
      <c r="BL83" s="104">
        <f t="shared" si="99"/>
        <v>211.34699999999998</v>
      </c>
      <c r="BM83" s="104">
        <v>10.23</v>
      </c>
      <c r="BN83" s="145">
        <f t="shared" si="100"/>
        <v>2335.047</v>
      </c>
      <c r="BO83" s="241"/>
      <c r="BP83" s="241"/>
      <c r="BQ83" s="241"/>
      <c r="BR83" s="107"/>
      <c r="BS83" s="107"/>
      <c r="BV83" s="127" t="s">
        <v>383</v>
      </c>
      <c r="BW83" s="127" t="s">
        <v>633</v>
      </c>
      <c r="BX83" s="127"/>
      <c r="BY83" s="127" t="s">
        <v>157</v>
      </c>
      <c r="BZ83" s="127" t="s">
        <v>177</v>
      </c>
      <c r="CA83" s="127"/>
      <c r="CB83" s="127"/>
      <c r="CC83" s="127"/>
      <c r="CD83" s="151">
        <v>739.23</v>
      </c>
      <c r="CE83" s="127"/>
      <c r="CF83" s="151">
        <f t="shared" si="102"/>
        <v>739.23</v>
      </c>
      <c r="CG83" s="151">
        <v>1419.37</v>
      </c>
      <c r="CH83" s="151"/>
      <c r="CI83" s="151"/>
      <c r="CJ83" s="151"/>
      <c r="CK83" s="163">
        <v>45.13</v>
      </c>
      <c r="CL83" s="145">
        <f t="shared" si="103"/>
        <v>2113.4699999999998</v>
      </c>
      <c r="CM83" s="151"/>
      <c r="CN83" s="151"/>
      <c r="CO83" s="151">
        <v>0</v>
      </c>
      <c r="CP83" s="151"/>
      <c r="CQ83" s="151"/>
      <c r="CR83" s="151"/>
      <c r="CS83" s="104">
        <f t="shared" si="101"/>
        <v>0</v>
      </c>
      <c r="CT83" s="104"/>
      <c r="CU83" s="127"/>
      <c r="CV83" s="127">
        <v>0</v>
      </c>
      <c r="CW83" s="145">
        <f t="shared" si="104"/>
        <v>2113.4699999999998</v>
      </c>
      <c r="CX83" s="104">
        <f t="shared" si="105"/>
        <v>0</v>
      </c>
      <c r="CY83" s="145">
        <f t="shared" si="106"/>
        <v>2113.4699999999998</v>
      </c>
      <c r="CZ83" s="104">
        <f t="shared" si="107"/>
        <v>211.34699999999998</v>
      </c>
      <c r="DA83" s="104">
        <v>10.23</v>
      </c>
      <c r="DB83" s="145">
        <f t="shared" si="108"/>
        <v>2335.047</v>
      </c>
      <c r="DC83" s="241"/>
      <c r="DD83" s="241"/>
      <c r="DE83" s="241"/>
      <c r="DF83" s="107"/>
      <c r="DG83" s="107"/>
      <c r="DJ83" s="21"/>
      <c r="DK83" s="21"/>
      <c r="DL83" s="21"/>
      <c r="DM83" s="21"/>
      <c r="DN83" s="21"/>
      <c r="DO83" s="60">
        <f>+U83-'C&amp;A'!L84-SINDICATO!P84</f>
        <v>0</v>
      </c>
    </row>
    <row r="84" spans="1:119" hidden="1" x14ac:dyDescent="0.25">
      <c r="A84" s="20" t="s">
        <v>159</v>
      </c>
      <c r="B84" s="21" t="s">
        <v>160</v>
      </c>
      <c r="C84" s="22">
        <f t="shared" si="66"/>
        <v>739.23</v>
      </c>
      <c r="D84" s="22">
        <v>0</v>
      </c>
      <c r="E84" s="22">
        <f t="shared" si="67"/>
        <v>2313.4</v>
      </c>
      <c r="F84" s="22">
        <v>0</v>
      </c>
      <c r="G84" s="22">
        <f t="shared" si="72"/>
        <v>3052.63</v>
      </c>
      <c r="H84" s="22">
        <f t="shared" si="73"/>
        <v>0</v>
      </c>
      <c r="I84" s="22">
        <f t="shared" si="74"/>
        <v>0</v>
      </c>
      <c r="J84" s="22">
        <f t="shared" si="75"/>
        <v>0</v>
      </c>
      <c r="K84" s="22">
        <f t="shared" si="76"/>
        <v>0</v>
      </c>
      <c r="L84" s="22">
        <f t="shared" si="77"/>
        <v>45.13</v>
      </c>
      <c r="M84" s="22">
        <f t="shared" si="78"/>
        <v>0</v>
      </c>
      <c r="N84" s="22">
        <f t="shared" si="79"/>
        <v>0</v>
      </c>
      <c r="O84" s="22">
        <f t="shared" si="80"/>
        <v>0</v>
      </c>
      <c r="P84" s="22">
        <f t="shared" si="81"/>
        <v>0</v>
      </c>
      <c r="Q84" s="22">
        <v>0</v>
      </c>
      <c r="R84" s="22">
        <f t="shared" si="82"/>
        <v>0</v>
      </c>
      <c r="S84" s="22">
        <f t="shared" si="83"/>
        <v>0</v>
      </c>
      <c r="T84" s="22">
        <f t="shared" si="84"/>
        <v>45.13</v>
      </c>
      <c r="U84" s="22">
        <f t="shared" si="85"/>
        <v>3007.5</v>
      </c>
      <c r="V84" s="22">
        <f t="shared" si="91"/>
        <v>3007.5</v>
      </c>
      <c r="W84" s="22">
        <f t="shared" si="86"/>
        <v>300.75</v>
      </c>
      <c r="X84" s="22">
        <f>+'C&amp;A'!E85*0.02</f>
        <v>10.2256</v>
      </c>
      <c r="Y84" s="22">
        <f t="shared" si="87"/>
        <v>0</v>
      </c>
      <c r="Z84" s="22">
        <f t="shared" si="88"/>
        <v>3318.4756000000002</v>
      </c>
      <c r="AA84" s="22">
        <f t="shared" si="89"/>
        <v>530.956096</v>
      </c>
      <c r="AB84" s="22">
        <f t="shared" si="90"/>
        <v>3849.4316960000001</v>
      </c>
      <c r="AC84" s="60">
        <f t="shared" si="92"/>
        <v>0</v>
      </c>
      <c r="AD84" s="62">
        <f>+U84-'C&amp;A'!L85-SINDICATO!P85</f>
        <v>0</v>
      </c>
      <c r="AE84" s="62">
        <f>+'C&amp;A'!L85+'C&amp;A'!J85+'C&amp;A'!H85+'C&amp;A'!G85+SINDICATO!E85-G84</f>
        <v>0</v>
      </c>
      <c r="AF84" s="62">
        <f t="shared" si="93"/>
        <v>0</v>
      </c>
      <c r="AG84" s="127" t="s">
        <v>383</v>
      </c>
      <c r="AH84" s="127" t="s">
        <v>472</v>
      </c>
      <c r="AI84" s="127"/>
      <c r="AJ84" s="127" t="s">
        <v>159</v>
      </c>
      <c r="AK84" s="127" t="s">
        <v>184</v>
      </c>
      <c r="AL84" s="127"/>
      <c r="AM84" s="127"/>
      <c r="AN84" s="127"/>
      <c r="AO84" s="151">
        <v>739.23</v>
      </c>
      <c r="AP84" s="162">
        <f t="shared" si="94"/>
        <v>0</v>
      </c>
      <c r="AQ84" s="151">
        <f t="shared" si="68"/>
        <v>739.23</v>
      </c>
      <c r="AR84" s="151">
        <f t="shared" si="95"/>
        <v>0</v>
      </c>
      <c r="AS84" s="151">
        <v>2313.4</v>
      </c>
      <c r="AT84" s="151"/>
      <c r="AU84" s="151"/>
      <c r="AV84" s="151"/>
      <c r="AW84" s="163">
        <v>45.13</v>
      </c>
      <c r="AX84" s="145">
        <f t="shared" si="69"/>
        <v>3007.5</v>
      </c>
      <c r="AY84" s="151"/>
      <c r="AZ84" s="151"/>
      <c r="BA84" s="151">
        <v>0</v>
      </c>
      <c r="BB84" s="151">
        <f t="shared" si="96"/>
        <v>0</v>
      </c>
      <c r="BC84" s="151">
        <f t="shared" si="97"/>
        <v>0</v>
      </c>
      <c r="BD84" s="151"/>
      <c r="BE84" s="104"/>
      <c r="BF84" s="104"/>
      <c r="BG84" s="127"/>
      <c r="BH84" s="127">
        <v>0</v>
      </c>
      <c r="BI84" s="145">
        <f t="shared" si="70"/>
        <v>3007.5</v>
      </c>
      <c r="BJ84" s="104">
        <f t="shared" si="98"/>
        <v>0</v>
      </c>
      <c r="BK84" s="145">
        <f t="shared" si="71"/>
        <v>3007.5</v>
      </c>
      <c r="BL84" s="104">
        <f t="shared" si="99"/>
        <v>300.75</v>
      </c>
      <c r="BM84" s="104">
        <v>10.23</v>
      </c>
      <c r="BN84" s="145">
        <f t="shared" si="100"/>
        <v>3318.48</v>
      </c>
      <c r="BO84" s="241"/>
      <c r="BP84" s="241"/>
      <c r="BQ84" s="241"/>
      <c r="BR84" s="107"/>
      <c r="BS84" s="107"/>
      <c r="BV84" s="127" t="s">
        <v>383</v>
      </c>
      <c r="BW84" s="127" t="s">
        <v>472</v>
      </c>
      <c r="BX84" s="127"/>
      <c r="BY84" s="127" t="s">
        <v>159</v>
      </c>
      <c r="BZ84" s="127" t="s">
        <v>184</v>
      </c>
      <c r="CA84" s="127"/>
      <c r="CB84" s="127"/>
      <c r="CC84" s="127"/>
      <c r="CD84" s="151">
        <v>739.23</v>
      </c>
      <c r="CE84" s="127"/>
      <c r="CF84" s="151">
        <f t="shared" si="102"/>
        <v>739.23</v>
      </c>
      <c r="CG84" s="151">
        <v>2313.4</v>
      </c>
      <c r="CH84" s="151"/>
      <c r="CI84" s="151"/>
      <c r="CJ84" s="151"/>
      <c r="CK84" s="163">
        <v>45.13</v>
      </c>
      <c r="CL84" s="145">
        <f t="shared" si="103"/>
        <v>3007.5</v>
      </c>
      <c r="CM84" s="151"/>
      <c r="CN84" s="151"/>
      <c r="CO84" s="151">
        <v>0</v>
      </c>
      <c r="CP84" s="151"/>
      <c r="CQ84" s="151"/>
      <c r="CR84" s="151"/>
      <c r="CS84" s="104">
        <f t="shared" si="101"/>
        <v>0</v>
      </c>
      <c r="CT84" s="104"/>
      <c r="CU84" s="127"/>
      <c r="CV84" s="127">
        <v>0</v>
      </c>
      <c r="CW84" s="145">
        <f t="shared" si="104"/>
        <v>3007.5</v>
      </c>
      <c r="CX84" s="104">
        <f t="shared" si="105"/>
        <v>0</v>
      </c>
      <c r="CY84" s="145">
        <f t="shared" si="106"/>
        <v>3007.5</v>
      </c>
      <c r="CZ84" s="104">
        <f t="shared" si="107"/>
        <v>300.75</v>
      </c>
      <c r="DA84" s="104">
        <v>10.23</v>
      </c>
      <c r="DB84" s="145">
        <f t="shared" si="108"/>
        <v>3318.48</v>
      </c>
      <c r="DC84" s="241"/>
      <c r="DD84" s="241"/>
      <c r="DE84" s="241"/>
      <c r="DF84" s="107"/>
      <c r="DG84" s="107"/>
      <c r="DJ84" s="21"/>
      <c r="DK84" s="21"/>
      <c r="DL84" s="21"/>
      <c r="DM84" s="21"/>
      <c r="DN84" s="21"/>
      <c r="DO84" s="60">
        <f>+U84-'C&amp;A'!L85-SINDICATO!P85</f>
        <v>0</v>
      </c>
    </row>
    <row r="85" spans="1:119" hidden="1" x14ac:dyDescent="0.25">
      <c r="A85" s="20" t="s">
        <v>161</v>
      </c>
      <c r="B85" s="21" t="s">
        <v>162</v>
      </c>
      <c r="C85" s="22">
        <f t="shared" si="66"/>
        <v>1166.26</v>
      </c>
      <c r="D85" s="22">
        <v>0</v>
      </c>
      <c r="E85" s="22">
        <f t="shared" si="67"/>
        <v>1405.25</v>
      </c>
      <c r="F85" s="22">
        <v>0</v>
      </c>
      <c r="G85" s="22">
        <f t="shared" si="72"/>
        <v>2571.5100000000002</v>
      </c>
      <c r="H85" s="22">
        <f t="shared" si="73"/>
        <v>0</v>
      </c>
      <c r="I85" s="22">
        <f t="shared" si="74"/>
        <v>0</v>
      </c>
      <c r="J85" s="22">
        <f t="shared" si="75"/>
        <v>0</v>
      </c>
      <c r="K85" s="22">
        <f t="shared" si="76"/>
        <v>0</v>
      </c>
      <c r="L85" s="22">
        <f t="shared" si="77"/>
        <v>45.13</v>
      </c>
      <c r="M85" s="22">
        <f t="shared" si="78"/>
        <v>0</v>
      </c>
      <c r="N85" s="22">
        <f t="shared" si="79"/>
        <v>0</v>
      </c>
      <c r="O85" s="22">
        <f t="shared" si="80"/>
        <v>0</v>
      </c>
      <c r="P85" s="22">
        <f t="shared" si="81"/>
        <v>0</v>
      </c>
      <c r="Q85" s="22">
        <v>0</v>
      </c>
      <c r="R85" s="22">
        <f t="shared" si="82"/>
        <v>0</v>
      </c>
      <c r="S85" s="22">
        <f t="shared" si="83"/>
        <v>0</v>
      </c>
      <c r="T85" s="22">
        <f t="shared" si="84"/>
        <v>45.13</v>
      </c>
      <c r="U85" s="22">
        <f t="shared" si="85"/>
        <v>2526.38</v>
      </c>
      <c r="V85" s="22">
        <f t="shared" si="91"/>
        <v>2526.38</v>
      </c>
      <c r="W85" s="22">
        <f t="shared" si="86"/>
        <v>252.63800000000003</v>
      </c>
      <c r="X85" s="22">
        <f>+'C&amp;A'!E86*0.02</f>
        <v>10.2256</v>
      </c>
      <c r="Y85" s="22">
        <f t="shared" si="87"/>
        <v>0</v>
      </c>
      <c r="Z85" s="22">
        <f t="shared" si="88"/>
        <v>2789.2436000000002</v>
      </c>
      <c r="AA85" s="22">
        <f t="shared" si="89"/>
        <v>446.27897600000006</v>
      </c>
      <c r="AB85" s="22">
        <f t="shared" si="90"/>
        <v>3235.5225760000003</v>
      </c>
      <c r="AC85" s="60">
        <f t="shared" si="92"/>
        <v>0</v>
      </c>
      <c r="AD85" s="62">
        <f>+U85-'C&amp;A'!L86-SINDICATO!P86</f>
        <v>0</v>
      </c>
      <c r="AE85" s="62">
        <f>+'C&amp;A'!L86+'C&amp;A'!J86+'C&amp;A'!H86+'C&amp;A'!G86+SINDICATO!E86-G85</f>
        <v>0</v>
      </c>
      <c r="AF85" s="62">
        <f t="shared" si="93"/>
        <v>0</v>
      </c>
      <c r="AG85" s="127" t="s">
        <v>375</v>
      </c>
      <c r="AH85" s="127" t="s">
        <v>481</v>
      </c>
      <c r="AI85" s="127"/>
      <c r="AJ85" s="273"/>
      <c r="AK85" s="127" t="s">
        <v>482</v>
      </c>
      <c r="AL85" s="127"/>
      <c r="AM85" s="127"/>
      <c r="AN85" s="127"/>
      <c r="AO85" s="151">
        <v>1166.26</v>
      </c>
      <c r="AP85" s="162">
        <f t="shared" si="94"/>
        <v>0</v>
      </c>
      <c r="AQ85" s="151">
        <f t="shared" si="68"/>
        <v>1166.26</v>
      </c>
      <c r="AR85" s="151">
        <f t="shared" si="95"/>
        <v>0</v>
      </c>
      <c r="AS85" s="151">
        <v>1405.25</v>
      </c>
      <c r="AT85" s="151"/>
      <c r="AU85" s="151"/>
      <c r="AV85" s="151"/>
      <c r="AW85" s="163">
        <v>45.13</v>
      </c>
      <c r="AX85" s="145">
        <f t="shared" si="69"/>
        <v>2526.38</v>
      </c>
      <c r="AY85" s="151"/>
      <c r="AZ85" s="151"/>
      <c r="BA85" s="151"/>
      <c r="BB85" s="151">
        <f t="shared" si="96"/>
        <v>0</v>
      </c>
      <c r="BC85" s="151">
        <f t="shared" si="97"/>
        <v>0</v>
      </c>
      <c r="BD85" s="151"/>
      <c r="BE85" s="104"/>
      <c r="BF85" s="104"/>
      <c r="BG85" s="127"/>
      <c r="BH85" s="127">
        <v>0</v>
      </c>
      <c r="BI85" s="145">
        <f t="shared" si="70"/>
        <v>2526.38</v>
      </c>
      <c r="BJ85" s="104">
        <f t="shared" si="98"/>
        <v>0</v>
      </c>
      <c r="BK85" s="145">
        <f t="shared" si="71"/>
        <v>2526.38</v>
      </c>
      <c r="BL85" s="104">
        <f t="shared" si="99"/>
        <v>252.63800000000003</v>
      </c>
      <c r="BM85" s="104">
        <v>10.23</v>
      </c>
      <c r="BN85" s="145">
        <f t="shared" si="100"/>
        <v>2789.248</v>
      </c>
      <c r="BO85" s="241"/>
      <c r="BP85" s="241"/>
      <c r="BQ85" s="241"/>
      <c r="BR85" s="107"/>
      <c r="BS85" s="107"/>
      <c r="BV85" s="127" t="s">
        <v>375</v>
      </c>
      <c r="BW85" s="127" t="s">
        <v>481</v>
      </c>
      <c r="BX85" s="127"/>
      <c r="BY85" s="273"/>
      <c r="BZ85" s="127" t="s">
        <v>482</v>
      </c>
      <c r="CA85" s="127"/>
      <c r="CB85" s="127"/>
      <c r="CC85" s="127"/>
      <c r="CD85" s="151">
        <v>1166.26</v>
      </c>
      <c r="CE85" s="127"/>
      <c r="CF85" s="151">
        <f t="shared" si="102"/>
        <v>1166.26</v>
      </c>
      <c r="CG85" s="151">
        <v>1405.25</v>
      </c>
      <c r="CH85" s="151"/>
      <c r="CI85" s="151"/>
      <c r="CJ85" s="151"/>
      <c r="CK85" s="163">
        <v>45.13</v>
      </c>
      <c r="CL85" s="145">
        <f t="shared" si="103"/>
        <v>2526.38</v>
      </c>
      <c r="CM85" s="151"/>
      <c r="CN85" s="151"/>
      <c r="CO85" s="151"/>
      <c r="CP85" s="151"/>
      <c r="CQ85" s="151"/>
      <c r="CR85" s="151"/>
      <c r="CS85" s="104">
        <f t="shared" si="101"/>
        <v>0</v>
      </c>
      <c r="CT85" s="104"/>
      <c r="CU85" s="127"/>
      <c r="CV85" s="127">
        <v>0</v>
      </c>
      <c r="CW85" s="145">
        <f t="shared" si="104"/>
        <v>2526.38</v>
      </c>
      <c r="CX85" s="104">
        <f t="shared" si="105"/>
        <v>0</v>
      </c>
      <c r="CY85" s="145">
        <f t="shared" si="106"/>
        <v>2526.38</v>
      </c>
      <c r="CZ85" s="104">
        <f t="shared" si="107"/>
        <v>252.63800000000003</v>
      </c>
      <c r="DA85" s="104">
        <v>10.23</v>
      </c>
      <c r="DB85" s="145">
        <f t="shared" si="108"/>
        <v>2789.248</v>
      </c>
      <c r="DC85" s="241"/>
      <c r="DD85" s="241"/>
      <c r="DE85" s="241"/>
      <c r="DF85" s="107"/>
      <c r="DG85" s="107"/>
      <c r="DJ85" s="21"/>
      <c r="DK85" s="21"/>
      <c r="DL85" s="21"/>
      <c r="DM85" s="21"/>
      <c r="DN85" s="21"/>
      <c r="DO85" s="60">
        <f>+U85-'C&amp;A'!L86-SINDICATO!P86</f>
        <v>0</v>
      </c>
    </row>
    <row r="86" spans="1:119" hidden="1" x14ac:dyDescent="0.25">
      <c r="A86" s="20" t="s">
        <v>163</v>
      </c>
      <c r="B86" s="21" t="s">
        <v>164</v>
      </c>
      <c r="C86" s="22">
        <f t="shared" si="66"/>
        <v>513.33000000000004</v>
      </c>
      <c r="D86" s="22">
        <v>93.675398729432189</v>
      </c>
      <c r="E86" s="22">
        <f t="shared" si="67"/>
        <v>0</v>
      </c>
      <c r="F86" s="22">
        <v>0</v>
      </c>
      <c r="G86" s="22">
        <f t="shared" si="72"/>
        <v>607.00539872943227</v>
      </c>
      <c r="H86" s="22">
        <f t="shared" si="73"/>
        <v>0</v>
      </c>
      <c r="I86" s="22">
        <f t="shared" si="74"/>
        <v>0</v>
      </c>
      <c r="J86" s="22">
        <f t="shared" si="75"/>
        <v>0</v>
      </c>
      <c r="K86" s="22">
        <f t="shared" si="76"/>
        <v>0</v>
      </c>
      <c r="L86" s="22">
        <f t="shared" si="77"/>
        <v>45.13</v>
      </c>
      <c r="M86" s="22">
        <f t="shared" si="78"/>
        <v>0</v>
      </c>
      <c r="N86" s="22">
        <f t="shared" si="79"/>
        <v>117.05000000000001</v>
      </c>
      <c r="O86" s="22">
        <f t="shared" si="80"/>
        <v>0</v>
      </c>
      <c r="P86" s="22">
        <f t="shared" si="81"/>
        <v>0</v>
      </c>
      <c r="Q86" s="22">
        <v>0</v>
      </c>
      <c r="R86" s="22">
        <f t="shared" si="82"/>
        <v>268.935</v>
      </c>
      <c r="S86" s="22">
        <f t="shared" si="83"/>
        <v>0</v>
      </c>
      <c r="T86" s="22">
        <f t="shared" si="84"/>
        <v>431.11500000000001</v>
      </c>
      <c r="U86" s="22">
        <f t="shared" si="85"/>
        <v>175.89039872943226</v>
      </c>
      <c r="V86" s="22">
        <f t="shared" si="91"/>
        <v>561.87539872943228</v>
      </c>
      <c r="W86" s="22">
        <f t="shared" si="86"/>
        <v>46.820000000000007</v>
      </c>
      <c r="X86" s="22">
        <f>+'C&amp;A'!E87*0.02</f>
        <v>6.5735999999999999</v>
      </c>
      <c r="Y86" s="22">
        <f t="shared" si="87"/>
        <v>0</v>
      </c>
      <c r="Z86" s="22">
        <f t="shared" si="88"/>
        <v>615.26899872943238</v>
      </c>
      <c r="AA86" s="22">
        <f t="shared" si="89"/>
        <v>98.443039796709186</v>
      </c>
      <c r="AB86" s="22">
        <f t="shared" si="90"/>
        <v>713.71203852614155</v>
      </c>
      <c r="AC86" s="60">
        <f t="shared" si="92"/>
        <v>93.675398729432231</v>
      </c>
      <c r="AD86" s="62">
        <f>+U86-'C&amp;A'!L87-SINDICATO!P87</f>
        <v>0</v>
      </c>
      <c r="AE86" s="62">
        <f>+'C&amp;A'!L87+'C&amp;A'!J87+'C&amp;A'!H87+'C&amp;A'!G87+SINDICATO!E87-G86</f>
        <v>0</v>
      </c>
      <c r="AF86" s="62">
        <f t="shared" si="93"/>
        <v>0</v>
      </c>
      <c r="AG86" s="127" t="s">
        <v>377</v>
      </c>
      <c r="AH86" s="127" t="s">
        <v>762</v>
      </c>
      <c r="AI86" s="127" t="s">
        <v>32</v>
      </c>
      <c r="AJ86" s="127" t="s">
        <v>163</v>
      </c>
      <c r="AK86" s="127" t="s">
        <v>189</v>
      </c>
      <c r="AL86" s="127"/>
      <c r="AM86" s="127"/>
      <c r="AN86" s="127"/>
      <c r="AO86" s="151">
        <v>513.33000000000004</v>
      </c>
      <c r="AP86" s="162">
        <f t="shared" si="94"/>
        <v>0</v>
      </c>
      <c r="AQ86" s="151">
        <f t="shared" si="68"/>
        <v>513.33000000000004</v>
      </c>
      <c r="AR86" s="151">
        <f t="shared" si="95"/>
        <v>0</v>
      </c>
      <c r="AS86" s="151"/>
      <c r="AT86" s="151"/>
      <c r="AU86" s="151"/>
      <c r="AV86" s="151"/>
      <c r="AW86" s="163">
        <v>45.13</v>
      </c>
      <c r="AX86" s="145">
        <f t="shared" si="69"/>
        <v>468.20000000000005</v>
      </c>
      <c r="AY86" s="151"/>
      <c r="AZ86" s="151"/>
      <c r="BA86" s="151">
        <v>0</v>
      </c>
      <c r="BB86" s="151">
        <f t="shared" si="96"/>
        <v>0</v>
      </c>
      <c r="BC86" s="151">
        <f t="shared" si="97"/>
        <v>0</v>
      </c>
      <c r="BD86" s="151"/>
      <c r="BE86" s="104">
        <f>537.87/2</f>
        <v>268.935</v>
      </c>
      <c r="BF86" s="104"/>
      <c r="BG86" s="127"/>
      <c r="BH86" s="272">
        <f>AX86*0.25</f>
        <v>117.05000000000001</v>
      </c>
      <c r="BI86" s="145">
        <f t="shared" si="70"/>
        <v>82.215000000000032</v>
      </c>
      <c r="BJ86" s="104">
        <f t="shared" si="98"/>
        <v>0</v>
      </c>
      <c r="BK86" s="145">
        <f t="shared" si="71"/>
        <v>82.215000000000032</v>
      </c>
      <c r="BL86" s="104">
        <f t="shared" si="99"/>
        <v>46.820000000000007</v>
      </c>
      <c r="BM86" s="104">
        <v>10.23</v>
      </c>
      <c r="BN86" s="145">
        <f t="shared" si="100"/>
        <v>525.25000000000011</v>
      </c>
      <c r="BO86" s="241"/>
      <c r="BP86" s="241"/>
      <c r="BQ86" s="241"/>
      <c r="BR86" s="107"/>
      <c r="BS86" s="107" t="s">
        <v>772</v>
      </c>
      <c r="BV86" s="127" t="s">
        <v>377</v>
      </c>
      <c r="BW86" s="127" t="s">
        <v>634</v>
      </c>
      <c r="BX86" s="127" t="s">
        <v>32</v>
      </c>
      <c r="BY86" s="127" t="s">
        <v>163</v>
      </c>
      <c r="BZ86" s="127" t="s">
        <v>189</v>
      </c>
      <c r="CA86" s="127"/>
      <c r="CB86" s="127"/>
      <c r="CC86" s="127"/>
      <c r="CD86" s="151">
        <v>513.33000000000004</v>
      </c>
      <c r="CE86" s="127"/>
      <c r="CF86" s="151">
        <f t="shared" si="102"/>
        <v>513.33000000000004</v>
      </c>
      <c r="CG86" s="151"/>
      <c r="CH86" s="151"/>
      <c r="CI86" s="151"/>
      <c r="CJ86" s="151"/>
      <c r="CK86" s="163">
        <v>45.13</v>
      </c>
      <c r="CL86" s="145">
        <f t="shared" si="103"/>
        <v>468.20000000000005</v>
      </c>
      <c r="CM86" s="151"/>
      <c r="CN86" s="151"/>
      <c r="CO86" s="151">
        <v>0</v>
      </c>
      <c r="CP86" s="151"/>
      <c r="CQ86" s="151"/>
      <c r="CR86" s="151"/>
      <c r="CS86" s="104">
        <f t="shared" si="101"/>
        <v>268.935</v>
      </c>
      <c r="CT86" s="104"/>
      <c r="CU86" s="127"/>
      <c r="CV86" s="272">
        <f>CL86*0.25</f>
        <v>117.05000000000001</v>
      </c>
      <c r="CW86" s="145">
        <f t="shared" si="104"/>
        <v>82.215000000000032</v>
      </c>
      <c r="CX86" s="104">
        <f t="shared" si="105"/>
        <v>0</v>
      </c>
      <c r="CY86" s="145">
        <f t="shared" si="106"/>
        <v>82.215000000000032</v>
      </c>
      <c r="CZ86" s="104">
        <f t="shared" si="107"/>
        <v>46.820000000000007</v>
      </c>
      <c r="DA86" s="104">
        <v>10.23</v>
      </c>
      <c r="DB86" s="145">
        <f t="shared" si="108"/>
        <v>525.25000000000011</v>
      </c>
      <c r="DC86" s="241"/>
      <c r="DD86" s="241"/>
      <c r="DE86" s="241"/>
      <c r="DF86" s="107"/>
      <c r="DG86" s="107"/>
      <c r="DJ86" s="21"/>
      <c r="DK86" s="21"/>
      <c r="DL86" s="21"/>
      <c r="DM86" s="21"/>
      <c r="DN86" s="21"/>
      <c r="DO86" s="60">
        <f>+U86-'C&amp;A'!L87-SINDICATO!P87</f>
        <v>0</v>
      </c>
    </row>
    <row r="87" spans="1:119" hidden="1" x14ac:dyDescent="0.25">
      <c r="A87" s="20" t="s">
        <v>165</v>
      </c>
      <c r="B87" s="21" t="s">
        <v>166</v>
      </c>
      <c r="C87" s="22">
        <f t="shared" si="66"/>
        <v>1633.33</v>
      </c>
      <c r="D87" s="22">
        <v>0</v>
      </c>
      <c r="E87" s="22">
        <f t="shared" si="67"/>
        <v>4153</v>
      </c>
      <c r="F87" s="22">
        <v>0</v>
      </c>
      <c r="G87" s="22">
        <f t="shared" si="72"/>
        <v>5786.33</v>
      </c>
      <c r="H87" s="22">
        <f t="shared" si="73"/>
        <v>0</v>
      </c>
      <c r="I87" s="22">
        <f t="shared" si="74"/>
        <v>0</v>
      </c>
      <c r="J87" s="22">
        <f t="shared" si="75"/>
        <v>0</v>
      </c>
      <c r="K87" s="22">
        <f t="shared" si="76"/>
        <v>0</v>
      </c>
      <c r="L87" s="22">
        <f t="shared" si="77"/>
        <v>45.13</v>
      </c>
      <c r="M87" s="22">
        <f t="shared" si="78"/>
        <v>0</v>
      </c>
      <c r="N87" s="22">
        <f t="shared" si="79"/>
        <v>0</v>
      </c>
      <c r="O87" s="22">
        <f t="shared" si="80"/>
        <v>574.12</v>
      </c>
      <c r="P87" s="22">
        <f t="shared" si="81"/>
        <v>58.91</v>
      </c>
      <c r="Q87" s="22">
        <v>0</v>
      </c>
      <c r="R87" s="22">
        <f t="shared" si="82"/>
        <v>0</v>
      </c>
      <c r="S87" s="22">
        <f t="shared" si="83"/>
        <v>0</v>
      </c>
      <c r="T87" s="22">
        <f t="shared" si="84"/>
        <v>678.16</v>
      </c>
      <c r="U87" s="22">
        <f t="shared" si="85"/>
        <v>5108.17</v>
      </c>
      <c r="V87" s="22">
        <f t="shared" si="91"/>
        <v>5682.29</v>
      </c>
      <c r="W87" s="22">
        <f t="shared" si="86"/>
        <v>0</v>
      </c>
      <c r="X87" s="22">
        <f>+'C&amp;A'!E88*0.02</f>
        <v>10.2256</v>
      </c>
      <c r="Y87" s="22">
        <f t="shared" si="87"/>
        <v>0</v>
      </c>
      <c r="Z87" s="22">
        <f t="shared" si="88"/>
        <v>5692.5155999999997</v>
      </c>
      <c r="AA87" s="22">
        <f t="shared" si="89"/>
        <v>910.80249600000002</v>
      </c>
      <c r="AB87" s="22">
        <f t="shared" si="90"/>
        <v>6603.318096</v>
      </c>
      <c r="AC87" s="60">
        <f t="shared" si="92"/>
        <v>0</v>
      </c>
      <c r="AD87" s="62">
        <f>+U87-'C&amp;A'!L88-SINDICATO!P88</f>
        <v>0</v>
      </c>
      <c r="AE87" s="62">
        <f>+'C&amp;A'!L88+'C&amp;A'!J88+'C&amp;A'!H88+'C&amp;A'!G88+SINDICATO!E88-G87</f>
        <v>0</v>
      </c>
      <c r="AF87" s="62">
        <f t="shared" si="93"/>
        <v>0</v>
      </c>
      <c r="AG87" s="127" t="s">
        <v>389</v>
      </c>
      <c r="AH87" s="127" t="s">
        <v>635</v>
      </c>
      <c r="AI87" s="127" t="s">
        <v>379</v>
      </c>
      <c r="AJ87" s="127" t="s">
        <v>165</v>
      </c>
      <c r="AK87" s="127" t="s">
        <v>392</v>
      </c>
      <c r="AL87" s="127"/>
      <c r="AM87" s="127"/>
      <c r="AN87" s="127"/>
      <c r="AO87" s="201">
        <v>1633.33</v>
      </c>
      <c r="AP87" s="162">
        <f t="shared" si="94"/>
        <v>0</v>
      </c>
      <c r="AQ87" s="151">
        <f t="shared" si="68"/>
        <v>1633.33</v>
      </c>
      <c r="AR87" s="151">
        <f t="shared" si="95"/>
        <v>0</v>
      </c>
      <c r="AS87" s="151">
        <v>4153</v>
      </c>
      <c r="AT87" s="151"/>
      <c r="AU87" s="151"/>
      <c r="AV87" s="151"/>
      <c r="AW87" s="163">
        <v>45.13</v>
      </c>
      <c r="AX87" s="145">
        <f t="shared" si="69"/>
        <v>5741.2</v>
      </c>
      <c r="AY87" s="151"/>
      <c r="AZ87" s="151">
        <v>58.91</v>
      </c>
      <c r="BA87" s="151">
        <v>0</v>
      </c>
      <c r="BB87" s="151">
        <f t="shared" si="96"/>
        <v>0</v>
      </c>
      <c r="BC87" s="151">
        <f t="shared" si="97"/>
        <v>0</v>
      </c>
      <c r="BD87" s="151"/>
      <c r="BE87" s="104"/>
      <c r="BF87" s="104"/>
      <c r="BG87" s="127"/>
      <c r="BH87" s="127">
        <v>0</v>
      </c>
      <c r="BI87" s="145">
        <f t="shared" si="70"/>
        <v>5682.29</v>
      </c>
      <c r="BJ87" s="104">
        <f t="shared" si="98"/>
        <v>574.12</v>
      </c>
      <c r="BK87" s="145">
        <f t="shared" si="71"/>
        <v>5108.17</v>
      </c>
      <c r="BL87" s="104">
        <f t="shared" si="99"/>
        <v>0</v>
      </c>
      <c r="BM87" s="104">
        <v>10.23</v>
      </c>
      <c r="BN87" s="145">
        <f t="shared" si="100"/>
        <v>5751.4299999999994</v>
      </c>
      <c r="BO87" s="241"/>
      <c r="BP87" s="241"/>
      <c r="BQ87" s="241"/>
      <c r="BR87" s="107"/>
      <c r="BS87" s="276"/>
      <c r="BV87" s="127" t="s">
        <v>389</v>
      </c>
      <c r="BW87" s="127" t="s">
        <v>635</v>
      </c>
      <c r="BX87" s="127" t="s">
        <v>379</v>
      </c>
      <c r="BY87" s="127" t="s">
        <v>165</v>
      </c>
      <c r="BZ87" s="127" t="s">
        <v>392</v>
      </c>
      <c r="CA87" s="127"/>
      <c r="CB87" s="127"/>
      <c r="CC87" s="127"/>
      <c r="CD87" s="201">
        <v>1633.33</v>
      </c>
      <c r="CE87" s="127"/>
      <c r="CF87" s="151">
        <f t="shared" si="102"/>
        <v>1633.33</v>
      </c>
      <c r="CG87" s="151">
        <v>4153</v>
      </c>
      <c r="CH87" s="151"/>
      <c r="CI87" s="151"/>
      <c r="CJ87" s="151"/>
      <c r="CK87" s="163">
        <v>45.13</v>
      </c>
      <c r="CL87" s="145">
        <f t="shared" si="103"/>
        <v>5741.2</v>
      </c>
      <c r="CM87" s="151"/>
      <c r="CN87" s="151">
        <v>58.91</v>
      </c>
      <c r="CO87" s="151">
        <v>0</v>
      </c>
      <c r="CP87" s="151"/>
      <c r="CQ87" s="151"/>
      <c r="CR87" s="151"/>
      <c r="CS87" s="104">
        <f t="shared" si="101"/>
        <v>0</v>
      </c>
      <c r="CT87" s="104"/>
      <c r="CU87" s="127"/>
      <c r="CV87" s="127">
        <v>0</v>
      </c>
      <c r="CW87" s="145">
        <f t="shared" si="104"/>
        <v>5682.29</v>
      </c>
      <c r="CX87" s="104">
        <f t="shared" si="105"/>
        <v>574.12</v>
      </c>
      <c r="CY87" s="145">
        <f t="shared" si="106"/>
        <v>5108.17</v>
      </c>
      <c r="CZ87" s="104">
        <f t="shared" si="107"/>
        <v>0</v>
      </c>
      <c r="DA87" s="104">
        <v>10.23</v>
      </c>
      <c r="DB87" s="145">
        <f t="shared" si="108"/>
        <v>5751.4299999999994</v>
      </c>
      <c r="DC87" s="241"/>
      <c r="DD87" s="241"/>
      <c r="DE87" s="241"/>
      <c r="DF87" s="107"/>
      <c r="DG87" s="107"/>
      <c r="DJ87" s="21"/>
      <c r="DK87" s="21"/>
      <c r="DL87" s="21"/>
      <c r="DM87" s="21"/>
      <c r="DN87" s="21"/>
      <c r="DO87" s="60">
        <f>+U87-'C&amp;A'!L88-SINDICATO!P88</f>
        <v>0</v>
      </c>
    </row>
    <row r="88" spans="1:119" hidden="1" x14ac:dyDescent="0.25">
      <c r="A88" s="20" t="s">
        <v>167</v>
      </c>
      <c r="B88" s="21" t="s">
        <v>168</v>
      </c>
      <c r="C88" s="22">
        <f t="shared" si="66"/>
        <v>608.16</v>
      </c>
      <c r="D88" s="22">
        <v>0</v>
      </c>
      <c r="E88" s="22">
        <f t="shared" si="67"/>
        <v>2727.2420000000002</v>
      </c>
      <c r="F88" s="22">
        <v>0</v>
      </c>
      <c r="G88" s="22">
        <f t="shared" si="72"/>
        <v>3335.402</v>
      </c>
      <c r="H88" s="22">
        <f t="shared" si="73"/>
        <v>200</v>
      </c>
      <c r="I88" s="22">
        <f t="shared" si="74"/>
        <v>161.22332800000001</v>
      </c>
      <c r="J88" s="22">
        <f t="shared" si="75"/>
        <v>32.902720000000002</v>
      </c>
      <c r="K88" s="22">
        <f t="shared" si="76"/>
        <v>0</v>
      </c>
      <c r="L88" s="22">
        <f t="shared" si="77"/>
        <v>45.13</v>
      </c>
      <c r="M88" s="22">
        <f t="shared" si="78"/>
        <v>0</v>
      </c>
      <c r="N88" s="22">
        <f t="shared" si="79"/>
        <v>0</v>
      </c>
      <c r="O88" s="22">
        <f t="shared" si="80"/>
        <v>0</v>
      </c>
      <c r="P88" s="22">
        <f t="shared" si="81"/>
        <v>0</v>
      </c>
      <c r="Q88" s="22">
        <v>0</v>
      </c>
      <c r="R88" s="22">
        <f t="shared" si="82"/>
        <v>0</v>
      </c>
      <c r="S88" s="22">
        <f t="shared" si="83"/>
        <v>0</v>
      </c>
      <c r="T88" s="22">
        <f t="shared" si="84"/>
        <v>439.25604800000002</v>
      </c>
      <c r="U88" s="22">
        <f t="shared" si="85"/>
        <v>2896.1459519999999</v>
      </c>
      <c r="V88" s="22">
        <f t="shared" si="91"/>
        <v>3290.2719999999999</v>
      </c>
      <c r="W88" s="22">
        <f t="shared" si="86"/>
        <v>329.02719999999999</v>
      </c>
      <c r="X88" s="22">
        <f>+'C&amp;A'!E89*0.02</f>
        <v>10.2256</v>
      </c>
      <c r="Y88" s="22">
        <f t="shared" si="87"/>
        <v>161.22332800000001</v>
      </c>
      <c r="Z88" s="22">
        <f t="shared" si="88"/>
        <v>3790.7481280000002</v>
      </c>
      <c r="AA88" s="22">
        <f t="shared" si="89"/>
        <v>606.5197004800001</v>
      </c>
      <c r="AB88" s="22">
        <f t="shared" si="90"/>
        <v>4397.2678284800004</v>
      </c>
      <c r="AC88" s="60">
        <f t="shared" si="92"/>
        <v>0</v>
      </c>
      <c r="AD88" s="62">
        <f>+U88-'C&amp;A'!L89-SINDICATO!P89</f>
        <v>0</v>
      </c>
      <c r="AE88" s="62">
        <f>+'C&amp;A'!L89+'C&amp;A'!J89+'C&amp;A'!H89+'C&amp;A'!G89+SINDICATO!E89-G88</f>
        <v>0</v>
      </c>
      <c r="AF88" s="62">
        <f t="shared" si="93"/>
        <v>0</v>
      </c>
      <c r="AG88" s="127" t="s">
        <v>381</v>
      </c>
      <c r="AH88" s="127" t="s">
        <v>763</v>
      </c>
      <c r="AI88" s="127"/>
      <c r="AJ88" s="127" t="s">
        <v>167</v>
      </c>
      <c r="AK88" s="127" t="s">
        <v>193</v>
      </c>
      <c r="AL88" s="127"/>
      <c r="AM88" s="127"/>
      <c r="AN88" s="127"/>
      <c r="AO88" s="201">
        <v>608.16</v>
      </c>
      <c r="AP88" s="162">
        <f t="shared" si="94"/>
        <v>0</v>
      </c>
      <c r="AQ88" s="151">
        <f t="shared" si="68"/>
        <v>608.16</v>
      </c>
      <c r="AR88" s="151">
        <f t="shared" si="95"/>
        <v>0</v>
      </c>
      <c r="AS88" s="151">
        <v>2727.2420000000002</v>
      </c>
      <c r="AT88" s="151"/>
      <c r="AU88" s="151"/>
      <c r="AV88" s="151"/>
      <c r="AW88" s="163">
        <v>45.13</v>
      </c>
      <c r="AX88" s="145">
        <f t="shared" si="69"/>
        <v>3290.2719999999999</v>
      </c>
      <c r="AY88" s="151"/>
      <c r="AZ88" s="151"/>
      <c r="BA88" s="151">
        <v>200</v>
      </c>
      <c r="BB88" s="151">
        <f t="shared" si="96"/>
        <v>161.22332800000001</v>
      </c>
      <c r="BC88" s="151">
        <f t="shared" si="97"/>
        <v>32.902720000000002</v>
      </c>
      <c r="BD88" s="151"/>
      <c r="BE88" s="104"/>
      <c r="BF88" s="104"/>
      <c r="BG88" s="127"/>
      <c r="BH88" s="127">
        <v>0</v>
      </c>
      <c r="BI88" s="145">
        <f t="shared" si="70"/>
        <v>2896.1459519999999</v>
      </c>
      <c r="BJ88" s="104">
        <f t="shared" si="98"/>
        <v>0</v>
      </c>
      <c r="BK88" s="145">
        <f t="shared" si="71"/>
        <v>2896.1459519999999</v>
      </c>
      <c r="BL88" s="104">
        <f t="shared" si="99"/>
        <v>329.02719999999999</v>
      </c>
      <c r="BM88" s="104">
        <v>10.23</v>
      </c>
      <c r="BN88" s="145">
        <f t="shared" si="100"/>
        <v>3629.5291999999999</v>
      </c>
      <c r="BO88" s="241"/>
      <c r="BP88" s="241"/>
      <c r="BQ88" s="241"/>
      <c r="BR88" s="107"/>
      <c r="BS88" s="107"/>
      <c r="BV88" s="127" t="s">
        <v>381</v>
      </c>
      <c r="BW88" s="127" t="s">
        <v>475</v>
      </c>
      <c r="BX88" s="127"/>
      <c r="BY88" s="127" t="s">
        <v>167</v>
      </c>
      <c r="BZ88" s="127" t="s">
        <v>193</v>
      </c>
      <c r="CA88" s="127"/>
      <c r="CB88" s="127"/>
      <c r="CC88" s="127"/>
      <c r="CD88" s="201">
        <v>608.16</v>
      </c>
      <c r="CE88" s="127"/>
      <c r="CF88" s="151">
        <f t="shared" si="102"/>
        <v>608.16</v>
      </c>
      <c r="CG88" s="151">
        <v>2727.2420000000002</v>
      </c>
      <c r="CH88" s="151"/>
      <c r="CI88" s="151"/>
      <c r="CJ88" s="151"/>
      <c r="CK88" s="163">
        <v>45.13</v>
      </c>
      <c r="CL88" s="145">
        <f t="shared" si="103"/>
        <v>3290.2719999999999</v>
      </c>
      <c r="CM88" s="151"/>
      <c r="CN88" s="151"/>
      <c r="CO88" s="151">
        <v>200</v>
      </c>
      <c r="CP88" s="151">
        <f>CL88*4.9%</f>
        <v>161.22332800000001</v>
      </c>
      <c r="CQ88" s="151">
        <f>CL88*1%</f>
        <v>32.902720000000002</v>
      </c>
      <c r="CR88" s="151"/>
      <c r="CS88" s="104">
        <f t="shared" si="101"/>
        <v>0</v>
      </c>
      <c r="CT88" s="104"/>
      <c r="CU88" s="127"/>
      <c r="CV88" s="127">
        <v>0</v>
      </c>
      <c r="CW88" s="145">
        <f t="shared" si="104"/>
        <v>2896.1459519999999</v>
      </c>
      <c r="CX88" s="104">
        <f t="shared" si="105"/>
        <v>0</v>
      </c>
      <c r="CY88" s="145">
        <f t="shared" si="106"/>
        <v>2896.1459519999999</v>
      </c>
      <c r="CZ88" s="104">
        <f t="shared" si="107"/>
        <v>329.02719999999999</v>
      </c>
      <c r="DA88" s="104">
        <v>10.23</v>
      </c>
      <c r="DB88" s="145">
        <f t="shared" si="108"/>
        <v>3629.5291999999999</v>
      </c>
      <c r="DC88" s="241"/>
      <c r="DD88" s="241"/>
      <c r="DE88" s="241"/>
      <c r="DF88" s="107"/>
      <c r="DG88" s="107"/>
      <c r="DJ88" s="21"/>
      <c r="DK88" s="21"/>
      <c r="DL88" s="21"/>
      <c r="DM88" s="21"/>
      <c r="DN88" s="21"/>
      <c r="DO88" s="60">
        <f>+U88-'C&amp;A'!L89-SINDICATO!P89</f>
        <v>0</v>
      </c>
    </row>
    <row r="89" spans="1:119" hidden="1" x14ac:dyDescent="0.25">
      <c r="A89" s="20" t="s">
        <v>169</v>
      </c>
      <c r="B89" s="21" t="s">
        <v>170</v>
      </c>
      <c r="C89" s="22">
        <f t="shared" si="66"/>
        <v>1100</v>
      </c>
      <c r="D89" s="22">
        <v>0</v>
      </c>
      <c r="E89" s="22">
        <f t="shared" si="67"/>
        <v>0</v>
      </c>
      <c r="F89" s="22">
        <v>0</v>
      </c>
      <c r="G89" s="22">
        <f t="shared" si="72"/>
        <v>1100</v>
      </c>
      <c r="H89" s="22">
        <f t="shared" si="73"/>
        <v>0</v>
      </c>
      <c r="I89" s="22">
        <f t="shared" si="74"/>
        <v>0</v>
      </c>
      <c r="J89" s="22">
        <f t="shared" si="75"/>
        <v>0</v>
      </c>
      <c r="K89" s="22">
        <f t="shared" si="76"/>
        <v>0</v>
      </c>
      <c r="L89" s="22">
        <f t="shared" si="77"/>
        <v>45.13</v>
      </c>
      <c r="M89" s="22">
        <f t="shared" si="78"/>
        <v>0</v>
      </c>
      <c r="N89" s="22">
        <f t="shared" si="79"/>
        <v>0</v>
      </c>
      <c r="O89" s="22">
        <f t="shared" si="80"/>
        <v>0</v>
      </c>
      <c r="P89" s="22">
        <f t="shared" si="81"/>
        <v>0</v>
      </c>
      <c r="Q89" s="22">
        <v>0</v>
      </c>
      <c r="R89" s="22">
        <f t="shared" si="82"/>
        <v>0</v>
      </c>
      <c r="S89" s="22">
        <f t="shared" si="83"/>
        <v>0</v>
      </c>
      <c r="T89" s="22">
        <f t="shared" si="84"/>
        <v>45.13</v>
      </c>
      <c r="U89" s="22">
        <f t="shared" si="85"/>
        <v>1054.8699999999999</v>
      </c>
      <c r="V89" s="22">
        <f t="shared" si="91"/>
        <v>1054.8699999999999</v>
      </c>
      <c r="W89" s="22">
        <f t="shared" si="86"/>
        <v>105.48699999999999</v>
      </c>
      <c r="X89" s="22">
        <f>+'C&amp;A'!E90*0.02</f>
        <v>10.2256</v>
      </c>
      <c r="Y89" s="22">
        <f t="shared" si="87"/>
        <v>0</v>
      </c>
      <c r="Z89" s="22">
        <f t="shared" si="88"/>
        <v>1170.5826</v>
      </c>
      <c r="AA89" s="22">
        <f t="shared" si="89"/>
        <v>187.293216</v>
      </c>
      <c r="AB89" s="22">
        <f t="shared" si="90"/>
        <v>1357.875816</v>
      </c>
      <c r="AC89" s="60">
        <f t="shared" si="92"/>
        <v>0</v>
      </c>
      <c r="AD89" s="62">
        <f>+U89-'C&amp;A'!L90-SINDICATO!P90</f>
        <v>0</v>
      </c>
      <c r="AE89" s="62">
        <f>+'C&amp;A'!L90+'C&amp;A'!J90+'C&amp;A'!H90+'C&amp;A'!G90+SINDICATO!E90-G89</f>
        <v>0</v>
      </c>
      <c r="AF89" s="62">
        <f t="shared" si="93"/>
        <v>0</v>
      </c>
      <c r="AG89" s="127" t="s">
        <v>375</v>
      </c>
      <c r="AH89" s="127" t="s">
        <v>476</v>
      </c>
      <c r="AI89" s="127"/>
      <c r="AJ89" s="127" t="s">
        <v>169</v>
      </c>
      <c r="AK89" s="127" t="s">
        <v>185</v>
      </c>
      <c r="AL89" s="127"/>
      <c r="AM89" s="127"/>
      <c r="AN89" s="127"/>
      <c r="AO89" s="151">
        <v>1100</v>
      </c>
      <c r="AP89" s="162">
        <f t="shared" si="94"/>
        <v>0</v>
      </c>
      <c r="AQ89" s="151">
        <f t="shared" si="68"/>
        <v>1100</v>
      </c>
      <c r="AR89" s="151">
        <f t="shared" si="95"/>
        <v>0</v>
      </c>
      <c r="AS89" s="151"/>
      <c r="AT89" s="151"/>
      <c r="AU89" s="151"/>
      <c r="AV89" s="151"/>
      <c r="AW89" s="163">
        <v>45.13</v>
      </c>
      <c r="AX89" s="145">
        <f t="shared" si="69"/>
        <v>1054.8699999999999</v>
      </c>
      <c r="AY89" s="151"/>
      <c r="AZ89" s="151"/>
      <c r="BA89" s="151">
        <v>0</v>
      </c>
      <c r="BB89" s="151">
        <f t="shared" si="96"/>
        <v>0</v>
      </c>
      <c r="BC89" s="151">
        <f t="shared" si="97"/>
        <v>0</v>
      </c>
      <c r="BD89" s="151"/>
      <c r="BE89" s="104"/>
      <c r="BF89" s="104"/>
      <c r="BG89" s="127"/>
      <c r="BH89" s="127">
        <v>0</v>
      </c>
      <c r="BI89" s="145">
        <f t="shared" si="70"/>
        <v>1054.8699999999999</v>
      </c>
      <c r="BJ89" s="104">
        <f t="shared" si="98"/>
        <v>0</v>
      </c>
      <c r="BK89" s="145">
        <f t="shared" si="71"/>
        <v>1054.8699999999999</v>
      </c>
      <c r="BL89" s="104">
        <f t="shared" si="99"/>
        <v>105.48699999999999</v>
      </c>
      <c r="BM89" s="104">
        <v>10.23</v>
      </c>
      <c r="BN89" s="145">
        <f t="shared" si="100"/>
        <v>1170.587</v>
      </c>
      <c r="BO89" s="241"/>
      <c r="BP89" s="241"/>
      <c r="BQ89" s="241"/>
      <c r="BR89" s="107"/>
      <c r="BS89" s="107"/>
      <c r="BV89" s="127" t="s">
        <v>375</v>
      </c>
      <c r="BW89" s="127" t="s">
        <v>476</v>
      </c>
      <c r="BX89" s="127"/>
      <c r="BY89" s="127" t="s">
        <v>169</v>
      </c>
      <c r="BZ89" s="127" t="s">
        <v>185</v>
      </c>
      <c r="CA89" s="127"/>
      <c r="CB89" s="127"/>
      <c r="CC89" s="127"/>
      <c r="CD89" s="151">
        <v>1100</v>
      </c>
      <c r="CE89" s="127"/>
      <c r="CF89" s="151">
        <f t="shared" si="102"/>
        <v>1100</v>
      </c>
      <c r="CG89" s="151"/>
      <c r="CH89" s="151"/>
      <c r="CI89" s="151"/>
      <c r="CJ89" s="151"/>
      <c r="CK89" s="163">
        <v>45.13</v>
      </c>
      <c r="CL89" s="145">
        <f t="shared" si="103"/>
        <v>1054.8699999999999</v>
      </c>
      <c r="CM89" s="151"/>
      <c r="CN89" s="151"/>
      <c r="CO89" s="151">
        <v>0</v>
      </c>
      <c r="CP89" s="151"/>
      <c r="CQ89" s="151"/>
      <c r="CR89" s="151"/>
      <c r="CS89" s="104">
        <f t="shared" si="101"/>
        <v>0</v>
      </c>
      <c r="CT89" s="104"/>
      <c r="CU89" s="127"/>
      <c r="CV89" s="127">
        <v>0</v>
      </c>
      <c r="CW89" s="145">
        <f t="shared" si="104"/>
        <v>1054.8699999999999</v>
      </c>
      <c r="CX89" s="104">
        <f t="shared" si="105"/>
        <v>0</v>
      </c>
      <c r="CY89" s="145">
        <f t="shared" si="106"/>
        <v>1054.8699999999999</v>
      </c>
      <c r="CZ89" s="104">
        <f t="shared" si="107"/>
        <v>105.48699999999999</v>
      </c>
      <c r="DA89" s="104">
        <v>10.23</v>
      </c>
      <c r="DB89" s="145">
        <f t="shared" si="108"/>
        <v>1170.587</v>
      </c>
      <c r="DC89" s="241"/>
      <c r="DD89" s="241"/>
      <c r="DE89" s="241"/>
      <c r="DF89" s="107"/>
      <c r="DG89" s="107"/>
      <c r="DJ89" s="21"/>
      <c r="DK89" s="21"/>
      <c r="DL89" s="21"/>
      <c r="DM89" s="21"/>
      <c r="DN89" s="21"/>
      <c r="DO89" s="60">
        <f>+U89-'C&amp;A'!L90-SINDICATO!P90</f>
        <v>0</v>
      </c>
    </row>
    <row r="90" spans="1:119" hidden="1" x14ac:dyDescent="0.25">
      <c r="A90" s="20" t="s">
        <v>171</v>
      </c>
      <c r="B90" s="21" t="s">
        <v>172</v>
      </c>
      <c r="C90" s="22">
        <f t="shared" si="66"/>
        <v>513.33000000000004</v>
      </c>
      <c r="D90" s="22">
        <v>93.675398729432189</v>
      </c>
      <c r="E90" s="22">
        <f t="shared" si="67"/>
        <v>0</v>
      </c>
      <c r="F90" s="22">
        <v>0</v>
      </c>
      <c r="G90" s="22">
        <f t="shared" si="72"/>
        <v>607.00539872943227</v>
      </c>
      <c r="H90" s="22">
        <f t="shared" si="73"/>
        <v>0</v>
      </c>
      <c r="I90" s="22">
        <f t="shared" si="74"/>
        <v>0</v>
      </c>
      <c r="J90" s="22">
        <f t="shared" si="75"/>
        <v>0</v>
      </c>
      <c r="K90" s="22">
        <f t="shared" si="76"/>
        <v>0</v>
      </c>
      <c r="L90" s="22">
        <f t="shared" si="77"/>
        <v>45.13</v>
      </c>
      <c r="M90" s="22">
        <f t="shared" si="78"/>
        <v>0</v>
      </c>
      <c r="N90" s="22">
        <f t="shared" si="79"/>
        <v>0</v>
      </c>
      <c r="O90" s="22">
        <f t="shared" si="80"/>
        <v>0</v>
      </c>
      <c r="P90" s="22">
        <f t="shared" si="81"/>
        <v>0</v>
      </c>
      <c r="Q90" s="22">
        <v>0</v>
      </c>
      <c r="R90" s="22">
        <f t="shared" si="82"/>
        <v>0</v>
      </c>
      <c r="S90" s="22">
        <f t="shared" si="83"/>
        <v>0</v>
      </c>
      <c r="T90" s="22">
        <f t="shared" si="84"/>
        <v>45.13</v>
      </c>
      <c r="U90" s="22">
        <f t="shared" si="85"/>
        <v>561.87539872943228</v>
      </c>
      <c r="V90" s="22">
        <f t="shared" si="91"/>
        <v>561.87539872943228</v>
      </c>
      <c r="W90" s="22">
        <f t="shared" si="86"/>
        <v>46.820000000000007</v>
      </c>
      <c r="X90" s="22">
        <f>+'C&amp;A'!E91*0.02</f>
        <v>8.5213999999999999</v>
      </c>
      <c r="Y90" s="22">
        <f t="shared" si="87"/>
        <v>0</v>
      </c>
      <c r="Z90" s="22">
        <f t="shared" si="88"/>
        <v>617.2167987294323</v>
      </c>
      <c r="AA90" s="22">
        <f t="shared" si="89"/>
        <v>98.754687796709163</v>
      </c>
      <c r="AB90" s="22">
        <f t="shared" si="90"/>
        <v>715.97148652614146</v>
      </c>
      <c r="AC90" s="60">
        <f t="shared" si="92"/>
        <v>93.675398729432231</v>
      </c>
      <c r="AD90" s="62">
        <f>+U90-'C&amp;A'!L91-SINDICATO!P91</f>
        <v>0</v>
      </c>
      <c r="AE90" s="62">
        <f>+'C&amp;A'!L91+'C&amp;A'!J91+'C&amp;A'!H91+'C&amp;A'!G91+SINDICATO!E91-G90</f>
        <v>0</v>
      </c>
      <c r="AF90" s="62">
        <f t="shared" si="93"/>
        <v>0</v>
      </c>
      <c r="AG90" s="127" t="s">
        <v>377</v>
      </c>
      <c r="AH90" s="127" t="s">
        <v>477</v>
      </c>
      <c r="AI90" s="127" t="s">
        <v>31</v>
      </c>
      <c r="AJ90" s="127" t="s">
        <v>171</v>
      </c>
      <c r="AK90" s="127" t="s">
        <v>189</v>
      </c>
      <c r="AL90" s="127"/>
      <c r="AM90" s="127"/>
      <c r="AN90" s="127"/>
      <c r="AO90" s="201">
        <v>513.33000000000004</v>
      </c>
      <c r="AP90" s="162">
        <f t="shared" si="94"/>
        <v>0</v>
      </c>
      <c r="AQ90" s="151">
        <f t="shared" si="68"/>
        <v>513.33000000000004</v>
      </c>
      <c r="AR90" s="151">
        <f t="shared" si="95"/>
        <v>0</v>
      </c>
      <c r="AS90" s="151"/>
      <c r="AT90" s="151"/>
      <c r="AU90" s="151"/>
      <c r="AV90" s="151"/>
      <c r="AW90" s="163">
        <v>45.13</v>
      </c>
      <c r="AX90" s="145">
        <f t="shared" si="69"/>
        <v>468.20000000000005</v>
      </c>
      <c r="AY90" s="151"/>
      <c r="AZ90" s="151"/>
      <c r="BA90" s="151">
        <v>0</v>
      </c>
      <c r="BB90" s="151">
        <f t="shared" si="96"/>
        <v>0</v>
      </c>
      <c r="BC90" s="151">
        <f t="shared" si="97"/>
        <v>0</v>
      </c>
      <c r="BD90" s="151"/>
      <c r="BE90" s="104"/>
      <c r="BF90" s="104"/>
      <c r="BG90" s="127"/>
      <c r="BH90" s="127">
        <v>0</v>
      </c>
      <c r="BI90" s="145">
        <f t="shared" si="70"/>
        <v>468.20000000000005</v>
      </c>
      <c r="BJ90" s="104">
        <f t="shared" si="98"/>
        <v>0</v>
      </c>
      <c r="BK90" s="145">
        <f t="shared" si="71"/>
        <v>468.20000000000005</v>
      </c>
      <c r="BL90" s="104">
        <f t="shared" si="99"/>
        <v>46.820000000000007</v>
      </c>
      <c r="BM90" s="104">
        <v>10.23</v>
      </c>
      <c r="BN90" s="145">
        <f t="shared" si="100"/>
        <v>525.25000000000011</v>
      </c>
      <c r="BO90" s="241"/>
      <c r="BP90" s="241"/>
      <c r="BQ90" s="241"/>
      <c r="BR90" s="107"/>
      <c r="BS90" s="107"/>
      <c r="BV90" s="127" t="s">
        <v>377</v>
      </c>
      <c r="BW90" s="127" t="s">
        <v>477</v>
      </c>
      <c r="BX90" s="127" t="s">
        <v>31</v>
      </c>
      <c r="BY90" s="127" t="s">
        <v>171</v>
      </c>
      <c r="BZ90" s="127" t="s">
        <v>189</v>
      </c>
      <c r="CA90" s="127"/>
      <c r="CB90" s="127"/>
      <c r="CC90" s="127"/>
      <c r="CD90" s="201">
        <v>513.33000000000004</v>
      </c>
      <c r="CE90" s="127"/>
      <c r="CF90" s="151">
        <f t="shared" si="102"/>
        <v>513.33000000000004</v>
      </c>
      <c r="CG90" s="151"/>
      <c r="CH90" s="151"/>
      <c r="CI90" s="151"/>
      <c r="CJ90" s="151"/>
      <c r="CK90" s="163">
        <v>45.13</v>
      </c>
      <c r="CL90" s="145">
        <f t="shared" si="103"/>
        <v>468.20000000000005</v>
      </c>
      <c r="CM90" s="151"/>
      <c r="CN90" s="151"/>
      <c r="CO90" s="151">
        <v>0</v>
      </c>
      <c r="CP90" s="151"/>
      <c r="CQ90" s="151"/>
      <c r="CR90" s="151"/>
      <c r="CS90" s="104">
        <f t="shared" si="101"/>
        <v>0</v>
      </c>
      <c r="CT90" s="104"/>
      <c r="CU90" s="127"/>
      <c r="CV90" s="127">
        <v>0</v>
      </c>
      <c r="CW90" s="145">
        <f t="shared" si="104"/>
        <v>468.20000000000005</v>
      </c>
      <c r="CX90" s="104">
        <f t="shared" si="105"/>
        <v>0</v>
      </c>
      <c r="CY90" s="145">
        <f t="shared" si="106"/>
        <v>468.20000000000005</v>
      </c>
      <c r="CZ90" s="104">
        <f t="shared" si="107"/>
        <v>46.820000000000007</v>
      </c>
      <c r="DA90" s="104">
        <v>10.23</v>
      </c>
      <c r="DB90" s="145">
        <f t="shared" si="108"/>
        <v>525.25000000000011</v>
      </c>
      <c r="DC90" s="241"/>
      <c r="DD90" s="241"/>
      <c r="DE90" s="241"/>
      <c r="DF90" s="107"/>
      <c r="DG90" s="107"/>
      <c r="DJ90" s="21"/>
      <c r="DK90" s="21"/>
      <c r="DL90" s="21"/>
      <c r="DM90" s="21"/>
      <c r="DN90" s="21"/>
      <c r="DO90" s="60">
        <f>+U90-'C&amp;A'!L91-SINDICATO!P91</f>
        <v>0</v>
      </c>
    </row>
    <row r="91" spans="1:119" hidden="1" x14ac:dyDescent="0.25">
      <c r="A91" s="20" t="s">
        <v>173</v>
      </c>
      <c r="B91" s="21" t="s">
        <v>174</v>
      </c>
      <c r="C91" s="22">
        <f t="shared" si="66"/>
        <v>739.23</v>
      </c>
      <c r="D91" s="22">
        <v>0</v>
      </c>
      <c r="E91" s="22">
        <f t="shared" si="67"/>
        <v>3267.45</v>
      </c>
      <c r="F91" s="22">
        <v>0</v>
      </c>
      <c r="G91" s="22">
        <f t="shared" si="72"/>
        <v>4006.68</v>
      </c>
      <c r="H91" s="22">
        <f t="shared" si="73"/>
        <v>500</v>
      </c>
      <c r="I91" s="22">
        <f t="shared" si="74"/>
        <v>0</v>
      </c>
      <c r="J91" s="22">
        <f t="shared" si="75"/>
        <v>0</v>
      </c>
      <c r="K91" s="22">
        <f t="shared" si="76"/>
        <v>0</v>
      </c>
      <c r="L91" s="22">
        <f t="shared" si="77"/>
        <v>45.13</v>
      </c>
      <c r="M91" s="22">
        <f t="shared" si="78"/>
        <v>0</v>
      </c>
      <c r="N91" s="22">
        <f t="shared" si="79"/>
        <v>0</v>
      </c>
      <c r="O91" s="22">
        <f t="shared" si="80"/>
        <v>396.15499999999997</v>
      </c>
      <c r="P91" s="22">
        <f t="shared" si="81"/>
        <v>0</v>
      </c>
      <c r="Q91" s="22">
        <v>0</v>
      </c>
      <c r="R91" s="22">
        <f t="shared" si="82"/>
        <v>0</v>
      </c>
      <c r="S91" s="22">
        <f t="shared" si="83"/>
        <v>0</v>
      </c>
      <c r="T91" s="22">
        <f t="shared" si="84"/>
        <v>941.28499999999997</v>
      </c>
      <c r="U91" s="22">
        <f t="shared" si="85"/>
        <v>3065.395</v>
      </c>
      <c r="V91" s="22">
        <f t="shared" si="91"/>
        <v>3961.5499999999997</v>
      </c>
      <c r="W91" s="22">
        <f t="shared" si="86"/>
        <v>0</v>
      </c>
      <c r="X91" s="22">
        <f>+'C&amp;A'!E92*0.02</f>
        <v>10.2256</v>
      </c>
      <c r="Y91" s="22">
        <f t="shared" si="87"/>
        <v>0</v>
      </c>
      <c r="Z91" s="22">
        <f t="shared" si="88"/>
        <v>3971.7755999999999</v>
      </c>
      <c r="AA91" s="22">
        <f t="shared" si="89"/>
        <v>635.48409600000002</v>
      </c>
      <c r="AB91" s="22">
        <f t="shared" si="90"/>
        <v>4607.2596960000001</v>
      </c>
      <c r="AC91" s="60">
        <f t="shared" si="92"/>
        <v>0</v>
      </c>
      <c r="AD91" s="62">
        <f>+U91-'C&amp;A'!L92-SINDICATO!P92</f>
        <v>0</v>
      </c>
      <c r="AE91" s="62">
        <f>+'C&amp;A'!L92+'C&amp;A'!J92+'C&amp;A'!H92+'C&amp;A'!G92+SINDICATO!E92-G91</f>
        <v>0</v>
      </c>
      <c r="AF91" s="62">
        <f t="shared" si="93"/>
        <v>0</v>
      </c>
      <c r="AG91" s="127" t="s">
        <v>383</v>
      </c>
      <c r="AH91" s="127" t="s">
        <v>478</v>
      </c>
      <c r="AI91" s="127"/>
      <c r="AJ91" s="127" t="s">
        <v>173</v>
      </c>
      <c r="AK91" s="127" t="s">
        <v>184</v>
      </c>
      <c r="AL91" s="127"/>
      <c r="AM91" s="127"/>
      <c r="AN91" s="127"/>
      <c r="AO91" s="151">
        <v>739.23</v>
      </c>
      <c r="AP91" s="162">
        <f t="shared" si="94"/>
        <v>0</v>
      </c>
      <c r="AQ91" s="151">
        <f t="shared" si="68"/>
        <v>739.23</v>
      </c>
      <c r="AR91" s="151">
        <f t="shared" si="95"/>
        <v>0</v>
      </c>
      <c r="AS91" s="151">
        <v>3267.45</v>
      </c>
      <c r="AT91" s="151"/>
      <c r="AU91" s="151"/>
      <c r="AV91" s="151"/>
      <c r="AW91" s="163">
        <v>45.13</v>
      </c>
      <c r="AX91" s="145">
        <f t="shared" si="69"/>
        <v>3961.5499999999997</v>
      </c>
      <c r="AY91" s="151"/>
      <c r="AZ91" s="151"/>
      <c r="BA91" s="151">
        <v>500</v>
      </c>
      <c r="BB91" s="151">
        <f t="shared" si="96"/>
        <v>0</v>
      </c>
      <c r="BC91" s="151">
        <f t="shared" si="97"/>
        <v>0</v>
      </c>
      <c r="BD91" s="151"/>
      <c r="BE91" s="104"/>
      <c r="BF91" s="104"/>
      <c r="BG91" s="127"/>
      <c r="BH91" s="127">
        <v>0</v>
      </c>
      <c r="BI91" s="145">
        <f t="shared" si="70"/>
        <v>3461.5499999999997</v>
      </c>
      <c r="BJ91" s="104">
        <f t="shared" si="98"/>
        <v>396.15499999999997</v>
      </c>
      <c r="BK91" s="145">
        <f>+BI91-BJ91</f>
        <v>3065.3949999999995</v>
      </c>
      <c r="BL91" s="104">
        <f t="shared" si="99"/>
        <v>0</v>
      </c>
      <c r="BM91" s="104">
        <v>10.23</v>
      </c>
      <c r="BN91" s="145">
        <f t="shared" si="100"/>
        <v>3971.7799999999997</v>
      </c>
      <c r="BO91" s="241"/>
      <c r="BP91" s="241"/>
      <c r="BQ91" s="241"/>
      <c r="BR91" s="107"/>
      <c r="BS91" s="107"/>
      <c r="BV91" s="127" t="s">
        <v>383</v>
      </c>
      <c r="BW91" s="127" t="s">
        <v>478</v>
      </c>
      <c r="BX91" s="127"/>
      <c r="BY91" s="127" t="s">
        <v>173</v>
      </c>
      <c r="BZ91" s="127" t="s">
        <v>184</v>
      </c>
      <c r="CA91" s="127"/>
      <c r="CB91" s="127"/>
      <c r="CC91" s="127"/>
      <c r="CD91" s="151">
        <v>739.23</v>
      </c>
      <c r="CE91" s="127"/>
      <c r="CF91" s="151">
        <f t="shared" si="102"/>
        <v>739.23</v>
      </c>
      <c r="CG91" s="151">
        <v>3267.45</v>
      </c>
      <c r="CH91" s="151"/>
      <c r="CI91" s="151"/>
      <c r="CJ91" s="151"/>
      <c r="CK91" s="163">
        <v>45.13</v>
      </c>
      <c r="CL91" s="145">
        <f t="shared" si="103"/>
        <v>3961.5499999999997</v>
      </c>
      <c r="CM91" s="151"/>
      <c r="CN91" s="151"/>
      <c r="CO91" s="151">
        <v>500</v>
      </c>
      <c r="CP91" s="151"/>
      <c r="CQ91" s="151"/>
      <c r="CR91" s="151"/>
      <c r="CS91" s="104">
        <f t="shared" si="101"/>
        <v>0</v>
      </c>
      <c r="CT91" s="104"/>
      <c r="CU91" s="127"/>
      <c r="CV91" s="127">
        <v>0</v>
      </c>
      <c r="CW91" s="145">
        <f t="shared" si="104"/>
        <v>3461.5499999999997</v>
      </c>
      <c r="CX91" s="104">
        <f t="shared" si="105"/>
        <v>396.15499999999997</v>
      </c>
      <c r="CY91" s="145">
        <f t="shared" si="106"/>
        <v>3065.3949999999995</v>
      </c>
      <c r="CZ91" s="104">
        <f t="shared" si="107"/>
        <v>0</v>
      </c>
      <c r="DA91" s="104">
        <v>10.23</v>
      </c>
      <c r="DB91" s="145">
        <f t="shared" si="108"/>
        <v>3971.7799999999997</v>
      </c>
      <c r="DC91" s="241"/>
      <c r="DD91" s="241"/>
      <c r="DE91" s="241"/>
      <c r="DF91" s="107"/>
      <c r="DG91" s="107"/>
      <c r="DJ91" s="21"/>
      <c r="DK91" s="21"/>
      <c r="DL91" s="21"/>
      <c r="DM91" s="21"/>
      <c r="DN91" s="21"/>
      <c r="DO91" s="60">
        <f>+U91-'C&amp;A'!L92-SINDICATO!P92</f>
        <v>0</v>
      </c>
    </row>
    <row r="92" spans="1:119" x14ac:dyDescent="0.25">
      <c r="A92" s="20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139"/>
      <c r="AH92" s="92"/>
      <c r="AI92" s="92"/>
      <c r="AJ92" s="93"/>
      <c r="AK92" s="92"/>
      <c r="AL92" s="92"/>
      <c r="AM92" s="92"/>
      <c r="AN92" s="92"/>
      <c r="AO92" s="95"/>
      <c r="AP92" s="92"/>
      <c r="AQ92" s="95"/>
      <c r="AR92" s="95"/>
      <c r="AS92" s="95"/>
      <c r="AT92" s="95"/>
      <c r="AU92" s="95"/>
      <c r="AV92" s="95"/>
      <c r="AW92" s="97"/>
      <c r="AX92" s="98"/>
      <c r="AY92" s="141"/>
      <c r="AZ92" s="137"/>
      <c r="BA92" s="137"/>
      <c r="BB92" s="137"/>
      <c r="BC92" s="137"/>
      <c r="BD92" s="137"/>
      <c r="BE92" s="142"/>
      <c r="BF92" s="142"/>
      <c r="BG92" s="142"/>
      <c r="BH92" s="142"/>
      <c r="BI92" s="98"/>
      <c r="BJ92" s="104">
        <f t="shared" ref="BJ92" si="109">IF(AX92&gt;3500,AX92*0.1,0)</f>
        <v>0</v>
      </c>
      <c r="BK92" s="98"/>
      <c r="BL92" s="105">
        <f t="shared" ref="BL92" si="110">IF(AX92&lt;3500,AX92*0.1,0)</f>
        <v>0</v>
      </c>
      <c r="BM92" s="104"/>
      <c r="BN92" s="106"/>
      <c r="BO92" s="241"/>
      <c r="BP92" s="241"/>
      <c r="BQ92" s="241"/>
      <c r="BR92" s="107"/>
      <c r="BS92" s="107"/>
      <c r="BV92" s="139"/>
      <c r="BW92" s="92"/>
      <c r="BX92" s="92"/>
      <c r="BY92" s="93"/>
      <c r="BZ92" s="92"/>
      <c r="CA92" s="92"/>
      <c r="CB92" s="92"/>
      <c r="CC92" s="92"/>
      <c r="CD92" s="95"/>
      <c r="CE92" s="92"/>
      <c r="CF92" s="95"/>
      <c r="CG92" s="95"/>
      <c r="CH92" s="95"/>
      <c r="CI92" s="95"/>
      <c r="CJ92" s="95"/>
      <c r="CK92" s="97"/>
      <c r="CL92" s="98"/>
      <c r="CM92" s="141"/>
      <c r="CN92" s="137"/>
      <c r="CO92" s="137"/>
      <c r="CP92" s="137"/>
      <c r="CQ92" s="137"/>
      <c r="CR92" s="137"/>
      <c r="CS92" s="142"/>
      <c r="CT92" s="142"/>
      <c r="CU92" s="142"/>
      <c r="CV92" s="142"/>
      <c r="CW92" s="98"/>
      <c r="CX92" s="104">
        <f t="shared" ref="CX92" si="111">IF(CL92&gt;3500,CL92*0.1,0)</f>
        <v>0</v>
      </c>
      <c r="CY92" s="98"/>
      <c r="CZ92" s="105">
        <f t="shared" ref="CZ92" si="112">IF(CL92&lt;3500,CL92*0.1,0)</f>
        <v>0</v>
      </c>
      <c r="DA92" s="104"/>
      <c r="DB92" s="106"/>
      <c r="DC92" s="241"/>
      <c r="DD92" s="241"/>
      <c r="DE92" s="241"/>
      <c r="DF92" s="107"/>
      <c r="DG92" s="107"/>
    </row>
    <row r="93" spans="1:119" ht="19.5" customHeight="1" thickBot="1" x14ac:dyDescent="0.3">
      <c r="A93" s="20"/>
      <c r="B93" s="21"/>
      <c r="C93" s="22"/>
      <c r="D93" s="22"/>
      <c r="E93" s="22"/>
      <c r="F93" s="22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2"/>
      <c r="V93" s="22"/>
      <c r="W93" s="22"/>
      <c r="X93" s="22"/>
      <c r="Y93" s="22"/>
      <c r="Z93" s="22"/>
      <c r="AA93" s="22"/>
      <c r="AB93" s="22"/>
      <c r="AC93" s="21"/>
      <c r="AD93" s="21"/>
      <c r="AE93" s="21"/>
      <c r="AF93" s="26"/>
      <c r="AG93" s="139"/>
      <c r="AH93" s="143"/>
      <c r="AI93" s="143"/>
      <c r="AJ93" s="143"/>
      <c r="AK93" s="143"/>
      <c r="AL93" s="143"/>
      <c r="AM93" s="143"/>
      <c r="AN93" s="143"/>
      <c r="AO93" s="144"/>
      <c r="AP93" s="143"/>
      <c r="AQ93" s="144"/>
      <c r="AR93" s="144"/>
      <c r="AS93" s="144"/>
      <c r="AT93" s="144"/>
      <c r="AU93" s="144"/>
      <c r="AV93" s="144"/>
      <c r="AW93" s="144"/>
      <c r="AX93" s="145"/>
      <c r="AY93" s="144"/>
      <c r="AZ93" s="144"/>
      <c r="BA93" s="144"/>
      <c r="BB93" s="144"/>
      <c r="BC93" s="144"/>
      <c r="BD93" s="144"/>
      <c r="BE93" s="104"/>
      <c r="BF93" s="104"/>
      <c r="BG93" s="104"/>
      <c r="BH93" s="104"/>
      <c r="BI93" s="146"/>
      <c r="BJ93" s="104"/>
      <c r="BK93" s="145"/>
      <c r="BL93" s="104"/>
      <c r="BM93" s="104"/>
      <c r="BN93" s="145"/>
      <c r="BO93" s="241"/>
      <c r="BP93" s="241"/>
      <c r="BQ93" s="241"/>
      <c r="BR93" s="107"/>
      <c r="BS93" s="107"/>
      <c r="BV93" s="139"/>
      <c r="BW93" s="143"/>
      <c r="BX93" s="143"/>
      <c r="BY93" s="143"/>
      <c r="BZ93" s="143"/>
      <c r="CA93" s="143"/>
      <c r="CB93" s="143"/>
      <c r="CC93" s="143"/>
      <c r="CD93" s="144"/>
      <c r="CE93" s="143"/>
      <c r="CF93" s="144"/>
      <c r="CG93" s="144"/>
      <c r="CH93" s="144"/>
      <c r="CI93" s="144"/>
      <c r="CJ93" s="144"/>
      <c r="CK93" s="144"/>
      <c r="CL93" s="145"/>
      <c r="CM93" s="144"/>
      <c r="CN93" s="144"/>
      <c r="CO93" s="144"/>
      <c r="CP93" s="144"/>
      <c r="CQ93" s="144"/>
      <c r="CR93" s="144"/>
      <c r="CS93" s="104"/>
      <c r="CT93" s="104"/>
      <c r="CU93" s="104"/>
      <c r="CV93" s="104"/>
      <c r="CW93" s="146"/>
      <c r="CX93" s="104"/>
      <c r="CY93" s="145"/>
      <c r="CZ93" s="104"/>
      <c r="DA93" s="104"/>
      <c r="DB93" s="145"/>
      <c r="DC93" s="241"/>
      <c r="DD93" s="241"/>
      <c r="DE93" s="241"/>
      <c r="DF93" s="107"/>
      <c r="DG93" s="107"/>
    </row>
    <row r="94" spans="1:119" ht="16.5" thickTop="1" thickBot="1" x14ac:dyDescent="0.3">
      <c r="A94" s="25" t="s">
        <v>17</v>
      </c>
      <c r="B94" s="279" t="s">
        <v>776</v>
      </c>
      <c r="C94" s="26">
        <f>SUM(C9:C93)</f>
        <v>70559.310000000085</v>
      </c>
      <c r="D94" s="26">
        <f t="shared" ref="D94:AB94" si="113">SUM(D9:D93)</f>
        <v>468.4515949177287</v>
      </c>
      <c r="E94" s="26">
        <f t="shared" si="113"/>
        <v>164766.81599999996</v>
      </c>
      <c r="F94" s="26">
        <f t="shared" si="113"/>
        <v>0</v>
      </c>
      <c r="G94" s="26">
        <f t="shared" si="113"/>
        <v>235794.57759491779</v>
      </c>
      <c r="H94" s="252">
        <f t="shared" si="113"/>
        <v>4828.5884000000005</v>
      </c>
      <c r="I94" s="252">
        <f t="shared" si="113"/>
        <v>2245.1636339999995</v>
      </c>
      <c r="J94" s="252">
        <f t="shared" si="113"/>
        <v>460.53456</v>
      </c>
      <c r="K94" s="252">
        <f t="shared" si="113"/>
        <v>879.38</v>
      </c>
      <c r="L94" s="26">
        <f t="shared" si="113"/>
        <v>3745.7900000000063</v>
      </c>
      <c r="M94" s="252">
        <f t="shared" si="113"/>
        <v>406.94</v>
      </c>
      <c r="N94" s="26">
        <f t="shared" si="113"/>
        <v>6981.8825000000006</v>
      </c>
      <c r="O94" s="26">
        <f t="shared" si="113"/>
        <v>10721.658000000003</v>
      </c>
      <c r="P94" s="26">
        <f t="shared" si="113"/>
        <v>648.00999999999976</v>
      </c>
      <c r="Q94" s="26">
        <f t="shared" si="113"/>
        <v>0</v>
      </c>
      <c r="R94" s="26">
        <f t="shared" si="113"/>
        <v>1261.6949999999999</v>
      </c>
      <c r="S94" s="26">
        <f t="shared" si="113"/>
        <v>167.44</v>
      </c>
      <c r="T94" s="26">
        <f t="shared" si="113"/>
        <v>32347.082094000019</v>
      </c>
      <c r="U94" s="26">
        <f t="shared" si="113"/>
        <v>203447.49550091775</v>
      </c>
      <c r="V94" s="26">
        <f t="shared" si="113"/>
        <v>231400.77759491777</v>
      </c>
      <c r="W94" s="26">
        <f t="shared" si="113"/>
        <v>12436.375599999999</v>
      </c>
      <c r="X94" s="26">
        <f t="shared" si="113"/>
        <v>828.03053333333253</v>
      </c>
      <c r="Y94" s="252">
        <f t="shared" si="113"/>
        <v>2245.1636339999995</v>
      </c>
      <c r="Z94" s="26">
        <f t="shared" si="113"/>
        <v>246910.34736225093</v>
      </c>
      <c r="AA94" s="26">
        <f t="shared" si="113"/>
        <v>39505.655577960169</v>
      </c>
      <c r="AB94" s="26">
        <f t="shared" si="113"/>
        <v>286416.00294021115</v>
      </c>
      <c r="AC94" s="26">
        <f>SUM(AC9:AC93)</f>
        <v>468.45159491772893</v>
      </c>
      <c r="AD94" s="26"/>
      <c r="AE94" s="257"/>
      <c r="AH94" s="147" t="s">
        <v>484</v>
      </c>
      <c r="AI94" s="147"/>
      <c r="AJ94" s="147"/>
      <c r="AK94" s="147"/>
      <c r="AL94" s="147"/>
      <c r="AM94" s="147"/>
      <c r="AN94" s="147"/>
      <c r="AO94" s="148">
        <f>SUM(AO9:AO93)</f>
        <v>65986.000000000073</v>
      </c>
      <c r="AP94" s="148">
        <f>SUM(AP9:AP93)</f>
        <v>4573.3100000000004</v>
      </c>
      <c r="AQ94" s="148">
        <f>SUM(AQ9:AQ93)</f>
        <v>70559.310000000085</v>
      </c>
      <c r="AR94" s="148"/>
      <c r="AS94" s="148">
        <f>SUM(AS9:AS93)</f>
        <v>164766.81599999996</v>
      </c>
      <c r="AT94" s="148"/>
      <c r="AU94" s="148">
        <f>SUM(AU9:AU93)</f>
        <v>0</v>
      </c>
      <c r="AV94" s="148">
        <f>SUM(AV9:AV93)</f>
        <v>0</v>
      </c>
      <c r="AW94" s="148">
        <f>SUM(AW9:AW93)</f>
        <v>3745.7900000000063</v>
      </c>
      <c r="AX94" s="148">
        <f>SUM(AX9:AX93)</f>
        <v>231580.33600000007</v>
      </c>
      <c r="AY94" s="148">
        <f>SUM(AY9:AY93)</f>
        <v>0</v>
      </c>
      <c r="AZ94" s="149">
        <f t="shared" ref="AZ94:BQ94" si="114">SUM(AZ9:AZ93)</f>
        <v>648.00999999999976</v>
      </c>
      <c r="BA94" s="149">
        <f t="shared" si="114"/>
        <v>4828.5884000000005</v>
      </c>
      <c r="BB94" s="149">
        <f t="shared" si="114"/>
        <v>2245.1636339999995</v>
      </c>
      <c r="BC94" s="149">
        <f t="shared" si="114"/>
        <v>460.53456</v>
      </c>
      <c r="BD94" s="149">
        <f t="shared" si="114"/>
        <v>879.38</v>
      </c>
      <c r="BE94" s="148">
        <f t="shared" si="114"/>
        <v>1261.6949999999999</v>
      </c>
      <c r="BF94" s="148">
        <f t="shared" si="114"/>
        <v>167.44</v>
      </c>
      <c r="BG94" s="148">
        <f t="shared" si="114"/>
        <v>406.94</v>
      </c>
      <c r="BH94" s="148">
        <f t="shared" si="114"/>
        <v>6981.8825000000006</v>
      </c>
      <c r="BI94" s="148">
        <f t="shared" si="114"/>
        <v>213700.701906</v>
      </c>
      <c r="BJ94" s="148">
        <f t="shared" si="114"/>
        <v>10721.658000000003</v>
      </c>
      <c r="BK94" s="148">
        <f t="shared" si="114"/>
        <v>202979.04390600001</v>
      </c>
      <c r="BL94" s="148">
        <f t="shared" si="114"/>
        <v>12436.375599999999</v>
      </c>
      <c r="BM94" s="148">
        <f t="shared" si="114"/>
        <v>849.09000000000094</v>
      </c>
      <c r="BN94" s="148">
        <f t="shared" si="114"/>
        <v>244865.80159999998</v>
      </c>
      <c r="BO94" s="250">
        <f t="shared" si="114"/>
        <v>0</v>
      </c>
      <c r="BP94" s="250">
        <f t="shared" si="114"/>
        <v>0</v>
      </c>
      <c r="BQ94" s="250">
        <f t="shared" si="114"/>
        <v>0</v>
      </c>
      <c r="BW94" s="147" t="s">
        <v>484</v>
      </c>
      <c r="BX94" s="147"/>
      <c r="BY94" s="147"/>
      <c r="BZ94" s="147"/>
      <c r="CA94" s="147"/>
      <c r="CB94" s="147"/>
      <c r="CC94" s="147"/>
      <c r="CD94" s="203"/>
      <c r="CE94" s="147"/>
      <c r="CF94" s="148">
        <f>SUM(CF9:CF93)</f>
        <v>70559.310000000085</v>
      </c>
      <c r="CG94" s="148">
        <f>SUM(CG9:CG93)</f>
        <v>164766.81599999996</v>
      </c>
      <c r="CH94" s="148"/>
      <c r="CI94" s="148">
        <f t="shared" ref="CI94:DE94" si="115">SUM(CI9:CI93)</f>
        <v>0</v>
      </c>
      <c r="CJ94" s="148">
        <f t="shared" si="115"/>
        <v>0</v>
      </c>
      <c r="CK94" s="148">
        <f t="shared" si="115"/>
        <v>3745.7900000000063</v>
      </c>
      <c r="CL94" s="148">
        <f t="shared" si="115"/>
        <v>231580.33600000007</v>
      </c>
      <c r="CM94" s="148">
        <f t="shared" si="115"/>
        <v>0</v>
      </c>
      <c r="CN94" s="148">
        <f t="shared" si="115"/>
        <v>648.00999999999976</v>
      </c>
      <c r="CO94" s="149">
        <f t="shared" si="115"/>
        <v>4828.5884000000005</v>
      </c>
      <c r="CP94" s="149">
        <f t="shared" si="115"/>
        <v>2245.1636339999995</v>
      </c>
      <c r="CQ94" s="149">
        <f t="shared" si="115"/>
        <v>460.53456</v>
      </c>
      <c r="CR94" s="149">
        <f t="shared" si="115"/>
        <v>879.38</v>
      </c>
      <c r="CS94" s="148">
        <f t="shared" si="115"/>
        <v>1261.6949999999999</v>
      </c>
      <c r="CT94" s="148">
        <f t="shared" si="115"/>
        <v>167.44</v>
      </c>
      <c r="CU94" s="148">
        <f t="shared" si="115"/>
        <v>406.94</v>
      </c>
      <c r="CV94" s="148">
        <f t="shared" si="115"/>
        <v>6981.8825000000006</v>
      </c>
      <c r="CW94" s="148">
        <f t="shared" si="115"/>
        <v>213700.701906</v>
      </c>
      <c r="CX94" s="148">
        <f t="shared" si="115"/>
        <v>10721.658000000003</v>
      </c>
      <c r="CY94" s="148">
        <f t="shared" si="115"/>
        <v>202979.04390600001</v>
      </c>
      <c r="CZ94" s="148">
        <f t="shared" si="115"/>
        <v>12436.375599999999</v>
      </c>
      <c r="DA94" s="148">
        <f t="shared" si="115"/>
        <v>849.09000000000094</v>
      </c>
      <c r="DB94" s="148">
        <f t="shared" si="115"/>
        <v>244865.80159999998</v>
      </c>
      <c r="DC94" s="250">
        <f t="shared" si="115"/>
        <v>0</v>
      </c>
      <c r="DD94" s="250">
        <f t="shared" si="115"/>
        <v>0</v>
      </c>
      <c r="DE94" s="250">
        <f t="shared" si="115"/>
        <v>0</v>
      </c>
    </row>
    <row r="95" spans="1:119" ht="15.75" thickTop="1" x14ac:dyDescent="0.25">
      <c r="A95" s="20"/>
      <c r="B95" s="21"/>
      <c r="C95" s="254">
        <f>+AQ94</f>
        <v>70559.310000000085</v>
      </c>
      <c r="D95" s="254"/>
      <c r="E95" s="254">
        <f>+CG94</f>
        <v>164766.81599999996</v>
      </c>
      <c r="F95" s="21"/>
      <c r="G95" s="269">
        <f>+AX94</f>
        <v>231580.33600000007</v>
      </c>
      <c r="H95" s="324" t="s">
        <v>521</v>
      </c>
      <c r="I95" s="324"/>
      <c r="J95" s="324"/>
      <c r="K95" s="324"/>
      <c r="L95" s="21"/>
      <c r="M95" s="253" t="s">
        <v>521</v>
      </c>
      <c r="N95" s="21"/>
      <c r="O95" s="21"/>
      <c r="P95" s="21"/>
      <c r="Q95" s="21"/>
      <c r="R95" s="21"/>
      <c r="S95" s="21"/>
      <c r="T95" s="21"/>
      <c r="U95" s="254"/>
      <c r="V95" s="254"/>
      <c r="W95" s="21"/>
      <c r="X95" s="21"/>
      <c r="Y95" s="253" t="s">
        <v>521</v>
      </c>
      <c r="Z95" s="254"/>
      <c r="AA95" s="21"/>
      <c r="AB95" s="21"/>
      <c r="AD95" s="52"/>
      <c r="AE95" s="52"/>
      <c r="AO95" s="86">
        <f>+CD94</f>
        <v>0</v>
      </c>
      <c r="AP95" s="86">
        <f>+CE94</f>
        <v>0</v>
      </c>
      <c r="AQ95" s="86">
        <f>+CF94</f>
        <v>70559.310000000085</v>
      </c>
      <c r="AR95" s="86"/>
      <c r="AS95" s="86">
        <f>+CG94</f>
        <v>164766.81599999996</v>
      </c>
      <c r="AW95" s="86">
        <f>+CK94</f>
        <v>3745.7900000000063</v>
      </c>
      <c r="AX95" s="86">
        <f>+CL94</f>
        <v>231580.33600000007</v>
      </c>
      <c r="AZ95" s="86">
        <f t="shared" ref="AZ95:BN95" si="116">+CN94</f>
        <v>648.00999999999976</v>
      </c>
      <c r="BA95" s="86">
        <f t="shared" si="116"/>
        <v>4828.5884000000005</v>
      </c>
      <c r="BB95" s="86">
        <f t="shared" si="116"/>
        <v>2245.1636339999995</v>
      </c>
      <c r="BC95" s="86">
        <f t="shared" si="116"/>
        <v>460.53456</v>
      </c>
      <c r="BD95" s="86">
        <f t="shared" si="116"/>
        <v>879.38</v>
      </c>
      <c r="BE95" s="86">
        <f t="shared" si="116"/>
        <v>1261.6949999999999</v>
      </c>
      <c r="BF95" s="86">
        <f t="shared" si="116"/>
        <v>167.44</v>
      </c>
      <c r="BG95" s="86">
        <f t="shared" si="116"/>
        <v>406.94</v>
      </c>
      <c r="BH95" s="86">
        <f t="shared" si="116"/>
        <v>6981.8825000000006</v>
      </c>
      <c r="BI95" s="86">
        <f t="shared" si="116"/>
        <v>213700.701906</v>
      </c>
      <c r="BJ95" s="86">
        <f t="shared" si="116"/>
        <v>10721.658000000003</v>
      </c>
      <c r="BK95" s="86">
        <f t="shared" si="116"/>
        <v>202979.04390600001</v>
      </c>
      <c r="BL95" s="86">
        <f t="shared" si="116"/>
        <v>12436.375599999999</v>
      </c>
      <c r="BM95" s="86">
        <f t="shared" si="116"/>
        <v>849.09000000000094</v>
      </c>
      <c r="BN95" s="86">
        <f t="shared" si="116"/>
        <v>244865.80159999998</v>
      </c>
      <c r="DB95" s="85">
        <f>DB94*0.16</f>
        <v>39178.528255999998</v>
      </c>
    </row>
    <row r="96" spans="1:119" ht="15" customHeight="1" x14ac:dyDescent="0.25">
      <c r="A96" s="280"/>
      <c r="B96" s="310" t="s">
        <v>777</v>
      </c>
      <c r="C96" s="282">
        <f>+C94-C95</f>
        <v>0</v>
      </c>
      <c r="D96" s="281"/>
      <c r="E96" s="282">
        <f>+E94-E95</f>
        <v>0</v>
      </c>
      <c r="F96" s="281"/>
      <c r="G96" s="282"/>
      <c r="H96" s="281"/>
      <c r="I96" s="281"/>
      <c r="J96" s="281"/>
      <c r="K96" s="281"/>
      <c r="L96" s="281"/>
      <c r="M96" s="281"/>
      <c r="N96" s="281"/>
      <c r="O96" s="281"/>
      <c r="P96" s="281"/>
      <c r="Q96" s="281"/>
      <c r="R96" s="281"/>
      <c r="S96" s="281"/>
      <c r="T96" s="281"/>
      <c r="U96" s="282"/>
      <c r="V96" s="282"/>
      <c r="W96" s="281"/>
      <c r="X96" s="281"/>
      <c r="Y96" s="281"/>
      <c r="Z96" s="282"/>
      <c r="AA96" s="281"/>
      <c r="AB96" s="281"/>
      <c r="AC96" s="281"/>
      <c r="AD96" s="281"/>
      <c r="AE96" s="281"/>
      <c r="AF96" s="283"/>
      <c r="AG96" s="323" t="s">
        <v>729</v>
      </c>
      <c r="AH96" s="323"/>
      <c r="AI96" s="284"/>
      <c r="AJ96" s="285"/>
      <c r="AK96" s="285"/>
      <c r="AL96" s="285"/>
      <c r="AM96" s="285"/>
      <c r="AN96" s="285"/>
      <c r="AO96" s="286"/>
      <c r="AP96" s="285"/>
      <c r="AQ96" s="286">
        <f>+AQ94-AQ95</f>
        <v>0</v>
      </c>
      <c r="AR96" s="286"/>
      <c r="AS96" s="286">
        <f>+AS94-AS95</f>
        <v>0</v>
      </c>
      <c r="AT96" s="286"/>
      <c r="AU96" s="286"/>
      <c r="AV96" s="286"/>
      <c r="AW96" s="286">
        <f>+AW94-AW95</f>
        <v>0</v>
      </c>
      <c r="AX96" s="286">
        <f>+AX94-AX95</f>
        <v>0</v>
      </c>
      <c r="AY96" s="286"/>
      <c r="AZ96" s="286">
        <f t="shared" ref="AZ96:BN96" si="117">+AZ94-AZ95</f>
        <v>0</v>
      </c>
      <c r="BA96" s="286">
        <f t="shared" si="117"/>
        <v>0</v>
      </c>
      <c r="BB96" s="286">
        <f t="shared" si="117"/>
        <v>0</v>
      </c>
      <c r="BC96" s="286">
        <f t="shared" si="117"/>
        <v>0</v>
      </c>
      <c r="BD96" s="286">
        <f t="shared" si="117"/>
        <v>0</v>
      </c>
      <c r="BE96" s="286">
        <f t="shared" si="117"/>
        <v>0</v>
      </c>
      <c r="BF96" s="286">
        <f t="shared" si="117"/>
        <v>0</v>
      </c>
      <c r="BG96" s="286">
        <f t="shared" si="117"/>
        <v>0</v>
      </c>
      <c r="BH96" s="286">
        <f t="shared" si="117"/>
        <v>0</v>
      </c>
      <c r="BI96" s="286">
        <f t="shared" si="117"/>
        <v>0</v>
      </c>
      <c r="BJ96" s="286">
        <f t="shared" si="117"/>
        <v>0</v>
      </c>
      <c r="BK96" s="286">
        <f t="shared" si="117"/>
        <v>0</v>
      </c>
      <c r="BL96" s="286">
        <f t="shared" si="117"/>
        <v>0</v>
      </c>
      <c r="BM96" s="286">
        <f t="shared" si="117"/>
        <v>0</v>
      </c>
      <c r="BN96" s="286">
        <f t="shared" si="117"/>
        <v>0</v>
      </c>
      <c r="BO96" s="287"/>
      <c r="BP96" s="287"/>
      <c r="BQ96" s="287"/>
      <c r="BR96" s="285"/>
      <c r="BS96" s="285"/>
      <c r="BT96" s="285"/>
      <c r="BU96" s="285"/>
      <c r="BV96" s="323" t="s">
        <v>729</v>
      </c>
      <c r="BW96" s="323"/>
      <c r="BX96" s="284"/>
      <c r="BY96" s="285"/>
      <c r="BZ96" s="285"/>
      <c r="CA96" s="285"/>
      <c r="CB96" s="285"/>
      <c r="CC96" s="285"/>
      <c r="CD96" s="286"/>
      <c r="CE96" s="285"/>
      <c r="CF96" s="286"/>
      <c r="CG96" s="286"/>
      <c r="CH96" s="286"/>
      <c r="CI96" s="286"/>
      <c r="CJ96" s="286"/>
      <c r="CK96" s="286"/>
      <c r="CL96" s="288"/>
      <c r="CM96" s="286"/>
      <c r="CN96" s="286"/>
      <c r="CO96" s="286"/>
      <c r="CP96" s="286"/>
      <c r="CQ96" s="286"/>
      <c r="CR96" s="286"/>
      <c r="CS96" s="286"/>
      <c r="CT96" s="286"/>
      <c r="CU96" s="286"/>
      <c r="CV96" s="286"/>
      <c r="CW96" s="288"/>
      <c r="CX96" s="286"/>
      <c r="CY96" s="288"/>
      <c r="CZ96" s="286"/>
      <c r="DA96" s="286"/>
      <c r="DB96" s="288">
        <f>+DB94+DB95</f>
        <v>284044.32985599997</v>
      </c>
      <c r="DC96" s="287"/>
      <c r="DD96" s="287"/>
      <c r="DE96" s="287"/>
      <c r="DF96" s="285"/>
      <c r="DG96" s="285"/>
      <c r="DH96" s="285"/>
      <c r="DI96" s="285"/>
      <c r="DJ96" s="281"/>
      <c r="DK96" s="281"/>
      <c r="DL96" s="281"/>
      <c r="DM96" s="281"/>
      <c r="DN96" s="281"/>
    </row>
    <row r="97" spans="1:118" s="278" customFormat="1" x14ac:dyDescent="0.25">
      <c r="A97" s="289"/>
      <c r="B97" s="290" t="s">
        <v>723</v>
      </c>
      <c r="C97" s="291">
        <f>AQ97</f>
        <v>1166.6600000000001</v>
      </c>
      <c r="D97" s="291">
        <v>0</v>
      </c>
      <c r="E97" s="291">
        <f>+AS97</f>
        <v>0</v>
      </c>
      <c r="F97" s="291">
        <v>0</v>
      </c>
      <c r="G97" s="291">
        <f>SUM(C97:F97)</f>
        <v>1166.6600000000001</v>
      </c>
      <c r="H97" s="291">
        <f>+BA97</f>
        <v>0</v>
      </c>
      <c r="I97" s="291">
        <f>+BB97</f>
        <v>0</v>
      </c>
      <c r="J97" s="291">
        <f>+BC97</f>
        <v>0</v>
      </c>
      <c r="K97" s="291">
        <f>+BD97</f>
        <v>0</v>
      </c>
      <c r="L97" s="291">
        <f>+AW97</f>
        <v>45.13</v>
      </c>
      <c r="M97" s="291">
        <f>+BG97</f>
        <v>0</v>
      </c>
      <c r="N97" s="291">
        <f>+BH97</f>
        <v>0</v>
      </c>
      <c r="O97" s="291">
        <f>+BJ97</f>
        <v>0</v>
      </c>
      <c r="P97" s="291">
        <f>+AZ97</f>
        <v>0</v>
      </c>
      <c r="Q97" s="291">
        <v>0</v>
      </c>
      <c r="R97" s="291">
        <f>+BE97</f>
        <v>0</v>
      </c>
      <c r="S97" s="291">
        <f>+BF97</f>
        <v>0</v>
      </c>
      <c r="T97" s="291">
        <f>SUM(H97:S97)</f>
        <v>45.13</v>
      </c>
      <c r="U97" s="291">
        <f>+G97-T97</f>
        <v>1121.53</v>
      </c>
      <c r="V97" s="291">
        <f>+G97-L97-P97-Q97</f>
        <v>1121.53</v>
      </c>
      <c r="W97" s="291">
        <f>+BL97</f>
        <v>112.15300000000001</v>
      </c>
      <c r="X97" s="291" t="e">
        <f>+'C&amp;A'!#REF!*0.02</f>
        <v>#REF!</v>
      </c>
      <c r="Y97" s="291">
        <f>+I97</f>
        <v>0</v>
      </c>
      <c r="Z97" s="291" t="e">
        <f>SUM(V97:Y97)</f>
        <v>#REF!</v>
      </c>
      <c r="AA97" s="291" t="e">
        <f>+Z97*0.16</f>
        <v>#REF!</v>
      </c>
      <c r="AB97" s="291" t="e">
        <f>+Z97+AA97</f>
        <v>#REF!</v>
      </c>
      <c r="AC97" s="292">
        <f>+U97-BK97</f>
        <v>0</v>
      </c>
      <c r="AD97" s="293" t="e">
        <f>+U97-'C&amp;A'!#REF!-SINDICATO!#REF!</f>
        <v>#REF!</v>
      </c>
      <c r="AE97" s="293" t="e">
        <f>+'C&amp;A'!#REF!+'C&amp;A'!#REF!+'C&amp;A'!#REF!+'C&amp;A'!#REF!+SINDICATO!#REF!-G97</f>
        <v>#REF!</v>
      </c>
      <c r="AF97" s="293">
        <f>+AQ97-CF97</f>
        <v>0</v>
      </c>
      <c r="AG97" s="294" t="s">
        <v>377</v>
      </c>
      <c r="AH97" s="294" t="s">
        <v>723</v>
      </c>
      <c r="AI97" s="294" t="s">
        <v>32</v>
      </c>
      <c r="AJ97" s="295"/>
      <c r="AK97" s="294" t="s">
        <v>189</v>
      </c>
      <c r="AL97" s="296">
        <v>42427</v>
      </c>
      <c r="AM97" s="294"/>
      <c r="AN97" s="297" t="s">
        <v>626</v>
      </c>
      <c r="AO97" s="297">
        <f>+CD97</f>
        <v>513.33000000000004</v>
      </c>
      <c r="AP97" s="298">
        <f>+CE97</f>
        <v>653.33000000000004</v>
      </c>
      <c r="AQ97" s="297">
        <f>+AO97+AP97</f>
        <v>1166.6600000000001</v>
      </c>
      <c r="AR97" s="297">
        <f>+AQ97-CF97</f>
        <v>0</v>
      </c>
      <c r="AS97" s="297">
        <v>0</v>
      </c>
      <c r="AT97" s="297"/>
      <c r="AU97" s="297"/>
      <c r="AV97" s="297"/>
      <c r="AW97" s="297">
        <v>45.13</v>
      </c>
      <c r="AX97" s="299">
        <f>SUM(AQ97:AV97)-AW97</f>
        <v>1121.53</v>
      </c>
      <c r="AY97" s="297"/>
      <c r="AZ97" s="297"/>
      <c r="BA97" s="297"/>
      <c r="BB97" s="297">
        <f>+CP97</f>
        <v>0</v>
      </c>
      <c r="BC97" s="297">
        <f>+CQ97</f>
        <v>0</v>
      </c>
      <c r="BD97" s="297"/>
      <c r="BE97" s="300"/>
      <c r="BF97" s="300"/>
      <c r="BG97" s="294"/>
      <c r="BH97" s="294">
        <v>0</v>
      </c>
      <c r="BI97" s="299">
        <f>+AX97-SUM(AY97:BH97)</f>
        <v>1121.53</v>
      </c>
      <c r="BJ97" s="300">
        <f>+CX97</f>
        <v>0</v>
      </c>
      <c r="BK97" s="299">
        <f>+BI97-BJ97</f>
        <v>1121.53</v>
      </c>
      <c r="BL97" s="300">
        <f>+CZ97</f>
        <v>112.15300000000001</v>
      </c>
      <c r="BM97" s="300">
        <v>10.23</v>
      </c>
      <c r="BN97" s="299">
        <f>+AX97+BL97+BM97</f>
        <v>1243.913</v>
      </c>
      <c r="BO97" s="301"/>
      <c r="BP97" s="301"/>
      <c r="BQ97" s="301"/>
      <c r="BR97" s="302"/>
      <c r="BS97" s="302" t="s">
        <v>724</v>
      </c>
      <c r="BT97" s="302"/>
      <c r="BU97" s="302"/>
      <c r="BV97" s="294" t="s">
        <v>377</v>
      </c>
      <c r="BW97" s="294" t="s">
        <v>723</v>
      </c>
      <c r="BX97" s="294" t="s">
        <v>32</v>
      </c>
      <c r="BY97" s="295"/>
      <c r="BZ97" s="294" t="s">
        <v>189</v>
      </c>
      <c r="CA97" s="296">
        <v>42427</v>
      </c>
      <c r="CB97" s="294"/>
      <c r="CC97" s="294"/>
      <c r="CD97" s="297">
        <v>513.33000000000004</v>
      </c>
      <c r="CE97" s="294">
        <v>653.33000000000004</v>
      </c>
      <c r="CF97" s="297">
        <f>+CD97+CE97</f>
        <v>1166.6600000000001</v>
      </c>
      <c r="CG97" s="297" t="s">
        <v>626</v>
      </c>
      <c r="CH97" s="297"/>
      <c r="CI97" s="297"/>
      <c r="CJ97" s="297"/>
      <c r="CK97" s="297">
        <v>45.13</v>
      </c>
      <c r="CL97" s="299">
        <f>SUM(CF97:CJ97)-CK97</f>
        <v>1121.53</v>
      </c>
      <c r="CM97" s="297"/>
      <c r="CN97" s="297"/>
      <c r="CO97" s="297"/>
      <c r="CP97" s="297"/>
      <c r="CQ97" s="297"/>
      <c r="CR97" s="297"/>
      <c r="CS97" s="300">
        <f>+BE97</f>
        <v>0</v>
      </c>
      <c r="CT97" s="300"/>
      <c r="CU97" s="294"/>
      <c r="CV97" s="294">
        <v>0</v>
      </c>
      <c r="CW97" s="299">
        <f>+CL97-SUM(CM97:CV97)</f>
        <v>1121.53</v>
      </c>
      <c r="CX97" s="300">
        <f>IF(CL97&gt;3500,CL97*0.1,0)</f>
        <v>0</v>
      </c>
      <c r="CY97" s="299">
        <f>+CW97-CX97</f>
        <v>1121.53</v>
      </c>
      <c r="CZ97" s="300">
        <f>IF(CL97&lt;3500,CL97*0.1,0)</f>
        <v>112.15300000000001</v>
      </c>
      <c r="DA97" s="300">
        <v>10.23</v>
      </c>
      <c r="DB97" s="299">
        <f>+CL97+CZ97+DA97</f>
        <v>1243.913</v>
      </c>
      <c r="DC97" s="301"/>
      <c r="DD97" s="301"/>
      <c r="DE97" s="301"/>
      <c r="DF97" s="302"/>
      <c r="DG97" s="302" t="s">
        <v>724</v>
      </c>
      <c r="DH97" s="302"/>
      <c r="DI97" s="302"/>
      <c r="DJ97" s="290"/>
      <c r="DK97" s="290"/>
      <c r="DL97" s="290"/>
      <c r="DM97" s="290"/>
      <c r="DN97" s="290"/>
    </row>
    <row r="98" spans="1:118" x14ac:dyDescent="0.25">
      <c r="A98" s="20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55"/>
      <c r="V98" s="21"/>
      <c r="W98" s="21"/>
      <c r="X98" s="21"/>
      <c r="Y98" s="21"/>
      <c r="Z98" s="21"/>
      <c r="AA98" s="21"/>
      <c r="AB98" s="21"/>
      <c r="AG98" s="139"/>
      <c r="AH98" s="93" t="s">
        <v>731</v>
      </c>
      <c r="AI98" s="93"/>
      <c r="AJ98" s="93"/>
      <c r="AK98" s="93"/>
      <c r="AL98" s="93"/>
      <c r="AM98" s="93"/>
      <c r="AN98" s="93"/>
      <c r="AO98" s="96"/>
      <c r="AP98" s="93"/>
      <c r="AQ98" s="96"/>
      <c r="AR98" s="96"/>
      <c r="AS98" s="96">
        <v>2667.3</v>
      </c>
      <c r="AT98" s="96"/>
      <c r="AU98" s="96"/>
      <c r="AV98" s="96"/>
      <c r="AW98" s="96"/>
      <c r="AX98" s="98">
        <f>SUM(AQ98:AW98)</f>
        <v>2667.3</v>
      </c>
      <c r="AY98" s="141"/>
      <c r="AZ98" s="141"/>
      <c r="BA98" s="151"/>
      <c r="BB98" s="151"/>
      <c r="BC98" s="151"/>
      <c r="BD98" s="151"/>
      <c r="BE98" s="152"/>
      <c r="BF98" s="152"/>
      <c r="BG98" s="152"/>
      <c r="BH98" s="152"/>
      <c r="BI98" s="98">
        <f>+AX98-AY98</f>
        <v>2667.3</v>
      </c>
      <c r="BJ98" s="104">
        <f>+BI98*0.05</f>
        <v>133.36500000000001</v>
      </c>
      <c r="BK98" s="98">
        <f>+BI98-BE98-BH98</f>
        <v>2667.3</v>
      </c>
      <c r="BL98" s="105">
        <f>IF(BI98&lt;3000,BI98*0.1,0)</f>
        <v>266.73</v>
      </c>
      <c r="BM98" s="104">
        <v>0</v>
      </c>
      <c r="BN98" s="98">
        <f>+BI98+BL98+BM98</f>
        <v>2934.03</v>
      </c>
      <c r="BO98" s="251"/>
      <c r="BP98" s="251"/>
      <c r="BQ98" s="251"/>
      <c r="BV98" s="139"/>
      <c r="BW98" s="93" t="s">
        <v>731</v>
      </c>
      <c r="BX98" s="93"/>
      <c r="BY98" s="93"/>
      <c r="BZ98" s="93"/>
      <c r="CA98" s="93"/>
      <c r="CB98" s="93"/>
      <c r="CC98" s="93"/>
      <c r="CD98" s="96"/>
      <c r="CE98" s="93"/>
      <c r="CF98" s="96"/>
      <c r="CG98" s="96">
        <v>2667.3</v>
      </c>
      <c r="CH98" s="96"/>
      <c r="CI98" s="96"/>
      <c r="CJ98" s="96"/>
      <c r="CK98" s="96"/>
      <c r="CL98" s="98">
        <f>SUM(CF98:CK98)</f>
        <v>2667.3</v>
      </c>
      <c r="CM98" s="141"/>
      <c r="CN98" s="141"/>
      <c r="CO98" s="151"/>
      <c r="CP98" s="151"/>
      <c r="CQ98" s="151"/>
      <c r="CR98" s="151"/>
      <c r="CS98" s="152"/>
      <c r="CT98" s="152"/>
      <c r="CU98" s="152"/>
      <c r="CV98" s="152"/>
      <c r="CW98" s="98">
        <f>+CL98-CM98</f>
        <v>2667.3</v>
      </c>
      <c r="CX98" s="104">
        <f>+CW98*0.05</f>
        <v>133.36500000000001</v>
      </c>
      <c r="CY98" s="98">
        <f>+CW98-CS98-CV98</f>
        <v>2667.3</v>
      </c>
      <c r="CZ98" s="105">
        <f>IF(CW98&lt;3000,CW98*0.1,0)</f>
        <v>266.73</v>
      </c>
      <c r="DA98" s="104">
        <v>0</v>
      </c>
      <c r="DB98" s="98">
        <f>+CW98+CZ98+DA98</f>
        <v>2934.03</v>
      </c>
      <c r="DC98" s="251"/>
      <c r="DD98" s="251"/>
      <c r="DE98" s="251"/>
    </row>
    <row r="99" spans="1:118" x14ac:dyDescent="0.25">
      <c r="A99" s="20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BN99" s="85">
        <f>SUM(BN97:BN98)</f>
        <v>4177.9430000000002</v>
      </c>
      <c r="DB99" s="85">
        <f>SUM(DB97:DB98)</f>
        <v>4177.9430000000002</v>
      </c>
    </row>
    <row r="100" spans="1:118" x14ac:dyDescent="0.25">
      <c r="A100" s="20"/>
      <c r="B100" s="27" t="s">
        <v>335</v>
      </c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55"/>
      <c r="AA100" s="21"/>
      <c r="AB100" s="21"/>
      <c r="AH100" s="153"/>
      <c r="AI100" s="153"/>
      <c r="AJ100" s="153"/>
      <c r="BN100" s="85">
        <f>+BN99*0.16</f>
        <v>668.47088000000008</v>
      </c>
      <c r="BW100" s="153"/>
      <c r="BX100" s="153"/>
      <c r="BY100" s="153"/>
      <c r="DB100" s="85">
        <f>+DB99*0.16</f>
        <v>668.47088000000008</v>
      </c>
    </row>
    <row r="101" spans="1:118" ht="23.25" thickBot="1" x14ac:dyDescent="0.3">
      <c r="A101" s="328" t="s">
        <v>729</v>
      </c>
      <c r="B101" s="328"/>
      <c r="C101" s="19" t="s">
        <v>21</v>
      </c>
      <c r="D101" s="19" t="s">
        <v>26</v>
      </c>
      <c r="E101" s="19" t="s">
        <v>22</v>
      </c>
      <c r="F101" s="19"/>
      <c r="G101" s="19"/>
      <c r="H101" s="19"/>
      <c r="I101" s="19"/>
      <c r="J101" s="19"/>
      <c r="K101" s="19"/>
      <c r="L101" s="19" t="s">
        <v>29</v>
      </c>
      <c r="M101" s="19"/>
      <c r="N101" s="19"/>
      <c r="O101" s="19"/>
      <c r="P101" s="19"/>
      <c r="Q101" s="19"/>
      <c r="R101" s="19"/>
      <c r="S101" s="19"/>
      <c r="T101" s="19"/>
      <c r="U101" s="19" t="s">
        <v>8</v>
      </c>
      <c r="V101" s="208"/>
      <c r="W101" s="21"/>
      <c r="X101" s="21"/>
      <c r="Y101" s="21"/>
      <c r="Z101" s="55"/>
      <c r="AA101" s="21"/>
      <c r="AB101" s="21"/>
      <c r="AF101" s="204"/>
      <c r="AH101" s="153"/>
      <c r="AI101" s="153"/>
      <c r="AJ101" s="153"/>
      <c r="BN101" s="85">
        <f>+BN99+BN100</f>
        <v>4846.4138800000001</v>
      </c>
      <c r="BW101" s="153"/>
      <c r="BX101" s="153"/>
      <c r="BY101" s="153"/>
      <c r="BZ101" s="240"/>
      <c r="DB101" s="85">
        <f>+DB99+DB100</f>
        <v>4846.4138800000001</v>
      </c>
    </row>
    <row r="102" spans="1:118" ht="15.75" thickTop="1" x14ac:dyDescent="0.25">
      <c r="A102" s="139"/>
      <c r="B102" s="127" t="s">
        <v>730</v>
      </c>
      <c r="C102" s="22">
        <v>0</v>
      </c>
      <c r="D102" s="22">
        <v>0</v>
      </c>
      <c r="E102" s="151">
        <v>268.89999999999998</v>
      </c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>
        <f>SUM(C102:L102)</f>
        <v>268.89999999999998</v>
      </c>
      <c r="V102" s="22"/>
      <c r="W102" s="21"/>
      <c r="X102" s="62">
        <f>+U102</f>
        <v>268.89999999999998</v>
      </c>
      <c r="Y102" s="62"/>
      <c r="Z102" s="21"/>
      <c r="AA102" s="62"/>
      <c r="AB102" s="62"/>
      <c r="AC102" s="21"/>
      <c r="AD102" s="21"/>
      <c r="AE102" s="21"/>
      <c r="AF102" s="62" t="str">
        <f>IF(B105=AH102,"si","no")</f>
        <v>no</v>
      </c>
      <c r="AG102" s="303" t="s">
        <v>396</v>
      </c>
      <c r="AH102" s="303" t="s">
        <v>737</v>
      </c>
      <c r="AI102" s="303"/>
      <c r="AJ102" s="303" t="s">
        <v>58</v>
      </c>
      <c r="AK102" s="303" t="s">
        <v>398</v>
      </c>
      <c r="AL102" s="303"/>
      <c r="AM102" s="303"/>
      <c r="AN102" s="303"/>
      <c r="AO102" s="304">
        <v>933.33</v>
      </c>
      <c r="AP102" s="303"/>
      <c r="AQ102" s="304">
        <f>+AO102+AP102</f>
        <v>933.33</v>
      </c>
      <c r="AR102" s="304"/>
      <c r="AS102" s="304" t="s">
        <v>717</v>
      </c>
      <c r="AT102" s="304"/>
      <c r="AU102" s="304"/>
      <c r="AV102" s="304"/>
      <c r="AW102" s="304">
        <v>0</v>
      </c>
      <c r="AX102" s="304">
        <f>SUM(AQ102:AV102)-AW102</f>
        <v>933.33</v>
      </c>
      <c r="AY102" s="304"/>
      <c r="AZ102" s="304">
        <v>0</v>
      </c>
      <c r="BA102" s="304">
        <v>0</v>
      </c>
      <c r="BB102" s="304"/>
      <c r="BC102" s="304"/>
      <c r="BD102" s="304"/>
      <c r="BE102" s="305"/>
      <c r="BF102" s="305"/>
      <c r="BG102" s="303"/>
      <c r="BH102" s="303">
        <v>0</v>
      </c>
      <c r="BI102" s="304">
        <f>+AX102-SUM(AY102:BH102)</f>
        <v>933.33</v>
      </c>
      <c r="BJ102" s="104">
        <f>IF(AX102&gt;3500,AX102*0.1,0)</f>
        <v>0</v>
      </c>
      <c r="BK102" s="304">
        <f>+BI102-BJ102</f>
        <v>933.33</v>
      </c>
      <c r="BL102" s="305">
        <v>0</v>
      </c>
      <c r="BM102" s="305">
        <v>0</v>
      </c>
      <c r="BN102" s="304">
        <f>+AX102+BL102+BM102</f>
        <v>933.33</v>
      </c>
      <c r="BO102" s="306"/>
      <c r="BP102" s="306"/>
      <c r="BQ102" s="306"/>
      <c r="BR102" s="307"/>
      <c r="BS102" s="307"/>
      <c r="BT102" s="88"/>
      <c r="BU102" s="88"/>
      <c r="BV102" s="107"/>
      <c r="BW102" s="308"/>
      <c r="BX102" s="308"/>
      <c r="BY102" s="308"/>
      <c r="BZ102" s="241"/>
      <c r="CA102" s="107"/>
      <c r="CB102" s="107"/>
      <c r="CC102" s="107"/>
      <c r="CD102" s="86"/>
      <c r="CE102" s="107"/>
      <c r="CF102" s="86"/>
      <c r="CG102" s="86"/>
      <c r="CH102" s="86"/>
      <c r="CI102" s="86"/>
      <c r="CJ102" s="86"/>
      <c r="CK102" s="86"/>
      <c r="CL102" s="309"/>
      <c r="CM102" s="86"/>
      <c r="CN102" s="86"/>
      <c r="CS102" s="86"/>
      <c r="CT102" s="86"/>
      <c r="CU102" s="86"/>
      <c r="CV102" s="86"/>
      <c r="CW102" s="309"/>
      <c r="CX102" s="86"/>
      <c r="CY102" s="309"/>
      <c r="CZ102" s="86"/>
      <c r="DA102" s="86"/>
      <c r="DB102" s="309"/>
      <c r="DC102" s="241"/>
      <c r="DD102" s="241"/>
      <c r="DE102" s="241"/>
      <c r="DF102" s="107"/>
      <c r="DG102" s="107"/>
      <c r="DJ102" s="21"/>
      <c r="DK102" s="21"/>
      <c r="DL102" s="21"/>
      <c r="DM102" s="21"/>
      <c r="DN102" s="21"/>
    </row>
    <row r="103" spans="1:118" x14ac:dyDescent="0.25">
      <c r="A103" s="139"/>
      <c r="B103" s="127" t="s">
        <v>731</v>
      </c>
      <c r="C103" s="21"/>
      <c r="D103" s="21"/>
      <c r="E103" s="151">
        <v>2667.3</v>
      </c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60"/>
      <c r="AD103" s="62"/>
      <c r="AE103" s="62"/>
      <c r="AF103" s="21"/>
      <c r="AG103" s="107"/>
      <c r="AH103" s="107"/>
      <c r="AI103" s="107"/>
      <c r="AJ103" s="107"/>
      <c r="AK103" s="107"/>
      <c r="AL103" s="107"/>
      <c r="AM103" s="107"/>
      <c r="AN103" s="107"/>
      <c r="AO103" s="86"/>
      <c r="AP103" s="107"/>
      <c r="AQ103" s="86"/>
      <c r="AR103" s="86"/>
      <c r="AS103" s="86"/>
      <c r="AT103" s="86"/>
      <c r="AU103" s="86"/>
      <c r="AV103" s="86"/>
      <c r="AW103" s="86"/>
      <c r="AX103" s="309"/>
      <c r="AY103" s="86"/>
      <c r="AZ103" s="86"/>
      <c r="BE103" s="86"/>
      <c r="BF103" s="86"/>
      <c r="BG103" s="86"/>
      <c r="BH103" s="86"/>
      <c r="BI103" s="309"/>
      <c r="BJ103" s="86"/>
      <c r="BK103" s="309"/>
      <c r="BL103" s="86"/>
      <c r="BM103" s="86"/>
      <c r="BN103" s="309"/>
      <c r="BO103" s="241"/>
      <c r="BP103" s="241"/>
      <c r="BQ103" s="241"/>
      <c r="BR103" s="107"/>
      <c r="BS103" s="107"/>
      <c r="BV103" s="107"/>
      <c r="BW103" s="308"/>
      <c r="BX103" s="308"/>
      <c r="BY103" s="308"/>
      <c r="BZ103" s="107"/>
      <c r="CA103" s="108"/>
      <c r="CB103" s="107"/>
      <c r="CC103" s="107"/>
      <c r="CD103" s="86"/>
      <c r="CE103" s="107"/>
      <c r="CF103" s="86"/>
      <c r="CG103" s="86"/>
      <c r="CH103" s="86"/>
      <c r="CI103" s="86"/>
      <c r="CJ103" s="86"/>
      <c r="CK103" s="86"/>
      <c r="CL103" s="309"/>
      <c r="CM103" s="86"/>
      <c r="CN103" s="86"/>
      <c r="CS103" s="86"/>
      <c r="CT103" s="86"/>
      <c r="CU103" s="86"/>
      <c r="CV103" s="86"/>
      <c r="CW103" s="309"/>
      <c r="CX103" s="86"/>
      <c r="CY103" s="309"/>
      <c r="CZ103" s="86"/>
      <c r="DA103" s="86"/>
      <c r="DB103" s="309">
        <f>+DB96+DB101</f>
        <v>288890.74373599997</v>
      </c>
      <c r="DC103" s="241"/>
      <c r="DD103" s="241"/>
      <c r="DE103" s="241"/>
      <c r="DF103" s="107"/>
      <c r="DG103" s="107"/>
      <c r="DJ103" s="21"/>
      <c r="DK103" s="21"/>
      <c r="DL103" s="21"/>
      <c r="DM103" s="21"/>
      <c r="DN103" s="21"/>
    </row>
    <row r="104" spans="1:118" x14ac:dyDescent="0.25">
      <c r="A104" s="204" t="s">
        <v>638</v>
      </c>
      <c r="B104" s="204"/>
      <c r="C104" s="204"/>
      <c r="D104" s="204"/>
      <c r="E104" s="204"/>
      <c r="F104" s="204"/>
      <c r="G104" s="204"/>
      <c r="H104" s="204"/>
      <c r="I104" s="204"/>
      <c r="J104" s="204"/>
      <c r="K104" s="204"/>
      <c r="L104" s="204"/>
      <c r="M104" s="204"/>
      <c r="N104" s="204"/>
      <c r="O104" s="204"/>
      <c r="P104" s="204"/>
      <c r="Q104" s="204"/>
      <c r="R104" s="204"/>
      <c r="S104" s="204"/>
      <c r="T104" s="204"/>
      <c r="U104" s="204"/>
      <c r="V104" s="204"/>
      <c r="W104" s="204"/>
      <c r="X104" s="204"/>
      <c r="Y104" s="204"/>
      <c r="Z104" s="204"/>
      <c r="AA104" s="204"/>
      <c r="AB104" s="204"/>
      <c r="AC104" s="205"/>
      <c r="AD104" s="206"/>
      <c r="AE104" s="206"/>
      <c r="DI104" s="88"/>
      <c r="DJ104" s="21"/>
      <c r="DK104" s="21"/>
      <c r="DL104" s="21"/>
      <c r="DM104" s="21"/>
      <c r="DN104" s="21"/>
    </row>
    <row r="105" spans="1:118" x14ac:dyDescent="0.25">
      <c r="A105" s="20" t="s">
        <v>58</v>
      </c>
      <c r="B105" s="21" t="s">
        <v>59</v>
      </c>
      <c r="C105" s="22">
        <f>+AQ27</f>
        <v>513.33000000000004</v>
      </c>
      <c r="D105" s="22">
        <f>+AN29</f>
        <v>0</v>
      </c>
      <c r="E105" s="22">
        <f>+AS27</f>
        <v>0</v>
      </c>
      <c r="F105" s="22">
        <f>+AU27</f>
        <v>0</v>
      </c>
      <c r="G105" s="22"/>
      <c r="H105" s="22">
        <f>+AZ27</f>
        <v>0</v>
      </c>
      <c r="I105" s="22">
        <f>+BA27</f>
        <v>0</v>
      </c>
      <c r="J105" s="22">
        <f>+BB27</f>
        <v>0</v>
      </c>
      <c r="K105" s="22">
        <f>+BC27</f>
        <v>0</v>
      </c>
      <c r="L105" s="22">
        <f>+AV27</f>
        <v>0</v>
      </c>
      <c r="M105" s="22">
        <f>+BF27</f>
        <v>0</v>
      </c>
      <c r="N105" s="22">
        <f>+BG27</f>
        <v>0</v>
      </c>
      <c r="O105" s="22">
        <f>+BI27</f>
        <v>468.20000000000005</v>
      </c>
      <c r="P105" s="22">
        <f>+AY27</f>
        <v>0</v>
      </c>
      <c r="Q105" s="22">
        <f>+C105/7</f>
        <v>73.332857142857151</v>
      </c>
      <c r="R105" s="22"/>
      <c r="S105" s="22" t="e">
        <f>+'C&amp;A'!#REF!</f>
        <v>#REF!</v>
      </c>
      <c r="T105" s="22"/>
      <c r="U105" s="22" t="e">
        <f>+C105+D105+E105-L105-M105-H105-I105-J105-K105-N105-O105-P105-Q105+F105-S105</f>
        <v>#REF!</v>
      </c>
      <c r="V105" s="22">
        <f>+C105+D105+E105+F105-L105-M105-P105-Q105</f>
        <v>439.99714285714288</v>
      </c>
      <c r="W105" s="22">
        <f>+BK27</f>
        <v>468.20000000000005</v>
      </c>
      <c r="X105" s="22" t="e">
        <f>+'C&amp;A'!#REF!*0.02</f>
        <v>#REF!</v>
      </c>
      <c r="Y105" s="22">
        <f>+I105</f>
        <v>0</v>
      </c>
      <c r="Z105" s="22" t="e">
        <f>SUM(V105:Y105)</f>
        <v>#REF!</v>
      </c>
      <c r="AA105" s="22" t="e">
        <f>+Z105*0.16</f>
        <v>#REF!</v>
      </c>
      <c r="AB105" s="22" t="e">
        <f>+Z105+AA105</f>
        <v>#REF!</v>
      </c>
      <c r="AC105" s="60"/>
      <c r="AD105" s="62"/>
      <c r="AE105" s="62"/>
      <c r="BV105" s="242" t="s">
        <v>396</v>
      </c>
      <c r="BW105" s="242" t="s">
        <v>406</v>
      </c>
      <c r="BX105" s="242"/>
      <c r="BY105" s="242" t="s">
        <v>58</v>
      </c>
      <c r="BZ105" s="242" t="s">
        <v>398</v>
      </c>
      <c r="CA105" s="242"/>
      <c r="CB105" s="242"/>
      <c r="CC105" s="242"/>
      <c r="CD105" s="243"/>
      <c r="CE105" s="242"/>
      <c r="CF105" s="243">
        <f>+CD105+CE105</f>
        <v>0</v>
      </c>
      <c r="CG105" s="243" t="s">
        <v>717</v>
      </c>
      <c r="CH105" s="243"/>
      <c r="CI105" s="243"/>
      <c r="CJ105" s="243"/>
      <c r="CK105" s="243">
        <v>0</v>
      </c>
      <c r="CL105" s="243">
        <f>SUM(CF105:CJ105)-CK105</f>
        <v>0</v>
      </c>
      <c r="CM105" s="243"/>
      <c r="CN105" s="243">
        <v>0</v>
      </c>
      <c r="CO105" s="243">
        <v>0</v>
      </c>
      <c r="CP105" s="243"/>
      <c r="CQ105" s="243"/>
      <c r="CR105" s="243"/>
      <c r="CS105" s="245"/>
      <c r="CT105" s="245"/>
      <c r="CU105" s="242"/>
      <c r="CV105" s="242">
        <v>0</v>
      </c>
      <c r="CW105" s="243">
        <f>+CL105-SUM(CM105:CV105)</f>
        <v>0</v>
      </c>
      <c r="CX105" s="207">
        <f>IF(CL105&gt;3500,CL105*0.1,0)</f>
        <v>0</v>
      </c>
      <c r="CY105" s="243">
        <f>+CW105-CX105</f>
        <v>0</v>
      </c>
      <c r="CZ105" s="245">
        <v>0</v>
      </c>
      <c r="DA105" s="245">
        <v>0</v>
      </c>
      <c r="DB105" s="243">
        <f>+CL105+CZ105+DA105</f>
        <v>0</v>
      </c>
      <c r="DC105" s="246"/>
      <c r="DD105" s="246"/>
      <c r="DE105" s="246"/>
      <c r="DF105" s="247"/>
      <c r="DG105" s="247"/>
      <c r="DH105" s="88"/>
      <c r="DJ105" s="21"/>
      <c r="DK105" s="21"/>
      <c r="DL105" s="21"/>
      <c r="DM105" s="21"/>
      <c r="DN105" s="21"/>
    </row>
    <row r="106" spans="1:118" x14ac:dyDescent="0.25">
      <c r="A106" s="20" t="s">
        <v>40</v>
      </c>
      <c r="B106" s="21" t="s">
        <v>41</v>
      </c>
      <c r="C106" s="22">
        <f>AQ106</f>
        <v>1166.6600000000001</v>
      </c>
      <c r="D106" s="22">
        <f>+AT106</f>
        <v>0</v>
      </c>
      <c r="E106" s="22" t="str">
        <f>+AS106</f>
        <v>BAJA NO PAGAR NADA</v>
      </c>
      <c r="F106" s="22">
        <f>+AU15</f>
        <v>0</v>
      </c>
      <c r="G106" s="22"/>
      <c r="H106" s="22">
        <f>+AZ15</f>
        <v>0</v>
      </c>
      <c r="I106" s="22">
        <f>+BA15</f>
        <v>0</v>
      </c>
      <c r="J106" s="22">
        <f>+BB15</f>
        <v>0</v>
      </c>
      <c r="K106" s="22">
        <f>+BC15</f>
        <v>0</v>
      </c>
      <c r="L106" s="22">
        <f>+AV15</f>
        <v>0</v>
      </c>
      <c r="M106" s="22">
        <f>+BF15</f>
        <v>0</v>
      </c>
      <c r="N106" s="22">
        <f>+BG15</f>
        <v>0</v>
      </c>
      <c r="O106" s="22">
        <f>+BI15</f>
        <v>1753.1799999999998</v>
      </c>
      <c r="P106" s="22">
        <f>+AY15</f>
        <v>0</v>
      </c>
      <c r="Q106" s="22"/>
      <c r="R106" s="22"/>
      <c r="S106" s="22" t="e">
        <f>+'C&amp;A'!#REF!</f>
        <v>#REF!</v>
      </c>
      <c r="T106" s="22"/>
      <c r="U106" s="22" t="e">
        <f>+C106+D106+E106-L106-M106-H106-I106-J106-K106-N106-O106-P106-Q106+F106-S106</f>
        <v>#VALUE!</v>
      </c>
      <c r="V106" s="22" t="e">
        <f>+C106+D106+E106+F106-L106-M106-P106-Q106</f>
        <v>#VALUE!</v>
      </c>
      <c r="W106" s="22">
        <f>+BK15</f>
        <v>1753.1799999999998</v>
      </c>
      <c r="X106" s="22" t="e">
        <f>+'C&amp;A'!#REF!*0.02</f>
        <v>#REF!</v>
      </c>
      <c r="Y106" s="22">
        <f>+I106</f>
        <v>0</v>
      </c>
      <c r="Z106" s="22" t="e">
        <f>SUM(V106:Y106)</f>
        <v>#VALUE!</v>
      </c>
      <c r="AA106" s="22" t="e">
        <f>+Z106*0.16</f>
        <v>#VALUE!</v>
      </c>
      <c r="AB106" s="22" t="e">
        <f>+Z106+AA106</f>
        <v>#VALUE!</v>
      </c>
      <c r="AC106" s="60"/>
      <c r="AD106" s="62"/>
      <c r="AE106" s="62"/>
      <c r="AF106" s="62" t="str">
        <f>IF(B106=AH106,"si","no")</f>
        <v>si</v>
      </c>
      <c r="AG106" s="242" t="s">
        <v>375</v>
      </c>
      <c r="AH106" s="242" t="s">
        <v>386</v>
      </c>
      <c r="AI106" s="242"/>
      <c r="AJ106" s="242" t="s">
        <v>40</v>
      </c>
      <c r="AK106" s="242" t="s">
        <v>179</v>
      </c>
      <c r="AL106" s="242"/>
      <c r="AM106" s="242"/>
      <c r="AN106" s="242"/>
      <c r="AO106" s="243">
        <v>1166.6600000000001</v>
      </c>
      <c r="AP106" s="244"/>
      <c r="AQ106" s="243">
        <f>+AO106+AP106</f>
        <v>1166.6600000000001</v>
      </c>
      <c r="AR106" s="243"/>
      <c r="AS106" s="243" t="s">
        <v>717</v>
      </c>
      <c r="AT106" s="243"/>
      <c r="AU106" s="243"/>
      <c r="AV106" s="243"/>
      <c r="AW106" s="243">
        <v>0</v>
      </c>
      <c r="AX106" s="243">
        <f>SUM(AQ106:AV106)-AW106</f>
        <v>1166.6600000000001</v>
      </c>
      <c r="AY106" s="243"/>
      <c r="AZ106" s="243"/>
      <c r="BA106" s="243">
        <v>0</v>
      </c>
      <c r="BB106" s="243"/>
      <c r="BC106" s="243"/>
      <c r="BD106" s="243"/>
      <c r="BE106" s="245"/>
      <c r="BF106" s="245"/>
      <c r="BG106" s="242"/>
      <c r="BH106" s="242">
        <v>0</v>
      </c>
      <c r="BI106" s="243">
        <f>+AX106-SUM(AY106:BH106)</f>
        <v>1166.6600000000001</v>
      </c>
      <c r="BJ106" s="207">
        <f>IF(AX106&gt;3500,AX106*0.1,0)</f>
        <v>0</v>
      </c>
      <c r="BK106" s="243">
        <f>+BI106-BJ106</f>
        <v>1166.6600000000001</v>
      </c>
      <c r="BL106" s="245">
        <v>0</v>
      </c>
      <c r="BM106" s="245">
        <v>0</v>
      </c>
      <c r="BN106" s="243">
        <f>+AX106+BL106+BM106</f>
        <v>1166.6600000000001</v>
      </c>
      <c r="BO106" s="246"/>
      <c r="BP106" s="246"/>
      <c r="BQ106" s="246"/>
      <c r="BR106" s="247"/>
      <c r="BS106" s="247"/>
      <c r="BV106" s="242" t="s">
        <v>375</v>
      </c>
      <c r="BW106" s="242" t="s">
        <v>386</v>
      </c>
      <c r="BX106" s="242"/>
      <c r="BY106" s="242" t="s">
        <v>40</v>
      </c>
      <c r="BZ106" s="242" t="s">
        <v>179</v>
      </c>
      <c r="CA106" s="242"/>
      <c r="CB106" s="242"/>
      <c r="CC106" s="242"/>
      <c r="CD106" s="243"/>
      <c r="CE106" s="244"/>
      <c r="CF106" s="243">
        <f>+CD106+CE106</f>
        <v>0</v>
      </c>
      <c r="CG106" s="243" t="s">
        <v>717</v>
      </c>
      <c r="CH106" s="243"/>
      <c r="CI106" s="243"/>
      <c r="CJ106" s="243"/>
      <c r="CK106" s="243">
        <v>0</v>
      </c>
      <c r="CL106" s="243">
        <f>SUM(CF106:CJ106)-CK106</f>
        <v>0</v>
      </c>
      <c r="CM106" s="243"/>
      <c r="CN106" s="243"/>
      <c r="CO106" s="243">
        <v>0</v>
      </c>
      <c r="CP106" s="243"/>
      <c r="CQ106" s="243"/>
      <c r="CR106" s="243"/>
      <c r="CS106" s="245"/>
      <c r="CT106" s="245"/>
      <c r="CU106" s="242"/>
      <c r="CV106" s="242">
        <v>0</v>
      </c>
      <c r="CW106" s="243">
        <f>+CL106-SUM(CM106:CV106)</f>
        <v>0</v>
      </c>
      <c r="CX106" s="207">
        <f>IF(CL106&gt;3500,CL106*0.1,0)</f>
        <v>0</v>
      </c>
      <c r="CY106" s="243">
        <f>+CW106-CX106</f>
        <v>0</v>
      </c>
      <c r="CZ106" s="245">
        <v>0</v>
      </c>
      <c r="DA106" s="245">
        <v>0</v>
      </c>
      <c r="DB106" s="243">
        <f>+CL106+CZ106+DA106</f>
        <v>0</v>
      </c>
      <c r="DC106" s="246"/>
      <c r="DD106" s="246"/>
      <c r="DE106" s="246"/>
      <c r="DF106" s="247"/>
      <c r="DG106" s="247"/>
    </row>
    <row r="107" spans="1:118" x14ac:dyDescent="0.25">
      <c r="A107" s="20" t="s">
        <v>135</v>
      </c>
      <c r="B107" s="21" t="s">
        <v>136</v>
      </c>
      <c r="C107" s="22">
        <f>AQ107</f>
        <v>1516.67</v>
      </c>
      <c r="D107" s="22">
        <v>0</v>
      </c>
      <c r="E107" s="22">
        <f>+AS107</f>
        <v>0</v>
      </c>
      <c r="F107" s="22">
        <v>0</v>
      </c>
      <c r="G107" s="22">
        <f>SUM(C107:F107)</f>
        <v>1516.67</v>
      </c>
      <c r="H107" s="22">
        <f>+BA107</f>
        <v>0</v>
      </c>
      <c r="I107" s="22">
        <f>+BB107</f>
        <v>0</v>
      </c>
      <c r="J107" s="22">
        <f>+BC107</f>
        <v>0</v>
      </c>
      <c r="K107" s="22">
        <f>+BD107</f>
        <v>0</v>
      </c>
      <c r="L107" s="22">
        <f>+AW107</f>
        <v>45.13</v>
      </c>
      <c r="M107" s="22">
        <f>+BG107</f>
        <v>0</v>
      </c>
      <c r="N107" s="22">
        <f>+BH107</f>
        <v>0</v>
      </c>
      <c r="O107" s="22">
        <f>+BJ107</f>
        <v>0</v>
      </c>
      <c r="P107" s="22">
        <f>+AZ107</f>
        <v>0</v>
      </c>
      <c r="Q107" s="22">
        <v>0</v>
      </c>
      <c r="R107" s="22">
        <f>+BE107</f>
        <v>0</v>
      </c>
      <c r="S107" s="22">
        <f>+BF107</f>
        <v>0</v>
      </c>
      <c r="T107" s="22">
        <f>SUM(H107:S107)</f>
        <v>45.13</v>
      </c>
      <c r="U107" s="22">
        <f>+G107-T107</f>
        <v>1471.54</v>
      </c>
      <c r="V107" s="22">
        <f>+G107-L107</f>
        <v>1471.54</v>
      </c>
      <c r="W107" s="22">
        <f>+BL107</f>
        <v>147.154</v>
      </c>
      <c r="X107" s="22" t="e">
        <f>+'C&amp;A'!#REF!*0.02</f>
        <v>#REF!</v>
      </c>
      <c r="Y107" s="22">
        <f>+I107</f>
        <v>0</v>
      </c>
      <c r="Z107" s="22" t="e">
        <f>SUM(V107:Y107)</f>
        <v>#REF!</v>
      </c>
      <c r="AA107" s="22" t="e">
        <f>+Z107*0.16</f>
        <v>#REF!</v>
      </c>
      <c r="AB107" s="22" t="e">
        <f>+Z107+AA107</f>
        <v>#REF!</v>
      </c>
      <c r="AC107" s="60">
        <f>+U107-BK107</f>
        <v>0</v>
      </c>
      <c r="AD107" s="62" t="e">
        <f>+U107-'C&amp;A'!#REF!-SINDICATO!#REF!</f>
        <v>#REF!</v>
      </c>
      <c r="AE107" s="62" t="e">
        <f>+'C&amp;A'!#REF!+'C&amp;A'!#REF!+'C&amp;A'!#REF!+'C&amp;A'!#REF!+SINDICATO!#REF!-G107</f>
        <v>#REF!</v>
      </c>
      <c r="AF107" s="62" t="str">
        <f>IF(B107=AH107,"si","no")</f>
        <v>si</v>
      </c>
      <c r="AG107" s="92" t="s">
        <v>431</v>
      </c>
      <c r="AH107" s="92" t="s">
        <v>456</v>
      </c>
      <c r="AI107" s="92"/>
      <c r="AJ107" s="92" t="s">
        <v>135</v>
      </c>
      <c r="AK107" s="92" t="s">
        <v>186</v>
      </c>
      <c r="AL107" s="92"/>
      <c r="AM107" s="93"/>
      <c r="AN107" s="93"/>
      <c r="AO107" s="95">
        <v>1516.67</v>
      </c>
      <c r="AP107" s="93"/>
      <c r="AQ107" s="95">
        <f>+AO107+AP107</f>
        <v>1516.67</v>
      </c>
      <c r="AR107" s="95"/>
      <c r="AS107" s="95"/>
      <c r="AT107" s="95"/>
      <c r="AU107" s="96"/>
      <c r="AV107" s="96"/>
      <c r="AW107" s="97">
        <v>45.13</v>
      </c>
      <c r="AX107" s="98">
        <f>SUM(AQ107:AV107)-AW107</f>
        <v>1471.54</v>
      </c>
      <c r="AY107" s="141"/>
      <c r="AZ107" s="137"/>
      <c r="BA107" s="137">
        <v>0</v>
      </c>
      <c r="BB107" s="137"/>
      <c r="BC107" s="137"/>
      <c r="BD107" s="137"/>
      <c r="BE107" s="142"/>
      <c r="BF107" s="142"/>
      <c r="BG107" s="102"/>
      <c r="BH107" s="102">
        <v>0</v>
      </c>
      <c r="BI107" s="98">
        <f>+AX107-SUM(AY107:BH107)</f>
        <v>1471.54</v>
      </c>
      <c r="BJ107" s="104">
        <f>IF(AX107&gt;3500,AX107*0.1,0)</f>
        <v>0</v>
      </c>
      <c r="BK107" s="98">
        <f>+BI107-BJ107</f>
        <v>1471.54</v>
      </c>
      <c r="BL107" s="105">
        <f>IF(AX107&lt;3500,AX107*0.1,0)</f>
        <v>147.154</v>
      </c>
      <c r="BM107" s="104">
        <v>10.23</v>
      </c>
      <c r="BN107" s="106">
        <f>+AX107+BL107+BM107</f>
        <v>1628.924</v>
      </c>
      <c r="BO107" s="241"/>
      <c r="BP107" s="241"/>
      <c r="BQ107" s="241"/>
      <c r="BR107" s="107"/>
      <c r="BS107" s="107"/>
      <c r="BV107" s="242" t="s">
        <v>431</v>
      </c>
      <c r="BW107" s="242" t="s">
        <v>456</v>
      </c>
      <c r="BX107" s="242"/>
      <c r="BY107" s="242" t="s">
        <v>135</v>
      </c>
      <c r="BZ107" s="242" t="s">
        <v>186</v>
      </c>
      <c r="CA107" s="242"/>
      <c r="CB107" s="242"/>
      <c r="CC107" s="242"/>
      <c r="CD107" s="243">
        <v>0</v>
      </c>
      <c r="CE107" s="242"/>
      <c r="CF107" s="243">
        <f>+CD107+CE107</f>
        <v>0</v>
      </c>
      <c r="CG107" s="243" t="s">
        <v>717</v>
      </c>
      <c r="CH107" s="243"/>
      <c r="CI107" s="243"/>
      <c r="CJ107" s="243"/>
      <c r="CK107" s="243">
        <v>45.13</v>
      </c>
      <c r="CL107" s="243">
        <f>SUM(CF107:CJ107)-CK107</f>
        <v>-45.13</v>
      </c>
      <c r="CM107" s="243"/>
      <c r="CN107" s="243"/>
      <c r="CO107" s="243">
        <v>0</v>
      </c>
      <c r="CP107" s="243"/>
      <c r="CQ107" s="243"/>
      <c r="CR107" s="243"/>
      <c r="CS107" s="245"/>
      <c r="CT107" s="245"/>
      <c r="CU107" s="242"/>
      <c r="CV107" s="242">
        <v>0</v>
      </c>
      <c r="CW107" s="243">
        <f>+CL107-SUM(CM107:CV107)</f>
        <v>-45.13</v>
      </c>
      <c r="CX107" s="245">
        <f>IF(CL107&gt;3500,CL107*0.1,0)</f>
        <v>0</v>
      </c>
      <c r="CY107" s="243">
        <f>+CW107-CX107</f>
        <v>-45.13</v>
      </c>
      <c r="CZ107" s="245">
        <f>IF(CL107&lt;3500,CL107*0.1,0)</f>
        <v>-4.5130000000000008</v>
      </c>
      <c r="DA107" s="245">
        <v>10.23</v>
      </c>
      <c r="DB107" s="243">
        <f>+CL107+CZ107+DA107</f>
        <v>-39.412999999999997</v>
      </c>
      <c r="DC107" s="246"/>
      <c r="DD107" s="246"/>
      <c r="DE107" s="246"/>
      <c r="DF107" s="247"/>
      <c r="DG107" s="247"/>
      <c r="DJ107" s="21"/>
      <c r="DK107" s="21"/>
      <c r="DL107" s="21"/>
      <c r="DM107" s="21"/>
      <c r="DN107" s="21"/>
    </row>
    <row r="110" spans="1:118" x14ac:dyDescent="0.25">
      <c r="BV110" s="111" t="s">
        <v>488</v>
      </c>
      <c r="BW110" s="84"/>
      <c r="BX110" s="84"/>
    </row>
    <row r="111" spans="1:118" x14ac:dyDescent="0.25">
      <c r="BV111" s="111" t="s">
        <v>489</v>
      </c>
      <c r="BW111" s="84"/>
      <c r="BX111" s="84"/>
    </row>
    <row r="112" spans="1:118" x14ac:dyDescent="0.25">
      <c r="BV112" s="111" t="s">
        <v>490</v>
      </c>
      <c r="BW112" s="84"/>
      <c r="BX112" s="84"/>
    </row>
    <row r="113" spans="74:76" x14ac:dyDescent="0.25">
      <c r="BV113" s="111" t="s">
        <v>491</v>
      </c>
      <c r="BW113" s="84"/>
      <c r="BX113" s="84"/>
    </row>
    <row r="114" spans="74:76" x14ac:dyDescent="0.25">
      <c r="BV114" s="111" t="s">
        <v>492</v>
      </c>
      <c r="BW114" s="84"/>
      <c r="BX114" s="84"/>
    </row>
    <row r="115" spans="74:76" x14ac:dyDescent="0.25">
      <c r="BV115" s="111" t="s">
        <v>493</v>
      </c>
      <c r="BW115" s="84"/>
      <c r="BX115" s="84"/>
    </row>
    <row r="119" spans="74:76" x14ac:dyDescent="0.25">
      <c r="BW119" s="92"/>
      <c r="BX119" s="154"/>
    </row>
    <row r="120" spans="74:76" x14ac:dyDescent="0.25">
      <c r="BW120" s="92"/>
      <c r="BX120" s="154"/>
    </row>
    <row r="121" spans="74:76" x14ac:dyDescent="0.25">
      <c r="BW121" s="92"/>
      <c r="BX121" s="154"/>
    </row>
  </sheetData>
  <autoFilter ref="A8:BS91">
    <filterColumn colId="32">
      <filters>
        <filter val="ADMINISTRACION"/>
      </filters>
    </filterColumn>
    <filterColumn colId="66" showButton="0"/>
  </autoFilter>
  <sortState ref="BV16:DJ95">
    <sortCondition ref="BW16:BW95"/>
  </sortState>
  <mergeCells count="7">
    <mergeCell ref="A101:B101"/>
    <mergeCell ref="DC8:DD8"/>
    <mergeCell ref="AG96:AH96"/>
    <mergeCell ref="H95:K95"/>
    <mergeCell ref="V7:AB7"/>
    <mergeCell ref="BO8:BP8"/>
    <mergeCell ref="BV96:BW96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H21" sqref="H21"/>
    </sheetView>
  </sheetViews>
  <sheetFormatPr baseColWidth="10" defaultRowHeight="15" x14ac:dyDescent="0.25"/>
  <cols>
    <col min="1" max="1" width="11.42578125" style="174"/>
    <col min="2" max="2" width="11.42578125" style="227"/>
    <col min="3" max="3" width="10.85546875" style="174" customWidth="1"/>
    <col min="4" max="5" width="11.42578125" style="174"/>
    <col min="10" max="10" width="24.5703125" bestFit="1" customWidth="1"/>
  </cols>
  <sheetData>
    <row r="1" spans="1:11" x14ac:dyDescent="0.25">
      <c r="C1" s="213" t="s">
        <v>714</v>
      </c>
    </row>
    <row r="2" spans="1:11" x14ac:dyDescent="0.25">
      <c r="C2" s="213" t="str">
        <f>+SINDICATO!B3</f>
        <v>Lista de Raya (forma tabular)</v>
      </c>
    </row>
    <row r="3" spans="1:11" x14ac:dyDescent="0.25">
      <c r="C3" s="213" t="str">
        <f>+SINDICATO!B4</f>
        <v>Periodo 9 al 9 Semanal del 24/02/2016 al 01/03/2016</v>
      </c>
    </row>
    <row r="4" spans="1:11" x14ac:dyDescent="0.25">
      <c r="C4" s="227"/>
    </row>
    <row r="6" spans="1:11" x14ac:dyDescent="0.25">
      <c r="B6" s="218" t="s">
        <v>670</v>
      </c>
      <c r="C6" s="60">
        <v>167.44000000000005</v>
      </c>
      <c r="D6" s="21" t="s">
        <v>51</v>
      </c>
    </row>
    <row r="7" spans="1:11" x14ac:dyDescent="0.25">
      <c r="B7" s="180">
        <v>1415043352</v>
      </c>
      <c r="C7" s="60">
        <v>168.05999999999995</v>
      </c>
      <c r="D7" s="21" t="s">
        <v>71</v>
      </c>
      <c r="J7" s="35" t="s">
        <v>120</v>
      </c>
      <c r="K7" s="60">
        <v>381.44000000000005</v>
      </c>
    </row>
    <row r="8" spans="1:11" x14ac:dyDescent="0.25">
      <c r="A8" s="175" t="s">
        <v>494</v>
      </c>
      <c r="B8" s="183">
        <v>2848478236</v>
      </c>
      <c r="C8" s="177">
        <v>1060.4180000000006</v>
      </c>
      <c r="D8" s="174" t="s">
        <v>37</v>
      </c>
      <c r="F8" s="194"/>
      <c r="J8" s="21" t="s">
        <v>126</v>
      </c>
      <c r="K8" s="60">
        <v>473.154</v>
      </c>
    </row>
    <row r="9" spans="1:11" x14ac:dyDescent="0.25">
      <c r="A9" s="175" t="s">
        <v>495</v>
      </c>
      <c r="B9" s="180">
        <v>2958467625</v>
      </c>
      <c r="C9" s="229">
        <v>681.44969000000037</v>
      </c>
      <c r="D9" s="174" t="s">
        <v>39</v>
      </c>
      <c r="F9" s="194"/>
      <c r="J9" s="21" t="s">
        <v>85</v>
      </c>
      <c r="K9" s="60">
        <v>538.06899999999996</v>
      </c>
    </row>
    <row r="10" spans="1:11" x14ac:dyDescent="0.25">
      <c r="A10" s="175" t="s">
        <v>496</v>
      </c>
      <c r="B10" s="180">
        <v>2915275539</v>
      </c>
      <c r="C10" s="229">
        <v>715.92599999999948</v>
      </c>
      <c r="D10" s="174" t="s">
        <v>45</v>
      </c>
      <c r="F10" s="194"/>
      <c r="J10" s="21" t="s">
        <v>73</v>
      </c>
      <c r="K10" s="60">
        <v>543.40000000000055</v>
      </c>
    </row>
    <row r="11" spans="1:11" x14ac:dyDescent="0.25">
      <c r="A11" s="175" t="s">
        <v>497</v>
      </c>
      <c r="B11" s="187">
        <v>2648514364</v>
      </c>
      <c r="C11" s="229">
        <v>791.22399999999925</v>
      </c>
      <c r="D11" s="174" t="s">
        <v>55</v>
      </c>
      <c r="F11" s="194"/>
      <c r="J11" s="21" t="s">
        <v>112</v>
      </c>
      <c r="K11" s="60">
        <v>581.9989999999998</v>
      </c>
    </row>
    <row r="12" spans="1:11" x14ac:dyDescent="0.25">
      <c r="A12" s="175" t="s">
        <v>498</v>
      </c>
      <c r="B12" s="183">
        <v>2759588027</v>
      </c>
      <c r="C12" s="229">
        <v>543.39399999999932</v>
      </c>
      <c r="D12" s="174" t="s">
        <v>73</v>
      </c>
      <c r="F12" s="194"/>
      <c r="J12" s="21" t="s">
        <v>176</v>
      </c>
      <c r="K12" s="60">
        <v>582.09799999999996</v>
      </c>
    </row>
    <row r="13" spans="1:11" x14ac:dyDescent="0.25">
      <c r="A13" s="175" t="s">
        <v>499</v>
      </c>
      <c r="B13" s="183">
        <v>2874790073</v>
      </c>
      <c r="C13" s="229">
        <v>929.0149999999976</v>
      </c>
      <c r="D13" s="174" t="s">
        <v>75</v>
      </c>
      <c r="F13" s="194"/>
      <c r="J13" s="21" t="s">
        <v>110</v>
      </c>
      <c r="K13" s="60">
        <v>596.98700000000008</v>
      </c>
    </row>
    <row r="14" spans="1:11" x14ac:dyDescent="0.25">
      <c r="A14" s="175" t="s">
        <v>80</v>
      </c>
      <c r="B14" s="180">
        <v>2866078516</v>
      </c>
      <c r="C14" s="229">
        <v>897.51700000000073</v>
      </c>
      <c r="D14" s="174" t="s">
        <v>81</v>
      </c>
      <c r="F14" s="194"/>
      <c r="J14" s="21" t="s">
        <v>89</v>
      </c>
      <c r="K14" s="60">
        <v>627.75799999999981</v>
      </c>
    </row>
    <row r="15" spans="1:11" x14ac:dyDescent="0.25">
      <c r="A15" s="175" t="s">
        <v>82</v>
      </c>
      <c r="B15" s="183">
        <v>1457598270</v>
      </c>
      <c r="C15" s="229">
        <v>1173.5110000000004</v>
      </c>
      <c r="D15" s="174" t="s">
        <v>83</v>
      </c>
      <c r="F15" s="194"/>
      <c r="J15" s="21" t="s">
        <v>39</v>
      </c>
      <c r="K15" s="60">
        <v>681.40899999999965</v>
      </c>
    </row>
    <row r="16" spans="1:11" x14ac:dyDescent="0.25">
      <c r="A16" s="175" t="s">
        <v>503</v>
      </c>
      <c r="B16" s="183">
        <v>2970888893</v>
      </c>
      <c r="C16" s="229">
        <v>627.82200000000012</v>
      </c>
      <c r="D16" s="174" t="s">
        <v>89</v>
      </c>
      <c r="F16" s="194"/>
      <c r="J16" s="21" t="s">
        <v>45</v>
      </c>
      <c r="K16" s="60">
        <v>715.76399999999921</v>
      </c>
    </row>
    <row r="17" spans="1:11" x14ac:dyDescent="0.25">
      <c r="A17" s="175" t="s">
        <v>506</v>
      </c>
      <c r="B17" s="183">
        <v>2650346748</v>
      </c>
      <c r="C17" s="229">
        <v>596.88299999999981</v>
      </c>
      <c r="D17" s="174" t="s">
        <v>110</v>
      </c>
      <c r="F17" s="194"/>
      <c r="J17" s="21" t="s">
        <v>55</v>
      </c>
      <c r="K17" s="60">
        <v>791.23599999999988</v>
      </c>
    </row>
    <row r="18" spans="1:11" x14ac:dyDescent="0.25">
      <c r="A18" s="175" t="s">
        <v>111</v>
      </c>
      <c r="B18" s="180">
        <v>2918873607</v>
      </c>
      <c r="C18" s="229">
        <v>581.99100000000044</v>
      </c>
      <c r="D18" s="174" t="s">
        <v>112</v>
      </c>
      <c r="F18" s="194"/>
      <c r="J18" s="21" t="s">
        <v>81</v>
      </c>
      <c r="K18" s="60">
        <v>897.44300000000021</v>
      </c>
    </row>
    <row r="19" spans="1:11" x14ac:dyDescent="0.25">
      <c r="A19" s="175" t="s">
        <v>507</v>
      </c>
      <c r="B19" s="183">
        <v>2695890268</v>
      </c>
      <c r="C19" s="229">
        <v>381.33999999999969</v>
      </c>
      <c r="D19" s="174" t="s">
        <v>120</v>
      </c>
      <c r="F19" s="194"/>
      <c r="J19" s="21" t="s">
        <v>336</v>
      </c>
      <c r="K19" s="60">
        <v>929.05500000000029</v>
      </c>
    </row>
    <row r="20" spans="1:11" x14ac:dyDescent="0.25">
      <c r="A20" s="175" t="s">
        <v>508</v>
      </c>
      <c r="B20" s="180">
        <v>2898414041</v>
      </c>
      <c r="C20" s="229">
        <v>472.98600000000033</v>
      </c>
      <c r="D20" s="174" t="s">
        <v>126</v>
      </c>
      <c r="F20" s="194"/>
      <c r="J20" s="21" t="s">
        <v>37</v>
      </c>
      <c r="K20" s="60">
        <v>1060.402</v>
      </c>
    </row>
    <row r="21" spans="1:11" x14ac:dyDescent="0.25">
      <c r="A21" s="175" t="s">
        <v>513</v>
      </c>
      <c r="B21" s="183">
        <v>2950612421</v>
      </c>
      <c r="C21" s="229">
        <v>1367.1080000000002</v>
      </c>
      <c r="D21" s="174" t="s">
        <v>164</v>
      </c>
      <c r="F21" s="194"/>
      <c r="J21" s="21" t="s">
        <v>83</v>
      </c>
      <c r="K21" s="60">
        <v>1173.4789999999994</v>
      </c>
    </row>
    <row r="22" spans="1:11" x14ac:dyDescent="0.25">
      <c r="A22" s="175" t="s">
        <v>514</v>
      </c>
      <c r="B22" s="180">
        <v>2851650165</v>
      </c>
      <c r="C22" s="229">
        <v>582.08199999999988</v>
      </c>
      <c r="D22" s="174" t="s">
        <v>176</v>
      </c>
      <c r="F22" s="194"/>
      <c r="J22" s="21" t="s">
        <v>164</v>
      </c>
      <c r="K22" s="60">
        <v>1367.0820000000003</v>
      </c>
    </row>
    <row r="23" spans="1:11" ht="15.75" thickBot="1" x14ac:dyDescent="0.3">
      <c r="C23" s="230">
        <f>SUM(C6:C22)</f>
        <v>11738.166689999998</v>
      </c>
      <c r="E23" s="59"/>
      <c r="F23" s="194"/>
    </row>
    <row r="24" spans="1:11" ht="15.75" thickTop="1" x14ac:dyDescent="0.25"/>
    <row r="25" spans="1:11" x14ac:dyDescent="0.25">
      <c r="A25" s="175" t="s">
        <v>502</v>
      </c>
      <c r="B25" s="228"/>
      <c r="C25" s="174" t="s">
        <v>85</v>
      </c>
      <c r="D25" s="229">
        <v>538.02099999999973</v>
      </c>
      <c r="E25" s="227" t="s">
        <v>711</v>
      </c>
    </row>
    <row r="26" spans="1:11" ht="15.75" thickBot="1" x14ac:dyDescent="0.3">
      <c r="D26" s="231">
        <f>SUM(D25)</f>
        <v>538.02099999999973</v>
      </c>
    </row>
    <row r="27" spans="1:11" ht="15.75" thickTop="1" x14ac:dyDescent="0.25"/>
    <row r="28" spans="1:11" x14ac:dyDescent="0.25">
      <c r="C28" s="227" t="s">
        <v>710</v>
      </c>
      <c r="D28" s="173">
        <f>+C23</f>
        <v>11738.166689999998</v>
      </c>
    </row>
    <row r="29" spans="1:11" x14ac:dyDescent="0.25">
      <c r="C29" s="227" t="s">
        <v>711</v>
      </c>
      <c r="D29" s="229">
        <f>+D26</f>
        <v>538.02099999999973</v>
      </c>
      <c r="E29" s="173"/>
    </row>
    <row r="30" spans="1:11" ht="15.75" thickBot="1" x14ac:dyDescent="0.3">
      <c r="D30" s="231">
        <f>+D28+D29</f>
        <v>12276.187689999999</v>
      </c>
    </row>
    <row r="31" spans="1:11" ht="15.75" thickTop="1" x14ac:dyDescent="0.25"/>
  </sheetData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7"/>
  <sheetViews>
    <sheetView topLeftCell="A64" workbookViewId="0">
      <selection activeCell="H21" sqref="H21"/>
    </sheetView>
  </sheetViews>
  <sheetFormatPr baseColWidth="10" defaultRowHeight="15" x14ac:dyDescent="0.25"/>
  <cols>
    <col min="6" max="6" width="30" customWidth="1"/>
    <col min="11" max="11" width="26.85546875" bestFit="1" customWidth="1"/>
  </cols>
  <sheetData>
    <row r="1" spans="1:13" ht="21" x14ac:dyDescent="0.25">
      <c r="A1" s="183">
        <v>46</v>
      </c>
      <c r="B1" s="184" t="s">
        <v>522</v>
      </c>
      <c r="C1" s="184" t="s">
        <v>523</v>
      </c>
      <c r="D1" s="183">
        <v>2889514104</v>
      </c>
      <c r="E1" s="185">
        <v>2043.7</v>
      </c>
      <c r="F1" s="184" t="s">
        <v>590</v>
      </c>
      <c r="G1" s="184" t="s">
        <v>524</v>
      </c>
      <c r="H1" s="184" t="s">
        <v>525</v>
      </c>
      <c r="J1" s="50" t="s">
        <v>34</v>
      </c>
      <c r="K1" s="51" t="s">
        <v>35</v>
      </c>
      <c r="L1" s="59">
        <v>2043.6999999999998</v>
      </c>
      <c r="M1" s="179">
        <f>+L1-E1</f>
        <v>0</v>
      </c>
    </row>
    <row r="2" spans="1:13" ht="21" x14ac:dyDescent="0.25">
      <c r="A2" s="183">
        <v>36</v>
      </c>
      <c r="B2" s="184" t="s">
        <v>522</v>
      </c>
      <c r="C2" s="184" t="s">
        <v>523</v>
      </c>
      <c r="D2" s="183">
        <v>2848478236</v>
      </c>
      <c r="E2" s="190">
        <v>7905.82</v>
      </c>
      <c r="F2" s="184" t="s">
        <v>583</v>
      </c>
      <c r="G2" s="184" t="s">
        <v>524</v>
      </c>
      <c r="H2" s="184" t="s">
        <v>525</v>
      </c>
      <c r="J2" s="50" t="s">
        <v>36</v>
      </c>
      <c r="K2" s="51" t="s">
        <v>37</v>
      </c>
      <c r="L2" s="59">
        <v>8966.2180000000008</v>
      </c>
      <c r="M2" s="179">
        <f>+L2-E2</f>
        <v>1060.398000000001</v>
      </c>
    </row>
    <row r="3" spans="1:13" ht="21" x14ac:dyDescent="0.25">
      <c r="A3" s="180">
        <v>71</v>
      </c>
      <c r="B3" s="181" t="s">
        <v>522</v>
      </c>
      <c r="C3" s="181" t="s">
        <v>523</v>
      </c>
      <c r="D3" s="180">
        <v>2958467625</v>
      </c>
      <c r="E3" s="182">
        <v>4471.84</v>
      </c>
      <c r="F3" s="181" t="s">
        <v>599</v>
      </c>
      <c r="G3" s="181" t="s">
        <v>524</v>
      </c>
      <c r="H3" s="181" t="s">
        <v>525</v>
      </c>
      <c r="J3" s="50" t="s">
        <v>38</v>
      </c>
      <c r="K3" s="51" t="s">
        <v>39</v>
      </c>
      <c r="L3" s="59">
        <v>5153.2496900000006</v>
      </c>
      <c r="M3" s="179">
        <f t="shared" ref="M3:M15" si="0">+L3-E3</f>
        <v>681.40969000000041</v>
      </c>
    </row>
    <row r="4" spans="1:13" ht="21" x14ac:dyDescent="0.25">
      <c r="A4" s="180">
        <v>1</v>
      </c>
      <c r="B4" s="181" t="s">
        <v>522</v>
      </c>
      <c r="C4" s="181" t="s">
        <v>523</v>
      </c>
      <c r="D4" s="180">
        <v>2706107109</v>
      </c>
      <c r="E4" s="182">
        <v>2401.9</v>
      </c>
      <c r="F4" s="181" t="s">
        <v>565</v>
      </c>
      <c r="G4" s="181" t="s">
        <v>524</v>
      </c>
      <c r="H4" s="181" t="s">
        <v>525</v>
      </c>
      <c r="J4" s="50" t="s">
        <v>289</v>
      </c>
      <c r="K4" s="51" t="s">
        <v>178</v>
      </c>
      <c r="L4" s="59">
        <v>2401.9</v>
      </c>
      <c r="M4" s="179">
        <f t="shared" si="0"/>
        <v>0</v>
      </c>
    </row>
    <row r="5" spans="1:13" ht="21" x14ac:dyDescent="0.25">
      <c r="A5" s="183">
        <v>76</v>
      </c>
      <c r="B5" s="184" t="s">
        <v>522</v>
      </c>
      <c r="C5" s="184" t="s">
        <v>523</v>
      </c>
      <c r="D5" s="183">
        <v>2983576469</v>
      </c>
      <c r="E5" s="185">
        <v>1258.94</v>
      </c>
      <c r="F5" s="184" t="s">
        <v>564</v>
      </c>
      <c r="G5" s="184" t="s">
        <v>524</v>
      </c>
      <c r="H5" s="184" t="s">
        <v>525</v>
      </c>
      <c r="J5" s="50" t="s">
        <v>40</v>
      </c>
      <c r="K5" s="51" t="s">
        <v>41</v>
      </c>
      <c r="L5" s="59">
        <v>1258.94</v>
      </c>
      <c r="M5" s="179">
        <f t="shared" si="0"/>
        <v>0</v>
      </c>
    </row>
    <row r="6" spans="1:13" ht="21" x14ac:dyDescent="0.25">
      <c r="A6" s="183">
        <v>16</v>
      </c>
      <c r="B6" s="184" t="s">
        <v>522</v>
      </c>
      <c r="C6" s="184" t="s">
        <v>523</v>
      </c>
      <c r="D6" s="183">
        <v>2648514356</v>
      </c>
      <c r="E6" s="185">
        <v>1862.22</v>
      </c>
      <c r="F6" s="184" t="s">
        <v>576</v>
      </c>
      <c r="G6" s="184" t="s">
        <v>524</v>
      </c>
      <c r="H6" s="184" t="s">
        <v>525</v>
      </c>
      <c r="J6" s="50" t="s">
        <v>42</v>
      </c>
      <c r="K6" s="51" t="s">
        <v>43</v>
      </c>
      <c r="L6" s="59">
        <v>1862.2199999999998</v>
      </c>
      <c r="M6" s="179">
        <f t="shared" si="0"/>
        <v>0</v>
      </c>
    </row>
    <row r="7" spans="1:13" ht="21" x14ac:dyDescent="0.25">
      <c r="A7" s="180">
        <v>55</v>
      </c>
      <c r="B7" s="181" t="s">
        <v>522</v>
      </c>
      <c r="C7" s="181" t="s">
        <v>523</v>
      </c>
      <c r="D7" s="180">
        <v>2915275539</v>
      </c>
      <c r="E7" s="182">
        <v>4780.5600000000004</v>
      </c>
      <c r="F7" s="181" t="s">
        <v>550</v>
      </c>
      <c r="G7" s="181" t="s">
        <v>524</v>
      </c>
      <c r="H7" s="181" t="s">
        <v>525</v>
      </c>
      <c r="J7" s="50" t="s">
        <v>44</v>
      </c>
      <c r="K7" s="51" t="s">
        <v>45</v>
      </c>
      <c r="L7" s="59">
        <v>5496.3259999999991</v>
      </c>
      <c r="M7" s="179">
        <f t="shared" si="0"/>
        <v>715.76599999999871</v>
      </c>
    </row>
    <row r="8" spans="1:13" s="123" customFormat="1" ht="21" x14ac:dyDescent="0.25">
      <c r="A8" s="187">
        <v>35</v>
      </c>
      <c r="B8" s="188" t="s">
        <v>522</v>
      </c>
      <c r="C8" s="188" t="s">
        <v>523</v>
      </c>
      <c r="D8" s="187">
        <v>2838464278</v>
      </c>
      <c r="E8" s="187">
        <v>805.92</v>
      </c>
      <c r="F8" s="188" t="s">
        <v>542</v>
      </c>
      <c r="G8" s="188" t="s">
        <v>524</v>
      </c>
      <c r="H8" s="188" t="s">
        <v>525</v>
      </c>
      <c r="J8" s="170" t="s">
        <v>290</v>
      </c>
      <c r="K8" s="171" t="s">
        <v>46</v>
      </c>
      <c r="L8" s="189">
        <v>805.92185999999992</v>
      </c>
      <c r="M8" s="179">
        <f t="shared" si="0"/>
        <v>1.8599999999651118E-3</v>
      </c>
    </row>
    <row r="9" spans="1:13" s="123" customFormat="1" ht="21" x14ac:dyDescent="0.25">
      <c r="A9" s="187">
        <v>50</v>
      </c>
      <c r="B9" s="188" t="s">
        <v>522</v>
      </c>
      <c r="C9" s="188" t="s">
        <v>523</v>
      </c>
      <c r="D9" s="187">
        <v>2896455182</v>
      </c>
      <c r="E9" s="187">
        <v>905.93</v>
      </c>
      <c r="F9" s="188" t="s">
        <v>593</v>
      </c>
      <c r="G9" s="188" t="s">
        <v>524</v>
      </c>
      <c r="H9" s="188" t="s">
        <v>525</v>
      </c>
      <c r="J9" s="170" t="s">
        <v>48</v>
      </c>
      <c r="K9" s="171" t="s">
        <v>49</v>
      </c>
      <c r="L9" s="189">
        <v>905.93</v>
      </c>
      <c r="M9" s="179">
        <f t="shared" si="0"/>
        <v>0</v>
      </c>
    </row>
    <row r="10" spans="1:13" s="123" customFormat="1" ht="21" x14ac:dyDescent="0.25">
      <c r="A10" s="187">
        <v>38</v>
      </c>
      <c r="B10" s="188" t="s">
        <v>522</v>
      </c>
      <c r="C10" s="188" t="s">
        <v>523</v>
      </c>
      <c r="D10" s="187">
        <v>2854221494</v>
      </c>
      <c r="E10" s="187">
        <v>594.48</v>
      </c>
      <c r="F10" s="188" t="s">
        <v>584</v>
      </c>
      <c r="G10" s="188" t="s">
        <v>524</v>
      </c>
      <c r="H10" s="188" t="s">
        <v>525</v>
      </c>
      <c r="J10" s="170" t="s">
        <v>50</v>
      </c>
      <c r="K10" s="171" t="s">
        <v>51</v>
      </c>
      <c r="L10" s="189">
        <v>594.48</v>
      </c>
      <c r="M10" s="179">
        <f t="shared" si="0"/>
        <v>0</v>
      </c>
    </row>
    <row r="11" spans="1:13" s="123" customFormat="1" ht="21" x14ac:dyDescent="0.25">
      <c r="A11" s="187">
        <v>73</v>
      </c>
      <c r="B11" s="188" t="s">
        <v>522</v>
      </c>
      <c r="C11" s="188" t="s">
        <v>523</v>
      </c>
      <c r="D11" s="187">
        <v>2971587803</v>
      </c>
      <c r="E11" s="190">
        <v>1634.57</v>
      </c>
      <c r="F11" s="188" t="s">
        <v>601</v>
      </c>
      <c r="G11" s="188" t="s">
        <v>524</v>
      </c>
      <c r="H11" s="188" t="s">
        <v>525</v>
      </c>
      <c r="J11" s="170" t="s">
        <v>291</v>
      </c>
      <c r="K11" s="171" t="s">
        <v>52</v>
      </c>
      <c r="L11" s="189">
        <v>1634.5700000000002</v>
      </c>
      <c r="M11" s="179">
        <f t="shared" si="0"/>
        <v>0</v>
      </c>
    </row>
    <row r="12" spans="1:13" s="123" customFormat="1" ht="21" x14ac:dyDescent="0.25">
      <c r="A12" s="187">
        <v>22</v>
      </c>
      <c r="B12" s="188" t="s">
        <v>522</v>
      </c>
      <c r="C12" s="188" t="s">
        <v>523</v>
      </c>
      <c r="D12" s="187">
        <v>2695890349</v>
      </c>
      <c r="E12" s="190">
        <v>1210.4000000000001</v>
      </c>
      <c r="F12" s="188" t="s">
        <v>579</v>
      </c>
      <c r="G12" s="188" t="s">
        <v>524</v>
      </c>
      <c r="H12" s="188" t="s">
        <v>525</v>
      </c>
      <c r="J12" s="170" t="s">
        <v>53</v>
      </c>
      <c r="K12" s="171" t="s">
        <v>54</v>
      </c>
      <c r="L12" s="189">
        <v>1210.39888</v>
      </c>
      <c r="M12" s="179">
        <f t="shared" si="0"/>
        <v>-1.1200000001281296E-3</v>
      </c>
    </row>
    <row r="13" spans="1:13" s="123" customFormat="1" ht="21" x14ac:dyDescent="0.25">
      <c r="A13" s="187">
        <v>17</v>
      </c>
      <c r="B13" s="188" t="s">
        <v>522</v>
      </c>
      <c r="C13" s="188" t="s">
        <v>523</v>
      </c>
      <c r="D13" s="187">
        <v>2648514364</v>
      </c>
      <c r="E13" s="190">
        <v>4846.79</v>
      </c>
      <c r="F13" s="188" t="s">
        <v>530</v>
      </c>
      <c r="G13" s="188" t="s">
        <v>524</v>
      </c>
      <c r="H13" s="188" t="s">
        <v>525</v>
      </c>
      <c r="J13" s="170" t="s">
        <v>15</v>
      </c>
      <c r="K13" s="171" t="s">
        <v>55</v>
      </c>
      <c r="L13" s="189">
        <v>5638.0239999999994</v>
      </c>
      <c r="M13" s="179">
        <f t="shared" si="0"/>
        <v>791.23399999999947</v>
      </c>
    </row>
    <row r="14" spans="1:13" s="123" customFormat="1" ht="21" x14ac:dyDescent="0.25">
      <c r="A14" s="187">
        <v>15</v>
      </c>
      <c r="B14" s="188" t="s">
        <v>522</v>
      </c>
      <c r="C14" s="188" t="s">
        <v>523</v>
      </c>
      <c r="D14" s="187">
        <v>2616790135</v>
      </c>
      <c r="E14" s="187">
        <v>522.6</v>
      </c>
      <c r="F14" s="188" t="s">
        <v>529</v>
      </c>
      <c r="G14" s="188" t="s">
        <v>524</v>
      </c>
      <c r="H14" s="188" t="s">
        <v>525</v>
      </c>
      <c r="J14" s="170" t="s">
        <v>56</v>
      </c>
      <c r="K14" s="171" t="s">
        <v>57</v>
      </c>
      <c r="L14" s="189">
        <v>522.6</v>
      </c>
      <c r="M14" s="179">
        <f t="shared" si="0"/>
        <v>0</v>
      </c>
    </row>
    <row r="15" spans="1:13" s="123" customFormat="1" ht="21" x14ac:dyDescent="0.25">
      <c r="A15" s="187">
        <v>29</v>
      </c>
      <c r="B15" s="188" t="s">
        <v>522</v>
      </c>
      <c r="C15" s="188" t="s">
        <v>523</v>
      </c>
      <c r="D15" s="187">
        <v>2761258753</v>
      </c>
      <c r="E15" s="187">
        <v>548.20000000000005</v>
      </c>
      <c r="F15" s="188" t="s">
        <v>537</v>
      </c>
      <c r="G15" s="188" t="s">
        <v>524</v>
      </c>
      <c r="H15" s="188" t="s">
        <v>525</v>
      </c>
      <c r="J15" s="170" t="s">
        <v>58</v>
      </c>
      <c r="K15" s="171" t="s">
        <v>59</v>
      </c>
      <c r="L15" s="189">
        <v>548.19999999999993</v>
      </c>
      <c r="M15" s="179">
        <f t="shared" si="0"/>
        <v>0</v>
      </c>
    </row>
    <row r="16" spans="1:13" ht="21" x14ac:dyDescent="0.25">
      <c r="A16" s="180">
        <v>61</v>
      </c>
      <c r="B16" s="181" t="s">
        <v>522</v>
      </c>
      <c r="C16" s="181" t="s">
        <v>523</v>
      </c>
      <c r="D16" s="180">
        <v>2935582334</v>
      </c>
      <c r="E16" s="180">
        <v>744.51</v>
      </c>
      <c r="F16" s="181" t="s">
        <v>597</v>
      </c>
      <c r="G16" s="181" t="s">
        <v>524</v>
      </c>
      <c r="H16" s="181" t="s">
        <v>525</v>
      </c>
      <c r="J16" s="50" t="s">
        <v>60</v>
      </c>
      <c r="K16" s="51" t="s">
        <v>61</v>
      </c>
      <c r="L16" s="59">
        <v>744.51</v>
      </c>
    </row>
    <row r="17" spans="1:12" ht="21" x14ac:dyDescent="0.25">
      <c r="A17" s="180">
        <v>25</v>
      </c>
      <c r="B17" s="181" t="s">
        <v>522</v>
      </c>
      <c r="C17" s="181" t="s">
        <v>523</v>
      </c>
      <c r="D17" s="180">
        <v>2746799043</v>
      </c>
      <c r="E17" s="182">
        <v>3152.3</v>
      </c>
      <c r="F17" s="181" t="s">
        <v>534</v>
      </c>
      <c r="G17" s="181" t="s">
        <v>524</v>
      </c>
      <c r="H17" s="181" t="s">
        <v>525</v>
      </c>
      <c r="J17" s="50" t="s">
        <v>62</v>
      </c>
      <c r="K17" s="51" t="s">
        <v>63</v>
      </c>
      <c r="L17" s="59">
        <v>3152.3020000000001</v>
      </c>
    </row>
    <row r="18" spans="1:12" ht="21" x14ac:dyDescent="0.25">
      <c r="A18" s="180">
        <v>53</v>
      </c>
      <c r="B18" s="181" t="s">
        <v>522</v>
      </c>
      <c r="C18" s="181" t="s">
        <v>523</v>
      </c>
      <c r="D18" s="180">
        <v>2904189264</v>
      </c>
      <c r="E18" s="180">
        <v>936.13</v>
      </c>
      <c r="F18" s="181" t="s">
        <v>548</v>
      </c>
      <c r="G18" s="181" t="s">
        <v>524</v>
      </c>
      <c r="H18" s="181" t="s">
        <v>525</v>
      </c>
      <c r="J18" s="50" t="s">
        <v>64</v>
      </c>
      <c r="K18" s="51" t="s">
        <v>65</v>
      </c>
      <c r="L18" s="59">
        <v>936.12999999999988</v>
      </c>
    </row>
    <row r="19" spans="1:12" ht="21" x14ac:dyDescent="0.25">
      <c r="A19" s="180">
        <v>59</v>
      </c>
      <c r="B19" s="181" t="s">
        <v>522</v>
      </c>
      <c r="C19" s="181" t="s">
        <v>523</v>
      </c>
      <c r="D19" s="180">
        <v>2923627098</v>
      </c>
      <c r="E19" s="180">
        <v>522.79999999999995</v>
      </c>
      <c r="F19" s="181" t="s">
        <v>596</v>
      </c>
      <c r="G19" s="181" t="s">
        <v>524</v>
      </c>
      <c r="H19" s="181" t="s">
        <v>525</v>
      </c>
      <c r="J19" s="50" t="s">
        <v>66</v>
      </c>
      <c r="K19" s="51" t="s">
        <v>67</v>
      </c>
      <c r="L19" s="59">
        <v>522.79999999999995</v>
      </c>
    </row>
    <row r="20" spans="1:12" ht="21" x14ac:dyDescent="0.25">
      <c r="A20" s="180">
        <v>49</v>
      </c>
      <c r="B20" s="181" t="s">
        <v>522</v>
      </c>
      <c r="C20" s="181" t="s">
        <v>523</v>
      </c>
      <c r="D20" s="180">
        <v>2895359627</v>
      </c>
      <c r="E20" s="180">
        <v>906.13</v>
      </c>
      <c r="F20" s="181" t="s">
        <v>546</v>
      </c>
      <c r="G20" s="181" t="s">
        <v>524</v>
      </c>
      <c r="H20" s="181" t="s">
        <v>525</v>
      </c>
      <c r="J20" s="50" t="s">
        <v>68</v>
      </c>
      <c r="K20" s="51" t="s">
        <v>69</v>
      </c>
      <c r="L20" s="59">
        <v>906.12999999999988</v>
      </c>
    </row>
    <row r="21" spans="1:12" ht="21" x14ac:dyDescent="0.25">
      <c r="A21" s="180">
        <v>9</v>
      </c>
      <c r="B21" s="181" t="s">
        <v>522</v>
      </c>
      <c r="C21" s="181" t="s">
        <v>523</v>
      </c>
      <c r="D21" s="180">
        <v>1415043352</v>
      </c>
      <c r="E21" s="180">
        <v>739.21</v>
      </c>
      <c r="F21" s="181" t="s">
        <v>526</v>
      </c>
      <c r="G21" s="181" t="s">
        <v>524</v>
      </c>
      <c r="H21" s="181" t="s">
        <v>525</v>
      </c>
      <c r="J21" s="50" t="s">
        <v>70</v>
      </c>
      <c r="K21" s="51" t="s">
        <v>71</v>
      </c>
      <c r="L21" s="59">
        <v>739.21</v>
      </c>
    </row>
    <row r="22" spans="1:12" ht="21" x14ac:dyDescent="0.25">
      <c r="A22" s="183">
        <v>28</v>
      </c>
      <c r="B22" s="184" t="s">
        <v>522</v>
      </c>
      <c r="C22" s="184" t="s">
        <v>523</v>
      </c>
      <c r="D22" s="183">
        <v>2759588027</v>
      </c>
      <c r="E22" s="185">
        <v>2949.19</v>
      </c>
      <c r="F22" s="184" t="s">
        <v>536</v>
      </c>
      <c r="G22" s="184" t="s">
        <v>524</v>
      </c>
      <c r="H22" s="184" t="s">
        <v>525</v>
      </c>
      <c r="J22" s="50" t="s">
        <v>72</v>
      </c>
      <c r="K22" s="51" t="s">
        <v>73</v>
      </c>
      <c r="L22" s="59">
        <v>3492.5939999999991</v>
      </c>
    </row>
    <row r="23" spans="1:12" ht="21" x14ac:dyDescent="0.25">
      <c r="A23" s="183">
        <v>42</v>
      </c>
      <c r="B23" s="184" t="s">
        <v>522</v>
      </c>
      <c r="C23" s="184" t="s">
        <v>523</v>
      </c>
      <c r="D23" s="183">
        <v>2874790073</v>
      </c>
      <c r="E23" s="185">
        <v>6324.76</v>
      </c>
      <c r="F23" s="184" t="s">
        <v>545</v>
      </c>
      <c r="G23" s="184" t="s">
        <v>524</v>
      </c>
      <c r="H23" s="184" t="s">
        <v>525</v>
      </c>
      <c r="J23" s="50" t="s">
        <v>74</v>
      </c>
      <c r="K23" s="51" t="s">
        <v>75</v>
      </c>
      <c r="L23" s="59">
        <v>7253.8149999999978</v>
      </c>
    </row>
    <row r="24" spans="1:12" ht="21" x14ac:dyDescent="0.25">
      <c r="A24" s="183">
        <v>24</v>
      </c>
      <c r="B24" s="184" t="s">
        <v>522</v>
      </c>
      <c r="C24" s="184" t="s">
        <v>523</v>
      </c>
      <c r="D24" s="183">
        <v>2717650620</v>
      </c>
      <c r="E24" s="185">
        <v>1533.97</v>
      </c>
      <c r="F24" s="184" t="s">
        <v>580</v>
      </c>
      <c r="G24" s="184" t="s">
        <v>524</v>
      </c>
      <c r="H24" s="184" t="s">
        <v>525</v>
      </c>
      <c r="J24" s="50" t="s">
        <v>76</v>
      </c>
      <c r="K24" s="51" t="s">
        <v>77</v>
      </c>
      <c r="L24" s="59">
        <v>1533.9696599999995</v>
      </c>
    </row>
    <row r="25" spans="1:12" ht="21" x14ac:dyDescent="0.25">
      <c r="A25" s="183">
        <v>54</v>
      </c>
      <c r="B25" s="184" t="s">
        <v>522</v>
      </c>
      <c r="C25" s="184" t="s">
        <v>523</v>
      </c>
      <c r="D25" s="183">
        <v>2911705105</v>
      </c>
      <c r="E25" s="185">
        <v>2098.15</v>
      </c>
      <c r="F25" s="184" t="s">
        <v>549</v>
      </c>
      <c r="G25" s="184" t="s">
        <v>524</v>
      </c>
      <c r="H25" s="184" t="s">
        <v>525</v>
      </c>
      <c r="J25" s="50" t="s">
        <v>78</v>
      </c>
      <c r="K25" s="51" t="s">
        <v>79</v>
      </c>
      <c r="L25" s="59">
        <v>2098.15</v>
      </c>
    </row>
    <row r="26" spans="1:12" ht="21" x14ac:dyDescent="0.25">
      <c r="A26" s="183">
        <v>2</v>
      </c>
      <c r="B26" s="184" t="s">
        <v>522</v>
      </c>
      <c r="C26" s="184" t="s">
        <v>523</v>
      </c>
      <c r="D26" s="183">
        <v>2861674129</v>
      </c>
      <c r="E26" s="183">
        <v>161.80000000000001</v>
      </c>
      <c r="F26" s="184" t="s">
        <v>566</v>
      </c>
      <c r="G26" s="184" t="s">
        <v>524</v>
      </c>
      <c r="H26" s="184" t="s">
        <v>525</v>
      </c>
      <c r="J26" s="36" t="s">
        <v>500</v>
      </c>
      <c r="K26" s="37" t="s">
        <v>501</v>
      </c>
      <c r="L26" s="59">
        <v>161.79714285714283</v>
      </c>
    </row>
    <row r="27" spans="1:12" ht="21" x14ac:dyDescent="0.25">
      <c r="A27" s="180">
        <v>41</v>
      </c>
      <c r="B27" s="181" t="s">
        <v>522</v>
      </c>
      <c r="C27" s="181" t="s">
        <v>523</v>
      </c>
      <c r="D27" s="180">
        <v>2866078516</v>
      </c>
      <c r="E27" s="182">
        <v>6253.07</v>
      </c>
      <c r="F27" s="181" t="s">
        <v>586</v>
      </c>
      <c r="G27" s="181" t="s">
        <v>524</v>
      </c>
      <c r="H27" s="181" t="s">
        <v>525</v>
      </c>
      <c r="J27" s="50" t="s">
        <v>80</v>
      </c>
      <c r="K27" s="51" t="s">
        <v>81</v>
      </c>
      <c r="L27" s="59">
        <v>7150.5170000000007</v>
      </c>
    </row>
    <row r="28" spans="1:12" ht="21" x14ac:dyDescent="0.25">
      <c r="A28" s="183">
        <v>12</v>
      </c>
      <c r="B28" s="184" t="s">
        <v>522</v>
      </c>
      <c r="C28" s="184" t="s">
        <v>523</v>
      </c>
      <c r="D28" s="183">
        <v>1457598270</v>
      </c>
      <c r="E28" s="185">
        <v>8810.43</v>
      </c>
      <c r="F28" s="184" t="s">
        <v>573</v>
      </c>
      <c r="G28" s="184" t="s">
        <v>524</v>
      </c>
      <c r="H28" s="184" t="s">
        <v>525</v>
      </c>
      <c r="J28" s="50" t="s">
        <v>82</v>
      </c>
      <c r="K28" s="51" t="s">
        <v>83</v>
      </c>
      <c r="L28" s="59">
        <v>9983.9110000000001</v>
      </c>
    </row>
    <row r="29" spans="1:12" ht="21" x14ac:dyDescent="0.25">
      <c r="A29" s="180">
        <v>77</v>
      </c>
      <c r="B29" s="181" t="s">
        <v>522</v>
      </c>
      <c r="C29" s="181" t="s">
        <v>523</v>
      </c>
      <c r="D29" s="180">
        <v>2987413327</v>
      </c>
      <c r="E29" s="180">
        <v>588.86</v>
      </c>
      <c r="F29" s="181" t="s">
        <v>602</v>
      </c>
      <c r="G29" s="181" t="s">
        <v>524</v>
      </c>
      <c r="H29" s="181" t="s">
        <v>525</v>
      </c>
      <c r="J29" s="50" t="s">
        <v>197</v>
      </c>
      <c r="K29" s="51" t="s">
        <v>198</v>
      </c>
      <c r="L29" s="59">
        <v>588.86</v>
      </c>
    </row>
    <row r="30" spans="1:12" ht="21" x14ac:dyDescent="0.25">
      <c r="A30" s="180">
        <v>65</v>
      </c>
      <c r="B30" s="181" t="s">
        <v>522</v>
      </c>
      <c r="C30" s="181" t="s">
        <v>523</v>
      </c>
      <c r="D30" s="180">
        <v>2947375638</v>
      </c>
      <c r="E30" s="182">
        <v>2257.4499999999998</v>
      </c>
      <c r="F30" s="181" t="s">
        <v>557</v>
      </c>
      <c r="G30" s="181" t="s">
        <v>524</v>
      </c>
      <c r="H30" s="181" t="s">
        <v>525</v>
      </c>
      <c r="J30" s="50" t="s">
        <v>84</v>
      </c>
      <c r="K30" s="51" t="s">
        <v>85</v>
      </c>
      <c r="L30" s="59">
        <v>4265.2209999999995</v>
      </c>
    </row>
    <row r="31" spans="1:12" ht="21" x14ac:dyDescent="0.25">
      <c r="A31" s="183">
        <v>72</v>
      </c>
      <c r="B31" s="184" t="s">
        <v>522</v>
      </c>
      <c r="C31" s="184" t="s">
        <v>523</v>
      </c>
      <c r="D31" s="183">
        <v>2970888893</v>
      </c>
      <c r="E31" s="185">
        <v>4444.66</v>
      </c>
      <c r="F31" s="184" t="s">
        <v>600</v>
      </c>
      <c r="G31" s="184" t="s">
        <v>524</v>
      </c>
      <c r="H31" s="184" t="s">
        <v>525</v>
      </c>
      <c r="J31" s="50" t="s">
        <v>86</v>
      </c>
      <c r="K31" s="51" t="s">
        <v>87</v>
      </c>
      <c r="L31" s="59">
        <v>2257.4459999999999</v>
      </c>
    </row>
    <row r="32" spans="1:12" ht="21" x14ac:dyDescent="0.25">
      <c r="A32" s="180">
        <v>47</v>
      </c>
      <c r="B32" s="181" t="s">
        <v>522</v>
      </c>
      <c r="C32" s="181" t="s">
        <v>523</v>
      </c>
      <c r="D32" s="180">
        <v>2893708187</v>
      </c>
      <c r="E32" s="180">
        <v>2.02</v>
      </c>
      <c r="F32" s="181" t="s">
        <v>591</v>
      </c>
      <c r="G32" s="181" t="s">
        <v>524</v>
      </c>
      <c r="H32" s="181" t="s">
        <v>525</v>
      </c>
      <c r="J32" s="50" t="s">
        <v>88</v>
      </c>
      <c r="K32" s="51" t="s">
        <v>89</v>
      </c>
      <c r="L32" s="59">
        <v>5072.4220000000005</v>
      </c>
    </row>
    <row r="33" spans="1:12" ht="21" x14ac:dyDescent="0.25">
      <c r="A33" s="180">
        <v>23</v>
      </c>
      <c r="B33" s="181" t="s">
        <v>522</v>
      </c>
      <c r="C33" s="181" t="s">
        <v>523</v>
      </c>
      <c r="D33" s="180">
        <v>2714474562</v>
      </c>
      <c r="E33" s="182">
        <v>2435.9299999999998</v>
      </c>
      <c r="F33" s="181" t="s">
        <v>533</v>
      </c>
      <c r="G33" s="181" t="s">
        <v>524</v>
      </c>
      <c r="H33" s="181" t="s">
        <v>525</v>
      </c>
      <c r="J33" s="50" t="s">
        <v>90</v>
      </c>
      <c r="K33" s="51" t="s">
        <v>91</v>
      </c>
      <c r="L33" s="59">
        <v>2.0200000000000955</v>
      </c>
    </row>
    <row r="34" spans="1:12" ht="21" x14ac:dyDescent="0.25">
      <c r="A34" s="183">
        <v>52</v>
      </c>
      <c r="B34" s="184" t="s">
        <v>522</v>
      </c>
      <c r="C34" s="184" t="s">
        <v>523</v>
      </c>
      <c r="D34" s="183">
        <v>2901661582</v>
      </c>
      <c r="E34" s="185">
        <v>1055.93</v>
      </c>
      <c r="F34" s="184" t="s">
        <v>547</v>
      </c>
      <c r="G34" s="184" t="s">
        <v>524</v>
      </c>
      <c r="H34" s="184" t="s">
        <v>525</v>
      </c>
      <c r="J34" s="36" t="s">
        <v>92</v>
      </c>
      <c r="K34" s="37" t="s">
        <v>93</v>
      </c>
      <c r="L34" s="59">
        <v>2435.9299999999998</v>
      </c>
    </row>
    <row r="35" spans="1:12" ht="21" x14ac:dyDescent="0.25">
      <c r="A35" s="183">
        <v>64</v>
      </c>
      <c r="B35" s="184" t="s">
        <v>522</v>
      </c>
      <c r="C35" s="184" t="s">
        <v>523</v>
      </c>
      <c r="D35" s="183">
        <v>2946533183</v>
      </c>
      <c r="E35" s="183">
        <v>2</v>
      </c>
      <c r="F35" s="184" t="s">
        <v>556</v>
      </c>
      <c r="G35" s="184" t="s">
        <v>524</v>
      </c>
      <c r="H35" s="184" t="s">
        <v>525</v>
      </c>
      <c r="J35" s="50" t="s">
        <v>94</v>
      </c>
      <c r="K35" s="51" t="s">
        <v>95</v>
      </c>
      <c r="L35" s="59">
        <v>2.2000000000000455</v>
      </c>
    </row>
    <row r="36" spans="1:12" ht="21" x14ac:dyDescent="0.25">
      <c r="A36" s="180">
        <v>43</v>
      </c>
      <c r="B36" s="181" t="s">
        <v>522</v>
      </c>
      <c r="C36" s="181" t="s">
        <v>523</v>
      </c>
      <c r="D36" s="180">
        <v>2878931011</v>
      </c>
      <c r="E36" s="180">
        <v>312.02</v>
      </c>
      <c r="F36" s="181" t="s">
        <v>587</v>
      </c>
      <c r="G36" s="181" t="s">
        <v>524</v>
      </c>
      <c r="H36" s="181" t="s">
        <v>525</v>
      </c>
      <c r="J36" s="50" t="s">
        <v>96</v>
      </c>
      <c r="K36" s="51" t="s">
        <v>97</v>
      </c>
      <c r="L36" s="59">
        <v>1055.9299999999998</v>
      </c>
    </row>
    <row r="37" spans="1:12" ht="21" x14ac:dyDescent="0.25">
      <c r="A37" s="180">
        <v>19</v>
      </c>
      <c r="B37" s="181" t="s">
        <v>522</v>
      </c>
      <c r="C37" s="181" t="s">
        <v>523</v>
      </c>
      <c r="D37" s="180">
        <v>2695890233</v>
      </c>
      <c r="E37" s="182">
        <v>3413.05</v>
      </c>
      <c r="F37" s="181" t="s">
        <v>532</v>
      </c>
      <c r="G37" s="181" t="s">
        <v>524</v>
      </c>
      <c r="H37" s="181" t="s">
        <v>525</v>
      </c>
      <c r="J37" s="50" t="s">
        <v>99</v>
      </c>
      <c r="K37" s="51" t="s">
        <v>100</v>
      </c>
      <c r="L37" s="59">
        <v>2.0000000000001137</v>
      </c>
    </row>
    <row r="38" spans="1:12" ht="21" x14ac:dyDescent="0.25">
      <c r="A38" s="183">
        <v>58</v>
      </c>
      <c r="B38" s="184" t="s">
        <v>522</v>
      </c>
      <c r="C38" s="184" t="s">
        <v>523</v>
      </c>
      <c r="D38" s="183">
        <v>2919443924</v>
      </c>
      <c r="E38" s="185">
        <v>3249.21</v>
      </c>
      <c r="F38" s="184" t="s">
        <v>552</v>
      </c>
      <c r="G38" s="184" t="s">
        <v>524</v>
      </c>
      <c r="H38" s="184" t="s">
        <v>525</v>
      </c>
      <c r="J38" s="50" t="s">
        <v>101</v>
      </c>
      <c r="K38" s="51" t="s">
        <v>102</v>
      </c>
      <c r="L38" s="59">
        <v>312.02386000000013</v>
      </c>
    </row>
    <row r="39" spans="1:12" ht="21" x14ac:dyDescent="0.25">
      <c r="A39" s="183">
        <v>4</v>
      </c>
      <c r="B39" s="184" t="s">
        <v>522</v>
      </c>
      <c r="C39" s="184" t="s">
        <v>523</v>
      </c>
      <c r="D39" s="183">
        <v>2959119167</v>
      </c>
      <c r="E39" s="183">
        <v>261.8</v>
      </c>
      <c r="F39" s="184" t="s">
        <v>568</v>
      </c>
      <c r="G39" s="184" t="s">
        <v>524</v>
      </c>
      <c r="H39" s="184" t="s">
        <v>525</v>
      </c>
      <c r="J39" s="50" t="s">
        <v>103</v>
      </c>
      <c r="K39" s="51" t="s">
        <v>104</v>
      </c>
      <c r="L39" s="59">
        <v>3413.0525909999997</v>
      </c>
    </row>
    <row r="40" spans="1:12" ht="21" x14ac:dyDescent="0.25">
      <c r="A40" s="180">
        <v>27</v>
      </c>
      <c r="B40" s="181" t="s">
        <v>522</v>
      </c>
      <c r="C40" s="181" t="s">
        <v>523</v>
      </c>
      <c r="D40" s="180">
        <v>2758594368</v>
      </c>
      <c r="E40" s="180">
        <v>2</v>
      </c>
      <c r="F40" s="181" t="s">
        <v>535</v>
      </c>
      <c r="G40" s="181" t="s">
        <v>524</v>
      </c>
      <c r="H40" s="181" t="s">
        <v>525</v>
      </c>
      <c r="J40" s="50" t="s">
        <v>105</v>
      </c>
      <c r="K40" s="51" t="s">
        <v>106</v>
      </c>
      <c r="L40" s="59">
        <v>3249.212</v>
      </c>
    </row>
    <row r="41" spans="1:12" ht="21" x14ac:dyDescent="0.25">
      <c r="A41" s="183">
        <v>18</v>
      </c>
      <c r="B41" s="184" t="s">
        <v>522</v>
      </c>
      <c r="C41" s="184" t="s">
        <v>523</v>
      </c>
      <c r="D41" s="183">
        <v>2650346748</v>
      </c>
      <c r="E41" s="185">
        <v>4198.5</v>
      </c>
      <c r="F41" s="184" t="s">
        <v>531</v>
      </c>
      <c r="G41" s="184" t="s">
        <v>524</v>
      </c>
      <c r="H41" s="184" t="s">
        <v>525</v>
      </c>
      <c r="J41" s="36" t="s">
        <v>516</v>
      </c>
      <c r="K41" s="37" t="s">
        <v>515</v>
      </c>
      <c r="L41" s="59">
        <v>842.17250000000001</v>
      </c>
    </row>
    <row r="42" spans="1:12" ht="21" x14ac:dyDescent="0.25">
      <c r="A42" s="183">
        <v>6</v>
      </c>
      <c r="B42" s="184" t="s">
        <v>522</v>
      </c>
      <c r="C42" s="184" t="s">
        <v>523</v>
      </c>
      <c r="D42" s="183">
        <v>2967093632</v>
      </c>
      <c r="E42" s="183">
        <v>984.89</v>
      </c>
      <c r="F42" s="184" t="s">
        <v>570</v>
      </c>
      <c r="G42" s="184" t="s">
        <v>524</v>
      </c>
      <c r="H42" s="184" t="s">
        <v>525</v>
      </c>
      <c r="J42" s="175" t="s">
        <v>504</v>
      </c>
      <c r="K42" s="174" t="s">
        <v>505</v>
      </c>
      <c r="L42" s="59">
        <v>261.79999999999995</v>
      </c>
    </row>
    <row r="43" spans="1:12" ht="21" x14ac:dyDescent="0.25">
      <c r="A43" s="180">
        <v>57</v>
      </c>
      <c r="B43" s="181" t="s">
        <v>522</v>
      </c>
      <c r="C43" s="181" t="s">
        <v>523</v>
      </c>
      <c r="D43" s="180">
        <v>2918873607</v>
      </c>
      <c r="E43" s="182">
        <v>4078.59</v>
      </c>
      <c r="F43" s="181" t="s">
        <v>551</v>
      </c>
      <c r="G43" s="181" t="s">
        <v>524</v>
      </c>
      <c r="H43" s="181" t="s">
        <v>525</v>
      </c>
      <c r="J43" s="50" t="s">
        <v>107</v>
      </c>
      <c r="K43" s="51" t="s">
        <v>108</v>
      </c>
      <c r="L43" s="59">
        <v>2.0000000000001137</v>
      </c>
    </row>
    <row r="44" spans="1:12" ht="21" x14ac:dyDescent="0.25">
      <c r="A44" s="183">
        <v>70</v>
      </c>
      <c r="B44" s="184" t="s">
        <v>522</v>
      </c>
      <c r="C44" s="184" t="s">
        <v>523</v>
      </c>
      <c r="D44" s="183">
        <v>2954874714</v>
      </c>
      <c r="E44" s="183">
        <v>1.94</v>
      </c>
      <c r="F44" s="184" t="s">
        <v>598</v>
      </c>
      <c r="G44" s="184" t="s">
        <v>524</v>
      </c>
      <c r="H44" s="184" t="s">
        <v>525</v>
      </c>
      <c r="J44" s="50" t="s">
        <v>109</v>
      </c>
      <c r="K44" s="51" t="s">
        <v>110</v>
      </c>
      <c r="L44" s="59">
        <v>4795.4830000000002</v>
      </c>
    </row>
    <row r="45" spans="1:12" ht="21" x14ac:dyDescent="0.25">
      <c r="A45" s="183">
        <v>14</v>
      </c>
      <c r="B45" s="184" t="s">
        <v>522</v>
      </c>
      <c r="C45" s="184" t="s">
        <v>523</v>
      </c>
      <c r="D45" s="183">
        <v>2616789951</v>
      </c>
      <c r="E45" s="183">
        <v>522.6</v>
      </c>
      <c r="F45" s="184" t="s">
        <v>575</v>
      </c>
      <c r="G45" s="184" t="s">
        <v>524</v>
      </c>
      <c r="H45" s="184" t="s">
        <v>525</v>
      </c>
      <c r="J45" s="50" t="s">
        <v>196</v>
      </c>
      <c r="K45" s="51" t="s">
        <v>296</v>
      </c>
      <c r="L45" s="59">
        <v>984.8900000000001</v>
      </c>
    </row>
    <row r="46" spans="1:12" ht="21" x14ac:dyDescent="0.25">
      <c r="A46" s="183">
        <v>10</v>
      </c>
      <c r="B46" s="184" t="s">
        <v>522</v>
      </c>
      <c r="C46" s="184" t="s">
        <v>523</v>
      </c>
      <c r="D46" s="183">
        <v>1438110301</v>
      </c>
      <c r="E46" s="185">
        <v>2380.94</v>
      </c>
      <c r="F46" s="184" t="s">
        <v>527</v>
      </c>
      <c r="G46" s="184" t="s">
        <v>524</v>
      </c>
      <c r="H46" s="184" t="s">
        <v>525</v>
      </c>
      <c r="J46" s="50" t="s">
        <v>111</v>
      </c>
      <c r="K46" s="51" t="s">
        <v>112</v>
      </c>
      <c r="L46" s="59">
        <v>4660.5910000000003</v>
      </c>
    </row>
    <row r="47" spans="1:12" ht="21" x14ac:dyDescent="0.25">
      <c r="A47" s="183">
        <v>20</v>
      </c>
      <c r="B47" s="184" t="s">
        <v>522</v>
      </c>
      <c r="C47" s="184" t="s">
        <v>523</v>
      </c>
      <c r="D47" s="183">
        <v>2695890268</v>
      </c>
      <c r="E47" s="185">
        <v>2905.5</v>
      </c>
      <c r="F47" s="184" t="s">
        <v>577</v>
      </c>
      <c r="G47" s="184" t="s">
        <v>524</v>
      </c>
      <c r="H47" s="184" t="s">
        <v>525</v>
      </c>
      <c r="J47" s="50" t="s">
        <v>113</v>
      </c>
      <c r="K47" s="51" t="s">
        <v>114</v>
      </c>
      <c r="L47" s="59">
        <v>1.9400000000000546</v>
      </c>
    </row>
    <row r="48" spans="1:12" ht="21" x14ac:dyDescent="0.25">
      <c r="A48" s="183">
        <v>44</v>
      </c>
      <c r="B48" s="184" t="s">
        <v>522</v>
      </c>
      <c r="C48" s="184" t="s">
        <v>523</v>
      </c>
      <c r="D48" s="183">
        <v>2880995371</v>
      </c>
      <c r="E48" s="185">
        <v>1637.82</v>
      </c>
      <c r="F48" s="184" t="s">
        <v>588</v>
      </c>
      <c r="G48" s="184" t="s">
        <v>524</v>
      </c>
      <c r="H48" s="184" t="s">
        <v>525</v>
      </c>
      <c r="J48" s="50" t="s">
        <v>115</v>
      </c>
      <c r="K48" s="51" t="s">
        <v>116</v>
      </c>
      <c r="L48" s="59">
        <v>522.6</v>
      </c>
    </row>
    <row r="49" spans="1:12" ht="21" x14ac:dyDescent="0.25">
      <c r="A49" s="180">
        <v>39</v>
      </c>
      <c r="B49" s="181" t="s">
        <v>522</v>
      </c>
      <c r="C49" s="181" t="s">
        <v>523</v>
      </c>
      <c r="D49" s="180">
        <v>2859704213</v>
      </c>
      <c r="E49" s="180">
        <v>2</v>
      </c>
      <c r="F49" s="181" t="s">
        <v>544</v>
      </c>
      <c r="G49" s="181" t="s">
        <v>524</v>
      </c>
      <c r="H49" s="181" t="s">
        <v>525</v>
      </c>
      <c r="J49" s="50" t="s">
        <v>121</v>
      </c>
      <c r="K49" s="51" t="s">
        <v>122</v>
      </c>
      <c r="L49" s="59">
        <v>1637.8175800000004</v>
      </c>
    </row>
    <row r="50" spans="1:12" ht="21" x14ac:dyDescent="0.25">
      <c r="A50" s="180">
        <v>51</v>
      </c>
      <c r="B50" s="181" t="s">
        <v>522</v>
      </c>
      <c r="C50" s="181" t="s">
        <v>523</v>
      </c>
      <c r="D50" s="180">
        <v>2898414041</v>
      </c>
      <c r="E50" s="182">
        <v>3208.03</v>
      </c>
      <c r="F50" s="181" t="s">
        <v>594</v>
      </c>
      <c r="G50" s="181" t="s">
        <v>524</v>
      </c>
      <c r="H50" s="181" t="s">
        <v>525</v>
      </c>
      <c r="J50" s="50" t="s">
        <v>117</v>
      </c>
      <c r="K50" s="51" t="s">
        <v>118</v>
      </c>
      <c r="L50" s="59">
        <v>2380.94</v>
      </c>
    </row>
    <row r="51" spans="1:12" ht="21" x14ac:dyDescent="0.25">
      <c r="A51" s="183">
        <v>40</v>
      </c>
      <c r="B51" s="184" t="s">
        <v>522</v>
      </c>
      <c r="C51" s="184" t="s">
        <v>523</v>
      </c>
      <c r="D51" s="183">
        <v>2864307305</v>
      </c>
      <c r="E51" s="183">
        <v>776.87</v>
      </c>
      <c r="F51" s="184" t="s">
        <v>585</v>
      </c>
      <c r="G51" s="184" t="s">
        <v>524</v>
      </c>
      <c r="H51" s="184" t="s">
        <v>525</v>
      </c>
      <c r="J51" s="50" t="s">
        <v>119</v>
      </c>
      <c r="K51" s="51" t="s">
        <v>120</v>
      </c>
      <c r="L51" s="59">
        <v>3286.9399999999996</v>
      </c>
    </row>
    <row r="52" spans="1:12" ht="21" x14ac:dyDescent="0.25">
      <c r="A52" s="180">
        <v>75</v>
      </c>
      <c r="B52" s="181" t="s">
        <v>522</v>
      </c>
      <c r="C52" s="181" t="s">
        <v>523</v>
      </c>
      <c r="D52" s="180">
        <v>2982289075</v>
      </c>
      <c r="E52" s="182">
        <v>2840.37</v>
      </c>
      <c r="F52" s="181" t="s">
        <v>563</v>
      </c>
      <c r="G52" s="181" t="s">
        <v>524</v>
      </c>
      <c r="H52" s="181" t="s">
        <v>525</v>
      </c>
      <c r="J52" s="50" t="s">
        <v>123</v>
      </c>
      <c r="K52" s="51" t="s">
        <v>124</v>
      </c>
      <c r="L52" s="59">
        <v>2.0000000000001137</v>
      </c>
    </row>
    <row r="53" spans="1:12" ht="21" x14ac:dyDescent="0.25">
      <c r="A53" s="180">
        <v>67</v>
      </c>
      <c r="B53" s="181" t="s">
        <v>522</v>
      </c>
      <c r="C53" s="181" t="s">
        <v>523</v>
      </c>
      <c r="D53" s="180">
        <v>2949222294</v>
      </c>
      <c r="E53" s="182">
        <v>1363.44</v>
      </c>
      <c r="F53" s="181" t="s">
        <v>559</v>
      </c>
      <c r="G53" s="181" t="s">
        <v>524</v>
      </c>
      <c r="H53" s="181" t="s">
        <v>525</v>
      </c>
      <c r="J53" s="50" t="s">
        <v>125</v>
      </c>
      <c r="K53" s="51" t="s">
        <v>126</v>
      </c>
      <c r="L53" s="59">
        <v>3681.1860000000001</v>
      </c>
    </row>
    <row r="54" spans="1:12" ht="21" x14ac:dyDescent="0.25">
      <c r="A54" s="183">
        <v>26</v>
      </c>
      <c r="B54" s="184" t="s">
        <v>522</v>
      </c>
      <c r="C54" s="184" t="s">
        <v>523</v>
      </c>
      <c r="D54" s="183">
        <v>2754185048</v>
      </c>
      <c r="E54" s="185">
        <v>2502.52</v>
      </c>
      <c r="F54" s="184" t="s">
        <v>581</v>
      </c>
      <c r="G54" s="184" t="s">
        <v>524</v>
      </c>
      <c r="H54" s="184" t="s">
        <v>525</v>
      </c>
      <c r="J54" s="50" t="s">
        <v>127</v>
      </c>
      <c r="K54" s="51" t="s">
        <v>128</v>
      </c>
      <c r="L54" s="59">
        <v>776.87000000000035</v>
      </c>
    </row>
    <row r="55" spans="1:12" ht="21" x14ac:dyDescent="0.25">
      <c r="A55" s="183">
        <v>32</v>
      </c>
      <c r="B55" s="184" t="s">
        <v>522</v>
      </c>
      <c r="C55" s="184" t="s">
        <v>523</v>
      </c>
      <c r="D55" s="183">
        <v>2837284802</v>
      </c>
      <c r="E55" s="183">
        <v>822.8</v>
      </c>
      <c r="F55" s="184" t="s">
        <v>540</v>
      </c>
      <c r="G55" s="184" t="s">
        <v>524</v>
      </c>
      <c r="H55" s="184" t="s">
        <v>525</v>
      </c>
      <c r="J55" s="50" t="s">
        <v>129</v>
      </c>
      <c r="K55" s="51" t="s">
        <v>130</v>
      </c>
      <c r="L55" s="59">
        <v>2840.3739999999998</v>
      </c>
    </row>
    <row r="56" spans="1:12" ht="21" x14ac:dyDescent="0.25">
      <c r="A56" s="183">
        <v>8</v>
      </c>
      <c r="B56" s="184" t="s">
        <v>522</v>
      </c>
      <c r="C56" s="184" t="s">
        <v>523</v>
      </c>
      <c r="D56" s="183">
        <v>2995318777</v>
      </c>
      <c r="E56" s="183">
        <v>297.95999999999998</v>
      </c>
      <c r="F56" s="184" t="s">
        <v>572</v>
      </c>
      <c r="G56" s="184" t="s">
        <v>524</v>
      </c>
      <c r="H56" s="184" t="s">
        <v>525</v>
      </c>
      <c r="J56" s="50" t="s">
        <v>131</v>
      </c>
      <c r="K56" s="51" t="s">
        <v>132</v>
      </c>
      <c r="L56" s="59">
        <v>1363.4407299999996</v>
      </c>
    </row>
    <row r="57" spans="1:12" ht="21" x14ac:dyDescent="0.25">
      <c r="A57" s="183">
        <v>34</v>
      </c>
      <c r="B57" s="184" t="s">
        <v>522</v>
      </c>
      <c r="C57" s="184" t="s">
        <v>523</v>
      </c>
      <c r="D57" s="183">
        <v>2837656955</v>
      </c>
      <c r="E57" s="183">
        <v>377.68</v>
      </c>
      <c r="F57" s="184" t="s">
        <v>541</v>
      </c>
      <c r="G57" s="184" t="s">
        <v>524</v>
      </c>
      <c r="H57" s="184" t="s">
        <v>525</v>
      </c>
      <c r="J57" s="50" t="s">
        <v>133</v>
      </c>
      <c r="K57" s="51" t="s">
        <v>134</v>
      </c>
      <c r="L57" s="59">
        <v>2502.5177389999999</v>
      </c>
    </row>
    <row r="58" spans="1:12" ht="21" x14ac:dyDescent="0.25">
      <c r="A58" s="183">
        <v>66</v>
      </c>
      <c r="B58" s="184" t="s">
        <v>522</v>
      </c>
      <c r="C58" s="184" t="s">
        <v>523</v>
      </c>
      <c r="D58" s="183">
        <v>2947520190</v>
      </c>
      <c r="E58" s="183">
        <v>822.6</v>
      </c>
      <c r="F58" s="184" t="s">
        <v>558</v>
      </c>
      <c r="G58" s="184" t="s">
        <v>524</v>
      </c>
      <c r="H58" s="184" t="s">
        <v>525</v>
      </c>
      <c r="J58" s="50" t="s">
        <v>135</v>
      </c>
      <c r="K58" s="51" t="s">
        <v>136</v>
      </c>
      <c r="L58" s="59">
        <v>822.8</v>
      </c>
    </row>
    <row r="59" spans="1:12" ht="21" x14ac:dyDescent="0.25">
      <c r="A59" s="180">
        <v>3</v>
      </c>
      <c r="B59" s="181" t="s">
        <v>522</v>
      </c>
      <c r="C59" s="181" t="s">
        <v>523</v>
      </c>
      <c r="D59" s="180">
        <v>2958967016</v>
      </c>
      <c r="E59" s="180">
        <v>99.48</v>
      </c>
      <c r="F59" s="181" t="s">
        <v>567</v>
      </c>
      <c r="G59" s="181" t="s">
        <v>524</v>
      </c>
      <c r="H59" s="181" t="s">
        <v>525</v>
      </c>
      <c r="J59" s="21" t="s">
        <v>199</v>
      </c>
      <c r="K59" s="21" t="s">
        <v>309</v>
      </c>
      <c r="L59" s="59">
        <v>297.96000000000004</v>
      </c>
    </row>
    <row r="60" spans="1:12" ht="21" x14ac:dyDescent="0.25">
      <c r="A60" s="180">
        <v>13</v>
      </c>
      <c r="B60" s="181" t="s">
        <v>522</v>
      </c>
      <c r="C60" s="181" t="s">
        <v>523</v>
      </c>
      <c r="D60" s="180">
        <v>1490675652</v>
      </c>
      <c r="E60" s="182">
        <v>1290.75</v>
      </c>
      <c r="F60" s="181" t="s">
        <v>574</v>
      </c>
      <c r="G60" s="181" t="s">
        <v>524</v>
      </c>
      <c r="H60" s="181" t="s">
        <v>525</v>
      </c>
      <c r="J60" s="50" t="s">
        <v>137</v>
      </c>
      <c r="K60" s="51" t="s">
        <v>138</v>
      </c>
      <c r="L60" s="59">
        <v>377.67736000000019</v>
      </c>
    </row>
    <row r="61" spans="1:12" ht="21" x14ac:dyDescent="0.25">
      <c r="A61" s="180">
        <v>45</v>
      </c>
      <c r="B61" s="181" t="s">
        <v>522</v>
      </c>
      <c r="C61" s="181" t="s">
        <v>523</v>
      </c>
      <c r="D61" s="180">
        <v>2889511164</v>
      </c>
      <c r="E61" s="180">
        <v>588.86</v>
      </c>
      <c r="F61" s="181" t="s">
        <v>589</v>
      </c>
      <c r="G61" s="181" t="s">
        <v>524</v>
      </c>
      <c r="H61" s="181" t="s">
        <v>525</v>
      </c>
      <c r="J61" s="50" t="s">
        <v>139</v>
      </c>
      <c r="K61" s="51" t="s">
        <v>140</v>
      </c>
      <c r="L61" s="59">
        <v>822.6</v>
      </c>
    </row>
    <row r="62" spans="1:12" ht="21" x14ac:dyDescent="0.25">
      <c r="A62" s="180">
        <v>7</v>
      </c>
      <c r="B62" s="181" t="s">
        <v>522</v>
      </c>
      <c r="C62" s="181" t="s">
        <v>523</v>
      </c>
      <c r="D62" s="180">
        <v>2969627642</v>
      </c>
      <c r="E62" s="180">
        <v>522.6</v>
      </c>
      <c r="F62" s="181" t="s">
        <v>571</v>
      </c>
      <c r="G62" s="181" t="s">
        <v>524</v>
      </c>
      <c r="H62" s="181" t="s">
        <v>525</v>
      </c>
      <c r="J62" s="175" t="s">
        <v>509</v>
      </c>
      <c r="K62" s="174" t="s">
        <v>510</v>
      </c>
      <c r="L62" s="59">
        <v>99.481999999999971</v>
      </c>
    </row>
    <row r="63" spans="1:12" ht="21" x14ac:dyDescent="0.25">
      <c r="A63" s="180">
        <v>63</v>
      </c>
      <c r="B63" s="181" t="s">
        <v>522</v>
      </c>
      <c r="C63" s="181" t="s">
        <v>523</v>
      </c>
      <c r="D63" s="180">
        <v>2940159670</v>
      </c>
      <c r="E63" s="180">
        <v>718.3</v>
      </c>
      <c r="F63" s="181" t="s">
        <v>555</v>
      </c>
      <c r="G63" s="181" t="s">
        <v>524</v>
      </c>
      <c r="H63" s="181" t="s">
        <v>525</v>
      </c>
      <c r="J63" s="50" t="s">
        <v>141</v>
      </c>
      <c r="K63" s="51" t="s">
        <v>142</v>
      </c>
      <c r="L63" s="59">
        <v>1290.7500000000005</v>
      </c>
    </row>
    <row r="64" spans="1:12" ht="21" x14ac:dyDescent="0.25">
      <c r="A64" s="180">
        <v>33</v>
      </c>
      <c r="B64" s="181" t="s">
        <v>522</v>
      </c>
      <c r="C64" s="181" t="s">
        <v>523</v>
      </c>
      <c r="D64" s="180">
        <v>2837433751</v>
      </c>
      <c r="E64" s="182">
        <v>1141.71</v>
      </c>
      <c r="F64" s="181" t="s">
        <v>582</v>
      </c>
      <c r="G64" s="181" t="s">
        <v>524</v>
      </c>
      <c r="H64" s="181" t="s">
        <v>525</v>
      </c>
      <c r="J64" s="50" t="s">
        <v>143</v>
      </c>
      <c r="K64" s="51" t="s">
        <v>144</v>
      </c>
      <c r="L64" s="59">
        <v>588.86</v>
      </c>
    </row>
    <row r="65" spans="1:12" ht="21" x14ac:dyDescent="0.25">
      <c r="A65" s="183">
        <v>30</v>
      </c>
      <c r="B65" s="184" t="s">
        <v>522</v>
      </c>
      <c r="C65" s="184" t="s">
        <v>523</v>
      </c>
      <c r="D65" s="183">
        <v>2765753341</v>
      </c>
      <c r="E65" s="183">
        <v>934.25</v>
      </c>
      <c r="F65" s="184" t="s">
        <v>538</v>
      </c>
      <c r="G65" s="184" t="s">
        <v>524</v>
      </c>
      <c r="H65" s="184" t="s">
        <v>525</v>
      </c>
      <c r="J65" s="50" t="s">
        <v>188</v>
      </c>
      <c r="K65" s="51" t="s">
        <v>314</v>
      </c>
      <c r="L65" s="59">
        <v>522.6</v>
      </c>
    </row>
    <row r="66" spans="1:12" ht="21" x14ac:dyDescent="0.25">
      <c r="A66" s="183">
        <v>78</v>
      </c>
      <c r="B66" s="184" t="s">
        <v>522</v>
      </c>
      <c r="C66" s="184" t="s">
        <v>523</v>
      </c>
      <c r="D66" s="183">
        <v>2996093906</v>
      </c>
      <c r="E66" s="185">
        <v>2407.5500000000002</v>
      </c>
      <c r="F66" s="184" t="s">
        <v>603</v>
      </c>
      <c r="G66" s="184" t="s">
        <v>524</v>
      </c>
      <c r="H66" s="184" t="s">
        <v>525</v>
      </c>
      <c r="J66" s="50" t="s">
        <v>146</v>
      </c>
      <c r="K66" s="51" t="s">
        <v>147</v>
      </c>
      <c r="L66" s="59">
        <v>3037.3100000000004</v>
      </c>
    </row>
    <row r="67" spans="1:12" ht="21" x14ac:dyDescent="0.25">
      <c r="A67" s="183">
        <v>60</v>
      </c>
      <c r="B67" s="184" t="s">
        <v>522</v>
      </c>
      <c r="C67" s="184" t="s">
        <v>523</v>
      </c>
      <c r="D67" s="183">
        <v>2932879395</v>
      </c>
      <c r="E67" s="183">
        <v>467.15</v>
      </c>
      <c r="F67" s="184" t="s">
        <v>553</v>
      </c>
      <c r="G67" s="184" t="s">
        <v>524</v>
      </c>
      <c r="H67" s="184" t="s">
        <v>525</v>
      </c>
      <c r="J67" s="50" t="s">
        <v>148</v>
      </c>
      <c r="K67" s="51" t="s">
        <v>149</v>
      </c>
      <c r="L67" s="59">
        <v>718.30000000000007</v>
      </c>
    </row>
    <row r="68" spans="1:12" ht="21" x14ac:dyDescent="0.25">
      <c r="A68" s="180">
        <v>5</v>
      </c>
      <c r="B68" s="181" t="s">
        <v>522</v>
      </c>
      <c r="C68" s="181" t="s">
        <v>523</v>
      </c>
      <c r="D68" s="180">
        <v>2959934200</v>
      </c>
      <c r="E68" s="180">
        <v>822.6</v>
      </c>
      <c r="F68" s="181" t="s">
        <v>569</v>
      </c>
      <c r="G68" s="181" t="s">
        <v>524</v>
      </c>
      <c r="H68" s="181" t="s">
        <v>525</v>
      </c>
      <c r="J68" s="50" t="s">
        <v>150</v>
      </c>
      <c r="K68" s="51" t="s">
        <v>151</v>
      </c>
      <c r="L68" s="59">
        <v>1141.7129</v>
      </c>
    </row>
    <row r="69" spans="1:12" ht="21" x14ac:dyDescent="0.25">
      <c r="A69" s="183">
        <v>56</v>
      </c>
      <c r="B69" s="184" t="s">
        <v>522</v>
      </c>
      <c r="C69" s="184" t="s">
        <v>523</v>
      </c>
      <c r="D69" s="183">
        <v>2915613213</v>
      </c>
      <c r="E69" s="185">
        <v>1883.98</v>
      </c>
      <c r="F69" s="184" t="s">
        <v>595</v>
      </c>
      <c r="G69" s="184" t="s">
        <v>524</v>
      </c>
      <c r="H69" s="184" t="s">
        <v>525</v>
      </c>
      <c r="J69" s="50" t="s">
        <v>152</v>
      </c>
      <c r="K69" s="51" t="s">
        <v>153</v>
      </c>
      <c r="L69" s="59">
        <v>934.25036100000045</v>
      </c>
    </row>
    <row r="70" spans="1:12" ht="21" x14ac:dyDescent="0.25">
      <c r="A70" s="183">
        <v>48</v>
      </c>
      <c r="B70" s="184" t="s">
        <v>522</v>
      </c>
      <c r="C70" s="184" t="s">
        <v>523</v>
      </c>
      <c r="D70" s="183">
        <v>2894220501</v>
      </c>
      <c r="E70" s="185">
        <v>2562.5300000000002</v>
      </c>
      <c r="F70" s="184" t="s">
        <v>592</v>
      </c>
      <c r="G70" s="184" t="s">
        <v>524</v>
      </c>
      <c r="H70" s="184" t="s">
        <v>525</v>
      </c>
      <c r="J70" s="50" t="s">
        <v>317</v>
      </c>
      <c r="K70" s="51" t="s">
        <v>154</v>
      </c>
      <c r="L70" s="59">
        <v>2407.5540000000001</v>
      </c>
    </row>
    <row r="71" spans="1:12" ht="21" x14ac:dyDescent="0.25">
      <c r="A71" s="183">
        <v>62</v>
      </c>
      <c r="B71" s="184" t="s">
        <v>522</v>
      </c>
      <c r="C71" s="184" t="s">
        <v>523</v>
      </c>
      <c r="D71" s="183">
        <v>2939162100</v>
      </c>
      <c r="E71" s="185">
        <v>3121.22</v>
      </c>
      <c r="F71" s="184" t="s">
        <v>554</v>
      </c>
      <c r="G71" s="184" t="s">
        <v>524</v>
      </c>
      <c r="H71" s="184" t="s">
        <v>525</v>
      </c>
      <c r="J71" s="50" t="s">
        <v>155</v>
      </c>
      <c r="K71" s="51" t="s">
        <v>156</v>
      </c>
      <c r="L71" s="59">
        <v>467.14999999999986</v>
      </c>
    </row>
    <row r="72" spans="1:12" ht="21" x14ac:dyDescent="0.25">
      <c r="A72" s="183">
        <v>68</v>
      </c>
      <c r="B72" s="184" t="s">
        <v>522</v>
      </c>
      <c r="C72" s="184" t="s">
        <v>523</v>
      </c>
      <c r="D72" s="183">
        <v>2950612421</v>
      </c>
      <c r="E72" s="185">
        <v>9870.43</v>
      </c>
      <c r="F72" s="184" t="s">
        <v>560</v>
      </c>
      <c r="G72" s="184" t="s">
        <v>524</v>
      </c>
      <c r="H72" s="184" t="s">
        <v>525</v>
      </c>
      <c r="J72" s="175" t="s">
        <v>511</v>
      </c>
      <c r="K72" s="174" t="s">
        <v>512</v>
      </c>
      <c r="L72" s="59">
        <v>822.6</v>
      </c>
    </row>
    <row r="73" spans="1:12" ht="21" x14ac:dyDescent="0.25">
      <c r="A73" s="180">
        <v>11</v>
      </c>
      <c r="B73" s="181" t="s">
        <v>522</v>
      </c>
      <c r="C73" s="181" t="s">
        <v>523</v>
      </c>
      <c r="D73" s="180">
        <v>1444665376</v>
      </c>
      <c r="E73" s="182">
        <v>2089.27</v>
      </c>
      <c r="F73" s="181" t="s">
        <v>528</v>
      </c>
      <c r="G73" s="181" t="s">
        <v>524</v>
      </c>
      <c r="H73" s="181" t="s">
        <v>525</v>
      </c>
      <c r="J73" s="50" t="s">
        <v>157</v>
      </c>
      <c r="K73" s="51" t="s">
        <v>158</v>
      </c>
      <c r="L73" s="59">
        <v>1883.98</v>
      </c>
    </row>
    <row r="74" spans="1:12" ht="21" x14ac:dyDescent="0.25">
      <c r="A74" s="180">
        <v>21</v>
      </c>
      <c r="B74" s="181" t="s">
        <v>522</v>
      </c>
      <c r="C74" s="181" t="s">
        <v>523</v>
      </c>
      <c r="D74" s="180">
        <v>2695890284</v>
      </c>
      <c r="E74" s="182">
        <v>2488.34</v>
      </c>
      <c r="F74" s="181" t="s">
        <v>578</v>
      </c>
      <c r="G74" s="181" t="s">
        <v>524</v>
      </c>
      <c r="H74" s="181" t="s">
        <v>525</v>
      </c>
      <c r="J74" s="50" t="s">
        <v>159</v>
      </c>
      <c r="K74" s="51" t="s">
        <v>160</v>
      </c>
      <c r="L74" s="59">
        <v>2562.527</v>
      </c>
    </row>
    <row r="75" spans="1:12" ht="21" x14ac:dyDescent="0.25">
      <c r="A75" s="180">
        <v>31</v>
      </c>
      <c r="B75" s="181" t="s">
        <v>522</v>
      </c>
      <c r="C75" s="181" t="s">
        <v>523</v>
      </c>
      <c r="D75" s="180">
        <v>2836087213</v>
      </c>
      <c r="E75" s="180">
        <v>522.6</v>
      </c>
      <c r="F75" s="181" t="s">
        <v>539</v>
      </c>
      <c r="G75" s="181" t="s">
        <v>524</v>
      </c>
      <c r="H75" s="181" t="s">
        <v>525</v>
      </c>
      <c r="J75" s="50" t="s">
        <v>161</v>
      </c>
      <c r="K75" s="51" t="s">
        <v>162</v>
      </c>
      <c r="L75" s="59">
        <v>3121.22</v>
      </c>
    </row>
    <row r="76" spans="1:12" ht="21" x14ac:dyDescent="0.25">
      <c r="A76" s="183">
        <v>74</v>
      </c>
      <c r="B76" s="184" t="s">
        <v>522</v>
      </c>
      <c r="C76" s="184" t="s">
        <v>523</v>
      </c>
      <c r="D76" s="183">
        <v>2981335863</v>
      </c>
      <c r="E76" s="183">
        <v>589.26</v>
      </c>
      <c r="F76" s="184" t="s">
        <v>562</v>
      </c>
      <c r="G76" s="184" t="s">
        <v>524</v>
      </c>
      <c r="H76" s="184" t="s">
        <v>525</v>
      </c>
      <c r="J76" s="50" t="s">
        <v>163</v>
      </c>
      <c r="K76" s="51" t="s">
        <v>164</v>
      </c>
      <c r="L76" s="59">
        <v>11237.508</v>
      </c>
    </row>
    <row r="77" spans="1:12" ht="21" x14ac:dyDescent="0.25">
      <c r="A77" s="180">
        <v>69</v>
      </c>
      <c r="B77" s="181" t="s">
        <v>522</v>
      </c>
      <c r="C77" s="181" t="s">
        <v>523</v>
      </c>
      <c r="D77" s="180">
        <v>2951732641</v>
      </c>
      <c r="E77" s="182">
        <v>2901.13</v>
      </c>
      <c r="F77" s="181" t="s">
        <v>561</v>
      </c>
      <c r="G77" s="181" t="s">
        <v>524</v>
      </c>
      <c r="H77" s="181" t="s">
        <v>525</v>
      </c>
      <c r="J77" s="50" t="s">
        <v>165</v>
      </c>
      <c r="K77" s="51" t="s">
        <v>166</v>
      </c>
      <c r="L77" s="59">
        <v>2089.27</v>
      </c>
    </row>
    <row r="78" spans="1:12" ht="21" x14ac:dyDescent="0.25">
      <c r="A78" s="180">
        <v>37</v>
      </c>
      <c r="B78" s="181" t="s">
        <v>522</v>
      </c>
      <c r="C78" s="181" t="s">
        <v>523</v>
      </c>
      <c r="D78" s="180">
        <v>2851650165</v>
      </c>
      <c r="E78" s="182">
        <v>3579.38</v>
      </c>
      <c r="F78" s="181" t="s">
        <v>543</v>
      </c>
      <c r="G78" s="181" t="s">
        <v>524</v>
      </c>
      <c r="H78" s="181" t="s">
        <v>525</v>
      </c>
      <c r="J78" s="50" t="s">
        <v>167</v>
      </c>
      <c r="K78" s="51" t="s">
        <v>168</v>
      </c>
      <c r="L78" s="59">
        <v>2488.3428899999999</v>
      </c>
    </row>
    <row r="79" spans="1:12" ht="15.75" x14ac:dyDescent="0.25">
      <c r="A79" s="186"/>
      <c r="J79" s="50" t="s">
        <v>169</v>
      </c>
      <c r="K79" s="51" t="s">
        <v>170</v>
      </c>
      <c r="L79" s="59">
        <v>522.6</v>
      </c>
    </row>
    <row r="80" spans="1:12" x14ac:dyDescent="0.25">
      <c r="A80" s="178"/>
      <c r="B80" s="178"/>
      <c r="J80" s="50" t="s">
        <v>171</v>
      </c>
      <c r="K80" s="51" t="s">
        <v>172</v>
      </c>
      <c r="L80" s="59">
        <v>589.2600000000001</v>
      </c>
    </row>
    <row r="81" spans="10:12" x14ac:dyDescent="0.25">
      <c r="J81" s="50" t="s">
        <v>173</v>
      </c>
      <c r="K81" s="51" t="s">
        <v>174</v>
      </c>
      <c r="L81" s="59">
        <v>2901.1259999999997</v>
      </c>
    </row>
    <row r="82" spans="10:12" x14ac:dyDescent="0.25">
      <c r="J82" s="50" t="s">
        <v>175</v>
      </c>
      <c r="K82" s="51" t="s">
        <v>176</v>
      </c>
      <c r="L82" s="59">
        <v>4161.482</v>
      </c>
    </row>
    <row r="87" spans="10:12" x14ac:dyDescent="0.25">
      <c r="J87" s="68" t="s">
        <v>14</v>
      </c>
      <c r="K87" s="69" t="s">
        <v>47</v>
      </c>
      <c r="L87" s="59">
        <v>1575.93</v>
      </c>
    </row>
  </sheetData>
  <sortState ref="A1:H80">
    <sortCondition ref="F1:F80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H21" sqref="H21"/>
    </sheetView>
  </sheetViews>
  <sheetFormatPr baseColWidth="10" defaultRowHeight="15" x14ac:dyDescent="0.25"/>
  <cols>
    <col min="4" max="4" width="9.5703125" bestFit="1" customWidth="1"/>
  </cols>
  <sheetData>
    <row r="1" spans="1:7" x14ac:dyDescent="0.25">
      <c r="A1">
        <v>1</v>
      </c>
      <c r="B1">
        <v>992838464278</v>
      </c>
      <c r="C1">
        <v>0</v>
      </c>
      <c r="D1">
        <v>736.5</v>
      </c>
      <c r="E1" s="40" t="s">
        <v>46</v>
      </c>
      <c r="G1">
        <v>1001</v>
      </c>
    </row>
    <row r="2" spans="1:7" x14ac:dyDescent="0.25">
      <c r="A2">
        <v>2</v>
      </c>
      <c r="B2">
        <v>992765753341</v>
      </c>
      <c r="C2">
        <v>0</v>
      </c>
      <c r="D2">
        <v>577.4</v>
      </c>
      <c r="E2" s="40" t="s">
        <v>153</v>
      </c>
      <c r="G2">
        <v>1001</v>
      </c>
    </row>
    <row r="3" spans="1:7" x14ac:dyDescent="0.25">
      <c r="A3">
        <v>3</v>
      </c>
      <c r="B3">
        <v>992695890268</v>
      </c>
      <c r="C3">
        <v>0</v>
      </c>
      <c r="D3">
        <v>3821.15</v>
      </c>
      <c r="E3" s="40" t="s">
        <v>120</v>
      </c>
      <c r="G3">
        <v>1001</v>
      </c>
    </row>
    <row r="4" spans="1:7" x14ac:dyDescent="0.25">
      <c r="A4">
        <v>4</v>
      </c>
      <c r="B4">
        <v>992971587803</v>
      </c>
      <c r="C4">
        <v>0</v>
      </c>
      <c r="D4">
        <v>2491.66</v>
      </c>
      <c r="E4" s="40" t="s">
        <v>52</v>
      </c>
      <c r="G4">
        <v>1001</v>
      </c>
    </row>
    <row r="5" spans="1:7" x14ac:dyDescent="0.25">
      <c r="D5" s="237">
        <f>SUM(D1:D4)</f>
        <v>7626.71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9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J21" sqref="J21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9.5703125" style="1" customWidth="1"/>
    <col min="4" max="4" width="9.28515625" style="1" customWidth="1"/>
    <col min="5" max="5" width="14.42578125" style="1" customWidth="1"/>
    <col min="6" max="6" width="10.85546875" style="1" customWidth="1"/>
    <col min="7" max="7" width="9.5703125" style="1" customWidth="1"/>
    <col min="8" max="8" width="9.5703125" style="227" customWidth="1"/>
    <col min="9" max="9" width="9.7109375" style="1" customWidth="1"/>
    <col min="10" max="10" width="10.28515625" style="1" customWidth="1"/>
    <col min="11" max="11" width="13" style="1" customWidth="1"/>
    <col min="12" max="12" width="14.28515625" style="1" customWidth="1"/>
    <col min="13" max="14" width="11.42578125" style="1"/>
    <col min="15" max="15" width="26.5703125" style="1" bestFit="1" customWidth="1"/>
    <col min="16" max="18" width="11.42578125" style="312"/>
    <col min="19" max="16384" width="11.42578125" style="1"/>
  </cols>
  <sheetData>
    <row r="1" spans="1:18" ht="18" customHeight="1" x14ac:dyDescent="0.25">
      <c r="A1" s="3" t="s">
        <v>0</v>
      </c>
      <c r="B1" s="333" t="s">
        <v>18</v>
      </c>
      <c r="C1" s="332"/>
    </row>
    <row r="2" spans="1:18" ht="24.95" customHeight="1" x14ac:dyDescent="0.2">
      <c r="A2" s="4" t="s">
        <v>1</v>
      </c>
      <c r="B2" s="329" t="s">
        <v>328</v>
      </c>
      <c r="C2" s="330"/>
      <c r="D2" s="330"/>
      <c r="E2" s="330"/>
      <c r="F2" s="330"/>
    </row>
    <row r="3" spans="1:18" ht="15.75" x14ac:dyDescent="0.25">
      <c r="B3" s="331" t="s">
        <v>2</v>
      </c>
      <c r="C3" s="332"/>
      <c r="D3" s="332"/>
      <c r="E3" s="332"/>
      <c r="F3" s="332"/>
    </row>
    <row r="4" spans="1:18" ht="15" x14ac:dyDescent="0.25">
      <c r="B4" s="334" t="str">
        <f>+FACTURACIÓN!B4</f>
        <v>Periodo 9 al 9 Semanal del 24/02/2016 al 01/03/2016</v>
      </c>
      <c r="C4" s="332"/>
      <c r="D4" s="332"/>
      <c r="E4" s="332"/>
      <c r="F4" s="332"/>
      <c r="G4" s="332"/>
      <c r="H4" s="236"/>
    </row>
    <row r="5" spans="1:18" ht="15" x14ac:dyDescent="0.25">
      <c r="B5" s="42" t="s">
        <v>329</v>
      </c>
      <c r="C5" s="40"/>
      <c r="D5" s="40"/>
      <c r="E5" s="40"/>
      <c r="F5" s="40"/>
      <c r="J5" s="229"/>
    </row>
    <row r="6" spans="1:18" ht="15" x14ac:dyDescent="0.25">
      <c r="B6" s="42" t="s">
        <v>4</v>
      </c>
      <c r="C6" s="40"/>
      <c r="D6" s="40"/>
      <c r="E6" s="40"/>
      <c r="F6" s="40"/>
      <c r="J6" s="255"/>
      <c r="K6" s="229"/>
    </row>
    <row r="7" spans="1:18" x14ac:dyDescent="0.2">
      <c r="B7" s="41"/>
      <c r="C7" s="41"/>
      <c r="D7" s="41"/>
      <c r="E7" s="41"/>
      <c r="F7" s="41"/>
    </row>
    <row r="8" spans="1:18" s="47" customFormat="1" ht="23.25" thickBot="1" x14ac:dyDescent="0.3">
      <c r="A8" s="45" t="s">
        <v>5</v>
      </c>
      <c r="B8" s="14" t="s">
        <v>6</v>
      </c>
      <c r="C8" s="14" t="s">
        <v>7</v>
      </c>
      <c r="D8" s="14" t="s">
        <v>330</v>
      </c>
      <c r="E8" s="13" t="s">
        <v>8</v>
      </c>
      <c r="F8" s="14" t="s">
        <v>9</v>
      </c>
      <c r="G8" s="14" t="s">
        <v>331</v>
      </c>
      <c r="H8" s="14" t="s">
        <v>771</v>
      </c>
      <c r="I8" s="14" t="s">
        <v>10</v>
      </c>
      <c r="J8" s="14" t="s">
        <v>332</v>
      </c>
      <c r="K8" s="13" t="s">
        <v>11</v>
      </c>
      <c r="L8" s="46" t="s">
        <v>12</v>
      </c>
      <c r="P8" s="313"/>
      <c r="Q8" s="313"/>
      <c r="R8" s="313"/>
    </row>
    <row r="9" spans="1:18" s="51" customFormat="1" ht="12" thickTop="1" x14ac:dyDescent="0.2">
      <c r="A9" s="223" t="s">
        <v>13</v>
      </c>
      <c r="P9" s="314"/>
      <c r="Q9" s="314"/>
      <c r="R9" s="314"/>
    </row>
    <row r="10" spans="1:18" s="51" customFormat="1" x14ac:dyDescent="0.2">
      <c r="A10" s="50" t="s">
        <v>34</v>
      </c>
      <c r="B10" s="51" t="s">
        <v>35</v>
      </c>
      <c r="C10" s="54">
        <v>438.24</v>
      </c>
      <c r="D10" s="54">
        <v>73.040000000000006</v>
      </c>
      <c r="E10" s="54">
        <f>SUM(C10:D10)</f>
        <v>511.28000000000003</v>
      </c>
      <c r="F10" s="164">
        <v>-66.069999999999993</v>
      </c>
      <c r="G10" s="54">
        <v>0</v>
      </c>
      <c r="H10" s="54">
        <f>+FACTURACIÓN!R9</f>
        <v>0</v>
      </c>
      <c r="I10" s="164">
        <v>-0.05</v>
      </c>
      <c r="J10" s="54">
        <f>+FACTURACIÓN!S9</f>
        <v>0</v>
      </c>
      <c r="K10" s="54">
        <f>SUM(F10:J10)</f>
        <v>-66.11999999999999</v>
      </c>
      <c r="L10" s="54">
        <f>+E10-K10</f>
        <v>577.4</v>
      </c>
      <c r="M10" s="51" t="str">
        <f t="shared" ref="M10:M73" si="0">IF(B10=O10,"SI","NO")</f>
        <v>SI</v>
      </c>
      <c r="N10" s="20" t="s">
        <v>34</v>
      </c>
      <c r="O10" s="21" t="s">
        <v>35</v>
      </c>
      <c r="P10" s="315"/>
      <c r="Q10" s="316"/>
      <c r="R10" s="314"/>
    </row>
    <row r="11" spans="1:18" s="51" customFormat="1" x14ac:dyDescent="0.2">
      <c r="A11" s="50" t="s">
        <v>36</v>
      </c>
      <c r="B11" s="51" t="s">
        <v>37</v>
      </c>
      <c r="C11" s="54">
        <v>438.24</v>
      </c>
      <c r="D11" s="54">
        <v>73.040000000000006</v>
      </c>
      <c r="E11" s="54">
        <f t="shared" ref="E11:E72" si="1">SUM(C11:D11)</f>
        <v>511.28000000000003</v>
      </c>
      <c r="F11" s="164">
        <v>-66.069999999999993</v>
      </c>
      <c r="G11" s="54">
        <v>0</v>
      </c>
      <c r="H11" s="54">
        <f>+FACTURACIÓN!R10</f>
        <v>0</v>
      </c>
      <c r="I11" s="164">
        <v>-0.05</v>
      </c>
      <c r="J11" s="54">
        <f>+FACTURACIÓN!S10</f>
        <v>0</v>
      </c>
      <c r="K11" s="54">
        <f t="shared" ref="K11:K72" si="2">SUM(F11:J11)</f>
        <v>-66.11999999999999</v>
      </c>
      <c r="L11" s="54">
        <f t="shared" ref="L11:L72" si="3">+E11-K11</f>
        <v>577.4</v>
      </c>
      <c r="M11" s="51" t="str">
        <f t="shared" si="0"/>
        <v>SI</v>
      </c>
      <c r="N11" s="20" t="s">
        <v>36</v>
      </c>
      <c r="O11" s="21" t="s">
        <v>37</v>
      </c>
      <c r="P11" s="315"/>
      <c r="Q11" s="316"/>
      <c r="R11" s="314"/>
    </row>
    <row r="12" spans="1:18" s="51" customFormat="1" x14ac:dyDescent="0.2">
      <c r="A12" s="50" t="s">
        <v>38</v>
      </c>
      <c r="B12" s="51" t="s">
        <v>39</v>
      </c>
      <c r="C12" s="54">
        <v>438.24</v>
      </c>
      <c r="D12" s="54">
        <v>73.040000000000006</v>
      </c>
      <c r="E12" s="54">
        <f t="shared" si="1"/>
        <v>511.28000000000003</v>
      </c>
      <c r="F12" s="164">
        <v>-66.069999999999993</v>
      </c>
      <c r="G12" s="54">
        <v>0</v>
      </c>
      <c r="H12" s="54">
        <f>+FACTURACIÓN!R11</f>
        <v>0</v>
      </c>
      <c r="I12" s="164">
        <v>-0.05</v>
      </c>
      <c r="J12" s="54">
        <f>+FACTURACIÓN!S11</f>
        <v>0</v>
      </c>
      <c r="K12" s="54">
        <f t="shared" si="2"/>
        <v>-66.11999999999999</v>
      </c>
      <c r="L12" s="54">
        <f t="shared" si="3"/>
        <v>577.4</v>
      </c>
      <c r="M12" s="51" t="str">
        <f t="shared" si="0"/>
        <v>SI</v>
      </c>
      <c r="N12" s="20" t="s">
        <v>38</v>
      </c>
      <c r="O12" s="21" t="s">
        <v>39</v>
      </c>
      <c r="P12" s="315"/>
      <c r="Q12" s="316"/>
      <c r="R12" s="314"/>
    </row>
    <row r="13" spans="1:18" s="51" customFormat="1" x14ac:dyDescent="0.2">
      <c r="A13" s="50" t="s">
        <v>289</v>
      </c>
      <c r="B13" s="51" t="s">
        <v>178</v>
      </c>
      <c r="C13" s="54">
        <v>438.24</v>
      </c>
      <c r="D13" s="54">
        <v>73.040000000000006</v>
      </c>
      <c r="E13" s="54">
        <f t="shared" si="1"/>
        <v>511.28000000000003</v>
      </c>
      <c r="F13" s="164">
        <v>-66.069999999999993</v>
      </c>
      <c r="G13" s="54">
        <v>0</v>
      </c>
      <c r="H13" s="54">
        <f>+FACTURACIÓN!R12</f>
        <v>0</v>
      </c>
      <c r="I13" s="164">
        <v>-0.05</v>
      </c>
      <c r="J13" s="54">
        <f>+FACTURACIÓN!S12</f>
        <v>0</v>
      </c>
      <c r="K13" s="54">
        <f t="shared" si="2"/>
        <v>-66.11999999999999</v>
      </c>
      <c r="L13" s="54">
        <f t="shared" si="3"/>
        <v>577.4</v>
      </c>
      <c r="M13" s="51" t="str">
        <f t="shared" si="0"/>
        <v>SI</v>
      </c>
      <c r="N13" s="50" t="s">
        <v>289</v>
      </c>
      <c r="O13" s="21" t="s">
        <v>178</v>
      </c>
      <c r="P13" s="315"/>
      <c r="Q13" s="316"/>
      <c r="R13" s="314"/>
    </row>
    <row r="14" spans="1:18" s="51" customFormat="1" x14ac:dyDescent="0.2">
      <c r="A14" s="50" t="s">
        <v>42</v>
      </c>
      <c r="B14" s="51" t="s">
        <v>43</v>
      </c>
      <c r="C14" s="54">
        <v>438.24</v>
      </c>
      <c r="D14" s="54">
        <v>73.040000000000006</v>
      </c>
      <c r="E14" s="54">
        <f t="shared" si="1"/>
        <v>511.28000000000003</v>
      </c>
      <c r="F14" s="164">
        <v>-66.069999999999993</v>
      </c>
      <c r="G14" s="54">
        <v>0</v>
      </c>
      <c r="H14" s="54">
        <f>+FACTURACIÓN!R13</f>
        <v>0</v>
      </c>
      <c r="I14" s="164">
        <v>-0.05</v>
      </c>
      <c r="J14" s="54">
        <f>+FACTURACIÓN!S13</f>
        <v>0</v>
      </c>
      <c r="K14" s="54">
        <f t="shared" si="2"/>
        <v>-66.11999999999999</v>
      </c>
      <c r="L14" s="54">
        <f t="shared" si="3"/>
        <v>577.4</v>
      </c>
      <c r="M14" s="51" t="str">
        <f t="shared" si="0"/>
        <v>SI</v>
      </c>
      <c r="N14" s="20" t="s">
        <v>42</v>
      </c>
      <c r="O14" s="21" t="s">
        <v>43</v>
      </c>
      <c r="P14" s="315"/>
      <c r="Q14" s="316"/>
      <c r="R14" s="314"/>
    </row>
    <row r="15" spans="1:18" s="51" customFormat="1" ht="15" x14ac:dyDescent="0.25">
      <c r="A15" s="50"/>
      <c r="B15" s="127" t="s">
        <v>609</v>
      </c>
      <c r="C15" s="54">
        <v>438.24</v>
      </c>
      <c r="D15" s="54">
        <v>73.040000000000006</v>
      </c>
      <c r="E15" s="54">
        <f t="shared" si="1"/>
        <v>511.28000000000003</v>
      </c>
      <c r="F15" s="164">
        <v>-66.069999999999993</v>
      </c>
      <c r="G15" s="54">
        <v>0</v>
      </c>
      <c r="H15" s="54">
        <f>+FACTURACIÓN!R14</f>
        <v>0</v>
      </c>
      <c r="I15" s="164">
        <v>-0.05</v>
      </c>
      <c r="J15" s="54">
        <f>+FACTURACIÓN!S14</f>
        <v>0</v>
      </c>
      <c r="K15" s="54">
        <f t="shared" si="2"/>
        <v>-66.11999999999999</v>
      </c>
      <c r="L15" s="54">
        <f t="shared" si="3"/>
        <v>577.4</v>
      </c>
      <c r="M15" s="51" t="str">
        <f t="shared" si="0"/>
        <v>SI</v>
      </c>
      <c r="N15" s="20" t="s">
        <v>773</v>
      </c>
      <c r="O15" s="21" t="s">
        <v>609</v>
      </c>
      <c r="P15" s="315"/>
      <c r="Q15" s="316"/>
      <c r="R15" s="314"/>
    </row>
    <row r="16" spans="1:18" s="51" customFormat="1" x14ac:dyDescent="0.2">
      <c r="A16" s="50" t="s">
        <v>44</v>
      </c>
      <c r="B16" s="51" t="s">
        <v>45</v>
      </c>
      <c r="C16" s="54">
        <v>438.24</v>
      </c>
      <c r="D16" s="54">
        <v>73.040000000000006</v>
      </c>
      <c r="E16" s="54">
        <f t="shared" si="1"/>
        <v>511.28000000000003</v>
      </c>
      <c r="F16" s="164">
        <v>-66.069999999999993</v>
      </c>
      <c r="G16" s="54">
        <v>0</v>
      </c>
      <c r="H16" s="54">
        <f>+FACTURACIÓN!R15</f>
        <v>0</v>
      </c>
      <c r="I16" s="164">
        <v>-0.05</v>
      </c>
      <c r="J16" s="54">
        <f>+FACTURACIÓN!S15</f>
        <v>0</v>
      </c>
      <c r="K16" s="54">
        <f t="shared" si="2"/>
        <v>-66.11999999999999</v>
      </c>
      <c r="L16" s="54">
        <f t="shared" si="3"/>
        <v>577.4</v>
      </c>
      <c r="M16" s="51" t="str">
        <f t="shared" si="0"/>
        <v>SI</v>
      </c>
      <c r="N16" s="20" t="s">
        <v>44</v>
      </c>
      <c r="O16" s="21" t="s">
        <v>45</v>
      </c>
      <c r="P16" s="315"/>
      <c r="Q16" s="316"/>
      <c r="R16" s="314"/>
    </row>
    <row r="17" spans="1:18" s="51" customFormat="1" x14ac:dyDescent="0.2">
      <c r="A17" s="50" t="s">
        <v>518</v>
      </c>
      <c r="B17" s="51" t="s">
        <v>517</v>
      </c>
      <c r="C17" s="54">
        <v>365.2</v>
      </c>
      <c r="D17" s="54">
        <v>60.87</v>
      </c>
      <c r="E17" s="54">
        <f t="shared" si="1"/>
        <v>426.07</v>
      </c>
      <c r="F17" s="164">
        <v>-56.631428571428557</v>
      </c>
      <c r="G17" s="54">
        <v>0</v>
      </c>
      <c r="H17" s="54">
        <f>+FACTURACIÓN!R16</f>
        <v>0</v>
      </c>
      <c r="I17" s="164">
        <v>-0.1</v>
      </c>
      <c r="J17" s="54">
        <f>+FACTURACIÓN!S16</f>
        <v>0</v>
      </c>
      <c r="K17" s="54">
        <f t="shared" si="2"/>
        <v>-56.731428571428559</v>
      </c>
      <c r="L17" s="54">
        <f t="shared" si="3"/>
        <v>482.80142857142857</v>
      </c>
      <c r="M17" s="51" t="str">
        <f t="shared" si="0"/>
        <v>SI</v>
      </c>
      <c r="N17" s="50" t="s">
        <v>518</v>
      </c>
      <c r="O17" s="21" t="s">
        <v>517</v>
      </c>
      <c r="P17" s="315"/>
      <c r="Q17" s="316"/>
      <c r="R17" s="314"/>
    </row>
    <row r="18" spans="1:18" s="51" customFormat="1" x14ac:dyDescent="0.2">
      <c r="A18" s="50" t="s">
        <v>290</v>
      </c>
      <c r="B18" s="51" t="s">
        <v>46</v>
      </c>
      <c r="C18" s="54">
        <v>438.24</v>
      </c>
      <c r="D18" s="54">
        <v>73.040000000000006</v>
      </c>
      <c r="E18" s="54">
        <f t="shared" si="1"/>
        <v>511.28000000000003</v>
      </c>
      <c r="F18" s="164">
        <v>-66.069999999999993</v>
      </c>
      <c r="G18" s="54">
        <v>0</v>
      </c>
      <c r="H18" s="54">
        <f>+FACTURACIÓN!R17</f>
        <v>0</v>
      </c>
      <c r="I18" s="164">
        <v>-0.05</v>
      </c>
      <c r="J18" s="54">
        <f>+FACTURACIÓN!S17</f>
        <v>0</v>
      </c>
      <c r="K18" s="54">
        <f t="shared" si="2"/>
        <v>-66.11999999999999</v>
      </c>
      <c r="L18" s="54">
        <f t="shared" si="3"/>
        <v>577.4</v>
      </c>
      <c r="M18" s="51" t="str">
        <f t="shared" si="0"/>
        <v>SI</v>
      </c>
      <c r="N18" s="20" t="s">
        <v>290</v>
      </c>
      <c r="O18" s="21" t="s">
        <v>46</v>
      </c>
      <c r="P18" s="315"/>
      <c r="Q18" s="316"/>
      <c r="R18" s="314"/>
    </row>
    <row r="19" spans="1:18" s="51" customFormat="1" x14ac:dyDescent="0.2">
      <c r="A19" s="50" t="s">
        <v>14</v>
      </c>
      <c r="B19" s="51" t="s">
        <v>47</v>
      </c>
      <c r="C19" s="54">
        <v>438.24</v>
      </c>
      <c r="D19" s="54">
        <v>73.040000000000006</v>
      </c>
      <c r="E19" s="54">
        <f t="shared" si="1"/>
        <v>511.28000000000003</v>
      </c>
      <c r="F19" s="164">
        <v>-66.069999999999993</v>
      </c>
      <c r="G19" s="54">
        <v>0</v>
      </c>
      <c r="H19" s="54">
        <f>+FACTURACIÓN!R18</f>
        <v>0</v>
      </c>
      <c r="I19" s="164">
        <v>-0.05</v>
      </c>
      <c r="J19" s="54">
        <f>+FACTURACIÓN!S18</f>
        <v>0</v>
      </c>
      <c r="K19" s="54">
        <f t="shared" si="2"/>
        <v>-66.11999999999999</v>
      </c>
      <c r="L19" s="54">
        <f t="shared" si="3"/>
        <v>577.4</v>
      </c>
      <c r="M19" s="51" t="str">
        <f t="shared" si="0"/>
        <v>SI</v>
      </c>
      <c r="N19" s="20" t="s">
        <v>14</v>
      </c>
      <c r="O19" s="21" t="s">
        <v>47</v>
      </c>
      <c r="P19" s="315"/>
      <c r="Q19" s="316"/>
      <c r="R19" s="314"/>
    </row>
    <row r="20" spans="1:18" s="51" customFormat="1" x14ac:dyDescent="0.2">
      <c r="A20" s="50" t="s">
        <v>48</v>
      </c>
      <c r="B20" s="51" t="s">
        <v>49</v>
      </c>
      <c r="C20" s="54">
        <v>438.24</v>
      </c>
      <c r="D20" s="54">
        <v>73.040000000000006</v>
      </c>
      <c r="E20" s="54">
        <f t="shared" si="1"/>
        <v>511.28000000000003</v>
      </c>
      <c r="F20" s="164">
        <v>-66.069999999999993</v>
      </c>
      <c r="G20" s="54">
        <v>0</v>
      </c>
      <c r="H20" s="54">
        <f>+FACTURACIÓN!R19</f>
        <v>0</v>
      </c>
      <c r="I20" s="164">
        <v>-0.05</v>
      </c>
      <c r="J20" s="54">
        <f>+FACTURACIÓN!S19</f>
        <v>0</v>
      </c>
      <c r="K20" s="54">
        <f t="shared" si="2"/>
        <v>-66.11999999999999</v>
      </c>
      <c r="L20" s="54">
        <f t="shared" si="3"/>
        <v>577.4</v>
      </c>
      <c r="M20" s="51" t="str">
        <f t="shared" si="0"/>
        <v>SI</v>
      </c>
      <c r="N20" s="20" t="s">
        <v>48</v>
      </c>
      <c r="O20" s="21" t="s">
        <v>49</v>
      </c>
      <c r="P20" s="315"/>
      <c r="Q20" s="316"/>
      <c r="R20" s="314"/>
    </row>
    <row r="21" spans="1:18" s="51" customFormat="1" x14ac:dyDescent="0.2">
      <c r="A21" s="50" t="s">
        <v>50</v>
      </c>
      <c r="B21" s="51" t="s">
        <v>51</v>
      </c>
      <c r="C21" s="54">
        <v>438.24</v>
      </c>
      <c r="D21" s="54">
        <v>73.040000000000006</v>
      </c>
      <c r="E21" s="54">
        <f t="shared" si="1"/>
        <v>511.28000000000003</v>
      </c>
      <c r="F21" s="164">
        <v>-66.069999999999993</v>
      </c>
      <c r="G21" s="54">
        <v>0</v>
      </c>
      <c r="H21" s="54">
        <f>+FACTURACIÓN!R20</f>
        <v>0</v>
      </c>
      <c r="I21" s="164">
        <v>-0.05</v>
      </c>
      <c r="J21" s="54">
        <f>+FACTURACIÓN!S20</f>
        <v>167.44</v>
      </c>
      <c r="K21" s="54">
        <f t="shared" si="2"/>
        <v>101.32000000000001</v>
      </c>
      <c r="L21" s="54">
        <f t="shared" si="3"/>
        <v>409.96000000000004</v>
      </c>
      <c r="M21" s="51" t="str">
        <f t="shared" si="0"/>
        <v>SI</v>
      </c>
      <c r="N21" s="20" t="s">
        <v>50</v>
      </c>
      <c r="O21" s="21" t="s">
        <v>51</v>
      </c>
      <c r="P21" s="315"/>
      <c r="Q21" s="316"/>
      <c r="R21" s="314"/>
    </row>
    <row r="22" spans="1:18" s="51" customFormat="1" x14ac:dyDescent="0.2">
      <c r="A22" s="50" t="s">
        <v>291</v>
      </c>
      <c r="B22" s="51" t="s">
        <v>52</v>
      </c>
      <c r="C22" s="54">
        <v>438.24</v>
      </c>
      <c r="D22" s="54">
        <v>73.040000000000006</v>
      </c>
      <c r="E22" s="54">
        <f t="shared" si="1"/>
        <v>511.28000000000003</v>
      </c>
      <c r="F22" s="164">
        <v>-66.069999999999993</v>
      </c>
      <c r="G22" s="54">
        <v>0</v>
      </c>
      <c r="H22" s="54">
        <f>+FACTURACIÓN!R21</f>
        <v>0</v>
      </c>
      <c r="I22" s="164">
        <v>-0.05</v>
      </c>
      <c r="J22" s="54">
        <f>+FACTURACIÓN!S21</f>
        <v>0</v>
      </c>
      <c r="K22" s="54">
        <f t="shared" si="2"/>
        <v>-66.11999999999999</v>
      </c>
      <c r="L22" s="54">
        <f t="shared" si="3"/>
        <v>577.4</v>
      </c>
      <c r="M22" s="51" t="str">
        <f t="shared" si="0"/>
        <v>SI</v>
      </c>
      <c r="N22" s="20" t="s">
        <v>291</v>
      </c>
      <c r="O22" s="21" t="s">
        <v>52</v>
      </c>
      <c r="P22" s="315"/>
      <c r="Q22" s="316"/>
      <c r="R22" s="314"/>
    </row>
    <row r="23" spans="1:18" s="51" customFormat="1" x14ac:dyDescent="0.2">
      <c r="A23" s="50" t="s">
        <v>53</v>
      </c>
      <c r="B23" s="51" t="s">
        <v>54</v>
      </c>
      <c r="C23" s="54">
        <v>438.24</v>
      </c>
      <c r="D23" s="54">
        <v>73.040000000000006</v>
      </c>
      <c r="E23" s="54">
        <f t="shared" si="1"/>
        <v>511.28000000000003</v>
      </c>
      <c r="F23" s="164">
        <v>-66.069999999999993</v>
      </c>
      <c r="G23" s="54">
        <v>0</v>
      </c>
      <c r="H23" s="54">
        <f>+FACTURACIÓN!R22</f>
        <v>0</v>
      </c>
      <c r="I23" s="164">
        <v>-0.05</v>
      </c>
      <c r="J23" s="54">
        <f>+FACTURACIÓN!S22</f>
        <v>0</v>
      </c>
      <c r="K23" s="54">
        <f t="shared" si="2"/>
        <v>-66.11999999999999</v>
      </c>
      <c r="L23" s="54">
        <f t="shared" si="3"/>
        <v>577.4</v>
      </c>
      <c r="M23" s="51" t="str">
        <f t="shared" si="0"/>
        <v>SI</v>
      </c>
      <c r="N23" s="20" t="s">
        <v>53</v>
      </c>
      <c r="O23" s="21" t="s">
        <v>54</v>
      </c>
      <c r="P23" s="315"/>
      <c r="Q23" s="316"/>
      <c r="R23" s="314"/>
    </row>
    <row r="24" spans="1:18" s="51" customFormat="1" x14ac:dyDescent="0.2">
      <c r="A24" s="50" t="s">
        <v>15</v>
      </c>
      <c r="B24" s="51" t="s">
        <v>55</v>
      </c>
      <c r="C24" s="54">
        <v>438.24</v>
      </c>
      <c r="D24" s="54">
        <v>73.040000000000006</v>
      </c>
      <c r="E24" s="54">
        <f t="shared" si="1"/>
        <v>511.28000000000003</v>
      </c>
      <c r="F24" s="164">
        <v>-66.069999999999993</v>
      </c>
      <c r="G24" s="54">
        <v>0</v>
      </c>
      <c r="H24" s="54">
        <f>+FACTURACIÓN!R23</f>
        <v>0</v>
      </c>
      <c r="I24" s="164">
        <v>-0.05</v>
      </c>
      <c r="J24" s="54">
        <f>+FACTURACIÓN!S23</f>
        <v>0</v>
      </c>
      <c r="K24" s="54">
        <f t="shared" si="2"/>
        <v>-66.11999999999999</v>
      </c>
      <c r="L24" s="54">
        <f t="shared" si="3"/>
        <v>577.4</v>
      </c>
      <c r="M24" s="51" t="str">
        <f t="shared" si="0"/>
        <v>SI</v>
      </c>
      <c r="N24" s="20" t="s">
        <v>15</v>
      </c>
      <c r="O24" s="21" t="s">
        <v>55</v>
      </c>
      <c r="P24" s="315"/>
      <c r="Q24" s="316"/>
      <c r="R24" s="314"/>
    </row>
    <row r="25" spans="1:18" s="51" customFormat="1" x14ac:dyDescent="0.2">
      <c r="A25" s="50" t="s">
        <v>56</v>
      </c>
      <c r="B25" s="51" t="s">
        <v>57</v>
      </c>
      <c r="C25" s="54">
        <v>438.24</v>
      </c>
      <c r="D25" s="54">
        <v>73.040000000000006</v>
      </c>
      <c r="E25" s="54">
        <f t="shared" si="1"/>
        <v>511.28000000000003</v>
      </c>
      <c r="F25" s="164">
        <v>-66.069999999999993</v>
      </c>
      <c r="G25" s="54">
        <v>0</v>
      </c>
      <c r="H25" s="54">
        <f>+FACTURACIÓN!R24</f>
        <v>0</v>
      </c>
      <c r="I25" s="164">
        <v>-0.05</v>
      </c>
      <c r="J25" s="54">
        <f>+FACTURACIÓN!S24</f>
        <v>0</v>
      </c>
      <c r="K25" s="54">
        <f t="shared" si="2"/>
        <v>-66.11999999999999</v>
      </c>
      <c r="L25" s="54">
        <f t="shared" si="3"/>
        <v>577.4</v>
      </c>
      <c r="M25" s="51" t="str">
        <f t="shared" si="0"/>
        <v>SI</v>
      </c>
      <c r="N25" s="20" t="s">
        <v>56</v>
      </c>
      <c r="O25" s="21" t="s">
        <v>57</v>
      </c>
      <c r="P25" s="315"/>
      <c r="Q25" s="316"/>
      <c r="R25" s="314"/>
    </row>
    <row r="26" spans="1:18" s="51" customFormat="1" x14ac:dyDescent="0.2">
      <c r="A26" s="50" t="s">
        <v>60</v>
      </c>
      <c r="B26" s="51" t="s">
        <v>61</v>
      </c>
      <c r="C26" s="54">
        <v>438.24</v>
      </c>
      <c r="D26" s="54">
        <v>73.040000000000006</v>
      </c>
      <c r="E26" s="54">
        <f t="shared" si="1"/>
        <v>511.28000000000003</v>
      </c>
      <c r="F26" s="164">
        <v>-66.069999999999993</v>
      </c>
      <c r="G26" s="54">
        <v>0</v>
      </c>
      <c r="H26" s="54">
        <f>+FACTURACIÓN!R25</f>
        <v>0</v>
      </c>
      <c r="I26" s="164">
        <v>-0.05</v>
      </c>
      <c r="J26" s="54">
        <f>+FACTURACIÓN!S25</f>
        <v>0</v>
      </c>
      <c r="K26" s="54">
        <f t="shared" si="2"/>
        <v>-66.11999999999999</v>
      </c>
      <c r="L26" s="54">
        <f t="shared" si="3"/>
        <v>577.4</v>
      </c>
      <c r="M26" s="51" t="str">
        <f t="shared" si="0"/>
        <v>SI</v>
      </c>
      <c r="N26" s="20" t="s">
        <v>60</v>
      </c>
      <c r="O26" s="21" t="s">
        <v>61</v>
      </c>
      <c r="P26" s="315"/>
      <c r="Q26" s="316"/>
      <c r="R26" s="314"/>
    </row>
    <row r="27" spans="1:18" s="51" customFormat="1" x14ac:dyDescent="0.2">
      <c r="A27" s="50" t="s">
        <v>62</v>
      </c>
      <c r="B27" s="51" t="s">
        <v>63</v>
      </c>
      <c r="C27" s="54">
        <v>438.24</v>
      </c>
      <c r="D27" s="54">
        <v>73.040000000000006</v>
      </c>
      <c r="E27" s="54">
        <f t="shared" si="1"/>
        <v>511.28000000000003</v>
      </c>
      <c r="F27" s="164">
        <v>-66.069999999999993</v>
      </c>
      <c r="G27" s="54">
        <v>0</v>
      </c>
      <c r="H27" s="54">
        <f>+FACTURACIÓN!R26</f>
        <v>0</v>
      </c>
      <c r="I27" s="164">
        <v>-0.05</v>
      </c>
      <c r="J27" s="54">
        <f>+FACTURACIÓN!S26</f>
        <v>0</v>
      </c>
      <c r="K27" s="54">
        <f t="shared" si="2"/>
        <v>-66.11999999999999</v>
      </c>
      <c r="L27" s="54">
        <f t="shared" si="3"/>
        <v>577.4</v>
      </c>
      <c r="M27" s="51" t="str">
        <f t="shared" si="0"/>
        <v>SI</v>
      </c>
      <c r="N27" s="20" t="s">
        <v>62</v>
      </c>
      <c r="O27" s="21" t="s">
        <v>63</v>
      </c>
      <c r="P27" s="315"/>
      <c r="Q27" s="316"/>
      <c r="R27" s="314"/>
    </row>
    <row r="28" spans="1:18" s="51" customFormat="1" x14ac:dyDescent="0.2">
      <c r="A28" s="50" t="s">
        <v>64</v>
      </c>
      <c r="B28" s="51" t="s">
        <v>65</v>
      </c>
      <c r="C28" s="54">
        <v>365.2</v>
      </c>
      <c r="D28" s="54">
        <v>60.87</v>
      </c>
      <c r="E28" s="54">
        <f t="shared" ref="E28" si="4">SUM(C28:D28)</f>
        <v>426.07</v>
      </c>
      <c r="F28" s="164">
        <v>-56.631428571428557</v>
      </c>
      <c r="G28" s="54">
        <v>0</v>
      </c>
      <c r="H28" s="54">
        <f>+FACTURACIÓN!R27</f>
        <v>0</v>
      </c>
      <c r="I28" s="164">
        <v>-0.1</v>
      </c>
      <c r="J28" s="54">
        <f>+FACTURACIÓN!S27</f>
        <v>0</v>
      </c>
      <c r="K28" s="54">
        <f t="shared" si="2"/>
        <v>-56.731428571428559</v>
      </c>
      <c r="L28" s="54">
        <f t="shared" si="3"/>
        <v>482.80142857142857</v>
      </c>
      <c r="M28" s="51" t="str">
        <f t="shared" si="0"/>
        <v>SI</v>
      </c>
      <c r="N28" s="20" t="s">
        <v>64</v>
      </c>
      <c r="O28" s="21" t="s">
        <v>65</v>
      </c>
      <c r="P28" s="315"/>
      <c r="Q28" s="316"/>
      <c r="R28" s="314"/>
    </row>
    <row r="29" spans="1:18" s="51" customFormat="1" x14ac:dyDescent="0.2">
      <c r="A29" s="50" t="s">
        <v>66</v>
      </c>
      <c r="B29" s="51" t="s">
        <v>67</v>
      </c>
      <c r="C29" s="54">
        <v>438.24</v>
      </c>
      <c r="D29" s="54">
        <v>73.040000000000006</v>
      </c>
      <c r="E29" s="54">
        <f t="shared" si="1"/>
        <v>511.28000000000003</v>
      </c>
      <c r="F29" s="164">
        <v>-66.069999999999993</v>
      </c>
      <c r="G29" s="54">
        <v>0</v>
      </c>
      <c r="H29" s="54">
        <f>+FACTURACIÓN!R28</f>
        <v>0</v>
      </c>
      <c r="I29" s="164">
        <v>-0.05</v>
      </c>
      <c r="J29" s="54">
        <f>+FACTURACIÓN!S28</f>
        <v>0</v>
      </c>
      <c r="K29" s="54">
        <f t="shared" si="2"/>
        <v>-66.11999999999999</v>
      </c>
      <c r="L29" s="54">
        <f t="shared" si="3"/>
        <v>577.4</v>
      </c>
      <c r="M29" s="51" t="str">
        <f t="shared" si="0"/>
        <v>SI</v>
      </c>
      <c r="N29" s="20" t="s">
        <v>66</v>
      </c>
      <c r="O29" s="21" t="s">
        <v>67</v>
      </c>
      <c r="P29" s="315"/>
      <c r="Q29" s="316"/>
      <c r="R29" s="314"/>
    </row>
    <row r="30" spans="1:18" s="51" customFormat="1" x14ac:dyDescent="0.2">
      <c r="A30" s="50" t="s">
        <v>68</v>
      </c>
      <c r="B30" s="51" t="s">
        <v>69</v>
      </c>
      <c r="C30" s="54">
        <v>438.24</v>
      </c>
      <c r="D30" s="54">
        <v>73.040000000000006</v>
      </c>
      <c r="E30" s="54">
        <f t="shared" si="1"/>
        <v>511.28000000000003</v>
      </c>
      <c r="F30" s="164">
        <v>-66.069999999999993</v>
      </c>
      <c r="G30" s="54">
        <v>0</v>
      </c>
      <c r="H30" s="54">
        <f>+FACTURACIÓN!R29</f>
        <v>0</v>
      </c>
      <c r="I30" s="164">
        <v>-0.05</v>
      </c>
      <c r="J30" s="54">
        <f>+FACTURACIÓN!S29</f>
        <v>0</v>
      </c>
      <c r="K30" s="54">
        <f t="shared" si="2"/>
        <v>-66.11999999999999</v>
      </c>
      <c r="L30" s="54">
        <f t="shared" si="3"/>
        <v>577.4</v>
      </c>
      <c r="M30" s="51" t="str">
        <f t="shared" si="0"/>
        <v>SI</v>
      </c>
      <c r="N30" s="20" t="s">
        <v>68</v>
      </c>
      <c r="O30" s="21" t="s">
        <v>69</v>
      </c>
      <c r="P30" s="315"/>
      <c r="Q30" s="316"/>
      <c r="R30" s="314"/>
    </row>
    <row r="31" spans="1:18" s="51" customFormat="1" x14ac:dyDescent="0.2">
      <c r="A31" s="50" t="s">
        <v>70</v>
      </c>
      <c r="B31" s="51" t="s">
        <v>71</v>
      </c>
      <c r="C31" s="54">
        <v>438.24</v>
      </c>
      <c r="D31" s="54">
        <v>73.040000000000006</v>
      </c>
      <c r="E31" s="54">
        <f t="shared" si="1"/>
        <v>511.28000000000003</v>
      </c>
      <c r="F31" s="164">
        <v>-66.069999999999993</v>
      </c>
      <c r="G31" s="54">
        <v>0</v>
      </c>
      <c r="H31" s="54">
        <f>+FACTURACIÓN!R30</f>
        <v>0</v>
      </c>
      <c r="I31" s="164">
        <v>-0.05</v>
      </c>
      <c r="J31" s="54">
        <f>+FACTURACIÓN!S30</f>
        <v>0</v>
      </c>
      <c r="K31" s="54">
        <f t="shared" si="2"/>
        <v>-66.11999999999999</v>
      </c>
      <c r="L31" s="54">
        <f t="shared" si="3"/>
        <v>577.4</v>
      </c>
      <c r="M31" s="51" t="str">
        <f t="shared" si="0"/>
        <v>SI</v>
      </c>
      <c r="N31" s="20" t="s">
        <v>70</v>
      </c>
      <c r="O31" s="21" t="s">
        <v>71</v>
      </c>
      <c r="P31" s="315"/>
      <c r="Q31" s="316"/>
      <c r="R31" s="314"/>
    </row>
    <row r="32" spans="1:18" s="51" customFormat="1" x14ac:dyDescent="0.2">
      <c r="A32" s="50" t="s">
        <v>72</v>
      </c>
      <c r="B32" s="51" t="s">
        <v>73</v>
      </c>
      <c r="C32" s="54">
        <v>438.24</v>
      </c>
      <c r="D32" s="54">
        <v>73.040000000000006</v>
      </c>
      <c r="E32" s="54">
        <f t="shared" si="1"/>
        <v>511.28000000000003</v>
      </c>
      <c r="F32" s="164">
        <v>-66.069999999999993</v>
      </c>
      <c r="G32" s="54">
        <v>0</v>
      </c>
      <c r="H32" s="54">
        <f>+FACTURACIÓN!R31</f>
        <v>0</v>
      </c>
      <c r="I32" s="164">
        <v>-0.05</v>
      </c>
      <c r="J32" s="54">
        <f>+FACTURACIÓN!S31</f>
        <v>0</v>
      </c>
      <c r="K32" s="54">
        <f t="shared" si="2"/>
        <v>-66.11999999999999</v>
      </c>
      <c r="L32" s="54">
        <f t="shared" si="3"/>
        <v>577.4</v>
      </c>
      <c r="M32" s="51" t="str">
        <f t="shared" si="0"/>
        <v>SI</v>
      </c>
      <c r="N32" s="20" t="s">
        <v>72</v>
      </c>
      <c r="O32" s="21" t="s">
        <v>73</v>
      </c>
      <c r="P32" s="315"/>
      <c r="Q32" s="316"/>
      <c r="R32" s="314"/>
    </row>
    <row r="33" spans="1:21" s="51" customFormat="1" x14ac:dyDescent="0.2">
      <c r="A33" s="50" t="s">
        <v>76</v>
      </c>
      <c r="B33" s="51" t="s">
        <v>741</v>
      </c>
      <c r="C33" s="54">
        <v>438.24</v>
      </c>
      <c r="D33" s="54">
        <v>73.040000000000006</v>
      </c>
      <c r="E33" s="54">
        <f t="shared" si="1"/>
        <v>511.28000000000003</v>
      </c>
      <c r="F33" s="164">
        <v>-66.069999999999993</v>
      </c>
      <c r="G33" s="54">
        <v>0</v>
      </c>
      <c r="H33" s="54">
        <f>+FACTURACIÓN!R32</f>
        <v>0</v>
      </c>
      <c r="I33" s="164">
        <v>-0.05</v>
      </c>
      <c r="J33" s="54">
        <f>+FACTURACIÓN!S32</f>
        <v>0</v>
      </c>
      <c r="K33" s="54">
        <f t="shared" si="2"/>
        <v>-66.11999999999999</v>
      </c>
      <c r="L33" s="54">
        <f t="shared" si="3"/>
        <v>577.4</v>
      </c>
      <c r="M33" s="51" t="str">
        <f t="shared" si="0"/>
        <v>SI</v>
      </c>
      <c r="N33" s="20" t="s">
        <v>76</v>
      </c>
      <c r="O33" s="21" t="s">
        <v>741</v>
      </c>
      <c r="P33" s="315"/>
      <c r="Q33" s="316"/>
      <c r="R33" s="314"/>
    </row>
    <row r="34" spans="1:21" s="51" customFormat="1" x14ac:dyDescent="0.2">
      <c r="A34" s="50" t="s">
        <v>78</v>
      </c>
      <c r="B34" s="51" t="s">
        <v>79</v>
      </c>
      <c r="C34" s="54">
        <v>438.24</v>
      </c>
      <c r="D34" s="54">
        <v>73.040000000000006</v>
      </c>
      <c r="E34" s="54">
        <f t="shared" si="1"/>
        <v>511.28000000000003</v>
      </c>
      <c r="F34" s="164">
        <v>-66.069999999999993</v>
      </c>
      <c r="G34" s="54">
        <v>0</v>
      </c>
      <c r="H34" s="54">
        <f>+FACTURACIÓN!R33</f>
        <v>0</v>
      </c>
      <c r="I34" s="164">
        <v>-0.05</v>
      </c>
      <c r="J34" s="54">
        <f>+FACTURACIÓN!S33</f>
        <v>0</v>
      </c>
      <c r="K34" s="54">
        <f t="shared" si="2"/>
        <v>-66.11999999999999</v>
      </c>
      <c r="L34" s="54">
        <f t="shared" si="3"/>
        <v>577.4</v>
      </c>
      <c r="M34" s="51" t="str">
        <f t="shared" si="0"/>
        <v>SI</v>
      </c>
      <c r="N34" s="20" t="s">
        <v>78</v>
      </c>
      <c r="O34" s="21" t="s">
        <v>79</v>
      </c>
      <c r="P34" s="315"/>
      <c r="Q34" s="316"/>
      <c r="R34" s="314"/>
    </row>
    <row r="35" spans="1:21" s="51" customFormat="1" ht="15" x14ac:dyDescent="0.25">
      <c r="A35" s="50"/>
      <c r="B35" s="127" t="s">
        <v>619</v>
      </c>
      <c r="C35" s="54">
        <v>438.24</v>
      </c>
      <c r="D35" s="54">
        <v>73.040000000000006</v>
      </c>
      <c r="E35" s="54">
        <f t="shared" si="1"/>
        <v>511.28000000000003</v>
      </c>
      <c r="F35" s="164">
        <v>-66.069999999999993</v>
      </c>
      <c r="G35" s="54">
        <v>0</v>
      </c>
      <c r="H35" s="54">
        <f>+FACTURACIÓN!R34</f>
        <v>0</v>
      </c>
      <c r="I35" s="164">
        <v>-0.05</v>
      </c>
      <c r="J35" s="54">
        <f>+FACTURACIÓN!S34</f>
        <v>0</v>
      </c>
      <c r="K35" s="54">
        <f t="shared" si="2"/>
        <v>-66.11999999999999</v>
      </c>
      <c r="L35" s="54">
        <f t="shared" si="3"/>
        <v>577.4</v>
      </c>
      <c r="M35" s="51" t="str">
        <f t="shared" si="0"/>
        <v>SI</v>
      </c>
      <c r="N35" s="20"/>
      <c r="O35" s="21" t="s">
        <v>619</v>
      </c>
      <c r="P35" s="315"/>
      <c r="Q35" s="316"/>
      <c r="R35" s="317"/>
      <c r="S35" s="224"/>
      <c r="T35" s="226"/>
      <c r="U35" s="54"/>
    </row>
    <row r="36" spans="1:21" s="51" customFormat="1" x14ac:dyDescent="0.2">
      <c r="A36" s="50" t="s">
        <v>500</v>
      </c>
      <c r="B36" s="51" t="s">
        <v>501</v>
      </c>
      <c r="C36" s="54">
        <v>365.2</v>
      </c>
      <c r="D36" s="54">
        <v>60.87</v>
      </c>
      <c r="E36" s="54">
        <f t="shared" ref="E36" si="5">SUM(C36:D36)</f>
        <v>426.07</v>
      </c>
      <c r="F36" s="164">
        <v>-56.631428571428557</v>
      </c>
      <c r="G36" s="54">
        <v>0</v>
      </c>
      <c r="H36" s="54">
        <f>+FACTURACIÓN!R35</f>
        <v>0</v>
      </c>
      <c r="I36" s="164">
        <v>-0.1</v>
      </c>
      <c r="J36" s="54">
        <f>+FACTURACIÓN!S35</f>
        <v>0</v>
      </c>
      <c r="K36" s="54">
        <f t="shared" si="2"/>
        <v>-56.731428571428559</v>
      </c>
      <c r="L36" s="54">
        <f t="shared" si="3"/>
        <v>482.80142857142857</v>
      </c>
      <c r="M36" s="51" t="str">
        <f t="shared" si="0"/>
        <v>SI</v>
      </c>
      <c r="N36" s="50" t="s">
        <v>500</v>
      </c>
      <c r="O36" s="21" t="s">
        <v>501</v>
      </c>
      <c r="P36" s="315"/>
      <c r="Q36" s="316"/>
      <c r="R36" s="317"/>
      <c r="S36" s="224"/>
      <c r="T36" s="226"/>
      <c r="U36" s="54"/>
    </row>
    <row r="37" spans="1:21" s="51" customFormat="1" x14ac:dyDescent="0.2">
      <c r="A37" s="50" t="s">
        <v>80</v>
      </c>
      <c r="B37" s="51" t="s">
        <v>81</v>
      </c>
      <c r="C37" s="54">
        <v>438.24</v>
      </c>
      <c r="D37" s="54">
        <v>73.040000000000006</v>
      </c>
      <c r="E37" s="54">
        <f t="shared" si="1"/>
        <v>511.28000000000003</v>
      </c>
      <c r="F37" s="164">
        <v>-66.069999999999993</v>
      </c>
      <c r="G37" s="54">
        <v>0</v>
      </c>
      <c r="H37" s="54">
        <f>+FACTURACIÓN!R36</f>
        <v>0</v>
      </c>
      <c r="I37" s="164">
        <v>-0.05</v>
      </c>
      <c r="J37" s="54">
        <f>+FACTURACIÓN!S36</f>
        <v>0</v>
      </c>
      <c r="K37" s="54">
        <f t="shared" si="2"/>
        <v>-66.11999999999999</v>
      </c>
      <c r="L37" s="54">
        <f t="shared" si="3"/>
        <v>577.4</v>
      </c>
      <c r="M37" s="51" t="str">
        <f t="shared" si="0"/>
        <v>SI</v>
      </c>
      <c r="N37" s="20" t="s">
        <v>80</v>
      </c>
      <c r="O37" s="21" t="s">
        <v>81</v>
      </c>
      <c r="P37" s="315"/>
      <c r="Q37" s="316"/>
      <c r="R37" s="314"/>
    </row>
    <row r="38" spans="1:21" s="51" customFormat="1" x14ac:dyDescent="0.2">
      <c r="A38" s="50" t="s">
        <v>82</v>
      </c>
      <c r="B38" s="51" t="s">
        <v>83</v>
      </c>
      <c r="C38" s="54">
        <v>438.24</v>
      </c>
      <c r="D38" s="54">
        <v>73.040000000000006</v>
      </c>
      <c r="E38" s="54">
        <f t="shared" si="1"/>
        <v>511.28000000000003</v>
      </c>
      <c r="F38" s="164">
        <v>-66.069999999999993</v>
      </c>
      <c r="G38" s="54">
        <v>0</v>
      </c>
      <c r="H38" s="54">
        <f>+FACTURACIÓN!R37</f>
        <v>0</v>
      </c>
      <c r="I38" s="164">
        <v>-0.05</v>
      </c>
      <c r="J38" s="54">
        <f>+FACTURACIÓN!S37</f>
        <v>0</v>
      </c>
      <c r="K38" s="54">
        <f t="shared" si="2"/>
        <v>-66.11999999999999</v>
      </c>
      <c r="L38" s="54">
        <f t="shared" si="3"/>
        <v>577.4</v>
      </c>
      <c r="M38" s="51" t="str">
        <f t="shared" si="0"/>
        <v>SI</v>
      </c>
      <c r="N38" s="20" t="s">
        <v>82</v>
      </c>
      <c r="O38" s="21" t="s">
        <v>83</v>
      </c>
      <c r="P38" s="315"/>
      <c r="Q38" s="316"/>
      <c r="R38" s="314"/>
    </row>
    <row r="39" spans="1:21" s="51" customFormat="1" x14ac:dyDescent="0.2">
      <c r="A39" s="50" t="s">
        <v>197</v>
      </c>
      <c r="B39" s="51" t="s">
        <v>198</v>
      </c>
      <c r="C39" s="54">
        <v>438.24</v>
      </c>
      <c r="D39" s="54">
        <v>73.040000000000006</v>
      </c>
      <c r="E39" s="54">
        <f t="shared" si="1"/>
        <v>511.28000000000003</v>
      </c>
      <c r="F39" s="164">
        <v>-66.069999999999993</v>
      </c>
      <c r="G39" s="54">
        <v>0</v>
      </c>
      <c r="H39" s="54">
        <f>+FACTURACIÓN!R38</f>
        <v>0</v>
      </c>
      <c r="I39" s="164">
        <v>-0.05</v>
      </c>
      <c r="J39" s="54">
        <f>+FACTURACIÓN!S38</f>
        <v>0</v>
      </c>
      <c r="K39" s="54">
        <f t="shared" si="2"/>
        <v>-66.11999999999999</v>
      </c>
      <c r="L39" s="54">
        <f t="shared" si="3"/>
        <v>577.4</v>
      </c>
      <c r="M39" s="51" t="str">
        <f t="shared" si="0"/>
        <v>SI</v>
      </c>
      <c r="N39" s="20" t="s">
        <v>197</v>
      </c>
      <c r="O39" s="21" t="s">
        <v>198</v>
      </c>
      <c r="P39" s="315"/>
      <c r="Q39" s="316"/>
      <c r="R39" s="314"/>
    </row>
    <row r="40" spans="1:21" s="51" customFormat="1" x14ac:dyDescent="0.2">
      <c r="A40" s="50" t="s">
        <v>86</v>
      </c>
      <c r="B40" s="51" t="s">
        <v>87</v>
      </c>
      <c r="C40" s="54">
        <v>438.24</v>
      </c>
      <c r="D40" s="54">
        <v>73.040000000000006</v>
      </c>
      <c r="E40" s="54">
        <f t="shared" si="1"/>
        <v>511.28000000000003</v>
      </c>
      <c r="F40" s="164">
        <v>-66.069999999999993</v>
      </c>
      <c r="G40" s="54">
        <v>0</v>
      </c>
      <c r="H40" s="54">
        <f>+FACTURACIÓN!R39</f>
        <v>0</v>
      </c>
      <c r="I40" s="164">
        <v>-0.05</v>
      </c>
      <c r="J40" s="54">
        <f>+FACTURACIÓN!S39</f>
        <v>0</v>
      </c>
      <c r="K40" s="54">
        <f t="shared" si="2"/>
        <v>-66.11999999999999</v>
      </c>
      <c r="L40" s="54">
        <f t="shared" si="3"/>
        <v>577.4</v>
      </c>
      <c r="M40" s="51" t="str">
        <f t="shared" si="0"/>
        <v>SI</v>
      </c>
      <c r="N40" s="20" t="s">
        <v>86</v>
      </c>
      <c r="O40" s="21" t="s">
        <v>87</v>
      </c>
      <c r="P40" s="315"/>
      <c r="Q40" s="316"/>
      <c r="R40" s="314"/>
    </row>
    <row r="41" spans="1:21" s="51" customFormat="1" x14ac:dyDescent="0.2">
      <c r="A41" s="50" t="s">
        <v>88</v>
      </c>
      <c r="B41" s="51" t="s">
        <v>89</v>
      </c>
      <c r="C41" s="54">
        <v>438.24</v>
      </c>
      <c r="D41" s="54">
        <v>73.040000000000006</v>
      </c>
      <c r="E41" s="54">
        <f t="shared" si="1"/>
        <v>511.28000000000003</v>
      </c>
      <c r="F41" s="164">
        <v>-66.069999999999993</v>
      </c>
      <c r="G41" s="54">
        <v>0</v>
      </c>
      <c r="H41" s="54">
        <f>+FACTURACIÓN!R40</f>
        <v>0</v>
      </c>
      <c r="I41" s="164">
        <v>-0.05</v>
      </c>
      <c r="J41" s="54">
        <f>+FACTURACIÓN!S40</f>
        <v>0</v>
      </c>
      <c r="K41" s="54">
        <f t="shared" si="2"/>
        <v>-66.11999999999999</v>
      </c>
      <c r="L41" s="54">
        <f t="shared" si="3"/>
        <v>577.4</v>
      </c>
      <c r="M41" s="51" t="str">
        <f t="shared" si="0"/>
        <v>SI</v>
      </c>
      <c r="N41" s="20" t="s">
        <v>88</v>
      </c>
      <c r="O41" s="21" t="s">
        <v>89</v>
      </c>
      <c r="P41" s="315"/>
      <c r="Q41" s="316"/>
      <c r="R41" s="314"/>
    </row>
    <row r="42" spans="1:21" s="51" customFormat="1" x14ac:dyDescent="0.2">
      <c r="A42" s="50" t="s">
        <v>90</v>
      </c>
      <c r="B42" s="51" t="s">
        <v>91</v>
      </c>
      <c r="C42" s="54">
        <v>438.24</v>
      </c>
      <c r="D42" s="54">
        <v>73.040000000000006</v>
      </c>
      <c r="E42" s="54">
        <f t="shared" si="1"/>
        <v>511.28000000000003</v>
      </c>
      <c r="F42" s="164">
        <v>-66.069999999999993</v>
      </c>
      <c r="G42" s="54">
        <v>0</v>
      </c>
      <c r="H42" s="54">
        <f>+FACTURACIÓN!R41</f>
        <v>0</v>
      </c>
      <c r="I42" s="164">
        <v>-0.05</v>
      </c>
      <c r="J42" s="54">
        <f>+FACTURACIÓN!S41</f>
        <v>0</v>
      </c>
      <c r="K42" s="54">
        <f t="shared" si="2"/>
        <v>-66.11999999999999</v>
      </c>
      <c r="L42" s="54">
        <f t="shared" si="3"/>
        <v>577.4</v>
      </c>
      <c r="M42" s="51" t="str">
        <f t="shared" si="0"/>
        <v>SI</v>
      </c>
      <c r="N42" s="20" t="s">
        <v>90</v>
      </c>
      <c r="O42" s="21" t="s">
        <v>91</v>
      </c>
      <c r="P42" s="315"/>
      <c r="Q42" s="316"/>
      <c r="R42" s="314"/>
    </row>
    <row r="43" spans="1:21" s="51" customFormat="1" x14ac:dyDescent="0.2">
      <c r="A43" s="50" t="s">
        <v>92</v>
      </c>
      <c r="B43" s="51" t="s">
        <v>93</v>
      </c>
      <c r="C43" s="54">
        <v>365.2</v>
      </c>
      <c r="D43" s="54">
        <v>60.87</v>
      </c>
      <c r="E43" s="54">
        <f t="shared" ref="E43" si="6">SUM(C43:D43)</f>
        <v>426.07</v>
      </c>
      <c r="F43" s="164">
        <v>-56.631428571428557</v>
      </c>
      <c r="G43" s="54">
        <v>0</v>
      </c>
      <c r="H43" s="54">
        <f>+FACTURACIÓN!R42</f>
        <v>0</v>
      </c>
      <c r="I43" s="164">
        <v>-0.1</v>
      </c>
      <c r="J43" s="54">
        <f>+FACTURACIÓN!S42</f>
        <v>0</v>
      </c>
      <c r="K43" s="54">
        <f t="shared" si="2"/>
        <v>-56.731428571428559</v>
      </c>
      <c r="L43" s="54">
        <f t="shared" si="3"/>
        <v>482.80142857142857</v>
      </c>
      <c r="M43" s="51" t="str">
        <f t="shared" si="0"/>
        <v>SI</v>
      </c>
      <c r="N43" s="20" t="s">
        <v>92</v>
      </c>
      <c r="O43" s="21" t="s">
        <v>93</v>
      </c>
      <c r="P43" s="315"/>
      <c r="Q43" s="316"/>
      <c r="R43" s="314"/>
    </row>
    <row r="44" spans="1:21" s="51" customFormat="1" x14ac:dyDescent="0.2">
      <c r="A44" s="50" t="s">
        <v>94</v>
      </c>
      <c r="B44" s="51" t="s">
        <v>95</v>
      </c>
      <c r="C44" s="54">
        <v>438.24</v>
      </c>
      <c r="D44" s="54">
        <v>73.040000000000006</v>
      </c>
      <c r="E44" s="54">
        <f t="shared" si="1"/>
        <v>511.28000000000003</v>
      </c>
      <c r="F44" s="164">
        <v>-66.069999999999993</v>
      </c>
      <c r="G44" s="54">
        <v>0</v>
      </c>
      <c r="H44" s="54">
        <f>+FACTURACIÓN!R43</f>
        <v>0</v>
      </c>
      <c r="I44" s="164">
        <v>-0.05</v>
      </c>
      <c r="J44" s="54">
        <f>+FACTURACIÓN!S43</f>
        <v>0</v>
      </c>
      <c r="K44" s="54">
        <f t="shared" si="2"/>
        <v>-66.11999999999999</v>
      </c>
      <c r="L44" s="54">
        <f t="shared" si="3"/>
        <v>577.4</v>
      </c>
      <c r="M44" s="51" t="str">
        <f t="shared" si="0"/>
        <v>SI</v>
      </c>
      <c r="N44" s="20" t="s">
        <v>94</v>
      </c>
      <c r="O44" s="21" t="s">
        <v>95</v>
      </c>
      <c r="P44" s="315"/>
      <c r="Q44" s="316"/>
      <c r="R44" s="314"/>
    </row>
    <row r="45" spans="1:21" s="51" customFormat="1" x14ac:dyDescent="0.2">
      <c r="A45" s="50" t="s">
        <v>96</v>
      </c>
      <c r="B45" s="51" t="s">
        <v>97</v>
      </c>
      <c r="C45" s="54">
        <v>438.24</v>
      </c>
      <c r="D45" s="54">
        <v>73.040000000000006</v>
      </c>
      <c r="E45" s="54">
        <f t="shared" si="1"/>
        <v>511.28000000000003</v>
      </c>
      <c r="F45" s="164">
        <v>-66.069999999999993</v>
      </c>
      <c r="G45" s="54">
        <v>0</v>
      </c>
      <c r="H45" s="54">
        <f>+FACTURACIÓN!R44</f>
        <v>0</v>
      </c>
      <c r="I45" s="164">
        <v>-0.05</v>
      </c>
      <c r="J45" s="54">
        <f>+FACTURACIÓN!S44</f>
        <v>0</v>
      </c>
      <c r="K45" s="54">
        <f t="shared" si="2"/>
        <v>-66.11999999999999</v>
      </c>
      <c r="L45" s="54">
        <f t="shared" si="3"/>
        <v>577.4</v>
      </c>
      <c r="M45" s="51" t="str">
        <f t="shared" si="0"/>
        <v>SI</v>
      </c>
      <c r="N45" s="20" t="s">
        <v>96</v>
      </c>
      <c r="O45" s="21" t="s">
        <v>97</v>
      </c>
      <c r="P45" s="315"/>
      <c r="Q45" s="316"/>
      <c r="R45" s="314"/>
    </row>
    <row r="46" spans="1:21" s="51" customFormat="1" x14ac:dyDescent="0.2">
      <c r="A46" s="50" t="s">
        <v>99</v>
      </c>
      <c r="B46" s="51" t="s">
        <v>100</v>
      </c>
      <c r="C46" s="54">
        <v>438.24</v>
      </c>
      <c r="D46" s="54">
        <v>73.040000000000006</v>
      </c>
      <c r="E46" s="54">
        <f t="shared" si="1"/>
        <v>511.28000000000003</v>
      </c>
      <c r="F46" s="164">
        <v>-66.069999999999993</v>
      </c>
      <c r="G46" s="54">
        <v>0</v>
      </c>
      <c r="H46" s="54">
        <f>+FACTURACIÓN!R45</f>
        <v>0</v>
      </c>
      <c r="I46" s="164">
        <v>-0.05</v>
      </c>
      <c r="J46" s="54">
        <f>+FACTURACIÓN!S45</f>
        <v>0</v>
      </c>
      <c r="K46" s="54">
        <f t="shared" si="2"/>
        <v>-66.11999999999999</v>
      </c>
      <c r="L46" s="54">
        <f t="shared" si="3"/>
        <v>577.4</v>
      </c>
      <c r="M46" s="51" t="str">
        <f t="shared" si="0"/>
        <v>SI</v>
      </c>
      <c r="N46" s="20" t="s">
        <v>99</v>
      </c>
      <c r="O46" s="21" t="s">
        <v>100</v>
      </c>
      <c r="P46" s="315"/>
      <c r="Q46" s="316"/>
      <c r="R46" s="314"/>
    </row>
    <row r="47" spans="1:21" s="51" customFormat="1" x14ac:dyDescent="0.2">
      <c r="A47" s="50" t="s">
        <v>101</v>
      </c>
      <c r="B47" s="51" t="s">
        <v>102</v>
      </c>
      <c r="C47" s="54">
        <v>438.24</v>
      </c>
      <c r="D47" s="54">
        <v>73.040000000000006</v>
      </c>
      <c r="E47" s="54">
        <f t="shared" si="1"/>
        <v>511.28000000000003</v>
      </c>
      <c r="F47" s="164">
        <v>-66.069999999999993</v>
      </c>
      <c r="G47" s="54">
        <v>0</v>
      </c>
      <c r="H47" s="54">
        <f>+FACTURACIÓN!R46</f>
        <v>0</v>
      </c>
      <c r="I47" s="164">
        <v>-0.05</v>
      </c>
      <c r="J47" s="54">
        <f>+FACTURACIÓN!S46</f>
        <v>0</v>
      </c>
      <c r="K47" s="54">
        <f t="shared" si="2"/>
        <v>-66.11999999999999</v>
      </c>
      <c r="L47" s="54">
        <f t="shared" si="3"/>
        <v>577.4</v>
      </c>
      <c r="M47" s="51" t="str">
        <f t="shared" si="0"/>
        <v>SI</v>
      </c>
      <c r="N47" s="20" t="s">
        <v>101</v>
      </c>
      <c r="O47" s="21" t="s">
        <v>102</v>
      </c>
      <c r="P47" s="315"/>
      <c r="Q47" s="316"/>
      <c r="R47" s="314"/>
    </row>
    <row r="48" spans="1:21" s="51" customFormat="1" ht="15" x14ac:dyDescent="0.25">
      <c r="A48" s="50"/>
      <c r="B48" s="127" t="s">
        <v>621</v>
      </c>
      <c r="C48" s="54">
        <v>438.24</v>
      </c>
      <c r="D48" s="54">
        <v>73.040000000000006</v>
      </c>
      <c r="E48" s="54">
        <f t="shared" si="1"/>
        <v>511.28000000000003</v>
      </c>
      <c r="F48" s="164">
        <v>-66.069999999999993</v>
      </c>
      <c r="G48" s="54">
        <v>0</v>
      </c>
      <c r="H48" s="54">
        <f>+FACTURACIÓN!R47</f>
        <v>0</v>
      </c>
      <c r="I48" s="164">
        <v>-0.05</v>
      </c>
      <c r="J48" s="54">
        <f>+FACTURACIÓN!S47</f>
        <v>0</v>
      </c>
      <c r="K48" s="54">
        <f t="shared" si="2"/>
        <v>-66.11999999999999</v>
      </c>
      <c r="L48" s="54">
        <f t="shared" si="3"/>
        <v>577.4</v>
      </c>
      <c r="M48" s="51" t="str">
        <f t="shared" si="0"/>
        <v>SI</v>
      </c>
      <c r="N48" s="20"/>
      <c r="O48" s="21" t="s">
        <v>621</v>
      </c>
      <c r="P48" s="315"/>
      <c r="Q48" s="316"/>
      <c r="R48" s="314"/>
    </row>
    <row r="49" spans="1:22" s="51" customFormat="1" x14ac:dyDescent="0.2">
      <c r="A49" s="170" t="s">
        <v>103</v>
      </c>
      <c r="B49" s="171" t="s">
        <v>104</v>
      </c>
      <c r="C49" s="54">
        <v>438.24</v>
      </c>
      <c r="D49" s="54">
        <v>73.040000000000006</v>
      </c>
      <c r="E49" s="54">
        <f t="shared" si="1"/>
        <v>511.28000000000003</v>
      </c>
      <c r="F49" s="164">
        <v>-66.069999999999993</v>
      </c>
      <c r="G49" s="54">
        <v>0</v>
      </c>
      <c r="H49" s="54">
        <f>+FACTURACIÓN!R48</f>
        <v>0</v>
      </c>
      <c r="I49" s="164">
        <v>-0.05</v>
      </c>
      <c r="J49" s="54">
        <f>+FACTURACIÓN!S48</f>
        <v>0</v>
      </c>
      <c r="K49" s="54">
        <f t="shared" si="2"/>
        <v>-66.11999999999999</v>
      </c>
      <c r="L49" s="54">
        <f t="shared" si="3"/>
        <v>577.4</v>
      </c>
      <c r="M49" s="51" t="str">
        <f t="shared" si="0"/>
        <v>SI</v>
      </c>
      <c r="N49" s="20" t="s">
        <v>103</v>
      </c>
      <c r="O49" s="21" t="s">
        <v>104</v>
      </c>
      <c r="P49" s="315"/>
      <c r="Q49" s="316"/>
      <c r="R49" s="314"/>
    </row>
    <row r="50" spans="1:22" s="51" customFormat="1" x14ac:dyDescent="0.2">
      <c r="A50" s="170" t="s">
        <v>105</v>
      </c>
      <c r="B50" s="171" t="s">
        <v>106</v>
      </c>
      <c r="C50" s="54">
        <v>438.24</v>
      </c>
      <c r="D50" s="54">
        <v>73.040000000000006</v>
      </c>
      <c r="E50" s="54">
        <f t="shared" si="1"/>
        <v>511.28000000000003</v>
      </c>
      <c r="F50" s="164">
        <v>-66.069999999999993</v>
      </c>
      <c r="G50" s="54">
        <v>0</v>
      </c>
      <c r="H50" s="54">
        <f>+FACTURACIÓN!R49</f>
        <v>0</v>
      </c>
      <c r="I50" s="164">
        <v>-0.05</v>
      </c>
      <c r="J50" s="54">
        <f>+FACTURACIÓN!S49</f>
        <v>0</v>
      </c>
      <c r="K50" s="54">
        <f t="shared" si="2"/>
        <v>-66.11999999999999</v>
      </c>
      <c r="L50" s="54">
        <f t="shared" si="3"/>
        <v>577.4</v>
      </c>
      <c r="M50" s="51" t="str">
        <f t="shared" si="0"/>
        <v>SI</v>
      </c>
      <c r="N50" s="20" t="s">
        <v>105</v>
      </c>
      <c r="O50" s="21" t="s">
        <v>106</v>
      </c>
      <c r="P50" s="315"/>
      <c r="Q50" s="316"/>
      <c r="R50" s="314"/>
    </row>
    <row r="51" spans="1:22" s="171" customFormat="1" x14ac:dyDescent="0.2">
      <c r="A51" s="50" t="s">
        <v>516</v>
      </c>
      <c r="B51" s="51" t="s">
        <v>515</v>
      </c>
      <c r="C51" s="54">
        <v>438.24</v>
      </c>
      <c r="D51" s="54">
        <v>73.040000000000006</v>
      </c>
      <c r="E51" s="54">
        <f t="shared" si="1"/>
        <v>511.28000000000003</v>
      </c>
      <c r="F51" s="164">
        <v>-66.069999999999993</v>
      </c>
      <c r="G51" s="54">
        <v>0</v>
      </c>
      <c r="H51" s="54">
        <f>+FACTURACIÓN!R50</f>
        <v>0</v>
      </c>
      <c r="I51" s="164">
        <v>-0.05</v>
      </c>
      <c r="J51" s="54">
        <f>+FACTURACIÓN!S50</f>
        <v>0</v>
      </c>
      <c r="K51" s="54">
        <f t="shared" si="2"/>
        <v>-66.11999999999999</v>
      </c>
      <c r="L51" s="54">
        <f t="shared" si="3"/>
        <v>577.4</v>
      </c>
      <c r="M51" s="51" t="str">
        <f t="shared" si="0"/>
        <v>SI</v>
      </c>
      <c r="N51" s="50" t="s">
        <v>516</v>
      </c>
      <c r="O51" s="21" t="s">
        <v>515</v>
      </c>
      <c r="P51" s="315"/>
      <c r="Q51" s="316"/>
      <c r="R51" s="318"/>
    </row>
    <row r="52" spans="1:22" s="171" customFormat="1" x14ac:dyDescent="0.2">
      <c r="A52" s="50" t="s">
        <v>504</v>
      </c>
      <c r="B52" s="51" t="s">
        <v>505</v>
      </c>
      <c r="C52" s="54">
        <v>438.24</v>
      </c>
      <c r="D52" s="54">
        <v>73.040000000000006</v>
      </c>
      <c r="E52" s="54">
        <f t="shared" si="1"/>
        <v>511.28000000000003</v>
      </c>
      <c r="F52" s="164">
        <v>-66.069999999999993</v>
      </c>
      <c r="G52" s="54">
        <v>0</v>
      </c>
      <c r="H52" s="54">
        <f>+FACTURACIÓN!R51</f>
        <v>0</v>
      </c>
      <c r="I52" s="164">
        <v>-0.05</v>
      </c>
      <c r="J52" s="54">
        <f>+FACTURACIÓN!S51</f>
        <v>0</v>
      </c>
      <c r="K52" s="54">
        <f t="shared" si="2"/>
        <v>-66.11999999999999</v>
      </c>
      <c r="L52" s="54">
        <f t="shared" si="3"/>
        <v>577.4</v>
      </c>
      <c r="M52" s="51" t="str">
        <f t="shared" si="0"/>
        <v>SI</v>
      </c>
      <c r="N52" s="50" t="s">
        <v>504</v>
      </c>
      <c r="O52" s="21" t="s">
        <v>505</v>
      </c>
      <c r="P52" s="315"/>
      <c r="Q52" s="316"/>
      <c r="R52" s="318"/>
    </row>
    <row r="53" spans="1:22" s="51" customFormat="1" x14ac:dyDescent="0.2">
      <c r="A53" s="50" t="s">
        <v>107</v>
      </c>
      <c r="B53" s="51" t="s">
        <v>108</v>
      </c>
      <c r="C53" s="54">
        <v>438.24</v>
      </c>
      <c r="D53" s="54">
        <v>73.040000000000006</v>
      </c>
      <c r="E53" s="54">
        <f t="shared" si="1"/>
        <v>511.28000000000003</v>
      </c>
      <c r="F53" s="164">
        <v>-66.069999999999993</v>
      </c>
      <c r="G53" s="54">
        <v>0</v>
      </c>
      <c r="H53" s="54">
        <f>+FACTURACIÓN!R52</f>
        <v>0</v>
      </c>
      <c r="I53" s="164">
        <v>-0.05</v>
      </c>
      <c r="J53" s="54">
        <f>+FACTURACIÓN!S52</f>
        <v>0</v>
      </c>
      <c r="K53" s="54">
        <f t="shared" si="2"/>
        <v>-66.11999999999999</v>
      </c>
      <c r="L53" s="54">
        <f t="shared" si="3"/>
        <v>577.4</v>
      </c>
      <c r="M53" s="51" t="str">
        <f t="shared" si="0"/>
        <v>SI</v>
      </c>
      <c r="N53" s="20" t="s">
        <v>107</v>
      </c>
      <c r="O53" s="21" t="s">
        <v>108</v>
      </c>
      <c r="P53" s="315"/>
      <c r="Q53" s="316"/>
      <c r="R53" s="314"/>
    </row>
    <row r="54" spans="1:22" s="51" customFormat="1" x14ac:dyDescent="0.2">
      <c r="A54" s="50" t="s">
        <v>109</v>
      </c>
      <c r="B54" s="51" t="s">
        <v>110</v>
      </c>
      <c r="C54" s="54">
        <v>438.24</v>
      </c>
      <c r="D54" s="54">
        <v>73.040000000000006</v>
      </c>
      <c r="E54" s="54">
        <f t="shared" si="1"/>
        <v>511.28000000000003</v>
      </c>
      <c r="F54" s="164">
        <v>-66.069999999999993</v>
      </c>
      <c r="G54" s="54">
        <v>0</v>
      </c>
      <c r="H54" s="54">
        <f>+FACTURACIÓN!R53</f>
        <v>0</v>
      </c>
      <c r="I54" s="164">
        <v>-0.05</v>
      </c>
      <c r="J54" s="54">
        <f>+FACTURACIÓN!S53</f>
        <v>0</v>
      </c>
      <c r="K54" s="54">
        <f t="shared" si="2"/>
        <v>-66.11999999999999</v>
      </c>
      <c r="L54" s="54">
        <f t="shared" si="3"/>
        <v>577.4</v>
      </c>
      <c r="M54" s="51" t="str">
        <f t="shared" si="0"/>
        <v>SI</v>
      </c>
      <c r="N54" s="20" t="s">
        <v>109</v>
      </c>
      <c r="O54" s="21" t="s">
        <v>110</v>
      </c>
      <c r="P54" s="315"/>
      <c r="Q54" s="316"/>
      <c r="R54" s="314"/>
    </row>
    <row r="55" spans="1:22" s="51" customFormat="1" x14ac:dyDescent="0.2">
      <c r="A55" s="50" t="s">
        <v>196</v>
      </c>
      <c r="B55" s="51" t="s">
        <v>296</v>
      </c>
      <c r="C55" s="54">
        <v>438.24</v>
      </c>
      <c r="D55" s="54">
        <v>73.040000000000006</v>
      </c>
      <c r="E55" s="54">
        <f t="shared" si="1"/>
        <v>511.28000000000003</v>
      </c>
      <c r="F55" s="164">
        <v>-66.069999999999993</v>
      </c>
      <c r="G55" s="54">
        <v>0</v>
      </c>
      <c r="H55" s="54">
        <f>+FACTURACIÓN!R54</f>
        <v>0</v>
      </c>
      <c r="I55" s="164">
        <v>-0.05</v>
      </c>
      <c r="J55" s="54">
        <f>+FACTURACIÓN!S54</f>
        <v>0</v>
      </c>
      <c r="K55" s="54">
        <f t="shared" si="2"/>
        <v>-66.11999999999999</v>
      </c>
      <c r="L55" s="54">
        <f t="shared" si="3"/>
        <v>577.4</v>
      </c>
      <c r="M55" s="51" t="str">
        <f t="shared" si="0"/>
        <v>SI</v>
      </c>
      <c r="N55" s="20" t="s">
        <v>196</v>
      </c>
      <c r="O55" s="21" t="s">
        <v>296</v>
      </c>
      <c r="P55" s="315"/>
      <c r="Q55" s="316"/>
      <c r="R55" s="314"/>
    </row>
    <row r="56" spans="1:22" s="51" customFormat="1" ht="12.75" customHeight="1" x14ac:dyDescent="0.2">
      <c r="A56" s="50" t="s">
        <v>111</v>
      </c>
      <c r="B56" s="51" t="s">
        <v>112</v>
      </c>
      <c r="C56" s="54">
        <v>438.24</v>
      </c>
      <c r="D56" s="54">
        <v>73.040000000000006</v>
      </c>
      <c r="E56" s="54">
        <f t="shared" si="1"/>
        <v>511.28000000000003</v>
      </c>
      <c r="F56" s="164">
        <v>-66.069999999999993</v>
      </c>
      <c r="G56" s="54">
        <v>0</v>
      </c>
      <c r="H56" s="54">
        <f>+FACTURACIÓN!R55</f>
        <v>532.30999999999995</v>
      </c>
      <c r="I56" s="164">
        <v>-0.05</v>
      </c>
      <c r="J56" s="54">
        <f>+FACTURACIÓN!S55</f>
        <v>0</v>
      </c>
      <c r="K56" s="54">
        <f t="shared" si="2"/>
        <v>466.18999999999994</v>
      </c>
      <c r="L56" s="54">
        <f t="shared" si="3"/>
        <v>45.090000000000089</v>
      </c>
      <c r="M56" s="51" t="str">
        <f t="shared" si="0"/>
        <v>SI</v>
      </c>
      <c r="N56" s="20" t="s">
        <v>111</v>
      </c>
      <c r="O56" s="21" t="s">
        <v>112</v>
      </c>
      <c r="P56" s="315"/>
      <c r="Q56" s="316"/>
      <c r="R56" s="314"/>
    </row>
    <row r="57" spans="1:22" s="51" customFormat="1" ht="15" x14ac:dyDescent="0.25">
      <c r="A57" s="50"/>
      <c r="B57" s="127" t="s">
        <v>625</v>
      </c>
      <c r="C57" s="54">
        <v>365.2</v>
      </c>
      <c r="D57" s="54">
        <v>60.87</v>
      </c>
      <c r="E57" s="54">
        <f t="shared" ref="E57" si="7">SUM(C57:D57)</f>
        <v>426.07</v>
      </c>
      <c r="F57" s="164">
        <v>-56.631428571428557</v>
      </c>
      <c r="G57" s="54">
        <v>0</v>
      </c>
      <c r="H57" s="54">
        <f>+FACTURACIÓN!R56</f>
        <v>0</v>
      </c>
      <c r="I57" s="164">
        <v>-0.1</v>
      </c>
      <c r="J57" s="54">
        <f>+FACTURACIÓN!S56</f>
        <v>0</v>
      </c>
      <c r="K57" s="54">
        <f t="shared" si="2"/>
        <v>-56.731428571428559</v>
      </c>
      <c r="L57" s="54">
        <f t="shared" si="3"/>
        <v>482.80142857142857</v>
      </c>
      <c r="M57" s="51" t="str">
        <f t="shared" si="0"/>
        <v>SI</v>
      </c>
      <c r="N57" s="20"/>
      <c r="O57" s="21" t="s">
        <v>625</v>
      </c>
      <c r="P57" s="315"/>
      <c r="Q57" s="316"/>
      <c r="R57" s="314"/>
    </row>
    <row r="58" spans="1:22" s="51" customFormat="1" ht="15" x14ac:dyDescent="0.25">
      <c r="A58" s="50"/>
      <c r="B58" s="155" t="s">
        <v>721</v>
      </c>
      <c r="C58" s="54">
        <v>146.08000000000001</v>
      </c>
      <c r="D58" s="54">
        <v>24.346666666666668</v>
      </c>
      <c r="E58" s="54">
        <f t="shared" ref="E58" si="8">SUM(C58:D58)</f>
        <v>170.42666666666668</v>
      </c>
      <c r="F58" s="164">
        <v>-28.315714285714279</v>
      </c>
      <c r="G58" s="54">
        <v>0</v>
      </c>
      <c r="H58" s="54">
        <f>+FACTURACIÓN!R57</f>
        <v>0</v>
      </c>
      <c r="I58" s="164">
        <v>-0.1</v>
      </c>
      <c r="J58" s="54">
        <f>+FACTURACIÓN!S57</f>
        <v>0</v>
      </c>
      <c r="K58" s="54">
        <f t="shared" si="2"/>
        <v>-28.41571428571428</v>
      </c>
      <c r="L58" s="54">
        <f t="shared" si="3"/>
        <v>198.84238095238095</v>
      </c>
      <c r="M58" s="51" t="str">
        <f t="shared" si="0"/>
        <v>SI</v>
      </c>
      <c r="N58" s="20"/>
      <c r="O58" s="21" t="s">
        <v>721</v>
      </c>
      <c r="P58" s="315"/>
      <c r="Q58" s="316"/>
      <c r="R58" s="314"/>
    </row>
    <row r="59" spans="1:22" s="51" customFormat="1" ht="15" x14ac:dyDescent="0.25">
      <c r="A59" s="50"/>
      <c r="B59" s="249" t="s">
        <v>725</v>
      </c>
      <c r="C59" s="54">
        <v>438.24</v>
      </c>
      <c r="D59" s="54">
        <v>73.040000000000006</v>
      </c>
      <c r="E59" s="54">
        <f t="shared" si="1"/>
        <v>511.28000000000003</v>
      </c>
      <c r="F59" s="164">
        <v>-66.069999999999993</v>
      </c>
      <c r="G59" s="54">
        <v>0</v>
      </c>
      <c r="H59" s="54">
        <f>+FACTURACIÓN!R58</f>
        <v>0</v>
      </c>
      <c r="I59" s="164">
        <v>-0.05</v>
      </c>
      <c r="J59" s="54">
        <f>+FACTURACIÓN!S58</f>
        <v>0</v>
      </c>
      <c r="K59" s="54">
        <f t="shared" si="2"/>
        <v>-66.11999999999999</v>
      </c>
      <c r="L59" s="54">
        <f t="shared" si="3"/>
        <v>577.4</v>
      </c>
      <c r="M59" s="51" t="str">
        <f t="shared" si="0"/>
        <v>SI</v>
      </c>
      <c r="N59" s="20"/>
      <c r="O59" s="21" t="s">
        <v>725</v>
      </c>
      <c r="P59" s="315"/>
      <c r="Q59" s="316"/>
      <c r="R59" s="314"/>
    </row>
    <row r="60" spans="1:22" s="51" customFormat="1" x14ac:dyDescent="0.2">
      <c r="A60" s="50" t="s">
        <v>113</v>
      </c>
      <c r="B60" s="51" t="s">
        <v>114</v>
      </c>
      <c r="C60" s="54">
        <v>438.24</v>
      </c>
      <c r="D60" s="54">
        <v>73.040000000000006</v>
      </c>
      <c r="E60" s="54">
        <f t="shared" si="1"/>
        <v>511.28000000000003</v>
      </c>
      <c r="F60" s="164">
        <v>-66.069999999999993</v>
      </c>
      <c r="G60" s="54">
        <v>0</v>
      </c>
      <c r="H60" s="54">
        <f>+FACTURACIÓN!R59</f>
        <v>460.45</v>
      </c>
      <c r="I60" s="164">
        <v>-0.05</v>
      </c>
      <c r="J60" s="54">
        <f>+FACTURACIÓN!S59</f>
        <v>0</v>
      </c>
      <c r="K60" s="54">
        <f t="shared" si="2"/>
        <v>394.33</v>
      </c>
      <c r="L60" s="54">
        <f t="shared" si="3"/>
        <v>116.95000000000005</v>
      </c>
      <c r="M60" s="51" t="str">
        <f t="shared" si="0"/>
        <v>SI</v>
      </c>
      <c r="N60" s="20" t="s">
        <v>113</v>
      </c>
      <c r="O60" s="21" t="s">
        <v>114</v>
      </c>
      <c r="P60" s="315"/>
      <c r="Q60" s="316"/>
      <c r="R60" s="314"/>
    </row>
    <row r="61" spans="1:22" s="51" customFormat="1" x14ac:dyDescent="0.2">
      <c r="A61" s="50" t="s">
        <v>115</v>
      </c>
      <c r="B61" s="51" t="s">
        <v>116</v>
      </c>
      <c r="C61" s="54">
        <v>438.24</v>
      </c>
      <c r="D61" s="54">
        <v>73.040000000000006</v>
      </c>
      <c r="E61" s="54">
        <f t="shared" si="1"/>
        <v>511.28000000000003</v>
      </c>
      <c r="F61" s="164">
        <v>-66.069999999999993</v>
      </c>
      <c r="G61" s="54">
        <v>0</v>
      </c>
      <c r="H61" s="54">
        <f>+FACTURACIÓN!R60</f>
        <v>0</v>
      </c>
      <c r="I61" s="164">
        <v>-0.05</v>
      </c>
      <c r="J61" s="54">
        <f>+FACTURACIÓN!S60</f>
        <v>0</v>
      </c>
      <c r="K61" s="54">
        <f t="shared" si="2"/>
        <v>-66.11999999999999</v>
      </c>
      <c r="L61" s="54">
        <f t="shared" si="3"/>
        <v>577.4</v>
      </c>
      <c r="M61" s="51" t="str">
        <f t="shared" si="0"/>
        <v>SI</v>
      </c>
      <c r="N61" s="20" t="s">
        <v>115</v>
      </c>
      <c r="O61" s="21" t="s">
        <v>116</v>
      </c>
      <c r="P61" s="315"/>
      <c r="Q61" s="316"/>
      <c r="R61" s="314"/>
    </row>
    <row r="62" spans="1:22" s="51" customFormat="1" x14ac:dyDescent="0.2">
      <c r="A62" s="50" t="s">
        <v>121</v>
      </c>
      <c r="B62" s="51" t="s">
        <v>122</v>
      </c>
      <c r="C62" s="54">
        <v>438.24</v>
      </c>
      <c r="D62" s="54">
        <v>73.040000000000006</v>
      </c>
      <c r="E62" s="54">
        <f t="shared" si="1"/>
        <v>511.28000000000003</v>
      </c>
      <c r="F62" s="164">
        <v>-66.069999999999993</v>
      </c>
      <c r="G62" s="54">
        <v>0</v>
      </c>
      <c r="H62" s="54">
        <f>+FACTURACIÓN!R61</f>
        <v>0</v>
      </c>
      <c r="I62" s="164">
        <v>-0.05</v>
      </c>
      <c r="J62" s="54">
        <f>+FACTURACIÓN!S61</f>
        <v>0</v>
      </c>
      <c r="K62" s="54">
        <f t="shared" si="2"/>
        <v>-66.11999999999999</v>
      </c>
      <c r="L62" s="54">
        <f t="shared" si="3"/>
        <v>577.4</v>
      </c>
      <c r="M62" s="51" t="str">
        <f t="shared" si="0"/>
        <v>SI</v>
      </c>
      <c r="N62" s="20" t="s">
        <v>121</v>
      </c>
      <c r="O62" s="21" t="s">
        <v>122</v>
      </c>
      <c r="P62" s="315"/>
      <c r="Q62" s="316"/>
      <c r="R62" s="314"/>
    </row>
    <row r="63" spans="1:22" s="51" customFormat="1" x14ac:dyDescent="0.2">
      <c r="A63" s="50" t="s">
        <v>117</v>
      </c>
      <c r="B63" s="51" t="s">
        <v>118</v>
      </c>
      <c r="C63" s="54">
        <v>438.24</v>
      </c>
      <c r="D63" s="54">
        <v>73.040000000000006</v>
      </c>
      <c r="E63" s="54">
        <f t="shared" si="1"/>
        <v>511.28000000000003</v>
      </c>
      <c r="F63" s="164">
        <v>-66.069999999999993</v>
      </c>
      <c r="G63" s="54">
        <v>0</v>
      </c>
      <c r="H63" s="54">
        <f>+FACTURACIÓN!R62</f>
        <v>0</v>
      </c>
      <c r="I63" s="164">
        <v>-0.05</v>
      </c>
      <c r="J63" s="54">
        <f>+FACTURACIÓN!S62</f>
        <v>0</v>
      </c>
      <c r="K63" s="54">
        <f t="shared" si="2"/>
        <v>-66.11999999999999</v>
      </c>
      <c r="L63" s="54">
        <f t="shared" si="3"/>
        <v>577.4</v>
      </c>
      <c r="M63" s="51" t="str">
        <f t="shared" si="0"/>
        <v>SI</v>
      </c>
      <c r="N63" s="20" t="s">
        <v>117</v>
      </c>
      <c r="O63" s="21" t="s">
        <v>118</v>
      </c>
      <c r="P63" s="315"/>
      <c r="Q63" s="316"/>
      <c r="R63" s="314"/>
    </row>
    <row r="64" spans="1:22" s="51" customFormat="1" x14ac:dyDescent="0.2">
      <c r="A64" s="50" t="s">
        <v>119</v>
      </c>
      <c r="B64" s="51" t="s">
        <v>120</v>
      </c>
      <c r="C64" s="54">
        <v>438.24</v>
      </c>
      <c r="D64" s="54">
        <v>73.040000000000006</v>
      </c>
      <c r="E64" s="54">
        <f t="shared" si="1"/>
        <v>511.28000000000003</v>
      </c>
      <c r="F64" s="164">
        <v>-66.069999999999993</v>
      </c>
      <c r="G64" s="54">
        <v>0</v>
      </c>
      <c r="H64" s="54">
        <f>+FACTURACIÓN!R63</f>
        <v>0</v>
      </c>
      <c r="I64" s="164">
        <v>-0.05</v>
      </c>
      <c r="J64" s="54">
        <f>+FACTURACIÓN!S63</f>
        <v>0</v>
      </c>
      <c r="K64" s="54">
        <f t="shared" si="2"/>
        <v>-66.11999999999999</v>
      </c>
      <c r="L64" s="54">
        <f t="shared" si="3"/>
        <v>577.4</v>
      </c>
      <c r="M64" s="51" t="str">
        <f t="shared" si="0"/>
        <v>SI</v>
      </c>
      <c r="N64" s="20" t="s">
        <v>119</v>
      </c>
      <c r="O64" s="21" t="s">
        <v>120</v>
      </c>
      <c r="P64" s="315"/>
      <c r="Q64" s="316"/>
      <c r="R64" s="314"/>
      <c r="S64" s="225"/>
      <c r="T64" s="224"/>
      <c r="U64" s="226"/>
      <c r="V64" s="54"/>
    </row>
    <row r="65" spans="1:22" s="51" customFormat="1" x14ac:dyDescent="0.2">
      <c r="A65" s="50" t="s">
        <v>123</v>
      </c>
      <c r="B65" s="51" t="s">
        <v>124</v>
      </c>
      <c r="C65" s="54">
        <v>438.24</v>
      </c>
      <c r="D65" s="54">
        <v>73.040000000000006</v>
      </c>
      <c r="E65" s="54">
        <f t="shared" si="1"/>
        <v>511.28000000000003</v>
      </c>
      <c r="F65" s="164">
        <v>-66.069999999999993</v>
      </c>
      <c r="G65" s="54">
        <v>0</v>
      </c>
      <c r="H65" s="54">
        <f>+FACTURACIÓN!R64</f>
        <v>0</v>
      </c>
      <c r="I65" s="164">
        <v>-0.05</v>
      </c>
      <c r="J65" s="54">
        <f>+FACTURACIÓN!S64</f>
        <v>0</v>
      </c>
      <c r="K65" s="54">
        <f t="shared" si="2"/>
        <v>-66.11999999999999</v>
      </c>
      <c r="L65" s="54">
        <f t="shared" si="3"/>
        <v>577.4</v>
      </c>
      <c r="M65" s="51" t="str">
        <f t="shared" si="0"/>
        <v>SI</v>
      </c>
      <c r="N65" s="20" t="s">
        <v>123</v>
      </c>
      <c r="O65" s="21" t="s">
        <v>124</v>
      </c>
      <c r="P65" s="315"/>
      <c r="Q65" s="316"/>
      <c r="R65" s="314"/>
    </row>
    <row r="66" spans="1:22" s="51" customFormat="1" x14ac:dyDescent="0.2">
      <c r="A66" s="50" t="s">
        <v>125</v>
      </c>
      <c r="B66" s="51" t="s">
        <v>126</v>
      </c>
      <c r="C66" s="54">
        <v>438.24</v>
      </c>
      <c r="D66" s="54">
        <v>73.040000000000006</v>
      </c>
      <c r="E66" s="54">
        <f t="shared" si="1"/>
        <v>511.28000000000003</v>
      </c>
      <c r="F66" s="164">
        <v>-66.069999999999993</v>
      </c>
      <c r="G66" s="54">
        <v>0</v>
      </c>
      <c r="H66" s="54">
        <f>+FACTURACIÓN!R65</f>
        <v>0</v>
      </c>
      <c r="I66" s="164">
        <v>-0.05</v>
      </c>
      <c r="J66" s="54">
        <f>+FACTURACIÓN!S65</f>
        <v>0</v>
      </c>
      <c r="K66" s="54">
        <f t="shared" si="2"/>
        <v>-66.11999999999999</v>
      </c>
      <c r="L66" s="54">
        <f t="shared" si="3"/>
        <v>577.4</v>
      </c>
      <c r="M66" s="51" t="str">
        <f t="shared" si="0"/>
        <v>SI</v>
      </c>
      <c r="N66" s="20" t="s">
        <v>125</v>
      </c>
      <c r="O66" s="21" t="s">
        <v>126</v>
      </c>
      <c r="P66" s="315"/>
      <c r="Q66" s="316"/>
      <c r="R66" s="314"/>
    </row>
    <row r="67" spans="1:22" s="56" customFormat="1" x14ac:dyDescent="0.2">
      <c r="A67" s="50" t="s">
        <v>129</v>
      </c>
      <c r="B67" s="51" t="s">
        <v>130</v>
      </c>
      <c r="C67" s="54">
        <v>438.24</v>
      </c>
      <c r="D67" s="54">
        <v>73.040000000000006</v>
      </c>
      <c r="E67" s="54">
        <f t="shared" si="1"/>
        <v>511.28000000000003</v>
      </c>
      <c r="F67" s="164">
        <v>-66.069999999999993</v>
      </c>
      <c r="G67" s="54">
        <v>0</v>
      </c>
      <c r="H67" s="54">
        <f>+FACTURACIÓN!R66</f>
        <v>0</v>
      </c>
      <c r="I67" s="164">
        <v>-0.05</v>
      </c>
      <c r="J67" s="54">
        <f>+FACTURACIÓN!S66</f>
        <v>0</v>
      </c>
      <c r="K67" s="54">
        <f t="shared" si="2"/>
        <v>-66.11999999999999</v>
      </c>
      <c r="L67" s="54">
        <f t="shared" si="3"/>
        <v>577.4</v>
      </c>
      <c r="M67" s="51" t="str">
        <f t="shared" si="0"/>
        <v>SI</v>
      </c>
      <c r="N67" s="20" t="s">
        <v>129</v>
      </c>
      <c r="O67" s="21" t="s">
        <v>130</v>
      </c>
      <c r="P67" s="315"/>
      <c r="Q67" s="316"/>
      <c r="R67" s="319"/>
    </row>
    <row r="68" spans="1:22" s="58" customFormat="1" ht="15" x14ac:dyDescent="0.25">
      <c r="A68" s="50"/>
      <c r="B68" s="127" t="s">
        <v>629</v>
      </c>
      <c r="C68" s="54">
        <v>438.24</v>
      </c>
      <c r="D68" s="54">
        <v>73.040000000000006</v>
      </c>
      <c r="E68" s="54">
        <f t="shared" si="1"/>
        <v>511.28000000000003</v>
      </c>
      <c r="F68" s="164">
        <v>-66.069999999999993</v>
      </c>
      <c r="G68" s="54">
        <v>0</v>
      </c>
      <c r="H68" s="54">
        <f>+FACTURACIÓN!R67</f>
        <v>0</v>
      </c>
      <c r="I68" s="164">
        <v>-0.05</v>
      </c>
      <c r="J68" s="54">
        <f>+FACTURACIÓN!S67</f>
        <v>0</v>
      </c>
      <c r="K68" s="54">
        <f t="shared" si="2"/>
        <v>-66.11999999999999</v>
      </c>
      <c r="L68" s="54">
        <f t="shared" si="3"/>
        <v>577.4</v>
      </c>
      <c r="M68" s="51" t="str">
        <f t="shared" si="0"/>
        <v>SI</v>
      </c>
      <c r="N68" s="20"/>
      <c r="O68" s="21" t="s">
        <v>629</v>
      </c>
      <c r="P68" s="315"/>
      <c r="Q68" s="316"/>
      <c r="R68" s="320"/>
    </row>
    <row r="69" spans="1:22" s="51" customFormat="1" x14ac:dyDescent="0.2">
      <c r="A69" s="50" t="s">
        <v>131</v>
      </c>
      <c r="B69" s="51" t="s">
        <v>132</v>
      </c>
      <c r="C69" s="54">
        <v>438.24</v>
      </c>
      <c r="D69" s="54">
        <v>73.040000000000006</v>
      </c>
      <c r="E69" s="54">
        <f t="shared" si="1"/>
        <v>511.28000000000003</v>
      </c>
      <c r="F69" s="164">
        <v>-66.069999999999993</v>
      </c>
      <c r="G69" s="54">
        <v>0</v>
      </c>
      <c r="H69" s="54">
        <f>+FACTURACIÓN!R68</f>
        <v>0</v>
      </c>
      <c r="I69" s="164">
        <v>-0.05</v>
      </c>
      <c r="J69" s="54">
        <f>+FACTURACIÓN!S68</f>
        <v>0</v>
      </c>
      <c r="K69" s="54">
        <f t="shared" si="2"/>
        <v>-66.11999999999999</v>
      </c>
      <c r="L69" s="54">
        <f t="shared" si="3"/>
        <v>577.4</v>
      </c>
      <c r="M69" s="51" t="str">
        <f t="shared" si="0"/>
        <v>SI</v>
      </c>
      <c r="N69" s="20" t="s">
        <v>131</v>
      </c>
      <c r="O69" s="21" t="s">
        <v>132</v>
      </c>
      <c r="P69" s="315"/>
      <c r="Q69" s="316"/>
      <c r="R69" s="314"/>
    </row>
    <row r="70" spans="1:22" s="51" customFormat="1" x14ac:dyDescent="0.2">
      <c r="A70" s="50" t="s">
        <v>133</v>
      </c>
      <c r="B70" s="51" t="s">
        <v>134</v>
      </c>
      <c r="C70" s="54">
        <v>438.24</v>
      </c>
      <c r="D70" s="54">
        <v>73.040000000000006</v>
      </c>
      <c r="E70" s="54">
        <f t="shared" si="1"/>
        <v>511.28000000000003</v>
      </c>
      <c r="F70" s="164">
        <v>-66.069999999999993</v>
      </c>
      <c r="G70" s="54">
        <v>0</v>
      </c>
      <c r="H70" s="54">
        <f>+FACTURACIÓN!R69</f>
        <v>0</v>
      </c>
      <c r="I70" s="164">
        <v>-0.05</v>
      </c>
      <c r="J70" s="54">
        <f>+FACTURACIÓN!S69</f>
        <v>0</v>
      </c>
      <c r="K70" s="54">
        <f t="shared" si="2"/>
        <v>-66.11999999999999</v>
      </c>
      <c r="L70" s="54">
        <f t="shared" si="3"/>
        <v>577.4</v>
      </c>
      <c r="M70" s="51" t="str">
        <f t="shared" si="0"/>
        <v>SI</v>
      </c>
      <c r="N70" s="20" t="s">
        <v>133</v>
      </c>
      <c r="O70" s="21" t="s">
        <v>134</v>
      </c>
      <c r="P70" s="315"/>
      <c r="Q70" s="316"/>
      <c r="R70" s="314"/>
    </row>
    <row r="71" spans="1:22" s="51" customFormat="1" x14ac:dyDescent="0.2">
      <c r="A71" s="21" t="s">
        <v>199</v>
      </c>
      <c r="B71" s="21" t="s">
        <v>309</v>
      </c>
      <c r="C71" s="54">
        <v>438.24</v>
      </c>
      <c r="D71" s="54">
        <v>73.040000000000006</v>
      </c>
      <c r="E71" s="54">
        <f t="shared" si="1"/>
        <v>511.28000000000003</v>
      </c>
      <c r="F71" s="164">
        <v>-66.069999999999993</v>
      </c>
      <c r="G71" s="54">
        <v>0</v>
      </c>
      <c r="H71" s="54">
        <f>+FACTURACIÓN!R70</f>
        <v>0</v>
      </c>
      <c r="I71" s="164">
        <v>-0.05</v>
      </c>
      <c r="J71" s="54">
        <f>+FACTURACIÓN!S70</f>
        <v>0</v>
      </c>
      <c r="K71" s="54">
        <f t="shared" si="2"/>
        <v>-66.11999999999999</v>
      </c>
      <c r="L71" s="54">
        <f t="shared" si="3"/>
        <v>577.4</v>
      </c>
      <c r="M71" s="51" t="str">
        <f t="shared" si="0"/>
        <v>SI</v>
      </c>
      <c r="N71" s="20" t="s">
        <v>199</v>
      </c>
      <c r="O71" s="21" t="s">
        <v>309</v>
      </c>
      <c r="P71" s="315"/>
      <c r="Q71" s="316"/>
      <c r="R71" s="314"/>
    </row>
    <row r="72" spans="1:22" s="51" customFormat="1" x14ac:dyDescent="0.2">
      <c r="A72" s="50" t="s">
        <v>137</v>
      </c>
      <c r="B72" s="51" t="s">
        <v>138</v>
      </c>
      <c r="C72" s="54">
        <v>438.24</v>
      </c>
      <c r="D72" s="54">
        <v>73.040000000000006</v>
      </c>
      <c r="E72" s="54">
        <f t="shared" si="1"/>
        <v>511.28000000000003</v>
      </c>
      <c r="F72" s="164">
        <v>-66.069999999999993</v>
      </c>
      <c r="G72" s="54">
        <v>0</v>
      </c>
      <c r="H72" s="54">
        <f>+FACTURACIÓN!R71</f>
        <v>0</v>
      </c>
      <c r="I72" s="164">
        <v>-0.05</v>
      </c>
      <c r="J72" s="54">
        <f>+FACTURACIÓN!S71</f>
        <v>0</v>
      </c>
      <c r="K72" s="54">
        <f t="shared" si="2"/>
        <v>-66.11999999999999</v>
      </c>
      <c r="L72" s="54">
        <f t="shared" si="3"/>
        <v>577.4</v>
      </c>
      <c r="M72" s="51" t="str">
        <f t="shared" si="0"/>
        <v>SI</v>
      </c>
      <c r="N72" s="20" t="s">
        <v>137</v>
      </c>
      <c r="O72" s="21" t="s">
        <v>138</v>
      </c>
      <c r="P72" s="315"/>
      <c r="Q72" s="316"/>
      <c r="R72" s="314"/>
    </row>
    <row r="73" spans="1:22" s="51" customFormat="1" x14ac:dyDescent="0.2">
      <c r="A73" s="50" t="s">
        <v>139</v>
      </c>
      <c r="B73" s="51" t="s">
        <v>140</v>
      </c>
      <c r="C73" s="54">
        <v>438.24</v>
      </c>
      <c r="D73" s="54">
        <v>73.040000000000006</v>
      </c>
      <c r="E73" s="54">
        <f t="shared" ref="E73:E92" si="9">SUM(C73:D73)</f>
        <v>511.28000000000003</v>
      </c>
      <c r="F73" s="164">
        <v>-66.069999999999993</v>
      </c>
      <c r="G73" s="54">
        <v>0</v>
      </c>
      <c r="H73" s="54">
        <f>+FACTURACIÓN!R72</f>
        <v>0</v>
      </c>
      <c r="I73" s="164">
        <v>-0.05</v>
      </c>
      <c r="J73" s="54">
        <f>+FACTURACIÓN!S72</f>
        <v>0</v>
      </c>
      <c r="K73" s="54">
        <f t="shared" ref="K73:K92" si="10">SUM(F73:J73)</f>
        <v>-66.11999999999999</v>
      </c>
      <c r="L73" s="54">
        <f t="shared" ref="L73:L92" si="11">+E73-K73</f>
        <v>577.4</v>
      </c>
      <c r="M73" s="51" t="str">
        <f t="shared" si="0"/>
        <v>SI</v>
      </c>
      <c r="N73" s="20" t="s">
        <v>139</v>
      </c>
      <c r="O73" s="21" t="s">
        <v>140</v>
      </c>
      <c r="P73" s="315"/>
      <c r="Q73" s="316"/>
      <c r="R73" s="314"/>
    </row>
    <row r="74" spans="1:22" s="51" customFormat="1" x14ac:dyDescent="0.2">
      <c r="A74" s="50" t="s">
        <v>509</v>
      </c>
      <c r="B74" s="51" t="s">
        <v>510</v>
      </c>
      <c r="C74" s="54">
        <v>438.24</v>
      </c>
      <c r="D74" s="54">
        <v>73.040000000000006</v>
      </c>
      <c r="E74" s="54">
        <f t="shared" si="9"/>
        <v>511.28000000000003</v>
      </c>
      <c r="F74" s="164">
        <v>-66.069999999999993</v>
      </c>
      <c r="G74" s="54">
        <v>0</v>
      </c>
      <c r="H74" s="54">
        <f>+FACTURACIÓN!R73</f>
        <v>0</v>
      </c>
      <c r="I74" s="164">
        <v>-0.05</v>
      </c>
      <c r="J74" s="54">
        <f>+FACTURACIÓN!S73</f>
        <v>0</v>
      </c>
      <c r="K74" s="54">
        <f t="shared" si="10"/>
        <v>-66.11999999999999</v>
      </c>
      <c r="L74" s="54">
        <f t="shared" si="11"/>
        <v>577.4</v>
      </c>
      <c r="M74" s="51" t="str">
        <f t="shared" ref="M74:M92" si="12">IF(B74=O74,"SI","NO")</f>
        <v>SI</v>
      </c>
      <c r="N74" s="50" t="s">
        <v>509</v>
      </c>
      <c r="O74" s="21" t="s">
        <v>510</v>
      </c>
      <c r="P74" s="315"/>
      <c r="Q74" s="316"/>
      <c r="R74" s="314"/>
    </row>
    <row r="75" spans="1:22" s="51" customFormat="1" x14ac:dyDescent="0.2">
      <c r="A75" s="50" t="s">
        <v>141</v>
      </c>
      <c r="B75" s="51" t="s">
        <v>142</v>
      </c>
      <c r="C75" s="54">
        <v>438.24</v>
      </c>
      <c r="D75" s="54">
        <v>73.040000000000006</v>
      </c>
      <c r="E75" s="54">
        <f t="shared" si="9"/>
        <v>511.28000000000003</v>
      </c>
      <c r="F75" s="164">
        <v>-66.069999999999993</v>
      </c>
      <c r="G75" s="54">
        <v>0</v>
      </c>
      <c r="H75" s="54">
        <f>+FACTURACIÓN!R74</f>
        <v>0</v>
      </c>
      <c r="I75" s="164">
        <v>-0.05</v>
      </c>
      <c r="J75" s="54">
        <f>+FACTURACIÓN!S74</f>
        <v>0</v>
      </c>
      <c r="K75" s="54">
        <f t="shared" si="10"/>
        <v>-66.11999999999999</v>
      </c>
      <c r="L75" s="54">
        <f t="shared" si="11"/>
        <v>577.4</v>
      </c>
      <c r="M75" s="51" t="str">
        <f t="shared" si="12"/>
        <v>SI</v>
      </c>
      <c r="N75" s="20" t="s">
        <v>141</v>
      </c>
      <c r="O75" s="21" t="s">
        <v>142</v>
      </c>
      <c r="P75" s="315"/>
      <c r="Q75" s="316"/>
      <c r="R75" s="314"/>
    </row>
    <row r="76" spans="1:22" s="51" customFormat="1" x14ac:dyDescent="0.2">
      <c r="A76" s="50" t="s">
        <v>143</v>
      </c>
      <c r="B76" s="51" t="s">
        <v>144</v>
      </c>
      <c r="C76" s="54">
        <v>438.24</v>
      </c>
      <c r="D76" s="54">
        <v>73.040000000000006</v>
      </c>
      <c r="E76" s="54">
        <f t="shared" si="9"/>
        <v>511.28000000000003</v>
      </c>
      <c r="F76" s="164">
        <v>-66.069999999999993</v>
      </c>
      <c r="G76" s="54">
        <v>0</v>
      </c>
      <c r="H76" s="54">
        <f>+FACTURACIÓN!R75</f>
        <v>0</v>
      </c>
      <c r="I76" s="164">
        <v>-0.05</v>
      </c>
      <c r="J76" s="54">
        <f>+FACTURACIÓN!S75</f>
        <v>0</v>
      </c>
      <c r="K76" s="54">
        <f t="shared" si="10"/>
        <v>-66.11999999999999</v>
      </c>
      <c r="L76" s="54">
        <f t="shared" si="11"/>
        <v>577.4</v>
      </c>
      <c r="M76" s="51" t="str">
        <f t="shared" si="12"/>
        <v>SI</v>
      </c>
      <c r="N76" s="20" t="s">
        <v>143</v>
      </c>
      <c r="O76" s="21" t="s">
        <v>144</v>
      </c>
      <c r="P76" s="315"/>
      <c r="Q76" s="316"/>
      <c r="R76" s="314"/>
    </row>
    <row r="77" spans="1:22" s="51" customFormat="1" x14ac:dyDescent="0.2">
      <c r="A77" s="50" t="s">
        <v>188</v>
      </c>
      <c r="B77" s="51" t="s">
        <v>314</v>
      </c>
      <c r="C77" s="54">
        <v>438.24</v>
      </c>
      <c r="D77" s="54">
        <v>73.040000000000006</v>
      </c>
      <c r="E77" s="54">
        <f t="shared" si="9"/>
        <v>511.28000000000003</v>
      </c>
      <c r="F77" s="164">
        <v>-66.069999999999993</v>
      </c>
      <c r="G77" s="54">
        <v>0</v>
      </c>
      <c r="H77" s="54">
        <f>+FACTURACIÓN!R76</f>
        <v>0</v>
      </c>
      <c r="I77" s="164">
        <v>-0.05</v>
      </c>
      <c r="J77" s="54">
        <f>+FACTURACIÓN!S76</f>
        <v>0</v>
      </c>
      <c r="K77" s="54">
        <f t="shared" si="10"/>
        <v>-66.11999999999999</v>
      </c>
      <c r="L77" s="54">
        <f t="shared" si="11"/>
        <v>577.4</v>
      </c>
      <c r="M77" s="51" t="str">
        <f t="shared" si="12"/>
        <v>SI</v>
      </c>
      <c r="N77" s="20" t="s">
        <v>188</v>
      </c>
      <c r="O77" s="21" t="s">
        <v>314</v>
      </c>
      <c r="P77" s="315"/>
      <c r="Q77" s="316"/>
      <c r="R77" s="314"/>
    </row>
    <row r="78" spans="1:22" s="51" customFormat="1" x14ac:dyDescent="0.2">
      <c r="A78" s="50" t="s">
        <v>148</v>
      </c>
      <c r="B78" s="51" t="s">
        <v>149</v>
      </c>
      <c r="C78" s="54">
        <v>438.24</v>
      </c>
      <c r="D78" s="54">
        <v>73.040000000000006</v>
      </c>
      <c r="E78" s="54">
        <f t="shared" si="9"/>
        <v>511.28000000000003</v>
      </c>
      <c r="F78" s="164">
        <v>-66.069999999999993</v>
      </c>
      <c r="G78" s="54">
        <v>0</v>
      </c>
      <c r="H78" s="54">
        <f>+FACTURACIÓN!R77</f>
        <v>0</v>
      </c>
      <c r="I78" s="164">
        <v>-0.05</v>
      </c>
      <c r="J78" s="54">
        <f>+FACTURACIÓN!S77</f>
        <v>0</v>
      </c>
      <c r="K78" s="54">
        <f t="shared" si="10"/>
        <v>-66.11999999999999</v>
      </c>
      <c r="L78" s="54">
        <f t="shared" si="11"/>
        <v>577.4</v>
      </c>
      <c r="M78" s="51" t="str">
        <f t="shared" si="12"/>
        <v>SI</v>
      </c>
      <c r="N78" s="20" t="s">
        <v>148</v>
      </c>
      <c r="O78" s="21" t="s">
        <v>149</v>
      </c>
      <c r="P78" s="315"/>
      <c r="Q78" s="316"/>
      <c r="R78" s="314"/>
    </row>
    <row r="79" spans="1:22" s="51" customFormat="1" x14ac:dyDescent="0.2">
      <c r="A79" s="50" t="s">
        <v>150</v>
      </c>
      <c r="B79" s="51" t="s">
        <v>151</v>
      </c>
      <c r="C79" s="54">
        <v>438.24</v>
      </c>
      <c r="D79" s="54">
        <v>73.040000000000006</v>
      </c>
      <c r="E79" s="54">
        <f t="shared" si="9"/>
        <v>511.28000000000003</v>
      </c>
      <c r="F79" s="164">
        <v>-66.069999999999993</v>
      </c>
      <c r="G79" s="54">
        <v>0</v>
      </c>
      <c r="H79" s="54">
        <f>+FACTURACIÓN!R78</f>
        <v>0</v>
      </c>
      <c r="I79" s="164">
        <v>-0.05</v>
      </c>
      <c r="J79" s="54">
        <f>+FACTURACIÓN!S78</f>
        <v>0</v>
      </c>
      <c r="K79" s="54">
        <f t="shared" si="10"/>
        <v>-66.11999999999999</v>
      </c>
      <c r="L79" s="54">
        <f t="shared" si="11"/>
        <v>577.4</v>
      </c>
      <c r="M79" s="51" t="str">
        <f t="shared" si="12"/>
        <v>SI</v>
      </c>
      <c r="N79" s="20" t="s">
        <v>150</v>
      </c>
      <c r="O79" s="21" t="s">
        <v>151</v>
      </c>
      <c r="P79" s="315"/>
      <c r="Q79" s="316"/>
      <c r="R79" s="314"/>
    </row>
    <row r="80" spans="1:22" s="51" customFormat="1" x14ac:dyDescent="0.2">
      <c r="A80" s="50" t="s">
        <v>152</v>
      </c>
      <c r="B80" s="51" t="s">
        <v>153</v>
      </c>
      <c r="C80" s="54">
        <v>438.24</v>
      </c>
      <c r="D80" s="54">
        <v>73.040000000000006</v>
      </c>
      <c r="E80" s="54">
        <f t="shared" si="9"/>
        <v>511.28000000000003</v>
      </c>
      <c r="F80" s="164">
        <v>-66.069999999999993</v>
      </c>
      <c r="G80" s="54">
        <v>0</v>
      </c>
      <c r="H80" s="54">
        <f>+FACTURACIÓN!R79</f>
        <v>0</v>
      </c>
      <c r="I80" s="164">
        <v>-0.05</v>
      </c>
      <c r="J80" s="54">
        <f>+FACTURACIÓN!S79</f>
        <v>0</v>
      </c>
      <c r="K80" s="54">
        <f t="shared" si="10"/>
        <v>-66.11999999999999</v>
      </c>
      <c r="L80" s="54">
        <f t="shared" si="11"/>
        <v>577.4</v>
      </c>
      <c r="M80" s="51" t="str">
        <f t="shared" si="12"/>
        <v>SI</v>
      </c>
      <c r="N80" s="20" t="s">
        <v>152</v>
      </c>
      <c r="O80" s="21" t="s">
        <v>153</v>
      </c>
      <c r="P80" s="315"/>
      <c r="Q80" s="316"/>
      <c r="R80" s="314"/>
      <c r="S80" s="225"/>
      <c r="T80" s="224"/>
      <c r="U80" s="226"/>
      <c r="V80" s="54"/>
    </row>
    <row r="81" spans="1:22" s="51" customFormat="1" x14ac:dyDescent="0.2">
      <c r="A81" s="50" t="s">
        <v>317</v>
      </c>
      <c r="B81" s="51" t="s">
        <v>154</v>
      </c>
      <c r="C81" s="54">
        <v>438.24</v>
      </c>
      <c r="D81" s="54">
        <v>73.040000000000006</v>
      </c>
      <c r="E81" s="54">
        <f t="shared" si="9"/>
        <v>511.28000000000003</v>
      </c>
      <c r="F81" s="164">
        <v>-66.069999999999993</v>
      </c>
      <c r="G81" s="54">
        <v>0</v>
      </c>
      <c r="H81" s="54">
        <f>+FACTURACIÓN!R80</f>
        <v>0</v>
      </c>
      <c r="I81" s="164">
        <v>-0.05</v>
      </c>
      <c r="J81" s="54">
        <f>+FACTURACIÓN!S80</f>
        <v>0</v>
      </c>
      <c r="K81" s="54">
        <f t="shared" si="10"/>
        <v>-66.11999999999999</v>
      </c>
      <c r="L81" s="54">
        <f t="shared" si="11"/>
        <v>577.4</v>
      </c>
      <c r="M81" s="51" t="str">
        <f t="shared" si="12"/>
        <v>SI</v>
      </c>
      <c r="N81" s="20" t="s">
        <v>317</v>
      </c>
      <c r="O81" s="21" t="s">
        <v>154</v>
      </c>
      <c r="P81" s="315"/>
      <c r="Q81" s="316"/>
      <c r="R81" s="314"/>
    </row>
    <row r="82" spans="1:22" s="51" customFormat="1" x14ac:dyDescent="0.2">
      <c r="A82" s="50" t="s">
        <v>155</v>
      </c>
      <c r="B82" s="51" t="s">
        <v>156</v>
      </c>
      <c r="C82" s="54">
        <v>438.24</v>
      </c>
      <c r="D82" s="54">
        <v>73.040000000000006</v>
      </c>
      <c r="E82" s="54">
        <f t="shared" si="9"/>
        <v>511.28000000000003</v>
      </c>
      <c r="F82" s="164">
        <v>-66.069999999999993</v>
      </c>
      <c r="G82" s="54">
        <v>0</v>
      </c>
      <c r="H82" s="54">
        <f>+FACTURACIÓN!R81</f>
        <v>0</v>
      </c>
      <c r="I82" s="164">
        <v>-0.05</v>
      </c>
      <c r="J82" s="54">
        <f>+FACTURACIÓN!S81</f>
        <v>0</v>
      </c>
      <c r="K82" s="54">
        <f t="shared" si="10"/>
        <v>-66.11999999999999</v>
      </c>
      <c r="L82" s="54">
        <f t="shared" si="11"/>
        <v>577.4</v>
      </c>
      <c r="M82" s="51" t="str">
        <f t="shared" si="12"/>
        <v>SI</v>
      </c>
      <c r="N82" s="20" t="s">
        <v>155</v>
      </c>
      <c r="O82" s="21" t="s">
        <v>156</v>
      </c>
      <c r="P82" s="315"/>
      <c r="Q82" s="316"/>
      <c r="R82" s="314"/>
    </row>
    <row r="83" spans="1:22" s="51" customFormat="1" x14ac:dyDescent="0.2">
      <c r="A83" s="50" t="s">
        <v>511</v>
      </c>
      <c r="B83" s="51" t="s">
        <v>512</v>
      </c>
      <c r="C83" s="54">
        <v>438.24</v>
      </c>
      <c r="D83" s="54">
        <v>73.040000000000006</v>
      </c>
      <c r="E83" s="54">
        <f t="shared" si="9"/>
        <v>511.28000000000003</v>
      </c>
      <c r="F83" s="164">
        <v>-66.069999999999993</v>
      </c>
      <c r="G83" s="54">
        <v>0</v>
      </c>
      <c r="H83" s="54">
        <f>+FACTURACIÓN!R82</f>
        <v>0</v>
      </c>
      <c r="I83" s="164">
        <v>-0.05</v>
      </c>
      <c r="J83" s="54">
        <f>+FACTURACIÓN!S82</f>
        <v>0</v>
      </c>
      <c r="K83" s="54">
        <f t="shared" si="10"/>
        <v>-66.11999999999999</v>
      </c>
      <c r="L83" s="54">
        <f t="shared" si="11"/>
        <v>577.4</v>
      </c>
      <c r="M83" s="51" t="str">
        <f t="shared" si="12"/>
        <v>SI</v>
      </c>
      <c r="N83" s="50" t="s">
        <v>511</v>
      </c>
      <c r="O83" s="21" t="s">
        <v>512</v>
      </c>
      <c r="P83" s="315"/>
      <c r="Q83" s="316"/>
      <c r="R83" s="314"/>
    </row>
    <row r="84" spans="1:22" s="51" customFormat="1" x14ac:dyDescent="0.2">
      <c r="A84" s="50" t="s">
        <v>157</v>
      </c>
      <c r="B84" s="51" t="s">
        <v>158</v>
      </c>
      <c r="C84" s="54">
        <v>438.24</v>
      </c>
      <c r="D84" s="54">
        <v>73.040000000000006</v>
      </c>
      <c r="E84" s="54">
        <f t="shared" si="9"/>
        <v>511.28000000000003</v>
      </c>
      <c r="F84" s="164">
        <v>-66.069999999999993</v>
      </c>
      <c r="G84" s="54">
        <v>0</v>
      </c>
      <c r="H84" s="54">
        <f>+FACTURACIÓN!R83</f>
        <v>0</v>
      </c>
      <c r="I84" s="164">
        <v>-0.05</v>
      </c>
      <c r="J84" s="54">
        <f>+FACTURACIÓN!S83</f>
        <v>0</v>
      </c>
      <c r="K84" s="54">
        <f t="shared" si="10"/>
        <v>-66.11999999999999</v>
      </c>
      <c r="L84" s="54">
        <f t="shared" si="11"/>
        <v>577.4</v>
      </c>
      <c r="M84" s="51" t="str">
        <f t="shared" si="12"/>
        <v>SI</v>
      </c>
      <c r="N84" s="20" t="s">
        <v>157</v>
      </c>
      <c r="O84" s="21" t="s">
        <v>158</v>
      </c>
      <c r="P84" s="315"/>
      <c r="Q84" s="316"/>
      <c r="R84" s="314"/>
    </row>
    <row r="85" spans="1:22" s="51" customFormat="1" x14ac:dyDescent="0.2">
      <c r="A85" s="50" t="s">
        <v>159</v>
      </c>
      <c r="B85" s="51" t="s">
        <v>160</v>
      </c>
      <c r="C85" s="54">
        <v>438.24</v>
      </c>
      <c r="D85" s="54">
        <v>73.040000000000006</v>
      </c>
      <c r="E85" s="54">
        <f t="shared" si="9"/>
        <v>511.28000000000003</v>
      </c>
      <c r="F85" s="164">
        <v>-66.069999999999993</v>
      </c>
      <c r="G85" s="54">
        <v>0</v>
      </c>
      <c r="H85" s="54">
        <f>+FACTURACIÓN!R84</f>
        <v>0</v>
      </c>
      <c r="I85" s="164">
        <v>-0.05</v>
      </c>
      <c r="J85" s="54">
        <f>+FACTURACIÓN!S84</f>
        <v>0</v>
      </c>
      <c r="K85" s="54">
        <f t="shared" si="10"/>
        <v>-66.11999999999999</v>
      </c>
      <c r="L85" s="54">
        <f t="shared" si="11"/>
        <v>577.4</v>
      </c>
      <c r="M85" s="51" t="str">
        <f t="shared" si="12"/>
        <v>SI</v>
      </c>
      <c r="N85" s="20" t="s">
        <v>159</v>
      </c>
      <c r="O85" s="21" t="s">
        <v>160</v>
      </c>
      <c r="P85" s="315"/>
      <c r="Q85" s="316"/>
      <c r="R85" s="314"/>
    </row>
    <row r="86" spans="1:22" s="51" customFormat="1" x14ac:dyDescent="0.2">
      <c r="A86" s="50" t="s">
        <v>161</v>
      </c>
      <c r="B86" s="51" t="s">
        <v>162</v>
      </c>
      <c r="C86" s="54">
        <v>438.24</v>
      </c>
      <c r="D86" s="54">
        <v>73.040000000000006</v>
      </c>
      <c r="E86" s="54">
        <f t="shared" si="9"/>
        <v>511.28000000000003</v>
      </c>
      <c r="F86" s="164">
        <v>-66.069999999999993</v>
      </c>
      <c r="G86" s="54">
        <v>0</v>
      </c>
      <c r="H86" s="54">
        <f>+FACTURACIÓN!R85</f>
        <v>0</v>
      </c>
      <c r="I86" s="164">
        <v>-0.05</v>
      </c>
      <c r="J86" s="54">
        <f>+FACTURACIÓN!S85</f>
        <v>0</v>
      </c>
      <c r="K86" s="54">
        <f t="shared" si="10"/>
        <v>-66.11999999999999</v>
      </c>
      <c r="L86" s="54">
        <f t="shared" si="11"/>
        <v>577.4</v>
      </c>
      <c r="M86" s="51" t="str">
        <f t="shared" si="12"/>
        <v>SI</v>
      </c>
      <c r="N86" s="20" t="s">
        <v>161</v>
      </c>
      <c r="O86" s="21" t="s">
        <v>162</v>
      </c>
      <c r="P86" s="315"/>
      <c r="Q86" s="316"/>
      <c r="R86" s="314"/>
    </row>
    <row r="87" spans="1:22" s="51" customFormat="1" x14ac:dyDescent="0.2">
      <c r="A87" s="50" t="s">
        <v>163</v>
      </c>
      <c r="B87" s="51" t="s">
        <v>164</v>
      </c>
      <c r="C87" s="54">
        <v>292.16000000000003</v>
      </c>
      <c r="D87" s="54">
        <v>36.520000000000003</v>
      </c>
      <c r="E87" s="54">
        <f t="shared" si="9"/>
        <v>328.68</v>
      </c>
      <c r="F87" s="164">
        <v>-37.754285714285707</v>
      </c>
      <c r="G87" s="54">
        <v>0</v>
      </c>
      <c r="H87" s="54">
        <f>+FACTURACIÓN!R86</f>
        <v>268.935</v>
      </c>
      <c r="I87" s="164">
        <v>-0.05</v>
      </c>
      <c r="J87" s="54">
        <f>+FACTURACIÓN!S86</f>
        <v>0</v>
      </c>
      <c r="K87" s="54">
        <f t="shared" si="10"/>
        <v>231.13071428571428</v>
      </c>
      <c r="L87" s="54">
        <f t="shared" si="11"/>
        <v>97.54928571428573</v>
      </c>
      <c r="M87" s="51" t="str">
        <f t="shared" si="12"/>
        <v>SI</v>
      </c>
      <c r="N87" s="20" t="s">
        <v>163</v>
      </c>
      <c r="O87" s="21" t="s">
        <v>164</v>
      </c>
      <c r="P87" s="315"/>
      <c r="Q87" s="316"/>
      <c r="R87" s="314"/>
    </row>
    <row r="88" spans="1:22" s="51" customFormat="1" x14ac:dyDescent="0.2">
      <c r="A88" s="50" t="s">
        <v>165</v>
      </c>
      <c r="B88" s="51" t="s">
        <v>166</v>
      </c>
      <c r="C88" s="54">
        <v>438.24</v>
      </c>
      <c r="D88" s="54">
        <v>73.040000000000006</v>
      </c>
      <c r="E88" s="54">
        <f t="shared" si="9"/>
        <v>511.28000000000003</v>
      </c>
      <c r="F88" s="164">
        <v>-66.069999999999993</v>
      </c>
      <c r="G88" s="54">
        <v>0</v>
      </c>
      <c r="H88" s="54">
        <f>+FACTURACIÓN!R87</f>
        <v>0</v>
      </c>
      <c r="I88" s="164">
        <v>-0.05</v>
      </c>
      <c r="J88" s="54">
        <f>+FACTURACIÓN!S87</f>
        <v>0</v>
      </c>
      <c r="K88" s="54">
        <f t="shared" si="10"/>
        <v>-66.11999999999999</v>
      </c>
      <c r="L88" s="54">
        <f t="shared" si="11"/>
        <v>577.4</v>
      </c>
      <c r="M88" s="51" t="str">
        <f t="shared" si="12"/>
        <v>SI</v>
      </c>
      <c r="N88" s="20" t="s">
        <v>165</v>
      </c>
      <c r="O88" s="21" t="s">
        <v>166</v>
      </c>
      <c r="P88" s="315"/>
      <c r="Q88" s="316"/>
      <c r="R88" s="314"/>
    </row>
    <row r="89" spans="1:22" s="51" customFormat="1" x14ac:dyDescent="0.2">
      <c r="A89" s="50" t="s">
        <v>167</v>
      </c>
      <c r="B89" s="51" t="s">
        <v>168</v>
      </c>
      <c r="C89" s="54">
        <v>438.24</v>
      </c>
      <c r="D89" s="54">
        <v>73.040000000000006</v>
      </c>
      <c r="E89" s="54">
        <f t="shared" si="9"/>
        <v>511.28000000000003</v>
      </c>
      <c r="F89" s="164">
        <v>-66.069999999999993</v>
      </c>
      <c r="G89" s="54">
        <v>0</v>
      </c>
      <c r="H89" s="54">
        <f>+FACTURACIÓN!R88</f>
        <v>0</v>
      </c>
      <c r="I89" s="164">
        <v>-0.05</v>
      </c>
      <c r="J89" s="54">
        <f>+FACTURACIÓN!S88</f>
        <v>0</v>
      </c>
      <c r="K89" s="54">
        <f t="shared" si="10"/>
        <v>-66.11999999999999</v>
      </c>
      <c r="L89" s="54">
        <f t="shared" si="11"/>
        <v>577.4</v>
      </c>
      <c r="M89" s="51" t="str">
        <f t="shared" si="12"/>
        <v>SI</v>
      </c>
      <c r="N89" s="20" t="s">
        <v>167</v>
      </c>
      <c r="O89" s="21" t="s">
        <v>168</v>
      </c>
      <c r="P89" s="315"/>
      <c r="Q89" s="316"/>
      <c r="R89" s="314"/>
    </row>
    <row r="90" spans="1:22" s="51" customFormat="1" x14ac:dyDescent="0.2">
      <c r="A90" s="50" t="s">
        <v>169</v>
      </c>
      <c r="B90" s="51" t="s">
        <v>170</v>
      </c>
      <c r="C90" s="54">
        <v>438.24</v>
      </c>
      <c r="D90" s="54">
        <v>73.040000000000006</v>
      </c>
      <c r="E90" s="54">
        <f t="shared" si="9"/>
        <v>511.28000000000003</v>
      </c>
      <c r="F90" s="164">
        <v>-66.069999999999993</v>
      </c>
      <c r="G90" s="54">
        <v>0</v>
      </c>
      <c r="H90" s="54">
        <f>+FACTURACIÓN!R89</f>
        <v>0</v>
      </c>
      <c r="I90" s="164">
        <v>-0.05</v>
      </c>
      <c r="J90" s="54">
        <f>+FACTURACIÓN!S89</f>
        <v>0</v>
      </c>
      <c r="K90" s="54">
        <f t="shared" si="10"/>
        <v>-66.11999999999999</v>
      </c>
      <c r="L90" s="54">
        <f t="shared" si="11"/>
        <v>577.4</v>
      </c>
      <c r="M90" s="51" t="str">
        <f t="shared" si="12"/>
        <v>SI</v>
      </c>
      <c r="N90" s="20" t="s">
        <v>169</v>
      </c>
      <c r="O90" s="21" t="s">
        <v>170</v>
      </c>
      <c r="P90" s="315"/>
      <c r="Q90" s="316"/>
      <c r="R90" s="314"/>
    </row>
    <row r="91" spans="1:22" s="51" customFormat="1" x14ac:dyDescent="0.2">
      <c r="A91" s="50" t="s">
        <v>171</v>
      </c>
      <c r="B91" s="51" t="s">
        <v>172</v>
      </c>
      <c r="C91" s="54">
        <v>365.2</v>
      </c>
      <c r="D91" s="54">
        <v>60.87</v>
      </c>
      <c r="E91" s="54">
        <f t="shared" si="9"/>
        <v>426.07</v>
      </c>
      <c r="F91" s="164">
        <v>-56.631428571428557</v>
      </c>
      <c r="G91" s="54">
        <v>0</v>
      </c>
      <c r="H91" s="54">
        <f>+FACTURACIÓN!R90</f>
        <v>0</v>
      </c>
      <c r="I91" s="164">
        <v>-0.1</v>
      </c>
      <c r="J91" s="54">
        <f>+FACTURACIÓN!S90</f>
        <v>0</v>
      </c>
      <c r="K91" s="54">
        <f t="shared" si="10"/>
        <v>-56.731428571428559</v>
      </c>
      <c r="L91" s="54">
        <f t="shared" si="11"/>
        <v>482.80142857142857</v>
      </c>
      <c r="M91" s="51" t="str">
        <f t="shared" si="12"/>
        <v>SI</v>
      </c>
      <c r="N91" s="20" t="s">
        <v>171</v>
      </c>
      <c r="O91" s="21" t="s">
        <v>172</v>
      </c>
      <c r="P91" s="315"/>
      <c r="Q91" s="316"/>
      <c r="R91" s="314"/>
    </row>
    <row r="92" spans="1:22" s="51" customFormat="1" x14ac:dyDescent="0.2">
      <c r="A92" s="50" t="s">
        <v>173</v>
      </c>
      <c r="B92" s="51" t="s">
        <v>174</v>
      </c>
      <c r="C92" s="54">
        <v>438.24</v>
      </c>
      <c r="D92" s="54">
        <v>73.040000000000006</v>
      </c>
      <c r="E92" s="54">
        <f t="shared" si="9"/>
        <v>511.28000000000003</v>
      </c>
      <c r="F92" s="164">
        <v>-66.069999999999993</v>
      </c>
      <c r="G92" s="54">
        <v>0</v>
      </c>
      <c r="H92" s="54">
        <f>+FACTURACIÓN!R91</f>
        <v>0</v>
      </c>
      <c r="I92" s="164">
        <v>-0.05</v>
      </c>
      <c r="J92" s="54">
        <f>+FACTURACIÓN!S91</f>
        <v>0</v>
      </c>
      <c r="K92" s="54">
        <f t="shared" si="10"/>
        <v>-66.11999999999999</v>
      </c>
      <c r="L92" s="54">
        <f t="shared" si="11"/>
        <v>577.4</v>
      </c>
      <c r="M92" s="51" t="str">
        <f t="shared" si="12"/>
        <v>SI</v>
      </c>
      <c r="N92" s="20" t="s">
        <v>173</v>
      </c>
      <c r="O92" s="21" t="s">
        <v>174</v>
      </c>
      <c r="P92" s="315"/>
      <c r="Q92" s="316"/>
      <c r="R92" s="314"/>
    </row>
    <row r="93" spans="1:22" s="51" customFormat="1" x14ac:dyDescent="0.2">
      <c r="N93" s="20"/>
      <c r="O93" s="21"/>
      <c r="P93" s="315"/>
      <c r="Q93" s="316"/>
      <c r="R93" s="314"/>
    </row>
    <row r="94" spans="1:22" s="51" customFormat="1" ht="12.75" thickBot="1" x14ac:dyDescent="0.25">
      <c r="A94" s="50"/>
      <c r="C94" s="166">
        <f t="shared" ref="C94:L94" si="13">SUM(C10:C92)</f>
        <v>35497.440000000046</v>
      </c>
      <c r="D94" s="166">
        <f t="shared" si="13"/>
        <v>5904.0866666666643</v>
      </c>
      <c r="E94" s="166">
        <f t="shared" si="13"/>
        <v>41401.526666666621</v>
      </c>
      <c r="F94" s="166">
        <f t="shared" si="13"/>
        <v>-5361.1085714285691</v>
      </c>
      <c r="G94" s="166">
        <f t="shared" si="13"/>
        <v>0</v>
      </c>
      <c r="H94" s="166">
        <f t="shared" si="13"/>
        <v>1261.6949999999999</v>
      </c>
      <c r="I94" s="166">
        <f t="shared" si="13"/>
        <v>-4.4999999999999929</v>
      </c>
      <c r="J94" s="166">
        <f t="shared" si="13"/>
        <v>167.44</v>
      </c>
      <c r="K94" s="166">
        <f t="shared" si="13"/>
        <v>-3936.4735714285657</v>
      </c>
      <c r="L94" s="166">
        <f t="shared" si="13"/>
        <v>45338.000238095301</v>
      </c>
      <c r="N94" s="20"/>
      <c r="O94" s="21"/>
      <c r="P94" s="315"/>
      <c r="Q94" s="316"/>
      <c r="R94" s="314"/>
      <c r="S94" s="225"/>
      <c r="T94" s="224"/>
      <c r="U94" s="226"/>
      <c r="V94" s="54"/>
    </row>
    <row r="95" spans="1:22" s="51" customFormat="1" ht="12" thickTop="1" x14ac:dyDescent="0.2">
      <c r="A95" s="50"/>
      <c r="L95" s="54"/>
      <c r="N95" s="225"/>
      <c r="O95" s="224"/>
      <c r="P95" s="315"/>
      <c r="Q95" s="316"/>
      <c r="R95" s="314"/>
      <c r="S95" s="50"/>
      <c r="U95" s="211"/>
      <c r="V95" s="54"/>
    </row>
    <row r="96" spans="1:22" s="51" customFormat="1" x14ac:dyDescent="0.2">
      <c r="A96" s="50"/>
      <c r="L96" s="54"/>
      <c r="N96" s="225"/>
      <c r="O96" s="224"/>
      <c r="P96" s="315"/>
      <c r="Q96" s="316"/>
      <c r="R96" s="314"/>
      <c r="S96" s="50"/>
      <c r="U96" s="211"/>
      <c r="V96" s="54"/>
    </row>
    <row r="97" spans="1:18" s="51" customFormat="1" x14ac:dyDescent="0.2">
      <c r="A97" s="50"/>
      <c r="P97" s="314"/>
      <c r="Q97" s="314"/>
      <c r="R97" s="314"/>
    </row>
    <row r="98" spans="1:18" s="51" customFormat="1" x14ac:dyDescent="0.2">
      <c r="A98" s="50"/>
      <c r="P98" s="314"/>
      <c r="Q98" s="314"/>
      <c r="R98" s="314"/>
    </row>
    <row r="99" spans="1:18" s="51" customFormat="1" x14ac:dyDescent="0.2">
      <c r="A99" s="50"/>
      <c r="P99" s="314"/>
      <c r="Q99" s="314"/>
      <c r="R99" s="314"/>
    </row>
    <row r="100" spans="1:18" s="51" customFormat="1" x14ac:dyDescent="0.2">
      <c r="A100" s="50"/>
      <c r="N100" s="50"/>
      <c r="P100" s="321"/>
      <c r="Q100" s="316"/>
      <c r="R100" s="314"/>
    </row>
    <row r="101" spans="1:18" s="51" customFormat="1" x14ac:dyDescent="0.2">
      <c r="A101" s="50"/>
      <c r="N101" s="50"/>
      <c r="P101" s="321"/>
      <c r="Q101" s="314"/>
      <c r="R101" s="314"/>
    </row>
    <row r="102" spans="1:18" s="51" customFormat="1" ht="12" x14ac:dyDescent="0.2">
      <c r="A102" s="50"/>
      <c r="N102" s="50"/>
      <c r="P102" s="322"/>
      <c r="Q102" s="314"/>
      <c r="R102" s="314"/>
    </row>
    <row r="103" spans="1:18" s="51" customFormat="1" x14ac:dyDescent="0.2">
      <c r="A103" s="50"/>
      <c r="C103" s="54"/>
      <c r="D103" s="54"/>
      <c r="E103" s="54"/>
      <c r="F103" s="164"/>
      <c r="G103" s="54"/>
      <c r="H103" s="54"/>
      <c r="I103" s="54"/>
      <c r="J103" s="54"/>
      <c r="K103" s="54"/>
      <c r="L103" s="54"/>
      <c r="N103" s="50"/>
      <c r="P103" s="321"/>
      <c r="Q103" s="314"/>
      <c r="R103" s="314"/>
    </row>
    <row r="104" spans="1:18" s="51" customFormat="1" x14ac:dyDescent="0.2">
      <c r="A104" s="65"/>
      <c r="B104" s="64"/>
      <c r="C104" s="66"/>
      <c r="D104" s="66"/>
      <c r="E104" s="66"/>
      <c r="F104" s="43"/>
      <c r="G104" s="66"/>
      <c r="H104" s="229"/>
      <c r="I104" s="66"/>
      <c r="J104" s="66"/>
      <c r="K104" s="66"/>
      <c r="L104" s="66"/>
      <c r="M104" s="1"/>
      <c r="P104" s="314"/>
      <c r="Q104" s="314"/>
      <c r="R104" s="314"/>
    </row>
    <row r="105" spans="1:18" x14ac:dyDescent="0.2">
      <c r="A105" s="36" t="s">
        <v>74</v>
      </c>
      <c r="B105" s="37" t="s">
        <v>75</v>
      </c>
      <c r="C105" s="48">
        <v>438.24</v>
      </c>
      <c r="D105" s="48">
        <v>73.040000000000006</v>
      </c>
      <c r="E105" s="48">
        <f>SUM(C105:D105)</f>
        <v>511.28000000000003</v>
      </c>
      <c r="F105" s="49">
        <v>-66.069999999999993</v>
      </c>
      <c r="G105" s="48">
        <v>0</v>
      </c>
      <c r="H105" s="48"/>
      <c r="I105" s="49">
        <v>-0.05</v>
      </c>
      <c r="J105" s="48">
        <v>0</v>
      </c>
      <c r="K105" s="48">
        <f>SUM(F105:J105)</f>
        <v>-66.11999999999999</v>
      </c>
      <c r="L105" s="48">
        <f>+E105-K105</f>
        <v>577.4</v>
      </c>
      <c r="N105" s="51"/>
      <c r="O105" s="51"/>
      <c r="P105" s="314"/>
      <c r="Q105" s="314"/>
    </row>
    <row r="106" spans="1:18" x14ac:dyDescent="0.2">
      <c r="A106" s="50" t="s">
        <v>84</v>
      </c>
      <c r="B106" s="51" t="s">
        <v>85</v>
      </c>
      <c r="C106" s="54">
        <v>438.24</v>
      </c>
      <c r="D106" s="54">
        <v>73.040000000000006</v>
      </c>
      <c r="E106" s="54">
        <f>SUM(C106:D106)</f>
        <v>511.28000000000003</v>
      </c>
      <c r="F106" s="164">
        <v>-66.069999999999993</v>
      </c>
      <c r="G106" s="54">
        <v>0</v>
      </c>
      <c r="H106" s="54"/>
      <c r="I106" s="164">
        <v>-0.05</v>
      </c>
      <c r="J106" s="54">
        <v>0</v>
      </c>
      <c r="K106" s="54">
        <f>SUM(F106:J106)</f>
        <v>-66.11999999999999</v>
      </c>
      <c r="L106" s="54">
        <f>+E106-K106</f>
        <v>577.4</v>
      </c>
      <c r="N106" s="51"/>
      <c r="O106" s="51"/>
      <c r="P106" s="314"/>
      <c r="Q106" s="314"/>
    </row>
    <row r="107" spans="1:18" x14ac:dyDescent="0.2">
      <c r="A107" s="36" t="s">
        <v>127</v>
      </c>
      <c r="B107" s="37" t="s">
        <v>128</v>
      </c>
      <c r="C107" s="48">
        <v>438.24</v>
      </c>
      <c r="D107" s="48">
        <v>73.040000000000006</v>
      </c>
      <c r="E107" s="48">
        <f>SUM(C107:D107)</f>
        <v>511.28000000000003</v>
      </c>
      <c r="F107" s="49">
        <v>-66.069999999999993</v>
      </c>
      <c r="G107" s="48">
        <v>0</v>
      </c>
      <c r="H107" s="48"/>
      <c r="I107" s="48">
        <v>0.15</v>
      </c>
      <c r="J107" s="48">
        <v>0</v>
      </c>
      <c r="K107" s="48">
        <f>SUM(F107:J107)</f>
        <v>-65.919999999999987</v>
      </c>
      <c r="L107" s="48">
        <f>+E107-K107</f>
        <v>577.20000000000005</v>
      </c>
    </row>
    <row r="108" spans="1:18" x14ac:dyDescent="0.2">
      <c r="A108" s="50" t="s">
        <v>146</v>
      </c>
      <c r="B108" s="51" t="s">
        <v>147</v>
      </c>
      <c r="C108" s="54">
        <v>438.24</v>
      </c>
      <c r="D108" s="54">
        <v>73.040000000000006</v>
      </c>
      <c r="E108" s="54">
        <f>SUM(C108:D108)</f>
        <v>511.28000000000003</v>
      </c>
      <c r="F108" s="164">
        <v>-66.069999999999993</v>
      </c>
      <c r="G108" s="54">
        <v>0</v>
      </c>
      <c r="H108" s="54"/>
      <c r="I108" s="54">
        <v>0.15</v>
      </c>
      <c r="J108" s="54">
        <v>0</v>
      </c>
      <c r="K108" s="54">
        <f>SUM(F108:J108)</f>
        <v>-65.919999999999987</v>
      </c>
      <c r="L108" s="54">
        <f>+E108-K108</f>
        <v>577.20000000000005</v>
      </c>
    </row>
    <row r="109" spans="1:18" x14ac:dyDescent="0.2">
      <c r="A109" s="50" t="s">
        <v>175</v>
      </c>
      <c r="B109" s="51" t="s">
        <v>176</v>
      </c>
      <c r="C109" s="54">
        <v>438.24</v>
      </c>
      <c r="D109" s="54">
        <v>73.040000000000006</v>
      </c>
      <c r="E109" s="54">
        <f>SUM(C109:D109)</f>
        <v>511.28000000000003</v>
      </c>
      <c r="F109" s="164">
        <v>-66.069999999999993</v>
      </c>
      <c r="G109" s="54">
        <v>0</v>
      </c>
      <c r="H109" s="54"/>
      <c r="I109" s="164">
        <v>-0.05</v>
      </c>
      <c r="J109" s="54">
        <v>0</v>
      </c>
      <c r="K109" s="54">
        <f>SUM(F109:J109)</f>
        <v>-66.11999999999999</v>
      </c>
      <c r="L109" s="54">
        <f>+E109-K109</f>
        <v>577.4</v>
      </c>
    </row>
  </sheetData>
  <mergeCells count="4">
    <mergeCell ref="B2:F2"/>
    <mergeCell ref="B3:F3"/>
    <mergeCell ref="B1:C1"/>
    <mergeCell ref="B4:G4"/>
  </mergeCells>
  <pageMargins left="0.32" right="0.70866141732283472" top="0.28000000000000003" bottom="0.34" header="0.2" footer="0.2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7"/>
  <sheetViews>
    <sheetView zoomScale="115" zoomScaleNormal="115" workbookViewId="0">
      <pane xSplit="2" ySplit="9" topLeftCell="K10" activePane="bottomRight" state="frozen"/>
      <selection pane="topRight" activeCell="C1" sqref="C1"/>
      <selection pane="bottomLeft" activeCell="A10" sqref="A10"/>
      <selection pane="bottomRight" activeCell="A56" sqref="A5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3" style="1" bestFit="1" customWidth="1"/>
    <col min="4" max="4" width="13.5703125" style="1" bestFit="1" customWidth="1"/>
    <col min="5" max="5" width="13" style="1" bestFit="1" customWidth="1"/>
    <col min="6" max="9" width="13" style="64" customWidth="1"/>
    <col min="10" max="13" width="13" style="1" customWidth="1"/>
    <col min="14" max="14" width="12.7109375" style="1" customWidth="1"/>
    <col min="15" max="15" width="11.42578125" style="1" customWidth="1"/>
    <col min="16" max="16" width="13" style="1" customWidth="1"/>
    <col min="17" max="16384" width="11.42578125" style="51"/>
  </cols>
  <sheetData>
    <row r="1" spans="1:19" ht="18" customHeight="1" x14ac:dyDescent="0.25">
      <c r="A1" s="3" t="s">
        <v>0</v>
      </c>
      <c r="B1" s="333" t="s">
        <v>18</v>
      </c>
      <c r="C1" s="332"/>
    </row>
    <row r="2" spans="1:19" ht="24.95" customHeight="1" x14ac:dyDescent="0.2">
      <c r="A2" s="4" t="s">
        <v>1</v>
      </c>
      <c r="B2" s="9" t="s">
        <v>713</v>
      </c>
      <c r="C2" s="10"/>
      <c r="P2" s="256"/>
    </row>
    <row r="3" spans="1:19" ht="15.75" x14ac:dyDescent="0.25">
      <c r="B3" s="331" t="s">
        <v>2</v>
      </c>
      <c r="C3" s="332"/>
    </row>
    <row r="4" spans="1:19" ht="15" x14ac:dyDescent="0.25">
      <c r="B4" s="11" t="str">
        <f>+FACTURACIÓN!B4</f>
        <v>Periodo 9 al 9 Semanal del 24/02/2016 al 01/03/2016</v>
      </c>
      <c r="C4" s="12"/>
      <c r="P4" s="256"/>
    </row>
    <row r="5" spans="1:19" x14ac:dyDescent="0.2">
      <c r="B5" s="5" t="s">
        <v>3</v>
      </c>
    </row>
    <row r="6" spans="1:19" x14ac:dyDescent="0.2">
      <c r="B6" s="5" t="s">
        <v>4</v>
      </c>
    </row>
    <row r="7" spans="1:19" ht="23.25" thickBot="1" x14ac:dyDescent="0.25">
      <c r="F7" s="19" t="s">
        <v>357</v>
      </c>
      <c r="G7" s="19" t="s">
        <v>358</v>
      </c>
      <c r="H7" s="19" t="s">
        <v>359</v>
      </c>
      <c r="I7" s="19" t="s">
        <v>360</v>
      </c>
      <c r="J7" s="19" t="s">
        <v>29</v>
      </c>
      <c r="K7" s="19" t="s">
        <v>363</v>
      </c>
      <c r="L7" s="19" t="s">
        <v>333</v>
      </c>
      <c r="M7" s="19" t="s">
        <v>520</v>
      </c>
      <c r="N7" s="19" t="s">
        <v>608</v>
      </c>
    </row>
    <row r="8" spans="1:19" s="311" customFormat="1" ht="35.25" thickTop="1" thickBot="1" x14ac:dyDescent="0.25">
      <c r="A8" s="6" t="s">
        <v>5</v>
      </c>
      <c r="B8" s="7" t="s">
        <v>6</v>
      </c>
      <c r="C8" s="14" t="s">
        <v>27</v>
      </c>
      <c r="D8" s="14" t="s">
        <v>28</v>
      </c>
      <c r="E8" s="13" t="s">
        <v>8</v>
      </c>
      <c r="F8" s="19" t="s">
        <v>357</v>
      </c>
      <c r="G8" s="19" t="s">
        <v>358</v>
      </c>
      <c r="H8" s="19" t="s">
        <v>359</v>
      </c>
      <c r="I8" s="19" t="s">
        <v>360</v>
      </c>
      <c r="J8" s="19" t="s">
        <v>29</v>
      </c>
      <c r="K8" s="19" t="s">
        <v>363</v>
      </c>
      <c r="L8" s="19" t="s">
        <v>333</v>
      </c>
      <c r="M8" s="19" t="s">
        <v>520</v>
      </c>
      <c r="N8" s="19" t="s">
        <v>608</v>
      </c>
      <c r="O8" s="13" t="s">
        <v>11</v>
      </c>
      <c r="P8" s="28" t="s">
        <v>12</v>
      </c>
    </row>
    <row r="9" spans="1:19" ht="12" thickTop="1" x14ac:dyDescent="0.2">
      <c r="A9" s="50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</row>
    <row r="10" spans="1:19" x14ac:dyDescent="0.2">
      <c r="A10" s="20" t="s">
        <v>34</v>
      </c>
      <c r="B10" s="21" t="s">
        <v>35</v>
      </c>
      <c r="C10" s="53">
        <f>+FACTURACIÓN!G9-'C&amp;A'!L10-'C&amp;A'!J10-'C&amp;A'!H10-'C&amp;A'!G10</f>
        <v>2234.4599999999996</v>
      </c>
      <c r="D10" s="54">
        <v>0</v>
      </c>
      <c r="E10" s="55">
        <f>SUM(C10:D10)</f>
        <v>2234.4599999999996</v>
      </c>
      <c r="F10" s="55">
        <f>+FACTURACIÓN!H9</f>
        <v>0</v>
      </c>
      <c r="G10" s="55">
        <f>+FACTURACIÓN!I9</f>
        <v>0</v>
      </c>
      <c r="H10" s="55">
        <f>+FACTURACIÓN!J9</f>
        <v>0</v>
      </c>
      <c r="I10" s="55">
        <f>+FACTURACIÓN!K9</f>
        <v>0</v>
      </c>
      <c r="J10" s="55">
        <f>+FACTURACIÓN!L9</f>
        <v>45.13</v>
      </c>
      <c r="K10" s="55">
        <f>+FACTURACIÓN!M9</f>
        <v>0</v>
      </c>
      <c r="L10" s="55">
        <f>+FACTURACIÓN!N9</f>
        <v>0</v>
      </c>
      <c r="M10" s="55">
        <f>+FACTURACIÓN!O9</f>
        <v>0</v>
      </c>
      <c r="N10" s="55">
        <f>+FACTURACIÓN!P9</f>
        <v>0</v>
      </c>
      <c r="O10" s="54">
        <f>SUM(F10:N10)</f>
        <v>45.13</v>
      </c>
      <c r="P10" s="59">
        <f>+E10-O10</f>
        <v>2189.3299999999995</v>
      </c>
      <c r="Q10" s="51" t="str">
        <f>IF(B10=S10,"si ","no")</f>
        <v xml:space="preserve">si </v>
      </c>
      <c r="R10" s="20" t="s">
        <v>34</v>
      </c>
      <c r="S10" s="21" t="s">
        <v>35</v>
      </c>
    </row>
    <row r="11" spans="1:19" x14ac:dyDescent="0.2">
      <c r="A11" s="20" t="s">
        <v>36</v>
      </c>
      <c r="B11" s="21" t="s">
        <v>37</v>
      </c>
      <c r="C11" s="53">
        <f>+FACTURACIÓN!G10-'C&amp;A'!L11-'C&amp;A'!J11-'C&amp;A'!H11-'C&amp;A'!G11</f>
        <v>8278.1200000000008</v>
      </c>
      <c r="D11" s="54">
        <v>0</v>
      </c>
      <c r="E11" s="55">
        <f t="shared" ref="E11:E72" si="0">SUM(C11:D11)</f>
        <v>8278.1200000000008</v>
      </c>
      <c r="F11" s="55">
        <f>+FACTURACIÓN!H10</f>
        <v>0</v>
      </c>
      <c r="G11" s="55">
        <f>+FACTURACIÓN!I10</f>
        <v>0</v>
      </c>
      <c r="H11" s="55">
        <f>+FACTURACIÓN!J10</f>
        <v>0</v>
      </c>
      <c r="I11" s="55">
        <f>+FACTURACIÓN!K10</f>
        <v>0</v>
      </c>
      <c r="J11" s="55">
        <f>+FACTURACIÓN!L10</f>
        <v>45.13</v>
      </c>
      <c r="K11" s="55">
        <f>+FACTURACIÓN!M10</f>
        <v>0</v>
      </c>
      <c r="L11" s="55">
        <f>+FACTURACIÓN!N10</f>
        <v>0</v>
      </c>
      <c r="M11" s="55">
        <f>+FACTURACIÓN!O10</f>
        <v>881.03900000000021</v>
      </c>
      <c r="N11" s="55">
        <f>+FACTURACIÓN!P10</f>
        <v>0</v>
      </c>
      <c r="O11" s="54">
        <f t="shared" ref="O11:O72" si="1">SUM(F11:N11)</f>
        <v>926.16900000000021</v>
      </c>
      <c r="P11" s="59">
        <f t="shared" ref="P11:P72" si="2">+E11-O11</f>
        <v>7351.9510000000009</v>
      </c>
      <c r="Q11" s="51" t="str">
        <f t="shared" ref="Q11:Q74" si="3">IF(B11=S11,"si ","no")</f>
        <v xml:space="preserve">si </v>
      </c>
      <c r="R11" s="20" t="s">
        <v>36</v>
      </c>
      <c r="S11" s="21" t="s">
        <v>37</v>
      </c>
    </row>
    <row r="12" spans="1:19" x14ac:dyDescent="0.2">
      <c r="A12" s="20" t="s">
        <v>38</v>
      </c>
      <c r="B12" s="21" t="s">
        <v>39</v>
      </c>
      <c r="C12" s="53">
        <f>+FACTURACIÓN!G11-'C&amp;A'!L12-'C&amp;A'!J12-'C&amp;A'!H12-'C&amp;A'!G12</f>
        <v>4657.01</v>
      </c>
      <c r="D12" s="54">
        <v>0</v>
      </c>
      <c r="E12" s="55">
        <f t="shared" si="0"/>
        <v>4657.01</v>
      </c>
      <c r="F12" s="55">
        <f>+FACTURACIÓN!H11</f>
        <v>0</v>
      </c>
      <c r="G12" s="55">
        <f>+FACTURACIÓN!I11</f>
        <v>254.27472</v>
      </c>
      <c r="H12" s="55">
        <f>+FACTURACIÓN!J11</f>
        <v>51.892800000000001</v>
      </c>
      <c r="I12" s="55">
        <f>+FACTURACIÓN!K11</f>
        <v>0</v>
      </c>
      <c r="J12" s="55">
        <f>+FACTURACIÓN!L11</f>
        <v>45.13</v>
      </c>
      <c r="K12" s="55">
        <f>+FACTURACIÓN!M11</f>
        <v>0</v>
      </c>
      <c r="L12" s="55">
        <f>+FACTURACIÓN!N11</f>
        <v>0</v>
      </c>
      <c r="M12" s="55">
        <f>+FACTURACIÓN!O11</f>
        <v>518.928</v>
      </c>
      <c r="N12" s="55">
        <f>+FACTURACIÓN!P11</f>
        <v>0</v>
      </c>
      <c r="O12" s="54">
        <f t="shared" si="1"/>
        <v>870.22551999999996</v>
      </c>
      <c r="P12" s="59">
        <f t="shared" si="2"/>
        <v>3786.7844800000003</v>
      </c>
      <c r="Q12" s="51" t="str">
        <f t="shared" si="3"/>
        <v xml:space="preserve">si </v>
      </c>
      <c r="R12" s="20" t="s">
        <v>38</v>
      </c>
      <c r="S12" s="21" t="s">
        <v>39</v>
      </c>
    </row>
    <row r="13" spans="1:19" x14ac:dyDescent="0.2">
      <c r="A13" s="50" t="s">
        <v>289</v>
      </c>
      <c r="B13" s="21" t="s">
        <v>178</v>
      </c>
      <c r="C13" s="53">
        <f>+FACTURACIÓN!G12-'C&amp;A'!L13-'C&amp;A'!J13-'C&amp;A'!H13-'C&amp;A'!G13</f>
        <v>3159.5</v>
      </c>
      <c r="D13" s="54">
        <v>0</v>
      </c>
      <c r="E13" s="55">
        <f t="shared" si="0"/>
        <v>3159.5</v>
      </c>
      <c r="F13" s="55">
        <f>+FACTURACIÓN!H12</f>
        <v>0</v>
      </c>
      <c r="G13" s="55">
        <f>+FACTURACIÓN!I12</f>
        <v>0</v>
      </c>
      <c r="H13" s="55">
        <f>+FACTURACIÓN!J12</f>
        <v>0</v>
      </c>
      <c r="I13" s="55">
        <f>+FACTURACIÓN!K12</f>
        <v>0</v>
      </c>
      <c r="J13" s="55">
        <f>+FACTURACIÓN!L12</f>
        <v>45.13</v>
      </c>
      <c r="K13" s="55">
        <f>+FACTURACIÓN!M12</f>
        <v>0</v>
      </c>
      <c r="L13" s="55">
        <f>+FACTURACIÓN!N12</f>
        <v>0</v>
      </c>
      <c r="M13" s="55">
        <f>+FACTURACIÓN!O12</f>
        <v>369.17700000000002</v>
      </c>
      <c r="N13" s="55">
        <f>+FACTURACIÓN!P12</f>
        <v>0</v>
      </c>
      <c r="O13" s="54">
        <f t="shared" si="1"/>
        <v>414.30700000000002</v>
      </c>
      <c r="P13" s="59">
        <f t="shared" si="2"/>
        <v>2745.1930000000002</v>
      </c>
      <c r="Q13" s="51" t="str">
        <f t="shared" si="3"/>
        <v xml:space="preserve">si </v>
      </c>
      <c r="R13" s="50" t="s">
        <v>289</v>
      </c>
      <c r="S13" s="21" t="s">
        <v>178</v>
      </c>
    </row>
    <row r="14" spans="1:19" x14ac:dyDescent="0.2">
      <c r="A14" s="20" t="s">
        <v>42</v>
      </c>
      <c r="B14" s="21" t="s">
        <v>43</v>
      </c>
      <c r="C14" s="53">
        <f>+FACTURACIÓN!G13-'C&amp;A'!L14-'C&amp;A'!J14-'C&amp;A'!H14-'C&amp;A'!G14</f>
        <v>3365.62</v>
      </c>
      <c r="D14" s="54">
        <v>0</v>
      </c>
      <c r="E14" s="55">
        <f t="shared" si="0"/>
        <v>3365.62</v>
      </c>
      <c r="F14" s="55">
        <f>+FACTURACIÓN!H13</f>
        <v>0</v>
      </c>
      <c r="G14" s="55">
        <f>+FACTURACIÓN!I13</f>
        <v>0</v>
      </c>
      <c r="H14" s="55">
        <f>+FACTURACIÓN!J13</f>
        <v>0</v>
      </c>
      <c r="I14" s="55">
        <f>+FACTURACIÓN!K13</f>
        <v>0</v>
      </c>
      <c r="J14" s="55">
        <f>+FACTURACIÓN!L13</f>
        <v>45.13</v>
      </c>
      <c r="K14" s="55">
        <f>+FACTURACIÓN!M13</f>
        <v>0</v>
      </c>
      <c r="L14" s="55">
        <f>+FACTURACIÓN!N13</f>
        <v>0</v>
      </c>
      <c r="M14" s="55">
        <f>+FACTURACIÓN!O13</f>
        <v>389.78899999999999</v>
      </c>
      <c r="N14" s="55">
        <f>+FACTURACIÓN!P13</f>
        <v>0</v>
      </c>
      <c r="O14" s="54">
        <f t="shared" si="1"/>
        <v>434.91899999999998</v>
      </c>
      <c r="P14" s="59">
        <f t="shared" si="2"/>
        <v>2930.701</v>
      </c>
      <c r="Q14" s="51" t="str">
        <f t="shared" si="3"/>
        <v xml:space="preserve">si </v>
      </c>
      <c r="R14" s="20" t="s">
        <v>42</v>
      </c>
      <c r="S14" s="21" t="s">
        <v>43</v>
      </c>
    </row>
    <row r="15" spans="1:19" x14ac:dyDescent="0.2">
      <c r="A15" s="20"/>
      <c r="B15" s="21" t="s">
        <v>609</v>
      </c>
      <c r="C15" s="53">
        <f>+FACTURACIÓN!G14-'C&amp;A'!L15-'C&amp;A'!J15-'C&amp;A'!H15-'C&amp;A'!G15</f>
        <v>945.89</v>
      </c>
      <c r="D15" s="54">
        <v>0</v>
      </c>
      <c r="E15" s="55">
        <f t="shared" si="0"/>
        <v>945.89</v>
      </c>
      <c r="F15" s="55">
        <f>+FACTURACIÓN!H14</f>
        <v>0</v>
      </c>
      <c r="G15" s="55">
        <f>+FACTURACIÓN!I14</f>
        <v>0</v>
      </c>
      <c r="H15" s="55">
        <f>+FACTURACIÓN!J14</f>
        <v>0</v>
      </c>
      <c r="I15" s="55">
        <f>+FACTURACIÓN!K14</f>
        <v>0</v>
      </c>
      <c r="J15" s="55">
        <f>+FACTURACIÓN!L14</f>
        <v>45.13</v>
      </c>
      <c r="K15" s="55">
        <f>+FACTURACIÓN!M14</f>
        <v>0</v>
      </c>
      <c r="L15" s="55">
        <f>+FACTURACIÓN!N14</f>
        <v>0</v>
      </c>
      <c r="M15" s="55">
        <f>+FACTURACIÓN!O14</f>
        <v>0</v>
      </c>
      <c r="N15" s="55">
        <f>+FACTURACIÓN!P14</f>
        <v>0</v>
      </c>
      <c r="O15" s="54">
        <f t="shared" si="1"/>
        <v>45.13</v>
      </c>
      <c r="P15" s="59">
        <f t="shared" si="2"/>
        <v>900.76</v>
      </c>
      <c r="Q15" s="51" t="str">
        <f t="shared" si="3"/>
        <v xml:space="preserve">si </v>
      </c>
      <c r="R15" s="20" t="s">
        <v>773</v>
      </c>
      <c r="S15" s="21" t="s">
        <v>609</v>
      </c>
    </row>
    <row r="16" spans="1:19" x14ac:dyDescent="0.2">
      <c r="A16" s="20" t="s">
        <v>44</v>
      </c>
      <c r="B16" s="21" t="s">
        <v>45</v>
      </c>
      <c r="C16" s="53">
        <f>+FACTURACIÓN!G15-'C&amp;A'!L16-'C&amp;A'!J16-'C&amp;A'!H16-'C&amp;A'!G16</f>
        <v>1589.2599999999998</v>
      </c>
      <c r="D16" s="54">
        <v>0</v>
      </c>
      <c r="E16" s="55">
        <f t="shared" si="0"/>
        <v>1589.2599999999998</v>
      </c>
      <c r="F16" s="55">
        <f>+FACTURACIÓN!H15</f>
        <v>0</v>
      </c>
      <c r="G16" s="55">
        <f>+FACTURACIÓN!I15</f>
        <v>0</v>
      </c>
      <c r="H16" s="55">
        <f>+FACTURACIÓN!J15</f>
        <v>0</v>
      </c>
      <c r="I16" s="55">
        <f>+FACTURACIÓN!K15</f>
        <v>0</v>
      </c>
      <c r="J16" s="55">
        <f>+FACTURACIÓN!L15</f>
        <v>45.13</v>
      </c>
      <c r="K16" s="55">
        <f>+FACTURACIÓN!M15</f>
        <v>0</v>
      </c>
      <c r="L16" s="55">
        <f>+FACTURACIÓN!N15</f>
        <v>368.35</v>
      </c>
      <c r="M16" s="55">
        <f>+FACTURACIÓN!O15</f>
        <v>0</v>
      </c>
      <c r="N16" s="55">
        <f>+FACTURACIÓN!P15</f>
        <v>0</v>
      </c>
      <c r="O16" s="54">
        <f t="shared" si="1"/>
        <v>413.48</v>
      </c>
      <c r="P16" s="59">
        <f t="shared" si="2"/>
        <v>1175.7799999999997</v>
      </c>
      <c r="Q16" s="51" t="str">
        <f t="shared" si="3"/>
        <v xml:space="preserve">si </v>
      </c>
      <c r="R16" s="20" t="s">
        <v>44</v>
      </c>
      <c r="S16" s="21" t="s">
        <v>45</v>
      </c>
    </row>
    <row r="17" spans="1:19" x14ac:dyDescent="0.2">
      <c r="A17" s="50" t="s">
        <v>518</v>
      </c>
      <c r="B17" s="21" t="s">
        <v>517</v>
      </c>
      <c r="C17" s="53">
        <f>+FACTURACIÓN!G16-'C&amp;A'!L17-'C&amp;A'!J17-'C&amp;A'!H17-'C&amp;A'!G17</f>
        <v>683.85857142857151</v>
      </c>
      <c r="D17" s="54">
        <v>0</v>
      </c>
      <c r="E17" s="55">
        <f t="shared" si="0"/>
        <v>683.85857142857151</v>
      </c>
      <c r="F17" s="55">
        <f>+FACTURACIÓN!H16</f>
        <v>0</v>
      </c>
      <c r="G17" s="55">
        <f>+FACTURACIÓN!I16</f>
        <v>0</v>
      </c>
      <c r="H17" s="55">
        <f>+FACTURACIÓN!J16</f>
        <v>0</v>
      </c>
      <c r="I17" s="55">
        <f>+FACTURACIÓN!K16</f>
        <v>0</v>
      </c>
      <c r="J17" s="55">
        <f>+FACTURACIÓN!L16</f>
        <v>45.13</v>
      </c>
      <c r="K17" s="55">
        <f>+FACTURACIÓN!M16</f>
        <v>0</v>
      </c>
      <c r="L17" s="55">
        <f>+FACTURACIÓN!N16</f>
        <v>0</v>
      </c>
      <c r="M17" s="55">
        <f>+FACTURACIÓN!O16</f>
        <v>0</v>
      </c>
      <c r="N17" s="55">
        <f>+FACTURACIÓN!P16</f>
        <v>0</v>
      </c>
      <c r="O17" s="54">
        <f t="shared" si="1"/>
        <v>45.13</v>
      </c>
      <c r="P17" s="59">
        <f t="shared" si="2"/>
        <v>638.72857142857151</v>
      </c>
      <c r="Q17" s="51" t="str">
        <f t="shared" si="3"/>
        <v xml:space="preserve">si </v>
      </c>
      <c r="R17" s="50" t="s">
        <v>518</v>
      </c>
      <c r="S17" s="21" t="s">
        <v>517</v>
      </c>
    </row>
    <row r="18" spans="1:19" x14ac:dyDescent="0.2">
      <c r="A18" s="20" t="s">
        <v>290</v>
      </c>
      <c r="B18" s="21" t="s">
        <v>46</v>
      </c>
      <c r="C18" s="53">
        <f>+FACTURACIÓN!G17-'C&amp;A'!L18-'C&amp;A'!J18-'C&amp;A'!H18-'C&amp;A'!G18</f>
        <v>900.56000000000006</v>
      </c>
      <c r="D18" s="54">
        <v>0</v>
      </c>
      <c r="E18" s="55">
        <f t="shared" si="0"/>
        <v>900.56000000000006</v>
      </c>
      <c r="F18" s="55">
        <f>+FACTURACIÓN!H17</f>
        <v>150</v>
      </c>
      <c r="G18" s="55">
        <f>+FACTURACIÓN!I17</f>
        <v>70.208669999999998</v>
      </c>
      <c r="H18" s="55">
        <f>+FACTURACIÓN!J17</f>
        <v>14.328299999999999</v>
      </c>
      <c r="I18" s="55">
        <f>+FACTURACIÓN!K17</f>
        <v>0</v>
      </c>
      <c r="J18" s="55">
        <f>+FACTURACIÓN!L17</f>
        <v>45.13</v>
      </c>
      <c r="K18" s="55">
        <f>+FACTURACIÓN!M17</f>
        <v>0</v>
      </c>
      <c r="L18" s="55">
        <f>+FACTURACIÓN!N17</f>
        <v>0</v>
      </c>
      <c r="M18" s="55">
        <f>+FACTURACIÓN!O17</f>
        <v>0</v>
      </c>
      <c r="N18" s="55">
        <f>+FACTURACIÓN!P17</f>
        <v>0</v>
      </c>
      <c r="O18" s="54">
        <f t="shared" si="1"/>
        <v>279.66696999999999</v>
      </c>
      <c r="P18" s="59">
        <f t="shared" si="2"/>
        <v>620.89303000000007</v>
      </c>
      <c r="Q18" s="51" t="str">
        <f t="shared" si="3"/>
        <v xml:space="preserve">si </v>
      </c>
      <c r="R18" s="20" t="s">
        <v>290</v>
      </c>
      <c r="S18" s="21" t="s">
        <v>46</v>
      </c>
    </row>
    <row r="19" spans="1:19" x14ac:dyDescent="0.2">
      <c r="A19" s="20" t="s">
        <v>14</v>
      </c>
      <c r="B19" s="21" t="s">
        <v>47</v>
      </c>
      <c r="C19" s="53">
        <f>+FACTURACIÓN!G18-'C&amp;A'!L19-'C&amp;A'!J19-'C&amp;A'!H19-'C&amp;A'!G19</f>
        <v>7545.9800000000005</v>
      </c>
      <c r="D19" s="54">
        <v>0</v>
      </c>
      <c r="E19" s="55">
        <f t="shared" si="0"/>
        <v>7545.9800000000005</v>
      </c>
      <c r="F19" s="55">
        <f>+FACTURACIÓN!H18</f>
        <v>0</v>
      </c>
      <c r="G19" s="55">
        <f>+FACTURACIÓN!I18</f>
        <v>0</v>
      </c>
      <c r="H19" s="55">
        <f>+FACTURACIÓN!J18</f>
        <v>0</v>
      </c>
      <c r="I19" s="55">
        <f>+FACTURACIÓN!K18</f>
        <v>0</v>
      </c>
      <c r="J19" s="55">
        <f>+FACTURACIÓN!L18</f>
        <v>45.13</v>
      </c>
      <c r="K19" s="55">
        <f>+FACTURACIÓN!M18</f>
        <v>0</v>
      </c>
      <c r="L19" s="55">
        <f>+FACTURACIÓN!N18</f>
        <v>2019.5625</v>
      </c>
      <c r="M19" s="55">
        <f>+FACTURACIÓN!O18</f>
        <v>807.82500000000005</v>
      </c>
      <c r="N19" s="55">
        <f>+FACTURACIÓN!P18</f>
        <v>0</v>
      </c>
      <c r="O19" s="54">
        <f t="shared" si="1"/>
        <v>2872.5174999999999</v>
      </c>
      <c r="P19" s="59">
        <f t="shared" si="2"/>
        <v>4673.4625000000005</v>
      </c>
      <c r="Q19" s="51" t="str">
        <f t="shared" si="3"/>
        <v xml:space="preserve">si </v>
      </c>
      <c r="R19" s="20" t="s">
        <v>14</v>
      </c>
      <c r="S19" s="21" t="s">
        <v>47</v>
      </c>
    </row>
    <row r="20" spans="1:19" x14ac:dyDescent="0.2">
      <c r="A20" s="20" t="s">
        <v>48</v>
      </c>
      <c r="B20" s="21" t="s">
        <v>49</v>
      </c>
      <c r="C20" s="53">
        <f>+FACTURACIÓN!G19-'C&amp;A'!L20-'C&amp;A'!J20-'C&amp;A'!H20-'C&amp;A'!G20</f>
        <v>1165.9299999999998</v>
      </c>
      <c r="D20" s="54">
        <v>0</v>
      </c>
      <c r="E20" s="55">
        <f t="shared" si="0"/>
        <v>1165.9299999999998</v>
      </c>
      <c r="F20" s="55">
        <f>+FACTURACIÓN!H19</f>
        <v>0</v>
      </c>
      <c r="G20" s="55">
        <f>+FACTURACIÓN!I19</f>
        <v>0</v>
      </c>
      <c r="H20" s="55">
        <f>+FACTURACIÓN!J19</f>
        <v>0</v>
      </c>
      <c r="I20" s="55">
        <f>+FACTURACIÓN!K19</f>
        <v>0</v>
      </c>
      <c r="J20" s="55">
        <f>+FACTURACIÓN!L19</f>
        <v>45.13</v>
      </c>
      <c r="K20" s="55">
        <f>+FACTURACIÓN!M19</f>
        <v>0</v>
      </c>
      <c r="L20" s="55">
        <f>+FACTURACIÓN!N19</f>
        <v>0</v>
      </c>
      <c r="M20" s="55">
        <f>+FACTURACIÓN!O19</f>
        <v>0</v>
      </c>
      <c r="N20" s="55">
        <f>+FACTURACIÓN!P19</f>
        <v>58.91</v>
      </c>
      <c r="O20" s="54">
        <f t="shared" si="1"/>
        <v>104.03999999999999</v>
      </c>
      <c r="P20" s="59">
        <f t="shared" si="2"/>
        <v>1061.8899999999999</v>
      </c>
      <c r="Q20" s="51" t="str">
        <f t="shared" si="3"/>
        <v xml:space="preserve">si </v>
      </c>
      <c r="R20" s="20" t="s">
        <v>48</v>
      </c>
      <c r="S20" s="21" t="s">
        <v>49</v>
      </c>
    </row>
    <row r="21" spans="1:19" x14ac:dyDescent="0.2">
      <c r="A21" s="20" t="s">
        <v>50</v>
      </c>
      <c r="B21" s="21" t="s">
        <v>51</v>
      </c>
      <c r="C21" s="53">
        <f>+FACTURACIÓN!G20-'C&amp;A'!L21-'C&amp;A'!J21-'C&amp;A'!H21-'C&amp;A'!G21</f>
        <v>1344.4099999999999</v>
      </c>
      <c r="D21" s="54">
        <v>0</v>
      </c>
      <c r="E21" s="55">
        <f t="shared" si="0"/>
        <v>1344.4099999999999</v>
      </c>
      <c r="F21" s="55">
        <f>+FACTURACIÓN!H20</f>
        <v>500</v>
      </c>
      <c r="G21" s="55">
        <f>+FACTURACIÓN!I20</f>
        <v>0</v>
      </c>
      <c r="H21" s="55">
        <f>+FACTURACIÓN!J20</f>
        <v>0</v>
      </c>
      <c r="I21" s="55">
        <f>+FACTURACIÓN!K20</f>
        <v>0</v>
      </c>
      <c r="J21" s="55">
        <f>+FACTURACIÓN!L20</f>
        <v>45.13</v>
      </c>
      <c r="K21" s="55">
        <f>+FACTURACIÓN!M20</f>
        <v>0</v>
      </c>
      <c r="L21" s="55">
        <f>+FACTURACIÓN!N20</f>
        <v>469.16999999999996</v>
      </c>
      <c r="M21" s="55">
        <f>+FACTURACIÓN!O20</f>
        <v>0</v>
      </c>
      <c r="N21" s="55">
        <f>+FACTURACIÓN!P20</f>
        <v>58.91</v>
      </c>
      <c r="O21" s="54">
        <f t="shared" si="1"/>
        <v>1073.21</v>
      </c>
      <c r="P21" s="59">
        <f t="shared" si="2"/>
        <v>271.19999999999982</v>
      </c>
      <c r="Q21" s="51" t="str">
        <f t="shared" si="3"/>
        <v xml:space="preserve">si </v>
      </c>
      <c r="R21" s="20" t="s">
        <v>50</v>
      </c>
      <c r="S21" s="21" t="s">
        <v>51</v>
      </c>
    </row>
    <row r="22" spans="1:19" x14ac:dyDescent="0.2">
      <c r="A22" s="20" t="s">
        <v>291</v>
      </c>
      <c r="B22" s="21" t="s">
        <v>52</v>
      </c>
      <c r="C22" s="53">
        <f>+FACTURACIÓN!G21-'C&amp;A'!L22-'C&amp;A'!J22-'C&amp;A'!H22-'C&amp;A'!G22</f>
        <v>1548.1399999999999</v>
      </c>
      <c r="D22" s="54">
        <v>0</v>
      </c>
      <c r="E22" s="55">
        <f t="shared" si="0"/>
        <v>1548.1399999999999</v>
      </c>
      <c r="F22" s="55">
        <f>+FACTURACIÓN!H21</f>
        <v>0</v>
      </c>
      <c r="G22" s="55">
        <f>+FACTURACIÓN!I21</f>
        <v>0</v>
      </c>
      <c r="H22" s="55">
        <f>+FACTURACIÓN!J21</f>
        <v>0</v>
      </c>
      <c r="I22" s="55">
        <f>+FACTURACIÓN!K21</f>
        <v>0</v>
      </c>
      <c r="J22" s="55">
        <f>+FACTURACIÓN!L21</f>
        <v>45.13</v>
      </c>
      <c r="K22" s="55">
        <f>+FACTURACIÓN!M21</f>
        <v>0</v>
      </c>
      <c r="L22" s="55">
        <f>+FACTURACIÓN!N21</f>
        <v>0</v>
      </c>
      <c r="M22" s="55">
        <f>+FACTURACIÓN!O21</f>
        <v>0</v>
      </c>
      <c r="N22" s="55">
        <f>+FACTURACIÓN!P21</f>
        <v>0</v>
      </c>
      <c r="O22" s="54">
        <f t="shared" si="1"/>
        <v>45.13</v>
      </c>
      <c r="P22" s="59">
        <f t="shared" si="2"/>
        <v>1503.0099999999998</v>
      </c>
      <c r="Q22" s="51" t="str">
        <f t="shared" si="3"/>
        <v xml:space="preserve">si </v>
      </c>
      <c r="R22" s="20" t="s">
        <v>291</v>
      </c>
      <c r="S22" s="21" t="s">
        <v>52</v>
      </c>
    </row>
    <row r="23" spans="1:19" x14ac:dyDescent="0.2">
      <c r="A23" s="20" t="s">
        <v>53</v>
      </c>
      <c r="B23" s="21" t="s">
        <v>54</v>
      </c>
      <c r="C23" s="53">
        <f>+FACTURACIÓN!G22-'C&amp;A'!L23-'C&amp;A'!J23-'C&amp;A'!H23-'C&amp;A'!G23</f>
        <v>1268.8800000000001</v>
      </c>
      <c r="D23" s="54">
        <v>0</v>
      </c>
      <c r="E23" s="55">
        <f t="shared" si="0"/>
        <v>1268.8800000000001</v>
      </c>
      <c r="F23" s="55">
        <f>+FACTURACIÓN!H22</f>
        <v>0</v>
      </c>
      <c r="G23" s="55">
        <f>+FACTURACIÓN!I22</f>
        <v>88.256349999999998</v>
      </c>
      <c r="H23" s="55">
        <f>+FACTURACIÓN!J22</f>
        <v>18.011499999999998</v>
      </c>
      <c r="I23" s="55">
        <f>+FACTURACIÓN!K22</f>
        <v>0</v>
      </c>
      <c r="J23" s="55">
        <f>+FACTURACIÓN!L22</f>
        <v>45.13</v>
      </c>
      <c r="K23" s="55">
        <f>+FACTURACIÓN!M22</f>
        <v>0</v>
      </c>
      <c r="L23" s="55">
        <f>+FACTURACIÓN!N22</f>
        <v>0</v>
      </c>
      <c r="M23" s="55">
        <f>+FACTURACIÓN!O22</f>
        <v>0</v>
      </c>
      <c r="N23" s="55">
        <f>+FACTURACIÓN!P22</f>
        <v>0</v>
      </c>
      <c r="O23" s="54">
        <f t="shared" si="1"/>
        <v>151.39785000000001</v>
      </c>
      <c r="P23" s="59">
        <f t="shared" si="2"/>
        <v>1117.48215</v>
      </c>
      <c r="Q23" s="51" t="str">
        <f t="shared" si="3"/>
        <v xml:space="preserve">si </v>
      </c>
      <c r="R23" s="20" t="s">
        <v>53</v>
      </c>
      <c r="S23" s="21" t="s">
        <v>54</v>
      </c>
    </row>
    <row r="24" spans="1:19" x14ac:dyDescent="0.2">
      <c r="A24" s="20" t="s">
        <v>15</v>
      </c>
      <c r="B24" s="21" t="s">
        <v>55</v>
      </c>
      <c r="C24" s="53">
        <f>+FACTURACIÓN!G23-'C&amp;A'!L24-'C&amp;A'!J24-'C&amp;A'!H24-'C&amp;A'!G24</f>
        <v>4840.8700000000008</v>
      </c>
      <c r="D24" s="54">
        <v>0</v>
      </c>
      <c r="E24" s="55">
        <f t="shared" si="0"/>
        <v>4840.8700000000008</v>
      </c>
      <c r="F24" s="55">
        <f>+FACTURACIÓN!H23</f>
        <v>700</v>
      </c>
      <c r="G24" s="55">
        <f>+FACTURACIÓN!I23</f>
        <v>0</v>
      </c>
      <c r="H24" s="55">
        <f>+FACTURACIÓN!J23</f>
        <v>0</v>
      </c>
      <c r="I24" s="55">
        <f>+FACTURACIÓN!K23</f>
        <v>0</v>
      </c>
      <c r="J24" s="55">
        <f>+FACTURACIÓN!L23</f>
        <v>45.13</v>
      </c>
      <c r="K24" s="55">
        <f>+FACTURACIÓN!M23</f>
        <v>205.7</v>
      </c>
      <c r="L24" s="55">
        <f>+FACTURACIÓN!N23</f>
        <v>0</v>
      </c>
      <c r="M24" s="55">
        <f>+FACTURACIÓN!O23</f>
        <v>537.31400000000008</v>
      </c>
      <c r="N24" s="55">
        <f>+FACTURACIÓN!P23</f>
        <v>0</v>
      </c>
      <c r="O24" s="54">
        <f t="shared" si="1"/>
        <v>1488.144</v>
      </c>
      <c r="P24" s="59">
        <f t="shared" si="2"/>
        <v>3352.7260000000006</v>
      </c>
      <c r="Q24" s="51" t="str">
        <f t="shared" si="3"/>
        <v xml:space="preserve">si </v>
      </c>
      <c r="R24" s="20" t="s">
        <v>15</v>
      </c>
      <c r="S24" s="21" t="s">
        <v>55</v>
      </c>
    </row>
    <row r="25" spans="1:19" x14ac:dyDescent="0.2">
      <c r="A25" s="20" t="s">
        <v>56</v>
      </c>
      <c r="B25" s="21" t="s">
        <v>57</v>
      </c>
      <c r="C25" s="53">
        <f>+FACTURACIÓN!G24-'C&amp;A'!L25-'C&amp;A'!J25-'C&amp;A'!H25-'C&amp;A'!G25</f>
        <v>893.69999999999993</v>
      </c>
      <c r="D25" s="54">
        <v>0</v>
      </c>
      <c r="E25" s="55">
        <f t="shared" si="0"/>
        <v>893.69999999999993</v>
      </c>
      <c r="F25" s="55">
        <f>+FACTURACIÓN!H24</f>
        <v>14.259699999999999</v>
      </c>
      <c r="G25" s="55">
        <f>+FACTURACIÓN!I24</f>
        <v>69.872529999999998</v>
      </c>
      <c r="H25" s="55">
        <f>+FACTURACIÓN!J24</f>
        <v>0</v>
      </c>
      <c r="I25" s="55">
        <f>+FACTURACIÓN!K24</f>
        <v>0</v>
      </c>
      <c r="J25" s="55">
        <f>+FACTURACIÓN!L24</f>
        <v>45.13</v>
      </c>
      <c r="K25" s="55">
        <f>+FACTURACIÓN!M24</f>
        <v>0</v>
      </c>
      <c r="L25" s="55">
        <f>+FACTURACIÓN!N24</f>
        <v>0</v>
      </c>
      <c r="M25" s="55">
        <f>+FACTURACIÓN!O24</f>
        <v>0</v>
      </c>
      <c r="N25" s="55">
        <f>+FACTURACIÓN!P24</f>
        <v>0</v>
      </c>
      <c r="O25" s="54">
        <f t="shared" si="1"/>
        <v>129.26222999999999</v>
      </c>
      <c r="P25" s="59">
        <f t="shared" si="2"/>
        <v>764.43777</v>
      </c>
      <c r="Q25" s="51" t="str">
        <f t="shared" si="3"/>
        <v xml:space="preserve">si </v>
      </c>
      <c r="R25" s="20" t="s">
        <v>56</v>
      </c>
      <c r="S25" s="21" t="s">
        <v>57</v>
      </c>
    </row>
    <row r="26" spans="1:19" x14ac:dyDescent="0.2">
      <c r="A26" s="20" t="s">
        <v>60</v>
      </c>
      <c r="B26" s="21" t="s">
        <v>61</v>
      </c>
      <c r="C26" s="53">
        <f>+FACTURACIÓN!G25-'C&amp;A'!L26-'C&amp;A'!J26-'C&amp;A'!H26-'C&amp;A'!G26</f>
        <v>1075.77</v>
      </c>
      <c r="D26" s="54">
        <v>0</v>
      </c>
      <c r="E26" s="55">
        <f t="shared" si="0"/>
        <v>1075.77</v>
      </c>
      <c r="F26" s="55">
        <f>+FACTURACIÓN!H25</f>
        <v>0</v>
      </c>
      <c r="G26" s="55">
        <f>+FACTURACIÓN!I25</f>
        <v>0</v>
      </c>
      <c r="H26" s="55">
        <f>+FACTURACIÓN!J25</f>
        <v>0</v>
      </c>
      <c r="I26" s="55">
        <f>+FACTURACIÓN!K25</f>
        <v>0</v>
      </c>
      <c r="J26" s="55">
        <f>+FACTURACIÓN!L25</f>
        <v>45.13</v>
      </c>
      <c r="K26" s="55">
        <f>+FACTURACIÓN!M25</f>
        <v>0</v>
      </c>
      <c r="L26" s="55">
        <f>+FACTURACIÓN!N25</f>
        <v>797.62</v>
      </c>
      <c r="M26" s="55">
        <f>+FACTURACIÓN!O25</f>
        <v>0</v>
      </c>
      <c r="N26" s="55">
        <f>+FACTURACIÓN!P25</f>
        <v>0</v>
      </c>
      <c r="O26" s="54">
        <f t="shared" si="1"/>
        <v>842.75</v>
      </c>
      <c r="P26" s="59">
        <f t="shared" si="2"/>
        <v>233.01999999999998</v>
      </c>
      <c r="Q26" s="51" t="str">
        <f t="shared" si="3"/>
        <v xml:space="preserve">si </v>
      </c>
      <c r="R26" s="20" t="s">
        <v>60</v>
      </c>
      <c r="S26" s="21" t="s">
        <v>61</v>
      </c>
    </row>
    <row r="27" spans="1:19" x14ac:dyDescent="0.2">
      <c r="A27" s="20" t="s">
        <v>62</v>
      </c>
      <c r="B27" s="21" t="s">
        <v>63</v>
      </c>
      <c r="C27" s="53">
        <f>+FACTURACIÓN!G26-'C&amp;A'!L27-'C&amp;A'!J27-'C&amp;A'!H27-'C&amp;A'!G27</f>
        <v>2819.66</v>
      </c>
      <c r="D27" s="54">
        <v>0</v>
      </c>
      <c r="E27" s="55">
        <f t="shared" si="0"/>
        <v>2819.66</v>
      </c>
      <c r="F27" s="55">
        <f>+FACTURACIÓN!H26</f>
        <v>0</v>
      </c>
      <c r="G27" s="55">
        <f>+FACTURACIÓN!I26</f>
        <v>0</v>
      </c>
      <c r="H27" s="55">
        <f>+FACTURACIÓN!J26</f>
        <v>0</v>
      </c>
      <c r="I27" s="55">
        <f>+FACTURACIÓN!K26</f>
        <v>0</v>
      </c>
      <c r="J27" s="55">
        <f>+FACTURACIÓN!L26</f>
        <v>45.13</v>
      </c>
      <c r="K27" s="55">
        <f>+FACTURACIÓN!M26</f>
        <v>0</v>
      </c>
      <c r="L27" s="55">
        <f>+FACTURACIÓN!N26</f>
        <v>0</v>
      </c>
      <c r="M27" s="55">
        <f>+FACTURACIÓN!O26</f>
        <v>0</v>
      </c>
      <c r="N27" s="55">
        <f>+FACTURACIÓN!P26</f>
        <v>0</v>
      </c>
      <c r="O27" s="54">
        <f t="shared" si="1"/>
        <v>45.13</v>
      </c>
      <c r="P27" s="59">
        <f t="shared" si="2"/>
        <v>2774.5299999999997</v>
      </c>
      <c r="Q27" s="51" t="str">
        <f t="shared" si="3"/>
        <v xml:space="preserve">si </v>
      </c>
      <c r="R27" s="20" t="s">
        <v>62</v>
      </c>
      <c r="S27" s="21" t="s">
        <v>63</v>
      </c>
    </row>
    <row r="28" spans="1:19" x14ac:dyDescent="0.2">
      <c r="A28" s="20" t="s">
        <v>64</v>
      </c>
      <c r="B28" s="21" t="s">
        <v>65</v>
      </c>
      <c r="C28" s="53">
        <f>+FACTURACIÓN!G27-'C&amp;A'!L28-'C&amp;A'!J28-'C&amp;A'!H28-'C&amp;A'!G28</f>
        <v>124.2039701580037</v>
      </c>
      <c r="D28" s="54">
        <v>0</v>
      </c>
      <c r="E28" s="55">
        <f t="shared" si="0"/>
        <v>124.2039701580037</v>
      </c>
      <c r="F28" s="55">
        <f>+FACTURACIÓN!H27</f>
        <v>0</v>
      </c>
      <c r="G28" s="55">
        <f>+FACTURACIÓN!I27</f>
        <v>0</v>
      </c>
      <c r="H28" s="55">
        <f>+FACTURACIÓN!J27</f>
        <v>0</v>
      </c>
      <c r="I28" s="55">
        <f>+FACTURACIÓN!K27</f>
        <v>0</v>
      </c>
      <c r="J28" s="55">
        <f>+FACTURACIÓN!L27</f>
        <v>45.13</v>
      </c>
      <c r="K28" s="55">
        <f>+FACTURACIÓN!M27</f>
        <v>0</v>
      </c>
      <c r="L28" s="55">
        <f>+FACTURACIÓN!N27</f>
        <v>0</v>
      </c>
      <c r="M28" s="55">
        <f>+FACTURACIÓN!O27</f>
        <v>0</v>
      </c>
      <c r="N28" s="55">
        <f>+FACTURACIÓN!P27</f>
        <v>0</v>
      </c>
      <c r="O28" s="54">
        <f t="shared" si="1"/>
        <v>45.13</v>
      </c>
      <c r="P28" s="59">
        <f t="shared" si="2"/>
        <v>79.073970158003704</v>
      </c>
      <c r="Q28" s="51" t="str">
        <f t="shared" si="3"/>
        <v xml:space="preserve">si </v>
      </c>
      <c r="R28" s="20" t="s">
        <v>64</v>
      </c>
      <c r="S28" s="21" t="s">
        <v>65</v>
      </c>
    </row>
    <row r="29" spans="1:19" x14ac:dyDescent="0.2">
      <c r="A29" s="20" t="s">
        <v>66</v>
      </c>
      <c r="B29" s="21" t="s">
        <v>67</v>
      </c>
      <c r="C29" s="53">
        <f>+FACTURACIÓN!G28-'C&amp;A'!L29-'C&amp;A'!J29-'C&amp;A'!H29-'C&amp;A'!G29</f>
        <v>1448.0299999999997</v>
      </c>
      <c r="D29" s="54">
        <v>0</v>
      </c>
      <c r="E29" s="55">
        <f t="shared" si="0"/>
        <v>1448.0299999999997</v>
      </c>
      <c r="F29" s="55">
        <f>+FACTURACIÓN!H28</f>
        <v>0</v>
      </c>
      <c r="G29" s="55">
        <f>+FACTURACIÓN!I28</f>
        <v>0</v>
      </c>
      <c r="H29" s="55">
        <f>+FACTURACIÓN!J28</f>
        <v>0</v>
      </c>
      <c r="I29" s="55">
        <f>+FACTURACIÓN!K28</f>
        <v>0</v>
      </c>
      <c r="J29" s="55">
        <f>+FACTURACIÓN!L28</f>
        <v>45.13</v>
      </c>
      <c r="K29" s="55">
        <f>+FACTURACIÓN!M28</f>
        <v>0</v>
      </c>
      <c r="L29" s="55">
        <f>+FACTURACIÓN!N28</f>
        <v>0</v>
      </c>
      <c r="M29" s="55">
        <f>+FACTURACIÓN!O28</f>
        <v>0</v>
      </c>
      <c r="N29" s="55">
        <f>+FACTURACIÓN!P28</f>
        <v>0</v>
      </c>
      <c r="O29" s="54">
        <f t="shared" si="1"/>
        <v>45.13</v>
      </c>
      <c r="P29" s="59">
        <f t="shared" si="2"/>
        <v>1402.8999999999996</v>
      </c>
      <c r="Q29" s="51" t="str">
        <f t="shared" si="3"/>
        <v xml:space="preserve">si </v>
      </c>
      <c r="R29" s="20" t="s">
        <v>66</v>
      </c>
      <c r="S29" s="21" t="s">
        <v>67</v>
      </c>
    </row>
    <row r="30" spans="1:19" x14ac:dyDescent="0.2">
      <c r="A30" s="20" t="s">
        <v>68</v>
      </c>
      <c r="B30" s="21" t="s">
        <v>69</v>
      </c>
      <c r="C30" s="53">
        <f>+FACTURACIÓN!G29-'C&amp;A'!L30-'C&amp;A'!J30-'C&amp;A'!H30-'C&amp;A'!G30</f>
        <v>905.93</v>
      </c>
      <c r="D30" s="54">
        <v>0</v>
      </c>
      <c r="E30" s="55">
        <f t="shared" si="0"/>
        <v>905.93</v>
      </c>
      <c r="F30" s="55">
        <f>+FACTURACIÓN!H29</f>
        <v>0</v>
      </c>
      <c r="G30" s="55">
        <f>+FACTURACIÓN!I29</f>
        <v>0</v>
      </c>
      <c r="H30" s="55">
        <f>+FACTURACIÓN!J29</f>
        <v>0</v>
      </c>
      <c r="I30" s="55">
        <f>+FACTURACIÓN!K29</f>
        <v>0</v>
      </c>
      <c r="J30" s="55">
        <f>+FACTURACIÓN!L29</f>
        <v>45.13</v>
      </c>
      <c r="K30" s="55">
        <f>+FACTURACIÓN!M29</f>
        <v>0</v>
      </c>
      <c r="L30" s="55">
        <f>+FACTURACIÓN!N29</f>
        <v>0</v>
      </c>
      <c r="M30" s="55">
        <f>+FACTURACIÓN!O29</f>
        <v>0</v>
      </c>
      <c r="N30" s="55">
        <f>+FACTURACIÓN!P29</f>
        <v>58.91</v>
      </c>
      <c r="O30" s="54">
        <f t="shared" si="1"/>
        <v>104.03999999999999</v>
      </c>
      <c r="P30" s="59">
        <f t="shared" si="2"/>
        <v>801.89</v>
      </c>
      <c r="Q30" s="51" t="str">
        <f t="shared" si="3"/>
        <v xml:space="preserve">si </v>
      </c>
      <c r="R30" s="20" t="s">
        <v>68</v>
      </c>
      <c r="S30" s="21" t="s">
        <v>69</v>
      </c>
    </row>
    <row r="31" spans="1:19" x14ac:dyDescent="0.2">
      <c r="A31" s="20" t="s">
        <v>70</v>
      </c>
      <c r="B31" s="21" t="s">
        <v>71</v>
      </c>
      <c r="C31" s="53">
        <f>+FACTURACIÓN!G30-'C&amp;A'!L31-'C&amp;A'!J31-'C&amp;A'!H31-'C&amp;A'!G31</f>
        <v>939.2700000000001</v>
      </c>
      <c r="D31" s="54">
        <v>0</v>
      </c>
      <c r="E31" s="55">
        <f t="shared" si="0"/>
        <v>939.2700000000001</v>
      </c>
      <c r="F31" s="55">
        <f>+FACTURACIÓN!H30</f>
        <v>200</v>
      </c>
      <c r="G31" s="55">
        <f>+FACTURACIÓN!I30</f>
        <v>0</v>
      </c>
      <c r="H31" s="55">
        <f>+FACTURACIÓN!J30</f>
        <v>0</v>
      </c>
      <c r="I31" s="55">
        <f>+FACTURACIÓN!K30</f>
        <v>0</v>
      </c>
      <c r="J31" s="55">
        <f>+FACTURACIÓN!L30</f>
        <v>45.13</v>
      </c>
      <c r="K31" s="55">
        <f>+FACTURACIÓN!M30</f>
        <v>0</v>
      </c>
      <c r="L31" s="55">
        <f>+FACTURACIÓN!N30</f>
        <v>0</v>
      </c>
      <c r="M31" s="55">
        <f>+FACTURACIÓN!O30</f>
        <v>0</v>
      </c>
      <c r="N31" s="55">
        <f>+FACTURACIÓN!P30</f>
        <v>0</v>
      </c>
      <c r="O31" s="54">
        <f t="shared" si="1"/>
        <v>245.13</v>
      </c>
      <c r="P31" s="59">
        <f t="shared" si="2"/>
        <v>694.1400000000001</v>
      </c>
      <c r="Q31" s="51" t="str">
        <f t="shared" si="3"/>
        <v xml:space="preserve">si </v>
      </c>
      <c r="R31" s="20" t="s">
        <v>70</v>
      </c>
      <c r="S31" s="21" t="s">
        <v>71</v>
      </c>
    </row>
    <row r="32" spans="1:19" x14ac:dyDescent="0.2">
      <c r="A32" s="20" t="s">
        <v>72</v>
      </c>
      <c r="B32" s="21" t="s">
        <v>73</v>
      </c>
      <c r="C32" s="53">
        <f>+FACTURACIÓN!G31-'C&amp;A'!L32-'C&amp;A'!J32-'C&amp;A'!H32-'C&amp;A'!G32</f>
        <v>4317.8100000000004</v>
      </c>
      <c r="D32" s="54">
        <v>0</v>
      </c>
      <c r="E32" s="55">
        <f t="shared" si="0"/>
        <v>4317.8100000000004</v>
      </c>
      <c r="F32" s="55">
        <f>+FACTURACIÓN!H31</f>
        <v>500</v>
      </c>
      <c r="G32" s="55">
        <f>+FACTURACIÓN!I31</f>
        <v>237.65392</v>
      </c>
      <c r="H32" s="55">
        <f>+FACTURACIÓN!J31</f>
        <v>48.500799999999998</v>
      </c>
      <c r="I32" s="55">
        <f>+FACTURACIÓN!K31</f>
        <v>0</v>
      </c>
      <c r="J32" s="55">
        <f>+FACTURACIÓN!L31</f>
        <v>45.13</v>
      </c>
      <c r="K32" s="55">
        <f>+FACTURACIÓN!M31</f>
        <v>0</v>
      </c>
      <c r="L32" s="55">
        <f>+FACTURACIÓN!N31</f>
        <v>0</v>
      </c>
      <c r="M32" s="55">
        <f>+FACTURACIÓN!O31</f>
        <v>485.00800000000004</v>
      </c>
      <c r="N32" s="55">
        <f>+FACTURACIÓN!P31</f>
        <v>0</v>
      </c>
      <c r="O32" s="54">
        <f t="shared" si="1"/>
        <v>1316.2927199999999</v>
      </c>
      <c r="P32" s="59">
        <f t="shared" si="2"/>
        <v>3001.5172800000005</v>
      </c>
      <c r="Q32" s="51" t="str">
        <f t="shared" si="3"/>
        <v xml:space="preserve">si </v>
      </c>
      <c r="R32" s="20" t="s">
        <v>72</v>
      </c>
      <c r="S32" s="21" t="s">
        <v>73</v>
      </c>
    </row>
    <row r="33" spans="1:19" x14ac:dyDescent="0.2">
      <c r="A33" s="20" t="s">
        <v>76</v>
      </c>
      <c r="B33" s="21" t="s">
        <v>741</v>
      </c>
      <c r="C33" s="53">
        <f>+FACTURACIÓN!G32-'C&amp;A'!L33-'C&amp;A'!J33-'C&amp;A'!H33-'C&amp;A'!G33</f>
        <v>4617.2800000000007</v>
      </c>
      <c r="D33" s="54">
        <v>0</v>
      </c>
      <c r="E33" s="55">
        <f t="shared" si="0"/>
        <v>4617.2800000000007</v>
      </c>
      <c r="F33" s="55">
        <f>+FACTURACIÓN!H32</f>
        <v>1000</v>
      </c>
      <c r="G33" s="55">
        <f>+FACTURACIÓN!I32</f>
        <v>252.32795000000002</v>
      </c>
      <c r="H33" s="55">
        <f>+FACTURACIÓN!J32</f>
        <v>51.4955</v>
      </c>
      <c r="I33" s="55">
        <f>+FACTURACIÓN!K32</f>
        <v>300</v>
      </c>
      <c r="J33" s="55">
        <f>+FACTURACIÓN!L32</f>
        <v>45.13</v>
      </c>
      <c r="K33" s="55">
        <f>+FACTURACIÓN!M32</f>
        <v>0</v>
      </c>
      <c r="L33" s="55">
        <f>+FACTURACIÓN!N32</f>
        <v>0</v>
      </c>
      <c r="M33" s="55">
        <f>+FACTURACIÓN!O32</f>
        <v>514.95500000000004</v>
      </c>
      <c r="N33" s="55">
        <f>+FACTURACIÓN!P32</f>
        <v>0</v>
      </c>
      <c r="O33" s="54">
        <f t="shared" si="1"/>
        <v>2163.9084500000004</v>
      </c>
      <c r="P33" s="59">
        <f t="shared" si="2"/>
        <v>2453.3715500000003</v>
      </c>
      <c r="Q33" s="51" t="str">
        <f t="shared" si="3"/>
        <v xml:space="preserve">si </v>
      </c>
      <c r="R33" s="20" t="s">
        <v>76</v>
      </c>
      <c r="S33" s="21" t="s">
        <v>741</v>
      </c>
    </row>
    <row r="34" spans="1:19" x14ac:dyDescent="0.2">
      <c r="A34" s="20" t="s">
        <v>78</v>
      </c>
      <c r="B34" s="21" t="s">
        <v>79</v>
      </c>
      <c r="C34" s="53">
        <f>+FACTURACIÓN!G33-'C&amp;A'!L34-'C&amp;A'!J34-'C&amp;A'!H34-'C&amp;A'!G34</f>
        <v>915.09</v>
      </c>
      <c r="D34" s="54">
        <v>0</v>
      </c>
      <c r="E34" s="55">
        <f t="shared" si="0"/>
        <v>915.09</v>
      </c>
      <c r="F34" s="55">
        <f>+FACTURACIÓN!H33</f>
        <v>0</v>
      </c>
      <c r="G34" s="55">
        <f>+FACTURACIÓN!I33</f>
        <v>0</v>
      </c>
      <c r="H34" s="55">
        <f>+FACTURACIÓN!J33</f>
        <v>0</v>
      </c>
      <c r="I34" s="55">
        <f>+FACTURACIÓN!K33</f>
        <v>0</v>
      </c>
      <c r="J34" s="55">
        <f>+FACTURACIÓN!L33</f>
        <v>45.13</v>
      </c>
      <c r="K34" s="55">
        <f>+FACTURACIÓN!M33</f>
        <v>0</v>
      </c>
      <c r="L34" s="55">
        <f>+FACTURACIÓN!N33</f>
        <v>0</v>
      </c>
      <c r="M34" s="55">
        <f>+FACTURACIÓN!O33</f>
        <v>0</v>
      </c>
      <c r="N34" s="55">
        <f>+FACTURACIÓN!P33</f>
        <v>0</v>
      </c>
      <c r="O34" s="54">
        <f t="shared" si="1"/>
        <v>45.13</v>
      </c>
      <c r="P34" s="59">
        <f t="shared" si="2"/>
        <v>869.96</v>
      </c>
      <c r="Q34" s="51" t="str">
        <f t="shared" si="3"/>
        <v xml:space="preserve">si </v>
      </c>
      <c r="R34" s="20" t="s">
        <v>78</v>
      </c>
      <c r="S34" s="21" t="s">
        <v>79</v>
      </c>
    </row>
    <row r="35" spans="1:19" x14ac:dyDescent="0.2">
      <c r="A35" s="20"/>
      <c r="B35" s="21" t="s">
        <v>619</v>
      </c>
      <c r="C35" s="53">
        <f>+FACTURACIÓN!G34-'C&amp;A'!L35-'C&amp;A'!J35-'C&amp;A'!H35-'C&amp;A'!G35</f>
        <v>161.83000000000004</v>
      </c>
      <c r="D35" s="54">
        <v>0</v>
      </c>
      <c r="E35" s="55">
        <f t="shared" si="0"/>
        <v>161.83000000000004</v>
      </c>
      <c r="F35" s="55">
        <f>+FACTURACIÓN!H34</f>
        <v>0</v>
      </c>
      <c r="G35" s="55">
        <f>+FACTURACIÓN!I34</f>
        <v>0</v>
      </c>
      <c r="H35" s="55">
        <f>+FACTURACIÓN!J34</f>
        <v>0</v>
      </c>
      <c r="I35" s="55">
        <f>+FACTURACIÓN!K34</f>
        <v>0</v>
      </c>
      <c r="J35" s="55">
        <f>+FACTURACIÓN!L34</f>
        <v>45.13</v>
      </c>
      <c r="K35" s="55">
        <f>+FACTURACIÓN!M34</f>
        <v>0</v>
      </c>
      <c r="L35" s="55">
        <f>+FACTURACIÓN!N34</f>
        <v>0</v>
      </c>
      <c r="M35" s="55">
        <f>+FACTURACIÓN!O34</f>
        <v>0</v>
      </c>
      <c r="N35" s="55">
        <f>+FACTURACIÓN!P34</f>
        <v>0</v>
      </c>
      <c r="O35" s="54">
        <f t="shared" si="1"/>
        <v>45.13</v>
      </c>
      <c r="P35" s="59">
        <f t="shared" si="2"/>
        <v>116.70000000000005</v>
      </c>
      <c r="Q35" s="51" t="str">
        <f t="shared" si="3"/>
        <v xml:space="preserve">si </v>
      </c>
      <c r="R35" s="20"/>
      <c r="S35" s="21" t="s">
        <v>619</v>
      </c>
    </row>
    <row r="36" spans="1:19" x14ac:dyDescent="0.2">
      <c r="A36" s="50" t="s">
        <v>500</v>
      </c>
      <c r="B36" s="21" t="s">
        <v>501</v>
      </c>
      <c r="C36" s="53">
        <f>+FACTURACIÓN!G35-'C&amp;A'!L36-'C&amp;A'!J36-'C&amp;A'!H36-'C&amp;A'!G36</f>
        <v>683.85857142857151</v>
      </c>
      <c r="D36" s="54">
        <v>0</v>
      </c>
      <c r="E36" s="55">
        <f t="shared" si="0"/>
        <v>683.85857142857151</v>
      </c>
      <c r="F36" s="55">
        <f>+FACTURACIÓN!H35</f>
        <v>0</v>
      </c>
      <c r="G36" s="55">
        <f>+FACTURACIÓN!I35</f>
        <v>0</v>
      </c>
      <c r="H36" s="55">
        <f>+FACTURACIÓN!J35</f>
        <v>0</v>
      </c>
      <c r="I36" s="55">
        <f>+FACTURACIÓN!K35</f>
        <v>0</v>
      </c>
      <c r="J36" s="55">
        <f>+FACTURACIÓN!L35</f>
        <v>45.13</v>
      </c>
      <c r="K36" s="55">
        <f>+FACTURACIÓN!M35</f>
        <v>0</v>
      </c>
      <c r="L36" s="55">
        <f>+FACTURACIÓN!N35</f>
        <v>0</v>
      </c>
      <c r="M36" s="55">
        <f>+FACTURACIÓN!O35</f>
        <v>0</v>
      </c>
      <c r="N36" s="55">
        <f>+FACTURACIÓN!P35</f>
        <v>0</v>
      </c>
      <c r="O36" s="54">
        <f t="shared" si="1"/>
        <v>45.13</v>
      </c>
      <c r="P36" s="59">
        <f t="shared" si="2"/>
        <v>638.72857142857151</v>
      </c>
      <c r="Q36" s="51" t="str">
        <f t="shared" si="3"/>
        <v xml:space="preserve">si </v>
      </c>
      <c r="R36" s="50" t="s">
        <v>500</v>
      </c>
      <c r="S36" s="21" t="s">
        <v>501</v>
      </c>
    </row>
    <row r="37" spans="1:19" x14ac:dyDescent="0.2">
      <c r="A37" s="20" t="s">
        <v>80</v>
      </c>
      <c r="B37" s="21" t="s">
        <v>81</v>
      </c>
      <c r="C37" s="53">
        <f>+FACTURACIÓN!G36-'C&amp;A'!L37-'C&amp;A'!J37-'C&amp;A'!H37-'C&amp;A'!G37</f>
        <v>11709.7</v>
      </c>
      <c r="D37" s="54">
        <v>0</v>
      </c>
      <c r="E37" s="55">
        <f t="shared" si="0"/>
        <v>11709.7</v>
      </c>
      <c r="F37" s="55">
        <f>+FACTURACIÓN!H36</f>
        <v>0</v>
      </c>
      <c r="G37" s="55">
        <f>+FACTURACIÓN!I36</f>
        <v>0</v>
      </c>
      <c r="H37" s="55">
        <f>+FACTURACIÓN!J36</f>
        <v>0</v>
      </c>
      <c r="I37" s="55">
        <f>+FACTURACIÓN!K36</f>
        <v>0</v>
      </c>
      <c r="J37" s="55">
        <f>+FACTURACIÓN!L36</f>
        <v>45.13</v>
      </c>
      <c r="K37" s="55">
        <f>+FACTURACIÓN!M36</f>
        <v>0</v>
      </c>
      <c r="L37" s="55">
        <f>+FACTURACIÓN!N36</f>
        <v>349.07</v>
      </c>
      <c r="M37" s="55">
        <f>+FACTURACIÓN!O36</f>
        <v>1224.1970000000001</v>
      </c>
      <c r="N37" s="55">
        <f>+FACTURACIÓN!P36</f>
        <v>58.91</v>
      </c>
      <c r="O37" s="54">
        <f t="shared" si="1"/>
        <v>1677.3070000000002</v>
      </c>
      <c r="P37" s="59">
        <f t="shared" si="2"/>
        <v>10032.393</v>
      </c>
      <c r="Q37" s="51" t="str">
        <f t="shared" si="3"/>
        <v xml:space="preserve">si </v>
      </c>
      <c r="R37" s="20" t="s">
        <v>80</v>
      </c>
      <c r="S37" s="21" t="s">
        <v>81</v>
      </c>
    </row>
    <row r="38" spans="1:19" x14ac:dyDescent="0.2">
      <c r="A38" s="20" t="s">
        <v>82</v>
      </c>
      <c r="B38" s="21" t="s">
        <v>83</v>
      </c>
      <c r="C38" s="53">
        <f>+FACTURACIÓN!G37-'C&amp;A'!L38-'C&amp;A'!J38-'C&amp;A'!H38-'C&amp;A'!G38</f>
        <v>951.46000000000015</v>
      </c>
      <c r="D38" s="54">
        <v>0</v>
      </c>
      <c r="E38" s="55">
        <f t="shared" si="0"/>
        <v>951.46000000000015</v>
      </c>
      <c r="F38" s="55">
        <f>+FACTURACIÓN!H37</f>
        <v>0</v>
      </c>
      <c r="G38" s="55">
        <f>+FACTURACIÓN!I37</f>
        <v>0</v>
      </c>
      <c r="H38" s="55">
        <f>+FACTURACIÓN!J37</f>
        <v>0</v>
      </c>
      <c r="I38" s="55">
        <f>+FACTURACIÓN!K37</f>
        <v>0</v>
      </c>
      <c r="J38" s="55">
        <f>+FACTURACIÓN!L37</f>
        <v>45.13</v>
      </c>
      <c r="K38" s="55">
        <f>+FACTURACIÓN!M37</f>
        <v>0</v>
      </c>
      <c r="L38" s="55">
        <f>+FACTURACIÓN!N37</f>
        <v>0</v>
      </c>
      <c r="M38" s="55">
        <f>+FACTURACIÓN!O37</f>
        <v>0</v>
      </c>
      <c r="N38" s="55">
        <f>+FACTURACIÓN!P37</f>
        <v>58.91</v>
      </c>
      <c r="O38" s="54">
        <f t="shared" si="1"/>
        <v>104.03999999999999</v>
      </c>
      <c r="P38" s="59">
        <f t="shared" si="2"/>
        <v>847.42000000000019</v>
      </c>
      <c r="Q38" s="51" t="str">
        <f t="shared" si="3"/>
        <v xml:space="preserve">si </v>
      </c>
      <c r="R38" s="20" t="s">
        <v>82</v>
      </c>
      <c r="S38" s="21" t="s">
        <v>83</v>
      </c>
    </row>
    <row r="39" spans="1:19" x14ac:dyDescent="0.2">
      <c r="A39" s="20" t="s">
        <v>197</v>
      </c>
      <c r="B39" s="21" t="s">
        <v>198</v>
      </c>
      <c r="C39" s="53">
        <f>+FACTURACIÓN!G38-'C&amp;A'!L39-'C&amp;A'!J39-'C&amp;A'!H39-'C&amp;A'!G39</f>
        <v>588.86</v>
      </c>
      <c r="D39" s="54">
        <v>0</v>
      </c>
      <c r="E39" s="55">
        <f t="shared" si="0"/>
        <v>588.86</v>
      </c>
      <c r="F39" s="55">
        <f>+FACTURACIÓN!H38</f>
        <v>0</v>
      </c>
      <c r="G39" s="55">
        <f>+FACTURACIÓN!I38</f>
        <v>0</v>
      </c>
      <c r="H39" s="55">
        <f>+FACTURACIÓN!J38</f>
        <v>0</v>
      </c>
      <c r="I39" s="55">
        <f>+FACTURACIÓN!K38</f>
        <v>0</v>
      </c>
      <c r="J39" s="55">
        <f>+FACTURACIÓN!L38</f>
        <v>45.13</v>
      </c>
      <c r="K39" s="55">
        <f>+FACTURACIÓN!M38</f>
        <v>0</v>
      </c>
      <c r="L39" s="55">
        <f>+FACTURACIÓN!N38</f>
        <v>0</v>
      </c>
      <c r="M39" s="55">
        <f>+FACTURACIÓN!O38</f>
        <v>0</v>
      </c>
      <c r="N39" s="55">
        <f>+FACTURACIÓN!P38</f>
        <v>58.91</v>
      </c>
      <c r="O39" s="54">
        <f t="shared" si="1"/>
        <v>104.03999999999999</v>
      </c>
      <c r="P39" s="59">
        <f t="shared" si="2"/>
        <v>484.82000000000005</v>
      </c>
      <c r="Q39" s="51" t="str">
        <f t="shared" si="3"/>
        <v xml:space="preserve">si </v>
      </c>
      <c r="R39" s="20" t="s">
        <v>197</v>
      </c>
      <c r="S39" s="21" t="s">
        <v>198</v>
      </c>
    </row>
    <row r="40" spans="1:19" x14ac:dyDescent="0.2">
      <c r="A40" s="20" t="s">
        <v>86</v>
      </c>
      <c r="B40" s="21" t="s">
        <v>87</v>
      </c>
      <c r="C40" s="53">
        <f>+FACTURACIÓN!G39-'C&amp;A'!L40-'C&amp;A'!J40-'C&amp;A'!H40-'C&amp;A'!G40</f>
        <v>1745.6699999999996</v>
      </c>
      <c r="D40" s="54">
        <v>0</v>
      </c>
      <c r="E40" s="55">
        <f t="shared" si="0"/>
        <v>1745.6699999999996</v>
      </c>
      <c r="F40" s="55">
        <f>+FACTURACIÓN!H39</f>
        <v>0</v>
      </c>
      <c r="G40" s="55">
        <f>+FACTURACIÓN!I39</f>
        <v>0</v>
      </c>
      <c r="H40" s="55">
        <f>+FACTURACIÓN!J39</f>
        <v>0</v>
      </c>
      <c r="I40" s="55">
        <f>+FACTURACIÓN!K39</f>
        <v>0</v>
      </c>
      <c r="J40" s="55">
        <f>+FACTURACIÓN!L39</f>
        <v>45.13</v>
      </c>
      <c r="K40" s="55">
        <f>+FACTURACIÓN!M39</f>
        <v>0</v>
      </c>
      <c r="L40" s="55">
        <f>+FACTURACIÓN!N39</f>
        <v>0</v>
      </c>
      <c r="M40" s="55">
        <f>+FACTURACIÓN!O39</f>
        <v>0</v>
      </c>
      <c r="N40" s="55">
        <f>+FACTURACIÓN!P39</f>
        <v>0</v>
      </c>
      <c r="O40" s="54">
        <f t="shared" si="1"/>
        <v>45.13</v>
      </c>
      <c r="P40" s="59">
        <f t="shared" si="2"/>
        <v>1700.5399999999995</v>
      </c>
      <c r="Q40" s="51" t="str">
        <f t="shared" si="3"/>
        <v xml:space="preserve">si </v>
      </c>
      <c r="R40" s="20" t="s">
        <v>86</v>
      </c>
      <c r="S40" s="21" t="s">
        <v>87</v>
      </c>
    </row>
    <row r="41" spans="1:19" x14ac:dyDescent="0.2">
      <c r="A41" s="20" t="s">
        <v>88</v>
      </c>
      <c r="B41" s="21" t="s">
        <v>89</v>
      </c>
      <c r="C41" s="53">
        <f>+FACTURACIÓN!G40-'C&amp;A'!L41-'C&amp;A'!J41-'C&amp;A'!H41-'C&amp;A'!G41</f>
        <v>2600.04</v>
      </c>
      <c r="D41" s="54">
        <v>0</v>
      </c>
      <c r="E41" s="55">
        <f t="shared" si="0"/>
        <v>2600.04</v>
      </c>
      <c r="F41" s="55">
        <f>+FACTURACIÓN!H40</f>
        <v>0</v>
      </c>
      <c r="G41" s="55">
        <f>+FACTURACIÓN!I40</f>
        <v>0</v>
      </c>
      <c r="H41" s="55">
        <f>+FACTURACIÓN!J40</f>
        <v>0</v>
      </c>
      <c r="I41" s="55">
        <f>+FACTURACIÓN!K40</f>
        <v>0</v>
      </c>
      <c r="J41" s="55">
        <f>+FACTURACIÓN!L40</f>
        <v>45.13</v>
      </c>
      <c r="K41" s="55">
        <f>+FACTURACIÓN!M40</f>
        <v>0</v>
      </c>
      <c r="L41" s="55">
        <f>+FACTURACIÓN!N40</f>
        <v>0</v>
      </c>
      <c r="M41" s="55">
        <f>+FACTURACIÓN!O40</f>
        <v>0</v>
      </c>
      <c r="N41" s="55">
        <f>+FACTURACIÓN!P40</f>
        <v>58.91</v>
      </c>
      <c r="O41" s="54">
        <f t="shared" si="1"/>
        <v>104.03999999999999</v>
      </c>
      <c r="P41" s="59">
        <f t="shared" si="2"/>
        <v>2496</v>
      </c>
      <c r="Q41" s="51" t="str">
        <f t="shared" si="3"/>
        <v xml:space="preserve">si </v>
      </c>
      <c r="R41" s="20" t="s">
        <v>88</v>
      </c>
      <c r="S41" s="21" t="s">
        <v>89</v>
      </c>
    </row>
    <row r="42" spans="1:19" x14ac:dyDescent="0.2">
      <c r="A42" s="20" t="s">
        <v>90</v>
      </c>
      <c r="B42" s="21" t="s">
        <v>91</v>
      </c>
      <c r="C42" s="53">
        <f>+FACTURACIÓN!G41-'C&amp;A'!L42-'C&amp;A'!J42-'C&amp;A'!H42-'C&amp;A'!G42</f>
        <v>2546.7599999999998</v>
      </c>
      <c r="D42" s="54">
        <v>0</v>
      </c>
      <c r="E42" s="55">
        <f t="shared" si="0"/>
        <v>2546.7599999999998</v>
      </c>
      <c r="F42" s="55">
        <f>+FACTURACIÓN!H41</f>
        <v>0</v>
      </c>
      <c r="G42" s="55">
        <f>+FACTURACIÓN!I41</f>
        <v>0</v>
      </c>
      <c r="H42" s="55">
        <f>+FACTURACIÓN!J41</f>
        <v>0</v>
      </c>
      <c r="I42" s="55">
        <f>+FACTURACIÓN!K41</f>
        <v>0</v>
      </c>
      <c r="J42" s="55">
        <f>+FACTURACIÓN!L41</f>
        <v>45.13</v>
      </c>
      <c r="K42" s="55">
        <f>+FACTURACIÓN!M41</f>
        <v>0</v>
      </c>
      <c r="L42" s="55">
        <f>+FACTURACIÓN!N41</f>
        <v>208.6</v>
      </c>
      <c r="M42" s="55">
        <f>+FACTURACIÓN!O41</f>
        <v>0</v>
      </c>
      <c r="N42" s="55">
        <f>+FACTURACIÓN!P41</f>
        <v>0</v>
      </c>
      <c r="O42" s="54">
        <f t="shared" si="1"/>
        <v>253.73</v>
      </c>
      <c r="P42" s="59">
        <f t="shared" si="2"/>
        <v>2293.0299999999997</v>
      </c>
      <c r="Q42" s="51" t="str">
        <f t="shared" si="3"/>
        <v xml:space="preserve">si </v>
      </c>
      <c r="R42" s="20" t="s">
        <v>90</v>
      </c>
      <c r="S42" s="21" t="s">
        <v>91</v>
      </c>
    </row>
    <row r="43" spans="1:19" x14ac:dyDescent="0.2">
      <c r="A43" s="20" t="s">
        <v>92</v>
      </c>
      <c r="B43" s="21" t="s">
        <v>93</v>
      </c>
      <c r="C43" s="53">
        <f>+FACTURACIÓN!G42-'C&amp;A'!L43-'C&amp;A'!J43-'C&amp;A'!H43-'C&amp;A'!G43</f>
        <v>124.2039701580037</v>
      </c>
      <c r="D43" s="54">
        <v>0</v>
      </c>
      <c r="E43" s="55">
        <f t="shared" si="0"/>
        <v>124.2039701580037</v>
      </c>
      <c r="F43" s="55">
        <f>+FACTURACIÓN!H42</f>
        <v>0</v>
      </c>
      <c r="G43" s="55">
        <f>+FACTURACIÓN!I42</f>
        <v>0</v>
      </c>
      <c r="H43" s="55">
        <f>+FACTURACIÓN!J42</f>
        <v>0</v>
      </c>
      <c r="I43" s="55">
        <f>+FACTURACIÓN!K42</f>
        <v>0</v>
      </c>
      <c r="J43" s="55">
        <f>+FACTURACIÓN!L42</f>
        <v>45.13</v>
      </c>
      <c r="K43" s="55">
        <f>+FACTURACIÓN!M42</f>
        <v>0</v>
      </c>
      <c r="L43" s="55">
        <f>+FACTURACIÓN!N42</f>
        <v>0</v>
      </c>
      <c r="M43" s="55">
        <f>+FACTURACIÓN!O42</f>
        <v>0</v>
      </c>
      <c r="N43" s="55">
        <f>+FACTURACIÓN!P42</f>
        <v>58.91</v>
      </c>
      <c r="O43" s="54">
        <f t="shared" si="1"/>
        <v>104.03999999999999</v>
      </c>
      <c r="P43" s="59">
        <f t="shared" si="2"/>
        <v>20.163970158003707</v>
      </c>
      <c r="Q43" s="51" t="str">
        <f t="shared" si="3"/>
        <v xml:space="preserve">si </v>
      </c>
      <c r="R43" s="20" t="s">
        <v>92</v>
      </c>
      <c r="S43" s="21" t="s">
        <v>93</v>
      </c>
    </row>
    <row r="44" spans="1:19" x14ac:dyDescent="0.2">
      <c r="A44" s="20" t="s">
        <v>94</v>
      </c>
      <c r="B44" s="21" t="s">
        <v>95</v>
      </c>
      <c r="C44" s="53">
        <f>+FACTURACIÓN!G43-'C&amp;A'!L44-'C&amp;A'!J44-'C&amp;A'!H44-'C&amp;A'!G44</f>
        <v>586.5100000000001</v>
      </c>
      <c r="D44" s="54">
        <v>0</v>
      </c>
      <c r="E44" s="55">
        <f t="shared" si="0"/>
        <v>586.5100000000001</v>
      </c>
      <c r="F44" s="55">
        <f>+FACTURACIÓN!H43</f>
        <v>0</v>
      </c>
      <c r="G44" s="55">
        <f>+FACTURACIÓN!I43</f>
        <v>0</v>
      </c>
      <c r="H44" s="55">
        <f>+FACTURACIÓN!J43</f>
        <v>0</v>
      </c>
      <c r="I44" s="55">
        <f>+FACTURACIÓN!K43</f>
        <v>0</v>
      </c>
      <c r="J44" s="55">
        <f>+FACTURACIÓN!L43</f>
        <v>45.13</v>
      </c>
      <c r="K44" s="55">
        <f>+FACTURACIÓN!M43</f>
        <v>0</v>
      </c>
      <c r="L44" s="55">
        <f>+FACTURACIÓN!N43</f>
        <v>0</v>
      </c>
      <c r="M44" s="55">
        <f>+FACTURACIÓN!O43</f>
        <v>0</v>
      </c>
      <c r="N44" s="55">
        <f>+FACTURACIÓN!P43</f>
        <v>0</v>
      </c>
      <c r="O44" s="54">
        <f t="shared" si="1"/>
        <v>45.13</v>
      </c>
      <c r="P44" s="59">
        <f t="shared" si="2"/>
        <v>541.38000000000011</v>
      </c>
      <c r="Q44" s="51" t="str">
        <f t="shared" si="3"/>
        <v xml:space="preserve">si </v>
      </c>
      <c r="R44" s="20" t="s">
        <v>94</v>
      </c>
      <c r="S44" s="21" t="s">
        <v>95</v>
      </c>
    </row>
    <row r="45" spans="1:19" x14ac:dyDescent="0.2">
      <c r="A45" s="20" t="s">
        <v>96</v>
      </c>
      <c r="B45" s="21" t="s">
        <v>97</v>
      </c>
      <c r="C45" s="53">
        <f>+FACTURACIÓN!G44-'C&amp;A'!L45-'C&amp;A'!J45-'C&amp;A'!H45-'C&amp;A'!G45</f>
        <v>2055.9299999999998</v>
      </c>
      <c r="D45" s="54">
        <v>0</v>
      </c>
      <c r="E45" s="55">
        <f t="shared" si="0"/>
        <v>2055.9299999999998</v>
      </c>
      <c r="F45" s="55">
        <f>+FACTURACIÓN!H44</f>
        <v>0</v>
      </c>
      <c r="G45" s="55">
        <f>+FACTURACIÓN!I44</f>
        <v>0</v>
      </c>
      <c r="H45" s="55">
        <f>+FACTURACIÓN!J44</f>
        <v>0</v>
      </c>
      <c r="I45" s="55">
        <f>+FACTURACIÓN!K44</f>
        <v>0</v>
      </c>
      <c r="J45" s="55">
        <f>+FACTURACIÓN!L44</f>
        <v>45.13</v>
      </c>
      <c r="K45" s="55">
        <f>+FACTURACIÓN!M44</f>
        <v>0</v>
      </c>
      <c r="L45" s="55">
        <f>+FACTURACIÓN!N44</f>
        <v>0</v>
      </c>
      <c r="M45" s="55">
        <f>+FACTURACIÓN!O44</f>
        <v>0</v>
      </c>
      <c r="N45" s="55">
        <f>+FACTURACIÓN!P44</f>
        <v>0</v>
      </c>
      <c r="O45" s="54">
        <f t="shared" si="1"/>
        <v>45.13</v>
      </c>
      <c r="P45" s="59">
        <f t="shared" si="2"/>
        <v>2010.7999999999997</v>
      </c>
      <c r="Q45" s="51" t="str">
        <f t="shared" si="3"/>
        <v xml:space="preserve">si </v>
      </c>
      <c r="R45" s="20" t="s">
        <v>96</v>
      </c>
      <c r="S45" s="21" t="s">
        <v>97</v>
      </c>
    </row>
    <row r="46" spans="1:19" x14ac:dyDescent="0.2">
      <c r="A46" s="20" t="s">
        <v>99</v>
      </c>
      <c r="B46" s="21" t="s">
        <v>100</v>
      </c>
      <c r="C46" s="53">
        <f>+FACTURACIÓN!G45-'C&amp;A'!L46-'C&amp;A'!J46-'C&amp;A'!H46-'C&amp;A'!G46</f>
        <v>3491.56</v>
      </c>
      <c r="D46" s="54">
        <v>0</v>
      </c>
      <c r="E46" s="55">
        <f t="shared" si="0"/>
        <v>3491.56</v>
      </c>
      <c r="F46" s="55">
        <f>+FACTURACIÓN!H45</f>
        <v>0</v>
      </c>
      <c r="G46" s="55">
        <f>+FACTURACIÓN!I45</f>
        <v>0</v>
      </c>
      <c r="H46" s="55">
        <f>+FACTURACIÓN!J45</f>
        <v>0</v>
      </c>
      <c r="I46" s="55">
        <f>+FACTURACIÓN!K45</f>
        <v>0</v>
      </c>
      <c r="J46" s="55">
        <f>+FACTURACIÓN!L45</f>
        <v>45.13</v>
      </c>
      <c r="K46" s="55">
        <f>+FACTURACIÓN!M45</f>
        <v>0</v>
      </c>
      <c r="L46" s="55">
        <f>+FACTURACIÓN!N45</f>
        <v>0</v>
      </c>
      <c r="M46" s="55">
        <f>+FACTURACIÓN!O45</f>
        <v>402.38300000000004</v>
      </c>
      <c r="N46" s="55">
        <f>+FACTURACIÓN!P45</f>
        <v>0</v>
      </c>
      <c r="O46" s="54">
        <f t="shared" si="1"/>
        <v>447.51300000000003</v>
      </c>
      <c r="P46" s="59">
        <f t="shared" si="2"/>
        <v>3044.047</v>
      </c>
      <c r="Q46" s="51" t="str">
        <f t="shared" si="3"/>
        <v xml:space="preserve">si </v>
      </c>
      <c r="R46" s="20" t="s">
        <v>99</v>
      </c>
      <c r="S46" s="21" t="s">
        <v>100</v>
      </c>
    </row>
    <row r="47" spans="1:19" x14ac:dyDescent="0.2">
      <c r="A47" s="20" t="s">
        <v>101</v>
      </c>
      <c r="B47" s="21" t="s">
        <v>102</v>
      </c>
      <c r="C47" s="53">
        <f>+FACTURACIÓN!G46-'C&amp;A'!L47-'C&amp;A'!J47-'C&amp;A'!H47-'C&amp;A'!G47</f>
        <v>353.30000000000007</v>
      </c>
      <c r="D47" s="54">
        <v>0</v>
      </c>
      <c r="E47" s="55">
        <f t="shared" si="0"/>
        <v>353.30000000000007</v>
      </c>
      <c r="F47" s="55">
        <f>+FACTURACIÓN!H46</f>
        <v>100</v>
      </c>
      <c r="G47" s="55">
        <f>+FACTURACIÓN!I46</f>
        <v>43.392930000000007</v>
      </c>
      <c r="H47" s="55">
        <f>+FACTURACIÓN!J46</f>
        <v>8.8557000000000006</v>
      </c>
      <c r="I47" s="55">
        <f>+FACTURACIÓN!K46</f>
        <v>0</v>
      </c>
      <c r="J47" s="55">
        <f>+FACTURACIÓN!L46</f>
        <v>45.13</v>
      </c>
      <c r="K47" s="55">
        <f>+FACTURACIÓN!M46</f>
        <v>0</v>
      </c>
      <c r="L47" s="55">
        <f>+FACTURACIÓN!N46</f>
        <v>0</v>
      </c>
      <c r="M47" s="55">
        <f>+FACTURACIÓN!O46</f>
        <v>0</v>
      </c>
      <c r="N47" s="55">
        <f>+FACTURACIÓN!P46</f>
        <v>0</v>
      </c>
      <c r="O47" s="54">
        <f t="shared" si="1"/>
        <v>197.37863000000002</v>
      </c>
      <c r="P47" s="59">
        <f t="shared" si="2"/>
        <v>155.92137000000005</v>
      </c>
      <c r="Q47" s="51" t="str">
        <f t="shared" si="3"/>
        <v xml:space="preserve">si </v>
      </c>
      <c r="R47" s="20" t="s">
        <v>101</v>
      </c>
      <c r="S47" s="21" t="s">
        <v>102</v>
      </c>
    </row>
    <row r="48" spans="1:19" x14ac:dyDescent="0.2">
      <c r="A48" s="20"/>
      <c r="B48" s="21" t="s">
        <v>621</v>
      </c>
      <c r="C48" s="53">
        <f>+FACTURACIÓN!G47-'C&amp;A'!L48-'C&amp;A'!J48-'C&amp;A'!H48-'C&amp;A'!G48</f>
        <v>2439.6499999999996</v>
      </c>
      <c r="D48" s="54">
        <v>0</v>
      </c>
      <c r="E48" s="55">
        <f t="shared" si="0"/>
        <v>2439.6499999999996</v>
      </c>
      <c r="F48" s="55">
        <f>+FACTURACIÓN!H47</f>
        <v>0</v>
      </c>
      <c r="G48" s="55">
        <f>+FACTURACIÓN!I47</f>
        <v>145.62407999999999</v>
      </c>
      <c r="H48" s="55">
        <f>+FACTURACIÓN!J47</f>
        <v>29.719199999999997</v>
      </c>
      <c r="I48" s="55">
        <f>+FACTURACIÓN!K47</f>
        <v>0</v>
      </c>
      <c r="J48" s="55">
        <f>+FACTURACIÓN!L47</f>
        <v>45.13</v>
      </c>
      <c r="K48" s="55">
        <f>+FACTURACIÓN!M47</f>
        <v>0</v>
      </c>
      <c r="L48" s="55">
        <f>+FACTURACIÓN!N47</f>
        <v>0</v>
      </c>
      <c r="M48" s="55">
        <f>+FACTURACIÓN!O47</f>
        <v>0</v>
      </c>
      <c r="N48" s="55">
        <f>+FACTURACIÓN!P47</f>
        <v>0</v>
      </c>
      <c r="O48" s="54">
        <f t="shared" si="1"/>
        <v>220.47327999999999</v>
      </c>
      <c r="P48" s="59">
        <f t="shared" si="2"/>
        <v>2219.1767199999995</v>
      </c>
      <c r="Q48" s="51" t="str">
        <f t="shared" si="3"/>
        <v xml:space="preserve">si </v>
      </c>
      <c r="R48" s="20"/>
      <c r="S48" s="21" t="s">
        <v>621</v>
      </c>
    </row>
    <row r="49" spans="1:19" x14ac:dyDescent="0.2">
      <c r="A49" s="20" t="s">
        <v>103</v>
      </c>
      <c r="B49" s="21" t="s">
        <v>104</v>
      </c>
      <c r="C49" s="53">
        <f>+FACTURACIÓN!G48-'C&amp;A'!L49-'C&amp;A'!J49-'C&amp;A'!H49-'C&amp;A'!G49</f>
        <v>2658.04</v>
      </c>
      <c r="D49" s="54">
        <v>0</v>
      </c>
      <c r="E49" s="55">
        <f t="shared" si="0"/>
        <v>2658.04</v>
      </c>
      <c r="F49" s="55">
        <f>+FACTURACIÓN!H48</f>
        <v>0</v>
      </c>
      <c r="G49" s="55">
        <f>+FACTURACIÓN!I48</f>
        <v>156.32518999999999</v>
      </c>
      <c r="H49" s="55">
        <f>+FACTURACIÓN!J48</f>
        <v>31.903099999999998</v>
      </c>
      <c r="I49" s="55">
        <f>+FACTURACIÓN!K48</f>
        <v>0</v>
      </c>
      <c r="J49" s="55">
        <f>+FACTURACIÓN!L48</f>
        <v>45.13</v>
      </c>
      <c r="K49" s="55">
        <f>+FACTURACIÓN!M48</f>
        <v>0</v>
      </c>
      <c r="L49" s="55">
        <f>+FACTURACIÓN!N48</f>
        <v>0</v>
      </c>
      <c r="M49" s="55">
        <f>+FACTURACIÓN!O48</f>
        <v>0</v>
      </c>
      <c r="N49" s="55">
        <f>+FACTURACIÓN!P48</f>
        <v>0</v>
      </c>
      <c r="O49" s="54">
        <f t="shared" si="1"/>
        <v>233.35828999999998</v>
      </c>
      <c r="P49" s="59">
        <f t="shared" si="2"/>
        <v>2424.6817099999998</v>
      </c>
      <c r="Q49" s="51" t="str">
        <f t="shared" si="3"/>
        <v xml:space="preserve">si </v>
      </c>
      <c r="R49" s="20" t="s">
        <v>103</v>
      </c>
      <c r="S49" s="21" t="s">
        <v>104</v>
      </c>
    </row>
    <row r="50" spans="1:19" x14ac:dyDescent="0.2">
      <c r="A50" s="20" t="s">
        <v>105</v>
      </c>
      <c r="B50" s="21" t="s">
        <v>106</v>
      </c>
      <c r="C50" s="53">
        <f>+FACTURACIÓN!G49-'C&amp;A'!L50-'C&amp;A'!J50-'C&amp;A'!H50-'C&amp;A'!G50</f>
        <v>2910.02</v>
      </c>
      <c r="D50" s="54">
        <v>0</v>
      </c>
      <c r="E50" s="55">
        <f t="shared" si="0"/>
        <v>2910.02</v>
      </c>
      <c r="F50" s="55">
        <f>+FACTURACIÓN!H49</f>
        <v>0</v>
      </c>
      <c r="G50" s="55">
        <f>+FACTURACIÓN!I49</f>
        <v>0</v>
      </c>
      <c r="H50" s="55">
        <f>+FACTURACIÓN!J49</f>
        <v>0</v>
      </c>
      <c r="I50" s="55">
        <f>+FACTURACIÓN!K49</f>
        <v>0</v>
      </c>
      <c r="J50" s="55">
        <f>+FACTURACIÓN!L49</f>
        <v>45.13</v>
      </c>
      <c r="K50" s="55">
        <f>+FACTURACIÓN!M49</f>
        <v>0</v>
      </c>
      <c r="L50" s="55">
        <f>+FACTURACIÓN!N49</f>
        <v>0</v>
      </c>
      <c r="M50" s="55">
        <f>+FACTURACIÓN!O49</f>
        <v>0</v>
      </c>
      <c r="N50" s="55">
        <f>+FACTURACIÓN!P49</f>
        <v>0</v>
      </c>
      <c r="O50" s="54">
        <f t="shared" si="1"/>
        <v>45.13</v>
      </c>
      <c r="P50" s="59">
        <f t="shared" si="2"/>
        <v>2864.89</v>
      </c>
      <c r="Q50" s="51" t="str">
        <f t="shared" si="3"/>
        <v xml:space="preserve">si </v>
      </c>
      <c r="R50" s="20" t="s">
        <v>105</v>
      </c>
      <c r="S50" s="21" t="s">
        <v>106</v>
      </c>
    </row>
    <row r="51" spans="1:19" x14ac:dyDescent="0.2">
      <c r="A51" s="50" t="s">
        <v>516</v>
      </c>
      <c r="B51" s="21" t="s">
        <v>515</v>
      </c>
      <c r="C51" s="53">
        <f>+FACTURACIÓN!G50-'C&amp;A'!L51-'C&amp;A'!J51-'C&amp;A'!H51-'C&amp;A'!G51</f>
        <v>2560.36</v>
      </c>
      <c r="D51" s="54">
        <v>0</v>
      </c>
      <c r="E51" s="55">
        <f t="shared" si="0"/>
        <v>2560.36</v>
      </c>
      <c r="F51" s="55">
        <f>+FACTURACIÓN!H50</f>
        <v>0</v>
      </c>
      <c r="G51" s="55">
        <f>+FACTURACIÓN!I50</f>
        <v>0</v>
      </c>
      <c r="H51" s="55">
        <f>+FACTURACIÓN!J50</f>
        <v>30.926300000000001</v>
      </c>
      <c r="I51" s="55">
        <f>+FACTURACIÓN!K50</f>
        <v>0</v>
      </c>
      <c r="J51" s="55">
        <f>+FACTURACIÓN!L50</f>
        <v>45.13</v>
      </c>
      <c r="K51" s="55">
        <f>+FACTURACIÓN!M50</f>
        <v>0</v>
      </c>
      <c r="L51" s="55">
        <f>+FACTURACIÓN!N50</f>
        <v>0</v>
      </c>
      <c r="M51" s="55">
        <f>+FACTURACIÓN!O50</f>
        <v>0</v>
      </c>
      <c r="N51" s="55">
        <f>+FACTURACIÓN!P50</f>
        <v>0</v>
      </c>
      <c r="O51" s="54">
        <f t="shared" si="1"/>
        <v>76.056300000000007</v>
      </c>
      <c r="P51" s="59">
        <f t="shared" si="2"/>
        <v>2484.3036999999999</v>
      </c>
      <c r="Q51" s="51" t="str">
        <f t="shared" si="3"/>
        <v xml:space="preserve">si </v>
      </c>
      <c r="R51" s="50" t="s">
        <v>516</v>
      </c>
      <c r="S51" s="21" t="s">
        <v>515</v>
      </c>
    </row>
    <row r="52" spans="1:19" x14ac:dyDescent="0.2">
      <c r="A52" s="50" t="s">
        <v>504</v>
      </c>
      <c r="B52" s="21" t="s">
        <v>505</v>
      </c>
      <c r="C52" s="53">
        <f>+FACTURACIÓN!G51-'C&amp;A'!L52-'C&amp;A'!J52-'C&amp;A'!H52-'C&amp;A'!G52</f>
        <v>939.2700000000001</v>
      </c>
      <c r="D52" s="54">
        <v>0</v>
      </c>
      <c r="E52" s="55">
        <f t="shared" si="0"/>
        <v>939.2700000000001</v>
      </c>
      <c r="F52" s="55">
        <f>+FACTURACIÓN!H51</f>
        <v>0</v>
      </c>
      <c r="G52" s="55">
        <f>+FACTURACIÓN!I51</f>
        <v>0</v>
      </c>
      <c r="H52" s="55">
        <f>+FACTURACIÓN!J51</f>
        <v>0</v>
      </c>
      <c r="I52" s="55">
        <f>+FACTURACIÓN!K51</f>
        <v>0</v>
      </c>
      <c r="J52" s="55">
        <f>+FACTURACIÓN!L51</f>
        <v>45.13</v>
      </c>
      <c r="K52" s="55">
        <f>+FACTURACIÓN!M51</f>
        <v>0</v>
      </c>
      <c r="L52" s="55">
        <f>+FACTURACIÓN!N51</f>
        <v>0</v>
      </c>
      <c r="M52" s="55">
        <f>+FACTURACIÓN!O51</f>
        <v>0</v>
      </c>
      <c r="N52" s="55">
        <f>+FACTURACIÓN!P51</f>
        <v>0</v>
      </c>
      <c r="O52" s="54">
        <f t="shared" si="1"/>
        <v>45.13</v>
      </c>
      <c r="P52" s="59">
        <f t="shared" si="2"/>
        <v>894.1400000000001</v>
      </c>
      <c r="Q52" s="51" t="str">
        <f t="shared" si="3"/>
        <v xml:space="preserve">si </v>
      </c>
      <c r="R52" s="50" t="s">
        <v>504</v>
      </c>
      <c r="S52" s="21" t="s">
        <v>505</v>
      </c>
    </row>
    <row r="53" spans="1:19" x14ac:dyDescent="0.2">
      <c r="A53" s="20" t="s">
        <v>107</v>
      </c>
      <c r="B53" s="21" t="s">
        <v>108</v>
      </c>
      <c r="C53" s="53">
        <f>+FACTURACIÓN!G52-'C&amp;A'!L53-'C&amp;A'!J53-'C&amp;A'!H53-'C&amp;A'!G53</f>
        <v>1373.54</v>
      </c>
      <c r="D53" s="54">
        <v>0</v>
      </c>
      <c r="E53" s="55">
        <f t="shared" si="0"/>
        <v>1373.54</v>
      </c>
      <c r="F53" s="55">
        <f>+FACTURACIÓN!H52</f>
        <v>0</v>
      </c>
      <c r="G53" s="55">
        <f>+FACTURACIÓN!I52</f>
        <v>0</v>
      </c>
      <c r="H53" s="55">
        <f>+FACTURACIÓN!J52</f>
        <v>0</v>
      </c>
      <c r="I53" s="55">
        <f>+FACTURACIÓN!K52</f>
        <v>0</v>
      </c>
      <c r="J53" s="55">
        <f>+FACTURACIÓN!L52</f>
        <v>45.13</v>
      </c>
      <c r="K53" s="55">
        <f>+FACTURACIÓN!M52</f>
        <v>0</v>
      </c>
      <c r="L53" s="55">
        <f>+FACTURACIÓN!N52</f>
        <v>0</v>
      </c>
      <c r="M53" s="55">
        <f>+FACTURACIÓN!O52</f>
        <v>0</v>
      </c>
      <c r="N53" s="55">
        <f>+FACTURACIÓN!P52</f>
        <v>58.91</v>
      </c>
      <c r="O53" s="54">
        <f t="shared" si="1"/>
        <v>104.03999999999999</v>
      </c>
      <c r="P53" s="59">
        <f t="shared" si="2"/>
        <v>1269.5</v>
      </c>
      <c r="Q53" s="51" t="str">
        <f t="shared" si="3"/>
        <v xml:space="preserve">si </v>
      </c>
      <c r="R53" s="20" t="s">
        <v>107</v>
      </c>
      <c r="S53" s="21" t="s">
        <v>108</v>
      </c>
    </row>
    <row r="54" spans="1:19" x14ac:dyDescent="0.2">
      <c r="A54" s="20" t="s">
        <v>109</v>
      </c>
      <c r="B54" s="21" t="s">
        <v>110</v>
      </c>
      <c r="C54" s="53">
        <f>+FACTURACIÓN!G53-'C&amp;A'!L54-'C&amp;A'!J54-'C&amp;A'!H54-'C&amp;A'!G54</f>
        <v>5022.34</v>
      </c>
      <c r="D54" s="54">
        <v>0</v>
      </c>
      <c r="E54" s="55">
        <f t="shared" si="0"/>
        <v>5022.34</v>
      </c>
      <c r="F54" s="55">
        <f>+FACTURACIÓN!H53</f>
        <v>0</v>
      </c>
      <c r="G54" s="55">
        <f>+FACTURACIÓN!I53</f>
        <v>0</v>
      </c>
      <c r="H54" s="55">
        <f>+FACTURACIÓN!J53</f>
        <v>0</v>
      </c>
      <c r="I54" s="55">
        <f>+FACTURACIÓN!K53</f>
        <v>0</v>
      </c>
      <c r="J54" s="55">
        <f>+FACTURACIÓN!L53</f>
        <v>45.13</v>
      </c>
      <c r="K54" s="55">
        <f>+FACTURACIÓN!M53</f>
        <v>0</v>
      </c>
      <c r="L54" s="55">
        <f>+FACTURACIÓN!N53</f>
        <v>0</v>
      </c>
      <c r="M54" s="55">
        <f>+FACTURACIÓN!O53</f>
        <v>555.46100000000001</v>
      </c>
      <c r="N54" s="55">
        <f>+FACTURACIÓN!P53</f>
        <v>0</v>
      </c>
      <c r="O54" s="54">
        <f t="shared" si="1"/>
        <v>600.59100000000001</v>
      </c>
      <c r="P54" s="59">
        <f t="shared" si="2"/>
        <v>4421.7489999999998</v>
      </c>
      <c r="Q54" s="51" t="str">
        <f t="shared" si="3"/>
        <v xml:space="preserve">si </v>
      </c>
      <c r="R54" s="20" t="s">
        <v>109</v>
      </c>
      <c r="S54" s="21" t="s">
        <v>110</v>
      </c>
    </row>
    <row r="55" spans="1:19" x14ac:dyDescent="0.2">
      <c r="A55" s="20" t="s">
        <v>196</v>
      </c>
      <c r="B55" s="21" t="s">
        <v>296</v>
      </c>
      <c r="C55" s="53">
        <f>+FACTURACIÓN!G54-'C&amp;A'!L55-'C&amp;A'!J55-'C&amp;A'!H55-'C&amp;A'!G55</f>
        <v>1485.9900000000002</v>
      </c>
      <c r="D55" s="54">
        <v>0</v>
      </c>
      <c r="E55" s="55">
        <f t="shared" si="0"/>
        <v>1485.9900000000002</v>
      </c>
      <c r="F55" s="55">
        <f>+FACTURACIÓN!H54</f>
        <v>0</v>
      </c>
      <c r="G55" s="55">
        <f>+FACTURACIÓN!I54</f>
        <v>0</v>
      </c>
      <c r="H55" s="55">
        <f>+FACTURACIÓN!J54</f>
        <v>0</v>
      </c>
      <c r="I55" s="55">
        <f>+FACTURACIÓN!K54</f>
        <v>0</v>
      </c>
      <c r="J55" s="55">
        <f>+FACTURACIÓN!L54</f>
        <v>45.13</v>
      </c>
      <c r="K55" s="55">
        <f>+FACTURACIÓN!M54</f>
        <v>0</v>
      </c>
      <c r="L55" s="55">
        <f>+FACTURACIÓN!N54</f>
        <v>875.69</v>
      </c>
      <c r="M55" s="55">
        <f>+FACTURACIÓN!O54</f>
        <v>0</v>
      </c>
      <c r="N55" s="55">
        <f>+FACTURACIÓN!P54</f>
        <v>0</v>
      </c>
      <c r="O55" s="54">
        <f t="shared" si="1"/>
        <v>920.82</v>
      </c>
      <c r="P55" s="59">
        <f t="shared" si="2"/>
        <v>565.17000000000019</v>
      </c>
      <c r="Q55" s="51" t="str">
        <f t="shared" si="3"/>
        <v xml:space="preserve">si </v>
      </c>
      <c r="R55" s="20" t="s">
        <v>196</v>
      </c>
      <c r="S55" s="21" t="s">
        <v>296</v>
      </c>
    </row>
    <row r="56" spans="1:19" x14ac:dyDescent="0.2">
      <c r="A56" s="20" t="s">
        <v>111</v>
      </c>
      <c r="B56" s="21" t="s">
        <v>112</v>
      </c>
      <c r="C56" s="53">
        <f>+FACTURACIÓN!G55-'C&amp;A'!L56-'C&amp;A'!J56-'C&amp;A'!H56-'C&amp;A'!G56</f>
        <v>2256.75</v>
      </c>
      <c r="D56" s="54">
        <v>0</v>
      </c>
      <c r="E56" s="55">
        <f t="shared" si="0"/>
        <v>2256.75</v>
      </c>
      <c r="F56" s="55">
        <f>+FACTURACIÓN!H55</f>
        <v>0</v>
      </c>
      <c r="G56" s="55">
        <f>+FACTURACIÓN!I55</f>
        <v>0</v>
      </c>
      <c r="H56" s="55">
        <f>+FACTURACIÓN!J55</f>
        <v>0</v>
      </c>
      <c r="I56" s="55">
        <f>+FACTURACIÓN!K55</f>
        <v>0</v>
      </c>
      <c r="J56" s="55">
        <f>+FACTURACIÓN!L55</f>
        <v>45.13</v>
      </c>
      <c r="K56" s="55">
        <f>+FACTURACIÓN!M55</f>
        <v>0</v>
      </c>
      <c r="L56" s="55">
        <f>+FACTURACIÓN!N55</f>
        <v>0</v>
      </c>
      <c r="M56" s="55">
        <f>+FACTURACIÓN!O55</f>
        <v>0</v>
      </c>
      <c r="N56" s="55">
        <f>+FACTURACIÓN!P55</f>
        <v>0</v>
      </c>
      <c r="O56" s="54">
        <f t="shared" si="1"/>
        <v>45.13</v>
      </c>
      <c r="P56" s="59">
        <f t="shared" si="2"/>
        <v>2211.62</v>
      </c>
      <c r="Q56" s="51" t="str">
        <f t="shared" si="3"/>
        <v xml:space="preserve">si </v>
      </c>
      <c r="R56" s="20" t="s">
        <v>111</v>
      </c>
      <c r="S56" s="21" t="s">
        <v>112</v>
      </c>
    </row>
    <row r="57" spans="1:19" x14ac:dyDescent="0.2">
      <c r="A57" s="20"/>
      <c r="B57" s="21" t="s">
        <v>625</v>
      </c>
      <c r="C57" s="53">
        <f>+FACTURACIÓN!G56-'C&amp;A'!L57-'C&amp;A'!J57-'C&amp;A'!H57-'C&amp;A'!G57</f>
        <v>683.85857142857151</v>
      </c>
      <c r="D57" s="54">
        <v>0</v>
      </c>
      <c r="E57" s="55">
        <f t="shared" si="0"/>
        <v>683.85857142857151</v>
      </c>
      <c r="F57" s="55">
        <f>+FACTURACIÓN!H56</f>
        <v>0</v>
      </c>
      <c r="G57" s="55">
        <f>+FACTURACIÓN!I56</f>
        <v>0</v>
      </c>
      <c r="H57" s="55">
        <f>+FACTURACIÓN!J56</f>
        <v>0</v>
      </c>
      <c r="I57" s="55">
        <f>+FACTURACIÓN!K56</f>
        <v>0</v>
      </c>
      <c r="J57" s="55">
        <f>+FACTURACIÓN!L56</f>
        <v>45.13</v>
      </c>
      <c r="K57" s="55">
        <f>+FACTURACIÓN!M56</f>
        <v>0</v>
      </c>
      <c r="L57" s="55">
        <f>+FACTURACIÓN!N56</f>
        <v>0</v>
      </c>
      <c r="M57" s="55">
        <f>+FACTURACIÓN!O56</f>
        <v>0</v>
      </c>
      <c r="N57" s="55">
        <f>+FACTURACIÓN!P56</f>
        <v>0</v>
      </c>
      <c r="O57" s="54">
        <f t="shared" si="1"/>
        <v>45.13</v>
      </c>
      <c r="P57" s="59">
        <f t="shared" si="2"/>
        <v>638.72857142857151</v>
      </c>
      <c r="Q57" s="51" t="str">
        <f t="shared" si="3"/>
        <v xml:space="preserve">si </v>
      </c>
      <c r="R57" s="20"/>
      <c r="S57" s="21" t="s">
        <v>625</v>
      </c>
    </row>
    <row r="58" spans="1:19" x14ac:dyDescent="0.2">
      <c r="A58" s="20"/>
      <c r="B58" s="21" t="s">
        <v>721</v>
      </c>
      <c r="C58" s="53">
        <f>+FACTURACIÓN!G57-'C&amp;A'!L58-'C&amp;A'!J58-'C&amp;A'!H58-'C&amp;A'!G58</f>
        <v>68.667619047619041</v>
      </c>
      <c r="D58" s="54">
        <v>0</v>
      </c>
      <c r="E58" s="55">
        <f t="shared" si="0"/>
        <v>68.667619047619041</v>
      </c>
      <c r="F58" s="55">
        <f>+FACTURACIÓN!H57</f>
        <v>0</v>
      </c>
      <c r="G58" s="55">
        <f>+FACTURACIÓN!I57</f>
        <v>0</v>
      </c>
      <c r="H58" s="55">
        <f>+FACTURACIÓN!J57</f>
        <v>0</v>
      </c>
      <c r="I58" s="55">
        <f>+FACTURACIÓN!K57</f>
        <v>0</v>
      </c>
      <c r="J58" s="55">
        <f>+FACTURACIÓN!L57</f>
        <v>45.13</v>
      </c>
      <c r="K58" s="55">
        <f>+FACTURACIÓN!M57</f>
        <v>0</v>
      </c>
      <c r="L58" s="55">
        <f>+FACTURACIÓN!N57</f>
        <v>0</v>
      </c>
      <c r="M58" s="55">
        <f>+FACTURACIÓN!O57</f>
        <v>0</v>
      </c>
      <c r="N58" s="55">
        <f>+FACTURACIÓN!P57</f>
        <v>0</v>
      </c>
      <c r="O58" s="54">
        <f t="shared" si="1"/>
        <v>45.13</v>
      </c>
      <c r="P58" s="59">
        <f t="shared" si="2"/>
        <v>23.537619047619039</v>
      </c>
      <c r="Q58" s="51" t="str">
        <f t="shared" si="3"/>
        <v xml:space="preserve">si </v>
      </c>
      <c r="R58" s="20"/>
      <c r="S58" s="21" t="s">
        <v>721</v>
      </c>
    </row>
    <row r="59" spans="1:19" x14ac:dyDescent="0.2">
      <c r="A59" s="20"/>
      <c r="B59" s="21" t="s">
        <v>725</v>
      </c>
      <c r="C59" s="53">
        <f>+FACTURACIÓN!G58-'C&amp;A'!L59-'C&amp;A'!J59-'C&amp;A'!H59-'C&amp;A'!G59</f>
        <v>1672.6</v>
      </c>
      <c r="D59" s="54">
        <v>0</v>
      </c>
      <c r="E59" s="55">
        <f t="shared" si="0"/>
        <v>1672.6</v>
      </c>
      <c r="F59" s="55">
        <f>+FACTURACIÓN!H58</f>
        <v>0</v>
      </c>
      <c r="G59" s="55">
        <f>+FACTURACIÓN!I58</f>
        <v>0</v>
      </c>
      <c r="H59" s="55">
        <f>+FACTURACIÓN!J58</f>
        <v>0</v>
      </c>
      <c r="I59" s="55">
        <f>+FACTURACIÓN!K58</f>
        <v>0</v>
      </c>
      <c r="J59" s="55">
        <f>+FACTURACIÓN!L58</f>
        <v>45.13</v>
      </c>
      <c r="K59" s="55">
        <f>+FACTURACIÓN!M58</f>
        <v>0</v>
      </c>
      <c r="L59" s="55">
        <f>+FACTURACIÓN!N58</f>
        <v>0</v>
      </c>
      <c r="M59" s="55">
        <f>+FACTURACIÓN!O58</f>
        <v>0</v>
      </c>
      <c r="N59" s="55">
        <f>+FACTURACIÓN!P58</f>
        <v>0</v>
      </c>
      <c r="O59" s="54">
        <f t="shared" si="1"/>
        <v>45.13</v>
      </c>
      <c r="P59" s="59">
        <f t="shared" si="2"/>
        <v>1627.4699999999998</v>
      </c>
      <c r="Q59" s="51" t="str">
        <f t="shared" si="3"/>
        <v xml:space="preserve">si </v>
      </c>
      <c r="R59" s="20"/>
      <c r="S59" s="21" t="s">
        <v>725</v>
      </c>
    </row>
    <row r="60" spans="1:19" x14ac:dyDescent="0.2">
      <c r="A60" s="20" t="s">
        <v>113</v>
      </c>
      <c r="B60" s="21" t="s">
        <v>114</v>
      </c>
      <c r="C60" s="53">
        <f>+FACTURACIÓN!G59-'C&amp;A'!L60-'C&amp;A'!J60-'C&amp;A'!H60-'C&amp;A'!G60</f>
        <v>7571.9900000000007</v>
      </c>
      <c r="D60" s="54">
        <v>0</v>
      </c>
      <c r="E60" s="55">
        <f t="shared" si="0"/>
        <v>7571.9900000000007</v>
      </c>
      <c r="F60" s="55">
        <f>+FACTURACIÓN!H59</f>
        <v>0</v>
      </c>
      <c r="G60" s="55">
        <f>+FACTURACIÓN!I59</f>
        <v>0</v>
      </c>
      <c r="H60" s="55">
        <f>+FACTURACIÓN!J59</f>
        <v>0</v>
      </c>
      <c r="I60" s="55">
        <f>+FACTURACIÓN!K59</f>
        <v>0</v>
      </c>
      <c r="J60" s="55">
        <f>+FACTURACIÓN!L59</f>
        <v>45.13</v>
      </c>
      <c r="K60" s="55">
        <f>+FACTURACIÓN!M59</f>
        <v>0</v>
      </c>
      <c r="L60" s="55">
        <f>+FACTURACIÓN!N59</f>
        <v>86.56</v>
      </c>
      <c r="M60" s="55">
        <f>+FACTURACIÓN!O59</f>
        <v>810.42600000000004</v>
      </c>
      <c r="N60" s="55">
        <f>+FACTURACIÓN!P59</f>
        <v>0</v>
      </c>
      <c r="O60" s="54">
        <f t="shared" si="1"/>
        <v>942.11599999999999</v>
      </c>
      <c r="P60" s="59">
        <f t="shared" si="2"/>
        <v>6629.8740000000007</v>
      </c>
      <c r="Q60" s="51" t="str">
        <f t="shared" si="3"/>
        <v xml:space="preserve">si </v>
      </c>
      <c r="R60" s="20" t="s">
        <v>113</v>
      </c>
      <c r="S60" s="21" t="s">
        <v>114</v>
      </c>
    </row>
    <row r="61" spans="1:19" x14ac:dyDescent="0.2">
      <c r="A61" s="20" t="s">
        <v>115</v>
      </c>
      <c r="B61" s="21" t="s">
        <v>116</v>
      </c>
      <c r="C61" s="53">
        <f>+FACTURACIÓN!G60-'C&amp;A'!L61-'C&amp;A'!J61-'C&amp;A'!H61-'C&amp;A'!G61</f>
        <v>900.6</v>
      </c>
      <c r="D61" s="54">
        <v>0</v>
      </c>
      <c r="E61" s="55">
        <f t="shared" si="0"/>
        <v>900.6</v>
      </c>
      <c r="F61" s="55">
        <f>+FACTURACIÓN!H60</f>
        <v>14.3287</v>
      </c>
      <c r="G61" s="55">
        <f>+FACTURACIÓN!I60</f>
        <v>70.210629999999995</v>
      </c>
      <c r="H61" s="55">
        <f>+FACTURACIÓN!J60</f>
        <v>0</v>
      </c>
      <c r="I61" s="55">
        <f>+FACTURACIÓN!K60</f>
        <v>0</v>
      </c>
      <c r="J61" s="55">
        <f>+FACTURACIÓN!L60</f>
        <v>45.13</v>
      </c>
      <c r="K61" s="55">
        <f>+FACTURACIÓN!M60</f>
        <v>0</v>
      </c>
      <c r="L61" s="55">
        <f>+FACTURACIÓN!N60</f>
        <v>0</v>
      </c>
      <c r="M61" s="55">
        <f>+FACTURACIÓN!O60</f>
        <v>0</v>
      </c>
      <c r="N61" s="55">
        <f>+FACTURACIÓN!P60</f>
        <v>0</v>
      </c>
      <c r="O61" s="54">
        <f t="shared" si="1"/>
        <v>129.66933</v>
      </c>
      <c r="P61" s="59">
        <f t="shared" si="2"/>
        <v>770.93066999999996</v>
      </c>
      <c r="Q61" s="51" t="str">
        <f t="shared" si="3"/>
        <v xml:space="preserve">si </v>
      </c>
      <c r="R61" s="20" t="s">
        <v>115</v>
      </c>
      <c r="S61" s="21" t="s">
        <v>116</v>
      </c>
    </row>
    <row r="62" spans="1:19" x14ac:dyDescent="0.2">
      <c r="A62" s="20" t="s">
        <v>121</v>
      </c>
      <c r="B62" s="21" t="s">
        <v>122</v>
      </c>
      <c r="C62" s="53">
        <f>+FACTURACIÓN!G61-'C&amp;A'!L62-'C&amp;A'!J62-'C&amp;A'!H62-'C&amp;A'!G62</f>
        <v>895.08</v>
      </c>
      <c r="D62" s="54">
        <v>0</v>
      </c>
      <c r="E62" s="55">
        <f t="shared" si="0"/>
        <v>895.08</v>
      </c>
      <c r="F62" s="55">
        <f>+FACTURACIÓN!H61</f>
        <v>100</v>
      </c>
      <c r="G62" s="55">
        <f>+FACTURACIÓN!I61</f>
        <v>69.940150000000003</v>
      </c>
      <c r="H62" s="55">
        <f>+FACTURACIÓN!J61</f>
        <v>14.273499999999999</v>
      </c>
      <c r="I62" s="55">
        <f>+FACTURACIÓN!K61</f>
        <v>0</v>
      </c>
      <c r="J62" s="55">
        <f>+FACTURACIÓN!L61</f>
        <v>45.13</v>
      </c>
      <c r="K62" s="55">
        <f>+FACTURACIÓN!M61</f>
        <v>0</v>
      </c>
      <c r="L62" s="55">
        <f>+FACTURACIÓN!N61</f>
        <v>0</v>
      </c>
      <c r="M62" s="55">
        <f>+FACTURACIÓN!O61</f>
        <v>0</v>
      </c>
      <c r="N62" s="55">
        <f>+FACTURACIÓN!P61</f>
        <v>0</v>
      </c>
      <c r="O62" s="54">
        <f t="shared" si="1"/>
        <v>229.34365000000003</v>
      </c>
      <c r="P62" s="59">
        <f t="shared" si="2"/>
        <v>665.73635000000002</v>
      </c>
      <c r="Q62" s="51" t="str">
        <f t="shared" si="3"/>
        <v xml:space="preserve">si </v>
      </c>
      <c r="R62" s="20" t="s">
        <v>121</v>
      </c>
      <c r="S62" s="21" t="s">
        <v>122</v>
      </c>
    </row>
    <row r="63" spans="1:19" x14ac:dyDescent="0.2">
      <c r="A63" s="20" t="s">
        <v>117</v>
      </c>
      <c r="B63" s="21" t="s">
        <v>118</v>
      </c>
      <c r="C63" s="53">
        <f>+FACTURACIÓN!G62-'C&amp;A'!L63-'C&amp;A'!J63-'C&amp;A'!H63-'C&amp;A'!G63</f>
        <v>2846.5099999999998</v>
      </c>
      <c r="D63" s="54">
        <v>0</v>
      </c>
      <c r="E63" s="55">
        <f t="shared" si="0"/>
        <v>2846.5099999999998</v>
      </c>
      <c r="F63" s="55">
        <f>+FACTURACIÓN!H62</f>
        <v>0</v>
      </c>
      <c r="G63" s="55">
        <f>+FACTURACIÓN!I62</f>
        <v>0</v>
      </c>
      <c r="H63" s="55">
        <f>+FACTURACIÓN!J62</f>
        <v>0</v>
      </c>
      <c r="I63" s="55">
        <f>+FACTURACIÓN!K62</f>
        <v>0</v>
      </c>
      <c r="J63" s="55">
        <f>+FACTURACIÓN!L62</f>
        <v>45.13</v>
      </c>
      <c r="K63" s="55">
        <f>+FACTURACIÓN!M62</f>
        <v>0</v>
      </c>
      <c r="L63" s="55">
        <f>+FACTURACIÓN!N62</f>
        <v>0</v>
      </c>
      <c r="M63" s="55">
        <f>+FACTURACIÓN!O62</f>
        <v>0</v>
      </c>
      <c r="N63" s="55">
        <f>+FACTURACIÓN!P62</f>
        <v>0</v>
      </c>
      <c r="O63" s="54">
        <f t="shared" si="1"/>
        <v>45.13</v>
      </c>
      <c r="P63" s="59">
        <f t="shared" si="2"/>
        <v>2801.3799999999997</v>
      </c>
      <c r="Q63" s="51" t="str">
        <f t="shared" si="3"/>
        <v xml:space="preserve">si </v>
      </c>
      <c r="R63" s="20" t="s">
        <v>117</v>
      </c>
      <c r="S63" s="21" t="s">
        <v>118</v>
      </c>
    </row>
    <row r="64" spans="1:19" x14ac:dyDescent="0.2">
      <c r="A64" s="20" t="s">
        <v>119</v>
      </c>
      <c r="B64" s="21" t="s">
        <v>120</v>
      </c>
      <c r="C64" s="53">
        <f>+FACTURACIÓN!G63-'C&amp;A'!L64-'C&amp;A'!J64-'C&amp;A'!H64-'C&amp;A'!G64</f>
        <v>2147.0739999999996</v>
      </c>
      <c r="D64" s="54">
        <v>0</v>
      </c>
      <c r="E64" s="55">
        <f t="shared" si="0"/>
        <v>2147.0739999999996</v>
      </c>
      <c r="F64" s="55">
        <f>+FACTURACIÓN!H63</f>
        <v>0</v>
      </c>
      <c r="G64" s="55">
        <f>+FACTURACIÓN!I63</f>
        <v>131.28785599999998</v>
      </c>
      <c r="H64" s="55">
        <f>+FACTURACIÓN!J63</f>
        <v>26.793439999999997</v>
      </c>
      <c r="I64" s="55">
        <f>+FACTURACIÓN!K63</f>
        <v>0</v>
      </c>
      <c r="J64" s="55">
        <f>+FACTURACIÓN!L63</f>
        <v>45.13</v>
      </c>
      <c r="K64" s="55">
        <f>+FACTURACIÓN!M63</f>
        <v>0</v>
      </c>
      <c r="L64" s="55">
        <f>+FACTURACIÓN!N63</f>
        <v>0</v>
      </c>
      <c r="M64" s="55">
        <f>+FACTURACIÓN!O63</f>
        <v>0</v>
      </c>
      <c r="N64" s="55">
        <f>+FACTURACIÓN!P63</f>
        <v>0</v>
      </c>
      <c r="O64" s="54">
        <f t="shared" si="1"/>
        <v>203.21129599999998</v>
      </c>
      <c r="P64" s="59">
        <f t="shared" si="2"/>
        <v>1943.8627039999997</v>
      </c>
      <c r="Q64" s="51" t="str">
        <f t="shared" si="3"/>
        <v xml:space="preserve">si </v>
      </c>
      <c r="R64" s="20" t="s">
        <v>119</v>
      </c>
      <c r="S64" s="21" t="s">
        <v>120</v>
      </c>
    </row>
    <row r="65" spans="1:19" x14ac:dyDescent="0.2">
      <c r="A65" s="20" t="s">
        <v>123</v>
      </c>
      <c r="B65" s="21" t="s">
        <v>124</v>
      </c>
      <c r="C65" s="53">
        <f>+FACTURACIÓN!G64-'C&amp;A'!L65-'C&amp;A'!J65-'C&amp;A'!H65-'C&amp;A'!G65</f>
        <v>145.54000000000008</v>
      </c>
      <c r="D65" s="54">
        <v>0</v>
      </c>
      <c r="E65" s="55">
        <f t="shared" si="0"/>
        <v>145.54000000000008</v>
      </c>
      <c r="F65" s="55">
        <f>+FACTURACIÓN!H64</f>
        <v>0</v>
      </c>
      <c r="G65" s="55">
        <f>+FACTURACIÓN!I64</f>
        <v>0</v>
      </c>
      <c r="H65" s="55">
        <f>+FACTURACIÓN!J64</f>
        <v>0</v>
      </c>
      <c r="I65" s="55">
        <f>+FACTURACIÓN!K64</f>
        <v>0</v>
      </c>
      <c r="J65" s="55">
        <f>+FACTURACIÓN!L64</f>
        <v>45.13</v>
      </c>
      <c r="K65" s="55">
        <f>+FACTURACIÓN!M64</f>
        <v>0</v>
      </c>
      <c r="L65" s="55">
        <f>+FACTURACIÓN!N64</f>
        <v>0</v>
      </c>
      <c r="M65" s="55">
        <f>+FACTURACIÓN!O64</f>
        <v>0</v>
      </c>
      <c r="N65" s="55">
        <f>+FACTURACIÓN!P64</f>
        <v>0</v>
      </c>
      <c r="O65" s="54">
        <f t="shared" si="1"/>
        <v>45.13</v>
      </c>
      <c r="P65" s="59">
        <f t="shared" si="2"/>
        <v>100.41000000000008</v>
      </c>
      <c r="Q65" s="51" t="str">
        <f t="shared" si="3"/>
        <v xml:space="preserve">si </v>
      </c>
      <c r="R65" s="20" t="s">
        <v>123</v>
      </c>
      <c r="S65" s="21" t="s">
        <v>124</v>
      </c>
    </row>
    <row r="66" spans="1:19" x14ac:dyDescent="0.2">
      <c r="A66" s="20" t="s">
        <v>125</v>
      </c>
      <c r="B66" s="21" t="s">
        <v>126</v>
      </c>
      <c r="C66" s="53">
        <f>+FACTURACIÓN!G65-'C&amp;A'!L66-'C&amp;A'!J66-'C&amp;A'!H66-'C&amp;A'!G66</f>
        <v>3608.0400000000004</v>
      </c>
      <c r="D66" s="54">
        <v>0</v>
      </c>
      <c r="E66" s="55">
        <f t="shared" si="0"/>
        <v>3608.0400000000004</v>
      </c>
      <c r="F66" s="55">
        <f>+FACTURACIÓN!H65</f>
        <v>0</v>
      </c>
      <c r="G66" s="55">
        <f>+FACTURACIÓN!I65</f>
        <v>0</v>
      </c>
      <c r="H66" s="55">
        <f>+FACTURACIÓN!J65</f>
        <v>0</v>
      </c>
      <c r="I66" s="55">
        <f>+FACTURACIÓN!K65</f>
        <v>0</v>
      </c>
      <c r="J66" s="55">
        <f>+FACTURACIÓN!L65</f>
        <v>45.13</v>
      </c>
      <c r="K66" s="55">
        <f>+FACTURACIÓN!M65</f>
        <v>0</v>
      </c>
      <c r="L66" s="55">
        <f>+FACTURACIÓN!N65</f>
        <v>0</v>
      </c>
      <c r="M66" s="55">
        <f>+FACTURACIÓN!O65</f>
        <v>414.03100000000006</v>
      </c>
      <c r="N66" s="55">
        <f>+FACTURACIÓN!P65</f>
        <v>0</v>
      </c>
      <c r="O66" s="54">
        <f t="shared" si="1"/>
        <v>459.16100000000006</v>
      </c>
      <c r="P66" s="59">
        <f t="shared" si="2"/>
        <v>3148.8790000000004</v>
      </c>
      <c r="Q66" s="51" t="str">
        <f t="shared" si="3"/>
        <v xml:space="preserve">si </v>
      </c>
      <c r="R66" s="20" t="s">
        <v>125</v>
      </c>
      <c r="S66" s="21" t="s">
        <v>126</v>
      </c>
    </row>
    <row r="67" spans="1:19" x14ac:dyDescent="0.2">
      <c r="A67" s="20" t="s">
        <v>129</v>
      </c>
      <c r="B67" s="21" t="s">
        <v>130</v>
      </c>
      <c r="C67" s="53">
        <f>+FACTURACIÓN!G66-'C&amp;A'!L67-'C&amp;A'!J67-'C&amp;A'!H67-'C&amp;A'!G67</f>
        <v>2798.18</v>
      </c>
      <c r="D67" s="54">
        <v>0</v>
      </c>
      <c r="E67" s="55">
        <f t="shared" si="0"/>
        <v>2798.18</v>
      </c>
      <c r="F67" s="55">
        <f>+FACTURACIÓN!H66</f>
        <v>0</v>
      </c>
      <c r="G67" s="55">
        <f>+FACTURACIÓN!I66</f>
        <v>0</v>
      </c>
      <c r="H67" s="55">
        <f>+FACTURACIÓN!J66</f>
        <v>0</v>
      </c>
      <c r="I67" s="55">
        <f>+FACTURACIÓN!K66</f>
        <v>0</v>
      </c>
      <c r="J67" s="55">
        <f>+FACTURACIÓN!L66</f>
        <v>45.13</v>
      </c>
      <c r="K67" s="55">
        <f>+FACTURACIÓN!M66</f>
        <v>0</v>
      </c>
      <c r="L67" s="55">
        <f>+FACTURACIÓN!N66</f>
        <v>0</v>
      </c>
      <c r="M67" s="55">
        <f>+FACTURACIÓN!O66</f>
        <v>0</v>
      </c>
      <c r="N67" s="55">
        <f>+FACTURACIÓN!P66</f>
        <v>0</v>
      </c>
      <c r="O67" s="54">
        <f t="shared" si="1"/>
        <v>45.13</v>
      </c>
      <c r="P67" s="59">
        <f t="shared" si="2"/>
        <v>2753.0499999999997</v>
      </c>
      <c r="Q67" s="51" t="str">
        <f t="shared" si="3"/>
        <v xml:space="preserve">si </v>
      </c>
      <c r="R67" s="20" t="s">
        <v>129</v>
      </c>
      <c r="S67" s="21" t="s">
        <v>130</v>
      </c>
    </row>
    <row r="68" spans="1:19" x14ac:dyDescent="0.2">
      <c r="A68" s="20"/>
      <c r="B68" s="21" t="s">
        <v>629</v>
      </c>
      <c r="C68" s="53">
        <f>+FACTURACIÓN!G67-'C&amp;A'!L68-'C&amp;A'!J68-'C&amp;A'!H68-'C&amp;A'!G68</f>
        <v>685.67000000000019</v>
      </c>
      <c r="D68" s="54">
        <v>0</v>
      </c>
      <c r="E68" s="55">
        <f t="shared" si="0"/>
        <v>685.67000000000019</v>
      </c>
      <c r="F68" s="55">
        <f>+FACTURACIÓN!H67</f>
        <v>0</v>
      </c>
      <c r="G68" s="55">
        <f>+FACTURACIÓN!I67</f>
        <v>0</v>
      </c>
      <c r="H68" s="55">
        <f>+FACTURACIÓN!J67</f>
        <v>0</v>
      </c>
      <c r="I68" s="55">
        <f>+FACTURACIÓN!K67</f>
        <v>0</v>
      </c>
      <c r="J68" s="55">
        <f>+FACTURACIÓN!L67</f>
        <v>45.13</v>
      </c>
      <c r="K68" s="55">
        <f>+FACTURACIÓN!M67</f>
        <v>0</v>
      </c>
      <c r="L68" s="55">
        <f>+FACTURACIÓN!N67</f>
        <v>0</v>
      </c>
      <c r="M68" s="55">
        <f>+FACTURACIÓN!O67</f>
        <v>0</v>
      </c>
      <c r="N68" s="55">
        <f>+FACTURACIÓN!P67</f>
        <v>0</v>
      </c>
      <c r="O68" s="54">
        <f t="shared" si="1"/>
        <v>45.13</v>
      </c>
      <c r="P68" s="59">
        <f t="shared" si="2"/>
        <v>640.54000000000019</v>
      </c>
      <c r="Q68" s="51" t="str">
        <f t="shared" si="3"/>
        <v xml:space="preserve">si </v>
      </c>
      <c r="R68" s="20"/>
      <c r="S68" s="21" t="s">
        <v>629</v>
      </c>
    </row>
    <row r="69" spans="1:19" x14ac:dyDescent="0.2">
      <c r="A69" s="20" t="s">
        <v>131</v>
      </c>
      <c r="B69" s="21" t="s">
        <v>132</v>
      </c>
      <c r="C69" s="53">
        <f>+FACTURACIÓN!G68-'C&amp;A'!L69-'C&amp;A'!J69-'C&amp;A'!H69-'C&amp;A'!G69</f>
        <v>1165.6199999999999</v>
      </c>
      <c r="D69" s="54">
        <v>0</v>
      </c>
      <c r="E69" s="55">
        <f t="shared" si="0"/>
        <v>1165.6199999999999</v>
      </c>
      <c r="F69" s="55">
        <f>+FACTURACIÓN!H68</f>
        <v>0</v>
      </c>
      <c r="G69" s="55">
        <f>+FACTURACIÓN!I68</f>
        <v>83.196609999999993</v>
      </c>
      <c r="H69" s="55">
        <f>+FACTURACIÓN!J68</f>
        <v>16.978899999999999</v>
      </c>
      <c r="I69" s="55">
        <f>+FACTURACIÓN!K68</f>
        <v>0</v>
      </c>
      <c r="J69" s="55">
        <f>+FACTURACIÓN!L68</f>
        <v>45.13</v>
      </c>
      <c r="K69" s="55">
        <f>+FACTURACIÓN!M68</f>
        <v>0</v>
      </c>
      <c r="L69" s="55">
        <f>+FACTURACIÓN!N68</f>
        <v>0</v>
      </c>
      <c r="M69" s="55">
        <f>+FACTURACIÓN!O68</f>
        <v>0</v>
      </c>
      <c r="N69" s="55">
        <f>+FACTURACIÓN!P68</f>
        <v>0</v>
      </c>
      <c r="O69" s="54">
        <f t="shared" si="1"/>
        <v>145.30551</v>
      </c>
      <c r="P69" s="59">
        <f t="shared" si="2"/>
        <v>1020.3144899999999</v>
      </c>
      <c r="Q69" s="51" t="str">
        <f t="shared" si="3"/>
        <v xml:space="preserve">si </v>
      </c>
      <c r="R69" s="20" t="s">
        <v>131</v>
      </c>
      <c r="S69" s="21" t="s">
        <v>132</v>
      </c>
    </row>
    <row r="70" spans="1:19" s="56" customFormat="1" x14ac:dyDescent="0.2">
      <c r="A70" s="20" t="s">
        <v>133</v>
      </c>
      <c r="B70" s="21" t="s">
        <v>134</v>
      </c>
      <c r="C70" s="53">
        <f>+FACTURACIÓN!G69-'C&amp;A'!L70-'C&amp;A'!J70-'C&amp;A'!H70-'C&amp;A'!G70</f>
        <v>2615.0699999999997</v>
      </c>
      <c r="D70" s="54">
        <v>0</v>
      </c>
      <c r="E70" s="55">
        <f t="shared" si="0"/>
        <v>2615.0699999999997</v>
      </c>
      <c r="F70" s="55">
        <f>+FACTURACIÓN!H69</f>
        <v>200</v>
      </c>
      <c r="G70" s="55">
        <f>+FACTURACIÓN!I69</f>
        <v>154.21966</v>
      </c>
      <c r="H70" s="55">
        <f>+FACTURACIÓN!J69</f>
        <v>31.473399999999998</v>
      </c>
      <c r="I70" s="55">
        <f>+FACTURACIÓN!K69</f>
        <v>321.74</v>
      </c>
      <c r="J70" s="55">
        <f>+FACTURACIÓN!L69</f>
        <v>45.13</v>
      </c>
      <c r="K70" s="55">
        <f>+FACTURACIÓN!M69</f>
        <v>0</v>
      </c>
      <c r="L70" s="55">
        <f>+FACTURACIÓN!N69</f>
        <v>0</v>
      </c>
      <c r="M70" s="55">
        <f>+FACTURACIÓN!O69</f>
        <v>0</v>
      </c>
      <c r="N70" s="55">
        <f>+FACTURACIÓN!P69</f>
        <v>0</v>
      </c>
      <c r="O70" s="54">
        <f t="shared" si="1"/>
        <v>752.56305999999995</v>
      </c>
      <c r="P70" s="59">
        <f t="shared" si="2"/>
        <v>1862.5069399999998</v>
      </c>
      <c r="Q70" s="51" t="str">
        <f t="shared" si="3"/>
        <v xml:space="preserve">si </v>
      </c>
      <c r="R70" s="20" t="s">
        <v>133</v>
      </c>
      <c r="S70" s="21" t="s">
        <v>134</v>
      </c>
    </row>
    <row r="71" spans="1:19" s="58" customFormat="1" ht="14.25" x14ac:dyDescent="0.2">
      <c r="A71" s="20" t="s">
        <v>199</v>
      </c>
      <c r="B71" s="21" t="s">
        <v>309</v>
      </c>
      <c r="C71" s="53">
        <f>+FACTURACIÓN!G70-'C&amp;A'!L71-'C&amp;A'!J71-'C&amp;A'!H71-'C&amp;A'!G71</f>
        <v>13885.68</v>
      </c>
      <c r="D71" s="54">
        <v>0</v>
      </c>
      <c r="E71" s="55">
        <f t="shared" si="0"/>
        <v>13885.68</v>
      </c>
      <c r="F71" s="55">
        <f>+FACTURACIÓN!H70</f>
        <v>0</v>
      </c>
      <c r="G71" s="55">
        <f>+FACTURACIÓN!I70</f>
        <v>0</v>
      </c>
      <c r="H71" s="55">
        <f>+FACTURACIÓN!J70</f>
        <v>0</v>
      </c>
      <c r="I71" s="55">
        <f>+FACTURACIÓN!K70</f>
        <v>0</v>
      </c>
      <c r="J71" s="55">
        <f>+FACTURACIÓN!L70</f>
        <v>45.13</v>
      </c>
      <c r="K71" s="55">
        <f>+FACTURACIÓN!M70</f>
        <v>0</v>
      </c>
      <c r="L71" s="55">
        <f>+FACTURACIÓN!N70</f>
        <v>291.5</v>
      </c>
      <c r="M71" s="55">
        <f>+FACTURACIÓN!O70</f>
        <v>1441.7950000000001</v>
      </c>
      <c r="N71" s="55">
        <f>+FACTURACIÓN!P70</f>
        <v>0</v>
      </c>
      <c r="O71" s="54">
        <f t="shared" si="1"/>
        <v>1778.4250000000002</v>
      </c>
      <c r="P71" s="59">
        <f t="shared" si="2"/>
        <v>12107.255000000001</v>
      </c>
      <c r="Q71" s="51" t="str">
        <f t="shared" si="3"/>
        <v xml:space="preserve">si </v>
      </c>
      <c r="R71" s="20" t="s">
        <v>199</v>
      </c>
      <c r="S71" s="21" t="s">
        <v>309</v>
      </c>
    </row>
    <row r="72" spans="1:19" x14ac:dyDescent="0.2">
      <c r="A72" s="20" t="s">
        <v>137</v>
      </c>
      <c r="B72" s="21" t="s">
        <v>138</v>
      </c>
      <c r="C72" s="53">
        <f>+FACTURACIÓN!G71-'C&amp;A'!L72-'C&amp;A'!J72-'C&amp;A'!H72-'C&amp;A'!G72</f>
        <v>404.06000000000006</v>
      </c>
      <c r="D72" s="54">
        <v>0</v>
      </c>
      <c r="E72" s="55">
        <f t="shared" si="0"/>
        <v>404.06000000000006</v>
      </c>
      <c r="F72" s="55">
        <f>+FACTURACIÓN!H71</f>
        <v>0</v>
      </c>
      <c r="G72" s="55">
        <f>+FACTURACIÓN!I71</f>
        <v>45.880170000000007</v>
      </c>
      <c r="H72" s="55">
        <f>+FACTURACIÓN!J71</f>
        <v>9.3633000000000006</v>
      </c>
      <c r="I72" s="55">
        <f>+FACTURACIÓN!K71</f>
        <v>0</v>
      </c>
      <c r="J72" s="55">
        <f>+FACTURACIÓN!L71</f>
        <v>45.13</v>
      </c>
      <c r="K72" s="55">
        <f>+FACTURACIÓN!M71</f>
        <v>0</v>
      </c>
      <c r="L72" s="55">
        <f>+FACTURACIÓN!N71</f>
        <v>0</v>
      </c>
      <c r="M72" s="55">
        <f>+FACTURACIÓN!O71</f>
        <v>0</v>
      </c>
      <c r="N72" s="55">
        <f>+FACTURACIÓN!P71</f>
        <v>0</v>
      </c>
      <c r="O72" s="54">
        <f t="shared" si="1"/>
        <v>100.37347000000001</v>
      </c>
      <c r="P72" s="59">
        <f t="shared" si="2"/>
        <v>303.68653000000006</v>
      </c>
      <c r="Q72" s="51" t="str">
        <f t="shared" si="3"/>
        <v xml:space="preserve">si </v>
      </c>
      <c r="R72" s="20" t="s">
        <v>137</v>
      </c>
      <c r="S72" s="21" t="s">
        <v>138</v>
      </c>
    </row>
    <row r="73" spans="1:19" x14ac:dyDescent="0.2">
      <c r="A73" s="20" t="s">
        <v>139</v>
      </c>
      <c r="B73" s="21" t="s">
        <v>140</v>
      </c>
      <c r="C73" s="53">
        <f>+FACTURACIÓN!G72-'C&amp;A'!L73-'C&amp;A'!J73-'C&amp;A'!H73-'C&amp;A'!G73</f>
        <v>939.2700000000001</v>
      </c>
      <c r="D73" s="54">
        <v>0</v>
      </c>
      <c r="E73" s="55">
        <f t="shared" ref="E73:E92" si="4">SUM(C73:D73)</f>
        <v>939.2700000000001</v>
      </c>
      <c r="F73" s="55">
        <f>+FACTURACIÓN!H72</f>
        <v>0</v>
      </c>
      <c r="G73" s="55">
        <f>+FACTURACIÓN!I72</f>
        <v>0</v>
      </c>
      <c r="H73" s="55">
        <f>+FACTURACIÓN!J72</f>
        <v>0</v>
      </c>
      <c r="I73" s="55">
        <f>+FACTURACIÓN!K72</f>
        <v>0</v>
      </c>
      <c r="J73" s="55">
        <f>+FACTURACIÓN!L72</f>
        <v>45.13</v>
      </c>
      <c r="K73" s="55">
        <f>+FACTURACIÓN!M72</f>
        <v>0</v>
      </c>
      <c r="L73" s="55">
        <f>+FACTURACIÓN!N72</f>
        <v>0</v>
      </c>
      <c r="M73" s="55">
        <f>+FACTURACIÓN!O72</f>
        <v>0</v>
      </c>
      <c r="N73" s="55">
        <f>+FACTURACIÓN!P72</f>
        <v>0</v>
      </c>
      <c r="O73" s="54">
        <f t="shared" ref="O73:O92" si="5">SUM(F73:N73)</f>
        <v>45.13</v>
      </c>
      <c r="P73" s="59">
        <f t="shared" ref="P73:P92" si="6">+E73-O73</f>
        <v>894.1400000000001</v>
      </c>
      <c r="Q73" s="51" t="str">
        <f t="shared" si="3"/>
        <v xml:space="preserve">si </v>
      </c>
      <c r="R73" s="20" t="s">
        <v>139</v>
      </c>
      <c r="S73" s="21" t="s">
        <v>140</v>
      </c>
    </row>
    <row r="74" spans="1:19" x14ac:dyDescent="0.2">
      <c r="A74" s="50" t="s">
        <v>509</v>
      </c>
      <c r="B74" s="51" t="s">
        <v>510</v>
      </c>
      <c r="C74" s="53">
        <f>+FACTURACIÓN!G73-'C&amp;A'!L74-'C&amp;A'!J74-'C&amp;A'!H74-'C&amp;A'!G74</f>
        <v>1685.35</v>
      </c>
      <c r="D74" s="54">
        <v>0</v>
      </c>
      <c r="E74" s="55">
        <f t="shared" si="4"/>
        <v>1685.35</v>
      </c>
      <c r="F74" s="55">
        <f>+FACTURACIÓN!H73</f>
        <v>0</v>
      </c>
      <c r="G74" s="55">
        <f>+FACTURACIÓN!I73</f>
        <v>0</v>
      </c>
      <c r="H74" s="55">
        <f>+FACTURACIÓN!J73</f>
        <v>0</v>
      </c>
      <c r="I74" s="55">
        <f>+FACTURACIÓN!K73</f>
        <v>0</v>
      </c>
      <c r="J74" s="55">
        <f>+FACTURACIÓN!L73</f>
        <v>45.13</v>
      </c>
      <c r="K74" s="55">
        <f>+FACTURACIÓN!M73</f>
        <v>0</v>
      </c>
      <c r="L74" s="55">
        <f>+FACTURACIÓN!N73</f>
        <v>0</v>
      </c>
      <c r="M74" s="55">
        <f>+FACTURACIÓN!O73</f>
        <v>0</v>
      </c>
      <c r="N74" s="55">
        <f>+FACTURACIÓN!P73</f>
        <v>0</v>
      </c>
      <c r="O74" s="54">
        <f t="shared" si="5"/>
        <v>45.13</v>
      </c>
      <c r="P74" s="59">
        <f t="shared" si="6"/>
        <v>1640.2199999999998</v>
      </c>
      <c r="Q74" s="51" t="str">
        <f t="shared" si="3"/>
        <v xml:space="preserve">si </v>
      </c>
      <c r="R74" s="50" t="s">
        <v>509</v>
      </c>
      <c r="S74" s="21" t="s">
        <v>510</v>
      </c>
    </row>
    <row r="75" spans="1:19" x14ac:dyDescent="0.2">
      <c r="A75" s="20" t="s">
        <v>141</v>
      </c>
      <c r="B75" s="21" t="s">
        <v>142</v>
      </c>
      <c r="C75" s="53">
        <f>+FACTURACIÓN!G74-'C&amp;A'!L75-'C&amp;A'!J75-'C&amp;A'!H75-'C&amp;A'!G75</f>
        <v>3458.28</v>
      </c>
      <c r="D75" s="54">
        <v>0</v>
      </c>
      <c r="E75" s="55">
        <f t="shared" si="4"/>
        <v>3458.28</v>
      </c>
      <c r="F75" s="55">
        <f>+FACTURACIÓN!H74</f>
        <v>300</v>
      </c>
      <c r="G75" s="55">
        <f>+FACTURACIÓN!I74</f>
        <v>0</v>
      </c>
      <c r="H75" s="55">
        <f>+FACTURACIÓN!J74</f>
        <v>0</v>
      </c>
      <c r="I75" s="55">
        <f>+FACTURACIÓN!K74</f>
        <v>0</v>
      </c>
      <c r="J75" s="55">
        <f>+FACTURACIÓN!L74</f>
        <v>45.13</v>
      </c>
      <c r="K75" s="55">
        <f>+FACTURACIÓN!M74</f>
        <v>0</v>
      </c>
      <c r="L75" s="55">
        <f>+FACTURACIÓN!N74</f>
        <v>971.68</v>
      </c>
      <c r="M75" s="55">
        <f>+FACTURACIÓN!O74</f>
        <v>399.05500000000006</v>
      </c>
      <c r="N75" s="55">
        <f>+FACTURACIÓN!P74</f>
        <v>0</v>
      </c>
      <c r="O75" s="54">
        <f t="shared" si="5"/>
        <v>1715.865</v>
      </c>
      <c r="P75" s="59">
        <f t="shared" si="6"/>
        <v>1742.4150000000002</v>
      </c>
      <c r="Q75" s="51" t="str">
        <f t="shared" ref="Q75:Q92" si="7">IF(B75=S75,"si ","no")</f>
        <v xml:space="preserve">si </v>
      </c>
      <c r="R75" s="20" t="s">
        <v>141</v>
      </c>
      <c r="S75" s="21" t="s">
        <v>142</v>
      </c>
    </row>
    <row r="76" spans="1:19" x14ac:dyDescent="0.2">
      <c r="A76" s="20" t="s">
        <v>143</v>
      </c>
      <c r="B76" s="21" t="s">
        <v>144</v>
      </c>
      <c r="C76" s="53">
        <f>+FACTURACIÓN!G75-'C&amp;A'!L76-'C&amp;A'!J76-'C&amp;A'!H76-'C&amp;A'!G76</f>
        <v>1706.1999999999998</v>
      </c>
      <c r="D76" s="54">
        <v>0</v>
      </c>
      <c r="E76" s="55">
        <f t="shared" si="4"/>
        <v>1706.1999999999998</v>
      </c>
      <c r="F76" s="55">
        <f>+FACTURACIÓN!H75</f>
        <v>0</v>
      </c>
      <c r="G76" s="55">
        <f>+FACTURACIÓN!I75</f>
        <v>0</v>
      </c>
      <c r="H76" s="55">
        <f>+FACTURACIÓN!J75</f>
        <v>0</v>
      </c>
      <c r="I76" s="55">
        <f>+FACTURACIÓN!K75</f>
        <v>0</v>
      </c>
      <c r="J76" s="55">
        <f>+FACTURACIÓN!L75</f>
        <v>45.13</v>
      </c>
      <c r="K76" s="55">
        <f>+FACTURACIÓN!M75</f>
        <v>0</v>
      </c>
      <c r="L76" s="55">
        <f>+FACTURACIÓN!N75</f>
        <v>0</v>
      </c>
      <c r="M76" s="55">
        <f>+FACTURACIÓN!O75</f>
        <v>0</v>
      </c>
      <c r="N76" s="55">
        <f>+FACTURACIÓN!P75</f>
        <v>0</v>
      </c>
      <c r="O76" s="54">
        <f t="shared" si="5"/>
        <v>45.13</v>
      </c>
      <c r="P76" s="59">
        <f t="shared" si="6"/>
        <v>1661.0699999999997</v>
      </c>
      <c r="Q76" s="51" t="str">
        <f t="shared" si="7"/>
        <v xml:space="preserve">si </v>
      </c>
      <c r="R76" s="20" t="s">
        <v>143</v>
      </c>
      <c r="S76" s="21" t="s">
        <v>144</v>
      </c>
    </row>
    <row r="77" spans="1:19" x14ac:dyDescent="0.2">
      <c r="A77" s="20" t="s">
        <v>188</v>
      </c>
      <c r="B77" s="21" t="s">
        <v>769</v>
      </c>
      <c r="C77" s="53">
        <f>+FACTURACIÓN!G76-'C&amp;A'!L77-'C&amp;A'!J77-'C&amp;A'!H77-'C&amp;A'!G77</f>
        <v>522.6</v>
      </c>
      <c r="D77" s="54">
        <v>0</v>
      </c>
      <c r="E77" s="55">
        <f t="shared" si="4"/>
        <v>522.6</v>
      </c>
      <c r="F77" s="55">
        <f>+FACTURACIÓN!H76</f>
        <v>0</v>
      </c>
      <c r="G77" s="55">
        <f>+FACTURACIÓN!I76</f>
        <v>0</v>
      </c>
      <c r="H77" s="55">
        <f>+FACTURACIÓN!J76</f>
        <v>0</v>
      </c>
      <c r="I77" s="55">
        <f>+FACTURACIÓN!K76</f>
        <v>0</v>
      </c>
      <c r="J77" s="55">
        <f>+FACTURACIÓN!L76</f>
        <v>45.13</v>
      </c>
      <c r="K77" s="55">
        <f>+FACTURACIÓN!M76</f>
        <v>0</v>
      </c>
      <c r="L77" s="55">
        <f>+FACTURACIÓN!N76</f>
        <v>0</v>
      </c>
      <c r="M77" s="55">
        <f>+FACTURACIÓN!O76</f>
        <v>0</v>
      </c>
      <c r="N77" s="55">
        <f>+FACTURACIÓN!P76</f>
        <v>0</v>
      </c>
      <c r="O77" s="54">
        <f t="shared" si="5"/>
        <v>45.13</v>
      </c>
      <c r="P77" s="59">
        <f t="shared" si="6"/>
        <v>477.47</v>
      </c>
      <c r="Q77" s="51" t="str">
        <f t="shared" si="7"/>
        <v>no</v>
      </c>
      <c r="R77" s="20" t="s">
        <v>188</v>
      </c>
      <c r="S77" s="21" t="s">
        <v>758</v>
      </c>
    </row>
    <row r="78" spans="1:19" x14ac:dyDescent="0.2">
      <c r="A78" s="20" t="s">
        <v>148</v>
      </c>
      <c r="B78" s="21" t="s">
        <v>149</v>
      </c>
      <c r="C78" s="53">
        <f>+FACTURACIÓN!G77-'C&amp;A'!L78-'C&amp;A'!J78-'C&amp;A'!H78-'C&amp;A'!G78</f>
        <v>1935.9299999999998</v>
      </c>
      <c r="D78" s="54">
        <v>0</v>
      </c>
      <c r="E78" s="55">
        <f t="shared" si="4"/>
        <v>1935.9299999999998</v>
      </c>
      <c r="F78" s="55">
        <f>+FACTURACIÓN!H77</f>
        <v>0</v>
      </c>
      <c r="G78" s="55">
        <f>+FACTURACIÓN!I77</f>
        <v>0</v>
      </c>
      <c r="H78" s="55">
        <f>+FACTURACIÓN!J77</f>
        <v>0</v>
      </c>
      <c r="I78" s="55">
        <f>+FACTURACIÓN!K77</f>
        <v>0</v>
      </c>
      <c r="J78" s="55">
        <f>+FACTURACIÓN!L77</f>
        <v>45.13</v>
      </c>
      <c r="K78" s="55">
        <f>+FACTURACIÓN!M77</f>
        <v>0</v>
      </c>
      <c r="L78" s="55">
        <f>+FACTURACIÓN!N77</f>
        <v>0</v>
      </c>
      <c r="M78" s="55">
        <f>+FACTURACIÓN!O77</f>
        <v>0</v>
      </c>
      <c r="N78" s="55">
        <f>+FACTURACIÓN!P77</f>
        <v>58.91</v>
      </c>
      <c r="O78" s="54">
        <f t="shared" si="5"/>
        <v>104.03999999999999</v>
      </c>
      <c r="P78" s="59">
        <f t="shared" si="6"/>
        <v>1831.8899999999999</v>
      </c>
      <c r="Q78" s="51" t="str">
        <f t="shared" si="7"/>
        <v xml:space="preserve">si </v>
      </c>
      <c r="R78" s="20" t="s">
        <v>148</v>
      </c>
      <c r="S78" s="21" t="s">
        <v>149</v>
      </c>
    </row>
    <row r="79" spans="1:19" x14ac:dyDescent="0.2">
      <c r="A79" s="20" t="s">
        <v>150</v>
      </c>
      <c r="B79" s="21" t="s">
        <v>151</v>
      </c>
      <c r="C79" s="53">
        <f>+FACTURACIÓN!G78-'C&amp;A'!L79-'C&amp;A'!J79-'C&amp;A'!H79-'C&amp;A'!G79</f>
        <v>954.19999999999993</v>
      </c>
      <c r="D79" s="54">
        <v>0</v>
      </c>
      <c r="E79" s="55">
        <f t="shared" si="4"/>
        <v>954.19999999999993</v>
      </c>
      <c r="F79" s="55">
        <f>+FACTURACIÓN!H78</f>
        <v>0</v>
      </c>
      <c r="G79" s="55">
        <f>+FACTURACIÓN!I78</f>
        <v>72.837029999999999</v>
      </c>
      <c r="H79" s="55">
        <f>+FACTURACIÓN!J78</f>
        <v>14.864699999999999</v>
      </c>
      <c r="I79" s="55">
        <f>+FACTURACIÓN!K78</f>
        <v>0</v>
      </c>
      <c r="J79" s="55">
        <f>+FACTURACIÓN!L78</f>
        <v>45.13</v>
      </c>
      <c r="K79" s="55">
        <f>+FACTURACIÓN!M78</f>
        <v>0</v>
      </c>
      <c r="L79" s="55">
        <f>+FACTURACIÓN!N78</f>
        <v>0</v>
      </c>
      <c r="M79" s="55">
        <f>+FACTURACIÓN!O78</f>
        <v>0</v>
      </c>
      <c r="N79" s="55">
        <f>+FACTURACIÓN!P78</f>
        <v>0</v>
      </c>
      <c r="O79" s="54">
        <f t="shared" si="5"/>
        <v>132.83172999999999</v>
      </c>
      <c r="P79" s="59">
        <f t="shared" si="6"/>
        <v>821.36826999999994</v>
      </c>
      <c r="Q79" s="51" t="str">
        <f t="shared" si="7"/>
        <v xml:space="preserve">si </v>
      </c>
      <c r="R79" s="20" t="s">
        <v>150</v>
      </c>
      <c r="S79" s="21" t="s">
        <v>151</v>
      </c>
    </row>
    <row r="80" spans="1:19" x14ac:dyDescent="0.2">
      <c r="A80" s="20" t="s">
        <v>152</v>
      </c>
      <c r="B80" s="21" t="s">
        <v>153</v>
      </c>
      <c r="C80" s="53">
        <f>+FACTURACIÓN!G79-'C&amp;A'!L80-'C&amp;A'!J80-'C&amp;A'!H80-'C&amp;A'!G80</f>
        <v>2292.87</v>
      </c>
      <c r="D80" s="54">
        <v>0</v>
      </c>
      <c r="E80" s="55">
        <f t="shared" si="4"/>
        <v>2292.87</v>
      </c>
      <c r="F80" s="55">
        <f>+FACTURACIÓN!H79</f>
        <v>200</v>
      </c>
      <c r="G80" s="55">
        <f>+FACTURACIÓN!I79</f>
        <v>138.43186</v>
      </c>
      <c r="H80" s="55">
        <f>+FACTURACIÓN!J79</f>
        <v>28.2514</v>
      </c>
      <c r="I80" s="55">
        <f>+FACTURACIÓN!K79</f>
        <v>257.64</v>
      </c>
      <c r="J80" s="55">
        <f>+FACTURACIÓN!L79</f>
        <v>45.13</v>
      </c>
      <c r="K80" s="55">
        <f>+FACTURACIÓN!M79</f>
        <v>201.24</v>
      </c>
      <c r="L80" s="55">
        <f>+FACTURACIÓN!N79</f>
        <v>0</v>
      </c>
      <c r="M80" s="55">
        <f>+FACTURACIÓN!O79</f>
        <v>0</v>
      </c>
      <c r="N80" s="55">
        <f>+FACTURACIÓN!P79</f>
        <v>0</v>
      </c>
      <c r="O80" s="54">
        <f t="shared" si="5"/>
        <v>870.69326000000001</v>
      </c>
      <c r="P80" s="59">
        <f t="shared" si="6"/>
        <v>1422.1767399999999</v>
      </c>
      <c r="Q80" s="51" t="str">
        <f t="shared" si="7"/>
        <v xml:space="preserve">si </v>
      </c>
      <c r="R80" s="20" t="s">
        <v>152</v>
      </c>
      <c r="S80" s="21" t="s">
        <v>153</v>
      </c>
    </row>
    <row r="81" spans="1:19" x14ac:dyDescent="0.2">
      <c r="A81" s="20" t="s">
        <v>317</v>
      </c>
      <c r="B81" s="21" t="s">
        <v>154</v>
      </c>
      <c r="C81" s="53">
        <f>+FACTURACIÓN!G80-'C&amp;A'!L81-'C&amp;A'!J81-'C&amp;A'!H81-'C&amp;A'!G81</f>
        <v>2395.0099999999998</v>
      </c>
      <c r="D81" s="54">
        <v>0</v>
      </c>
      <c r="E81" s="55">
        <f t="shared" si="4"/>
        <v>2395.0099999999998</v>
      </c>
      <c r="F81" s="55">
        <f>+FACTURACIÓN!H80</f>
        <v>150</v>
      </c>
      <c r="G81" s="55">
        <f>+FACTURACIÓN!I80</f>
        <v>0</v>
      </c>
      <c r="H81" s="55">
        <f>+FACTURACIÓN!J80</f>
        <v>0</v>
      </c>
      <c r="I81" s="55">
        <f>+FACTURACIÓN!K80</f>
        <v>0</v>
      </c>
      <c r="J81" s="55">
        <f>+FACTURACIÓN!L80</f>
        <v>45.13</v>
      </c>
      <c r="K81" s="55">
        <f>+FACTURACIÓN!M80</f>
        <v>0</v>
      </c>
      <c r="L81" s="55">
        <f>+FACTURACIÓN!N80</f>
        <v>0</v>
      </c>
      <c r="M81" s="55">
        <f>+FACTURACIÓN!O80</f>
        <v>0</v>
      </c>
      <c r="N81" s="55">
        <f>+FACTURACIÓN!P80</f>
        <v>0</v>
      </c>
      <c r="O81" s="54">
        <f t="shared" si="5"/>
        <v>195.13</v>
      </c>
      <c r="P81" s="59">
        <f t="shared" si="6"/>
        <v>2199.8799999999997</v>
      </c>
      <c r="Q81" s="51" t="str">
        <f t="shared" si="7"/>
        <v xml:space="preserve">si </v>
      </c>
      <c r="R81" s="20" t="s">
        <v>317</v>
      </c>
      <c r="S81" s="21" t="s">
        <v>154</v>
      </c>
    </row>
    <row r="82" spans="1:19" x14ac:dyDescent="0.2">
      <c r="A82" s="20" t="s">
        <v>155</v>
      </c>
      <c r="B82" s="21" t="s">
        <v>156</v>
      </c>
      <c r="C82" s="53">
        <f>+FACTURACIÓN!G81-'C&amp;A'!L82-'C&amp;A'!J82-'C&amp;A'!H82-'C&amp;A'!G82</f>
        <v>939.2700000000001</v>
      </c>
      <c r="D82" s="54">
        <v>0</v>
      </c>
      <c r="E82" s="55">
        <f t="shared" si="4"/>
        <v>939.2700000000001</v>
      </c>
      <c r="F82" s="55">
        <f>+FACTURACIÓN!H81</f>
        <v>0</v>
      </c>
      <c r="G82" s="55">
        <f>+FACTURACIÓN!I81</f>
        <v>0</v>
      </c>
      <c r="H82" s="55">
        <f>+FACTURACIÓN!J81</f>
        <v>0</v>
      </c>
      <c r="I82" s="55">
        <f>+FACTURACIÓN!K81</f>
        <v>0</v>
      </c>
      <c r="J82" s="55">
        <f>+FACTURACIÓN!L81</f>
        <v>45.13</v>
      </c>
      <c r="K82" s="55">
        <f>+FACTURACIÓN!M81</f>
        <v>0</v>
      </c>
      <c r="L82" s="55">
        <f>+FACTURACIÓN!N81</f>
        <v>427.03</v>
      </c>
      <c r="M82" s="55">
        <f>+FACTURACIÓN!O81</f>
        <v>0</v>
      </c>
      <c r="N82" s="55">
        <f>+FACTURACIÓN!P81</f>
        <v>0</v>
      </c>
      <c r="O82" s="54">
        <f t="shared" si="5"/>
        <v>472.15999999999997</v>
      </c>
      <c r="P82" s="59">
        <f t="shared" si="6"/>
        <v>467.11000000000013</v>
      </c>
      <c r="Q82" s="51" t="str">
        <f t="shared" si="7"/>
        <v xml:space="preserve">si </v>
      </c>
      <c r="R82" s="20" t="s">
        <v>155</v>
      </c>
      <c r="S82" s="21" t="s">
        <v>156</v>
      </c>
    </row>
    <row r="83" spans="1:19" x14ac:dyDescent="0.2">
      <c r="A83" s="50" t="s">
        <v>511</v>
      </c>
      <c r="B83" s="51" t="s">
        <v>512</v>
      </c>
      <c r="C83" s="53">
        <f>+FACTURACIÓN!G82-'C&amp;A'!L83-'C&amp;A'!J83-'C&amp;A'!H83-'C&amp;A'!G83</f>
        <v>939.2700000000001</v>
      </c>
      <c r="D83" s="54">
        <v>0</v>
      </c>
      <c r="E83" s="55">
        <f t="shared" si="4"/>
        <v>939.2700000000001</v>
      </c>
      <c r="F83" s="55">
        <f>+FACTURACIÓN!H82</f>
        <v>0</v>
      </c>
      <c r="G83" s="55">
        <f>+FACTURACIÓN!I82</f>
        <v>0</v>
      </c>
      <c r="H83" s="55">
        <f>+FACTURACIÓN!J82</f>
        <v>0</v>
      </c>
      <c r="I83" s="55">
        <f>+FACTURACIÓN!K82</f>
        <v>0</v>
      </c>
      <c r="J83" s="55">
        <f>+FACTURACIÓN!L82</f>
        <v>45.13</v>
      </c>
      <c r="K83" s="55">
        <f>+FACTURACIÓN!M82</f>
        <v>0</v>
      </c>
      <c r="L83" s="55">
        <f>+FACTURACIÓN!N82</f>
        <v>0</v>
      </c>
      <c r="M83" s="55">
        <f>+FACTURACIÓN!O82</f>
        <v>0</v>
      </c>
      <c r="N83" s="55">
        <f>+FACTURACIÓN!P82</f>
        <v>0</v>
      </c>
      <c r="O83" s="54">
        <f t="shared" si="5"/>
        <v>45.13</v>
      </c>
      <c r="P83" s="59">
        <f t="shared" si="6"/>
        <v>894.1400000000001</v>
      </c>
      <c r="Q83" s="51" t="str">
        <f t="shared" si="7"/>
        <v xml:space="preserve">si </v>
      </c>
      <c r="R83" s="50" t="s">
        <v>511</v>
      </c>
      <c r="S83" s="21" t="s">
        <v>512</v>
      </c>
    </row>
    <row r="84" spans="1:19" x14ac:dyDescent="0.2">
      <c r="A84" s="20" t="s">
        <v>157</v>
      </c>
      <c r="B84" s="21" t="s">
        <v>158</v>
      </c>
      <c r="C84" s="53">
        <f>+FACTURACIÓN!G83-'C&amp;A'!L84-'C&amp;A'!J84-'C&amp;A'!H84-'C&amp;A'!G84</f>
        <v>1581.1999999999998</v>
      </c>
      <c r="D84" s="54">
        <v>0</v>
      </c>
      <c r="E84" s="55">
        <f t="shared" si="4"/>
        <v>1581.1999999999998</v>
      </c>
      <c r="F84" s="55">
        <f>+FACTURACIÓN!H83</f>
        <v>0</v>
      </c>
      <c r="G84" s="55">
        <f>+FACTURACIÓN!I83</f>
        <v>0</v>
      </c>
      <c r="H84" s="55">
        <f>+FACTURACIÓN!J83</f>
        <v>0</v>
      </c>
      <c r="I84" s="55">
        <f>+FACTURACIÓN!K83</f>
        <v>0</v>
      </c>
      <c r="J84" s="55">
        <f>+FACTURACIÓN!L83</f>
        <v>45.13</v>
      </c>
      <c r="K84" s="55">
        <f>+FACTURACIÓN!M83</f>
        <v>0</v>
      </c>
      <c r="L84" s="55">
        <f>+FACTURACIÓN!N83</f>
        <v>0</v>
      </c>
      <c r="M84" s="55">
        <f>+FACTURACIÓN!O83</f>
        <v>0</v>
      </c>
      <c r="N84" s="55">
        <f>+FACTURACIÓN!P83</f>
        <v>0</v>
      </c>
      <c r="O84" s="54">
        <f t="shared" si="5"/>
        <v>45.13</v>
      </c>
      <c r="P84" s="59">
        <f t="shared" si="6"/>
        <v>1536.0699999999997</v>
      </c>
      <c r="Q84" s="51" t="str">
        <f t="shared" si="7"/>
        <v xml:space="preserve">si </v>
      </c>
      <c r="R84" s="20" t="s">
        <v>157</v>
      </c>
      <c r="S84" s="21" t="s">
        <v>158</v>
      </c>
    </row>
    <row r="85" spans="1:19" x14ac:dyDescent="0.2">
      <c r="A85" s="20" t="s">
        <v>159</v>
      </c>
      <c r="B85" s="21" t="s">
        <v>160</v>
      </c>
      <c r="C85" s="53">
        <f>+FACTURACIÓN!G84-'C&amp;A'!L85-'C&amp;A'!J85-'C&amp;A'!H85-'C&amp;A'!G85</f>
        <v>2475.23</v>
      </c>
      <c r="D85" s="54">
        <v>0</v>
      </c>
      <c r="E85" s="55">
        <f t="shared" si="4"/>
        <v>2475.23</v>
      </c>
      <c r="F85" s="55">
        <f>+FACTURACIÓN!H84</f>
        <v>0</v>
      </c>
      <c r="G85" s="55">
        <f>+FACTURACIÓN!I84</f>
        <v>0</v>
      </c>
      <c r="H85" s="55">
        <f>+FACTURACIÓN!J84</f>
        <v>0</v>
      </c>
      <c r="I85" s="55">
        <f>+FACTURACIÓN!K84</f>
        <v>0</v>
      </c>
      <c r="J85" s="55">
        <f>+FACTURACIÓN!L84</f>
        <v>45.13</v>
      </c>
      <c r="K85" s="55">
        <f>+FACTURACIÓN!M84</f>
        <v>0</v>
      </c>
      <c r="L85" s="55">
        <f>+FACTURACIÓN!N84</f>
        <v>0</v>
      </c>
      <c r="M85" s="55">
        <f>+FACTURACIÓN!O84</f>
        <v>0</v>
      </c>
      <c r="N85" s="55">
        <f>+FACTURACIÓN!P84</f>
        <v>0</v>
      </c>
      <c r="O85" s="54">
        <f t="shared" si="5"/>
        <v>45.13</v>
      </c>
      <c r="P85" s="59">
        <f t="shared" si="6"/>
        <v>2430.1</v>
      </c>
      <c r="Q85" s="51" t="str">
        <f t="shared" si="7"/>
        <v xml:space="preserve">si </v>
      </c>
      <c r="R85" s="20" t="s">
        <v>159</v>
      </c>
      <c r="S85" s="21" t="s">
        <v>160</v>
      </c>
    </row>
    <row r="86" spans="1:19" x14ac:dyDescent="0.2">
      <c r="A86" s="20" t="s">
        <v>161</v>
      </c>
      <c r="B86" s="21" t="s">
        <v>162</v>
      </c>
      <c r="C86" s="53">
        <f>+FACTURACIÓN!G85-'C&amp;A'!L86-'C&amp;A'!J86-'C&amp;A'!H86-'C&amp;A'!G86</f>
        <v>1994.1100000000001</v>
      </c>
      <c r="D86" s="54">
        <v>0</v>
      </c>
      <c r="E86" s="55">
        <f t="shared" si="4"/>
        <v>1994.1100000000001</v>
      </c>
      <c r="F86" s="55">
        <f>+FACTURACIÓN!H85</f>
        <v>0</v>
      </c>
      <c r="G86" s="55">
        <f>+FACTURACIÓN!I85</f>
        <v>0</v>
      </c>
      <c r="H86" s="55">
        <f>+FACTURACIÓN!J85</f>
        <v>0</v>
      </c>
      <c r="I86" s="55">
        <f>+FACTURACIÓN!K85</f>
        <v>0</v>
      </c>
      <c r="J86" s="55">
        <f>+FACTURACIÓN!L85</f>
        <v>45.13</v>
      </c>
      <c r="K86" s="55">
        <f>+FACTURACIÓN!M85</f>
        <v>0</v>
      </c>
      <c r="L86" s="55">
        <f>+FACTURACIÓN!N85</f>
        <v>0</v>
      </c>
      <c r="M86" s="55">
        <f>+FACTURACIÓN!O85</f>
        <v>0</v>
      </c>
      <c r="N86" s="55">
        <f>+FACTURACIÓN!P85</f>
        <v>0</v>
      </c>
      <c r="O86" s="54">
        <f t="shared" si="5"/>
        <v>45.13</v>
      </c>
      <c r="P86" s="59">
        <f t="shared" si="6"/>
        <v>1948.98</v>
      </c>
      <c r="Q86" s="51" t="str">
        <f t="shared" si="7"/>
        <v xml:space="preserve">si </v>
      </c>
      <c r="R86" s="20" t="s">
        <v>161</v>
      </c>
      <c r="S86" s="21" t="s">
        <v>162</v>
      </c>
    </row>
    <row r="87" spans="1:19" x14ac:dyDescent="0.2">
      <c r="A87" s="20" t="s">
        <v>163</v>
      </c>
      <c r="B87" s="21" t="s">
        <v>164</v>
      </c>
      <c r="C87" s="53">
        <f>+FACTURACIÓN!G86-'C&amp;A'!L87-'C&amp;A'!J87-'C&amp;A'!H87-'C&amp;A'!G87</f>
        <v>240.52111301514657</v>
      </c>
      <c r="D87" s="54">
        <v>0</v>
      </c>
      <c r="E87" s="55">
        <f t="shared" si="4"/>
        <v>240.52111301514657</v>
      </c>
      <c r="F87" s="55">
        <f>+FACTURACIÓN!H86</f>
        <v>0</v>
      </c>
      <c r="G87" s="55">
        <f>+FACTURACIÓN!I86</f>
        <v>0</v>
      </c>
      <c r="H87" s="55">
        <f>+FACTURACIÓN!J86</f>
        <v>0</v>
      </c>
      <c r="I87" s="55">
        <f>+FACTURACIÓN!K86</f>
        <v>0</v>
      </c>
      <c r="J87" s="55">
        <f>+FACTURACIÓN!L86</f>
        <v>45.13</v>
      </c>
      <c r="K87" s="55">
        <f>+FACTURACIÓN!M86</f>
        <v>0</v>
      </c>
      <c r="L87" s="55">
        <f>+FACTURACIÓN!N86</f>
        <v>117.05000000000001</v>
      </c>
      <c r="M87" s="55">
        <f>+FACTURACIÓN!O86</f>
        <v>0</v>
      </c>
      <c r="N87" s="55">
        <f>+FACTURACIÓN!P86</f>
        <v>0</v>
      </c>
      <c r="O87" s="54">
        <f t="shared" si="5"/>
        <v>162.18</v>
      </c>
      <c r="P87" s="59">
        <f t="shared" si="6"/>
        <v>78.341113015146561</v>
      </c>
      <c r="Q87" s="51" t="str">
        <f t="shared" si="7"/>
        <v xml:space="preserve">si </v>
      </c>
      <c r="R87" s="20" t="s">
        <v>163</v>
      </c>
      <c r="S87" s="21" t="s">
        <v>164</v>
      </c>
    </row>
    <row r="88" spans="1:19" x14ac:dyDescent="0.2">
      <c r="A88" s="20" t="s">
        <v>165</v>
      </c>
      <c r="B88" s="21" t="s">
        <v>166</v>
      </c>
      <c r="C88" s="53">
        <f>+FACTURACIÓN!G87-'C&amp;A'!L88-'C&amp;A'!J88-'C&amp;A'!H88-'C&amp;A'!G88</f>
        <v>5208.93</v>
      </c>
      <c r="D88" s="54">
        <v>0</v>
      </c>
      <c r="E88" s="55">
        <f t="shared" si="4"/>
        <v>5208.93</v>
      </c>
      <c r="F88" s="55">
        <f>+FACTURACIÓN!H87</f>
        <v>0</v>
      </c>
      <c r="G88" s="55">
        <f>+FACTURACIÓN!I87</f>
        <v>0</v>
      </c>
      <c r="H88" s="55">
        <f>+FACTURACIÓN!J87</f>
        <v>0</v>
      </c>
      <c r="I88" s="55">
        <f>+FACTURACIÓN!K87</f>
        <v>0</v>
      </c>
      <c r="J88" s="55">
        <f>+FACTURACIÓN!L87</f>
        <v>45.13</v>
      </c>
      <c r="K88" s="55">
        <f>+FACTURACIÓN!M87</f>
        <v>0</v>
      </c>
      <c r="L88" s="55">
        <f>+FACTURACIÓN!N87</f>
        <v>0</v>
      </c>
      <c r="M88" s="55">
        <f>+FACTURACIÓN!O87</f>
        <v>574.12</v>
      </c>
      <c r="N88" s="55">
        <f>+FACTURACIÓN!P87</f>
        <v>58.91</v>
      </c>
      <c r="O88" s="54">
        <f t="shared" si="5"/>
        <v>678.16</v>
      </c>
      <c r="P88" s="59">
        <f t="shared" si="6"/>
        <v>4530.7700000000004</v>
      </c>
      <c r="Q88" s="51" t="str">
        <f t="shared" si="7"/>
        <v xml:space="preserve">si </v>
      </c>
      <c r="R88" s="20" t="s">
        <v>165</v>
      </c>
      <c r="S88" s="21" t="s">
        <v>166</v>
      </c>
    </row>
    <row r="89" spans="1:19" x14ac:dyDescent="0.2">
      <c r="A89" s="20" t="s">
        <v>167</v>
      </c>
      <c r="B89" s="21" t="s">
        <v>168</v>
      </c>
      <c r="C89" s="53">
        <f>+FACTURACIÓN!G88-'C&amp;A'!L89-'C&amp;A'!J89-'C&amp;A'!H89-'C&amp;A'!G89</f>
        <v>2758.002</v>
      </c>
      <c r="D89" s="54">
        <v>0</v>
      </c>
      <c r="E89" s="55">
        <f t="shared" si="4"/>
        <v>2758.002</v>
      </c>
      <c r="F89" s="55">
        <f>+FACTURACIÓN!H88</f>
        <v>200</v>
      </c>
      <c r="G89" s="55">
        <f>+FACTURACIÓN!I88</f>
        <v>161.22332800000001</v>
      </c>
      <c r="H89" s="55">
        <f>+FACTURACIÓN!J88</f>
        <v>32.902720000000002</v>
      </c>
      <c r="I89" s="55">
        <f>+FACTURACIÓN!K88</f>
        <v>0</v>
      </c>
      <c r="J89" s="55">
        <f>+FACTURACIÓN!L88</f>
        <v>45.13</v>
      </c>
      <c r="K89" s="55">
        <f>+FACTURACIÓN!M88</f>
        <v>0</v>
      </c>
      <c r="L89" s="55">
        <f>+FACTURACIÓN!N88</f>
        <v>0</v>
      </c>
      <c r="M89" s="55">
        <f>+FACTURACIÓN!O88</f>
        <v>0</v>
      </c>
      <c r="N89" s="55">
        <f>+FACTURACIÓN!P88</f>
        <v>0</v>
      </c>
      <c r="O89" s="54">
        <f t="shared" si="5"/>
        <v>439.25604800000002</v>
      </c>
      <c r="P89" s="59">
        <f t="shared" si="6"/>
        <v>2318.7459519999998</v>
      </c>
      <c r="Q89" s="51" t="str">
        <f t="shared" si="7"/>
        <v xml:space="preserve">si </v>
      </c>
      <c r="R89" s="20" t="s">
        <v>167</v>
      </c>
      <c r="S89" s="21" t="s">
        <v>168</v>
      </c>
    </row>
    <row r="90" spans="1:19" x14ac:dyDescent="0.2">
      <c r="A90" s="20" t="s">
        <v>169</v>
      </c>
      <c r="B90" s="21" t="s">
        <v>170</v>
      </c>
      <c r="C90" s="53">
        <f>+FACTURACIÓN!G89-'C&amp;A'!L90-'C&amp;A'!J90-'C&amp;A'!H90-'C&amp;A'!G90</f>
        <v>522.6</v>
      </c>
      <c r="D90" s="54">
        <v>0</v>
      </c>
      <c r="E90" s="55">
        <f t="shared" si="4"/>
        <v>522.6</v>
      </c>
      <c r="F90" s="55">
        <f>+FACTURACIÓN!H89</f>
        <v>0</v>
      </c>
      <c r="G90" s="55">
        <f>+FACTURACIÓN!I89</f>
        <v>0</v>
      </c>
      <c r="H90" s="55">
        <f>+FACTURACIÓN!J89</f>
        <v>0</v>
      </c>
      <c r="I90" s="55">
        <f>+FACTURACIÓN!K89</f>
        <v>0</v>
      </c>
      <c r="J90" s="55">
        <f>+FACTURACIÓN!L89</f>
        <v>45.13</v>
      </c>
      <c r="K90" s="55">
        <f>+FACTURACIÓN!M89</f>
        <v>0</v>
      </c>
      <c r="L90" s="55">
        <f>+FACTURACIÓN!N89</f>
        <v>0</v>
      </c>
      <c r="M90" s="55">
        <f>+FACTURACIÓN!O89</f>
        <v>0</v>
      </c>
      <c r="N90" s="55">
        <f>+FACTURACIÓN!P89</f>
        <v>0</v>
      </c>
      <c r="O90" s="54">
        <f t="shared" si="5"/>
        <v>45.13</v>
      </c>
      <c r="P90" s="59">
        <f t="shared" si="6"/>
        <v>477.47</v>
      </c>
      <c r="Q90" s="51" t="str">
        <f t="shared" si="7"/>
        <v xml:space="preserve">si </v>
      </c>
      <c r="R90" s="20" t="s">
        <v>169</v>
      </c>
      <c r="S90" s="21" t="s">
        <v>170</v>
      </c>
    </row>
    <row r="91" spans="1:19" x14ac:dyDescent="0.2">
      <c r="A91" s="20" t="s">
        <v>171</v>
      </c>
      <c r="B91" s="21" t="s">
        <v>172</v>
      </c>
      <c r="C91" s="53">
        <f>+FACTURACIÓN!G90-'C&amp;A'!L91-'C&amp;A'!J91-'C&amp;A'!H91-'C&amp;A'!G91</f>
        <v>124.2039701580037</v>
      </c>
      <c r="D91" s="54">
        <v>0</v>
      </c>
      <c r="E91" s="55">
        <f t="shared" si="4"/>
        <v>124.2039701580037</v>
      </c>
      <c r="F91" s="55">
        <f>+FACTURACIÓN!H90</f>
        <v>0</v>
      </c>
      <c r="G91" s="55">
        <f>+FACTURACIÓN!I90</f>
        <v>0</v>
      </c>
      <c r="H91" s="55">
        <f>+FACTURACIÓN!J90</f>
        <v>0</v>
      </c>
      <c r="I91" s="55">
        <f>+FACTURACIÓN!K90</f>
        <v>0</v>
      </c>
      <c r="J91" s="55">
        <f>+FACTURACIÓN!L90</f>
        <v>45.13</v>
      </c>
      <c r="K91" s="55">
        <f>+FACTURACIÓN!M90</f>
        <v>0</v>
      </c>
      <c r="L91" s="55">
        <f>+FACTURACIÓN!N90</f>
        <v>0</v>
      </c>
      <c r="M91" s="55">
        <f>+FACTURACIÓN!O90</f>
        <v>0</v>
      </c>
      <c r="N91" s="55">
        <f>+FACTURACIÓN!P90</f>
        <v>0</v>
      </c>
      <c r="O91" s="54">
        <f t="shared" si="5"/>
        <v>45.13</v>
      </c>
      <c r="P91" s="59">
        <f t="shared" si="6"/>
        <v>79.073970158003704</v>
      </c>
      <c r="Q91" s="51" t="str">
        <f t="shared" si="7"/>
        <v xml:space="preserve">si </v>
      </c>
      <c r="R91" s="20" t="s">
        <v>171</v>
      </c>
      <c r="S91" s="21" t="s">
        <v>172</v>
      </c>
    </row>
    <row r="92" spans="1:19" x14ac:dyDescent="0.2">
      <c r="A92" s="20" t="s">
        <v>173</v>
      </c>
      <c r="B92" s="21" t="s">
        <v>174</v>
      </c>
      <c r="C92" s="53">
        <f>+FACTURACIÓN!G91-'C&amp;A'!L92-'C&amp;A'!J92-'C&amp;A'!H92-'C&amp;A'!G92</f>
        <v>3429.2799999999997</v>
      </c>
      <c r="D92" s="54">
        <v>0</v>
      </c>
      <c r="E92" s="55">
        <f t="shared" si="4"/>
        <v>3429.2799999999997</v>
      </c>
      <c r="F92" s="55">
        <f>+FACTURACIÓN!H91</f>
        <v>500</v>
      </c>
      <c r="G92" s="55">
        <f>+FACTURACIÓN!I91</f>
        <v>0</v>
      </c>
      <c r="H92" s="55">
        <f>+FACTURACIÓN!J91</f>
        <v>0</v>
      </c>
      <c r="I92" s="55">
        <f>+FACTURACIÓN!K91</f>
        <v>0</v>
      </c>
      <c r="J92" s="55">
        <f>+FACTURACIÓN!L91</f>
        <v>45.13</v>
      </c>
      <c r="K92" s="55">
        <f>+FACTURACIÓN!M91</f>
        <v>0</v>
      </c>
      <c r="L92" s="55">
        <f>+FACTURACIÓN!N91</f>
        <v>0</v>
      </c>
      <c r="M92" s="55">
        <f>+FACTURACIÓN!O91</f>
        <v>396.15499999999997</v>
      </c>
      <c r="N92" s="55">
        <f>+FACTURACIÓN!P91</f>
        <v>0</v>
      </c>
      <c r="O92" s="54">
        <f t="shared" si="5"/>
        <v>941.28499999999997</v>
      </c>
      <c r="P92" s="59">
        <f t="shared" si="6"/>
        <v>2487.9949999999999</v>
      </c>
      <c r="Q92" s="51" t="str">
        <f t="shared" si="7"/>
        <v xml:space="preserve">si </v>
      </c>
      <c r="R92" s="20" t="s">
        <v>173</v>
      </c>
      <c r="S92" s="21" t="s">
        <v>174</v>
      </c>
    </row>
    <row r="93" spans="1:19" x14ac:dyDescent="0.2">
      <c r="A93" s="50"/>
      <c r="B93" s="51"/>
      <c r="C93" s="53"/>
      <c r="D93" s="54"/>
      <c r="E93" s="55"/>
      <c r="F93" s="55"/>
      <c r="G93" s="55"/>
      <c r="H93" s="55"/>
      <c r="I93" s="55"/>
      <c r="J93" s="54"/>
      <c r="K93" s="54"/>
      <c r="L93" s="54"/>
      <c r="M93" s="54"/>
      <c r="N93" s="54"/>
      <c r="O93" s="54"/>
      <c r="P93" s="59"/>
    </row>
    <row r="94" spans="1:19" ht="11.25" customHeight="1" x14ac:dyDescent="0.2">
      <c r="A94" s="50"/>
      <c r="B94" s="51"/>
      <c r="C94" s="56" t="s">
        <v>16</v>
      </c>
      <c r="D94" s="56" t="s">
        <v>16</v>
      </c>
      <c r="E94" s="56" t="s">
        <v>16</v>
      </c>
      <c r="F94" s="56" t="s">
        <v>16</v>
      </c>
      <c r="G94" s="56" t="s">
        <v>16</v>
      </c>
      <c r="H94" s="56" t="s">
        <v>16</v>
      </c>
      <c r="I94" s="56" t="s">
        <v>16</v>
      </c>
      <c r="J94" s="56" t="s">
        <v>16</v>
      </c>
      <c r="K94" s="56" t="s">
        <v>16</v>
      </c>
      <c r="L94" s="56" t="s">
        <v>16</v>
      </c>
      <c r="M94" s="56" t="s">
        <v>16</v>
      </c>
      <c r="N94" s="56" t="s">
        <v>16</v>
      </c>
      <c r="O94" s="56" t="s">
        <v>16</v>
      </c>
      <c r="P94" s="56" t="s">
        <v>16</v>
      </c>
    </row>
    <row r="95" spans="1:19" ht="11.25" customHeight="1" x14ac:dyDescent="0.25">
      <c r="A95" s="50"/>
      <c r="B95" s="51"/>
      <c r="C95" s="57">
        <f t="shared" ref="C95:P95" si="8">SUM(C10:C92)</f>
        <v>189027.44235682249</v>
      </c>
      <c r="D95" s="57">
        <f t="shared" si="8"/>
        <v>0</v>
      </c>
      <c r="E95" s="57">
        <f t="shared" si="8"/>
        <v>189027.44235682249</v>
      </c>
      <c r="F95" s="57">
        <f t="shared" si="8"/>
        <v>4828.5884000000005</v>
      </c>
      <c r="G95" s="57">
        <f t="shared" si="8"/>
        <v>2245.1636339999995</v>
      </c>
      <c r="H95" s="57">
        <f t="shared" si="8"/>
        <v>460.53456</v>
      </c>
      <c r="I95" s="57">
        <f t="shared" si="8"/>
        <v>879.38</v>
      </c>
      <c r="J95" s="57">
        <f t="shared" si="8"/>
        <v>3745.7900000000063</v>
      </c>
      <c r="K95" s="57">
        <f t="shared" si="8"/>
        <v>406.94</v>
      </c>
      <c r="L95" s="57">
        <f t="shared" si="8"/>
        <v>6981.8825000000006</v>
      </c>
      <c r="M95" s="57">
        <f t="shared" si="8"/>
        <v>10721.658000000003</v>
      </c>
      <c r="N95" s="57">
        <f t="shared" si="8"/>
        <v>648.00999999999976</v>
      </c>
      <c r="O95" s="57">
        <f t="shared" si="8"/>
        <v>30917.947094000025</v>
      </c>
      <c r="P95" s="57">
        <f t="shared" si="8"/>
        <v>158109.49526282254</v>
      </c>
    </row>
    <row r="96" spans="1:19" x14ac:dyDescent="0.2">
      <c r="M96" s="174"/>
      <c r="N96" s="174"/>
    </row>
    <row r="97" spans="13:16" x14ac:dyDescent="0.2">
      <c r="M97" s="174"/>
      <c r="N97" s="174"/>
      <c r="P97" s="63"/>
    </row>
  </sheetData>
  <mergeCells count="2">
    <mergeCell ref="B1:C1"/>
    <mergeCell ref="B3:C3"/>
  </mergeCells>
  <pageMargins left="0.35433070866141736" right="0.31496062992125984" top="0.4" bottom="0.33" header="0.31496062992125984" footer="0.2"/>
  <pageSetup scale="50" orientation="landscape" verticalDpi="0" r:id="rId1"/>
  <colBreaks count="1" manualBreakCount="1">
    <brk id="5" max="9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3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104" sqref="B104"/>
    </sheetView>
  </sheetViews>
  <sheetFormatPr baseColWidth="10" defaultRowHeight="11.25" x14ac:dyDescent="0.2"/>
  <cols>
    <col min="1" max="1" width="12.28515625" style="175" customWidth="1"/>
    <col min="2" max="2" width="30.7109375" style="174" customWidth="1"/>
    <col min="3" max="3" width="14.28515625" style="174" customWidth="1"/>
    <col min="4" max="4" width="13.42578125" style="218" bestFit="1" customWidth="1"/>
    <col min="5" max="16384" width="11.42578125" style="174"/>
  </cols>
  <sheetData>
    <row r="1" spans="1:4" ht="18" customHeight="1" x14ac:dyDescent="0.2">
      <c r="A1" s="3" t="s">
        <v>0</v>
      </c>
      <c r="B1" s="219" t="s">
        <v>18</v>
      </c>
    </row>
    <row r="2" spans="1:4" ht="24.95" customHeight="1" x14ac:dyDescent="0.2">
      <c r="A2" s="4" t="s">
        <v>1</v>
      </c>
      <c r="B2" s="220" t="s">
        <v>328</v>
      </c>
    </row>
    <row r="3" spans="1:4" ht="15" x14ac:dyDescent="0.2">
      <c r="B3" s="221" t="s">
        <v>2</v>
      </c>
    </row>
    <row r="4" spans="1:4" ht="12.75" x14ac:dyDescent="0.2">
      <c r="B4" s="11" t="s">
        <v>712</v>
      </c>
    </row>
    <row r="5" spans="1:4" x14ac:dyDescent="0.2">
      <c r="B5" s="42" t="s">
        <v>329</v>
      </c>
    </row>
    <row r="6" spans="1:4" x14ac:dyDescent="0.2">
      <c r="B6" s="42" t="s">
        <v>4</v>
      </c>
    </row>
    <row r="8" spans="1:4" s="47" customFormat="1" ht="12" thickBot="1" x14ac:dyDescent="0.25">
      <c r="A8" s="45" t="s">
        <v>5</v>
      </c>
      <c r="B8" s="14" t="s">
        <v>6</v>
      </c>
      <c r="C8" s="217" t="s">
        <v>12</v>
      </c>
      <c r="D8" s="218"/>
    </row>
    <row r="9" spans="1:4" ht="12" thickTop="1" x14ac:dyDescent="0.2">
      <c r="A9" s="8" t="s">
        <v>13</v>
      </c>
    </row>
    <row r="10" spans="1:4" s="51" customFormat="1" ht="15" x14ac:dyDescent="0.25">
      <c r="A10" s="50"/>
      <c r="B10" s="107" t="s">
        <v>619</v>
      </c>
      <c r="C10" s="54">
        <v>0</v>
      </c>
      <c r="D10" s="218">
        <v>1182316935</v>
      </c>
    </row>
    <row r="11" spans="1:4" s="51" customFormat="1" x14ac:dyDescent="0.2">
      <c r="A11" s="50" t="s">
        <v>516</v>
      </c>
      <c r="B11" s="51" t="s">
        <v>515</v>
      </c>
      <c r="C11" s="54">
        <v>82.600000000000009</v>
      </c>
      <c r="D11" s="218">
        <v>1296641458</v>
      </c>
    </row>
    <row r="12" spans="1:4" s="51" customFormat="1" ht="15" x14ac:dyDescent="0.25">
      <c r="A12" s="50"/>
      <c r="B12" s="107" t="s">
        <v>609</v>
      </c>
      <c r="C12" s="54">
        <v>0</v>
      </c>
      <c r="D12" s="218">
        <v>1456104819</v>
      </c>
    </row>
    <row r="13" spans="1:4" s="51" customFormat="1" ht="15" x14ac:dyDescent="0.25">
      <c r="A13" s="50"/>
      <c r="B13" s="107" t="s">
        <v>625</v>
      </c>
      <c r="C13" s="54">
        <v>577.4</v>
      </c>
      <c r="D13" s="218">
        <v>1905307865</v>
      </c>
    </row>
    <row r="14" spans="1:4" s="51" customFormat="1" ht="15" x14ac:dyDescent="0.25">
      <c r="A14" s="50"/>
      <c r="B14" s="107" t="s">
        <v>629</v>
      </c>
      <c r="C14" s="54">
        <v>0</v>
      </c>
      <c r="D14" s="218">
        <v>2857006349</v>
      </c>
    </row>
    <row r="15" spans="1:4" s="51" customFormat="1" x14ac:dyDescent="0.2">
      <c r="A15" s="50" t="s">
        <v>500</v>
      </c>
      <c r="B15" s="51" t="s">
        <v>501</v>
      </c>
      <c r="C15" s="54">
        <v>338.20000000000005</v>
      </c>
      <c r="D15" s="218">
        <v>2861674129</v>
      </c>
    </row>
    <row r="16" spans="1:4" s="51" customFormat="1" ht="15" x14ac:dyDescent="0.25">
      <c r="A16" s="50"/>
      <c r="B16" s="127" t="s">
        <v>621</v>
      </c>
      <c r="C16" s="54">
        <v>577.4</v>
      </c>
      <c r="D16" s="218">
        <v>2948910731</v>
      </c>
    </row>
    <row r="17" spans="1:4" s="51" customFormat="1" x14ac:dyDescent="0.2">
      <c r="A17" s="50" t="s">
        <v>504</v>
      </c>
      <c r="B17" s="51" t="s">
        <v>505</v>
      </c>
      <c r="C17" s="54">
        <v>338.20000000000005</v>
      </c>
      <c r="D17" s="218">
        <v>2959119167</v>
      </c>
    </row>
    <row r="18" spans="1:4" s="51" customFormat="1" x14ac:dyDescent="0.2">
      <c r="A18" s="50" t="s">
        <v>518</v>
      </c>
      <c r="B18" s="51" t="s">
        <v>517</v>
      </c>
      <c r="C18" s="54">
        <v>82.600000000000009</v>
      </c>
      <c r="D18" s="218">
        <v>2959161945</v>
      </c>
    </row>
    <row r="19" spans="1:4" s="51" customFormat="1" x14ac:dyDescent="0.2">
      <c r="A19" s="50" t="s">
        <v>511</v>
      </c>
      <c r="B19" s="51" t="s">
        <v>512</v>
      </c>
      <c r="C19" s="54">
        <v>577.4</v>
      </c>
      <c r="D19" s="218">
        <v>2959934200</v>
      </c>
    </row>
    <row r="20" spans="1:4" s="51" customFormat="1" x14ac:dyDescent="0.2">
      <c r="A20" s="21" t="s">
        <v>199</v>
      </c>
      <c r="B20" s="21" t="s">
        <v>309</v>
      </c>
      <c r="C20" s="54">
        <v>577.20000000000005</v>
      </c>
      <c r="D20" s="218">
        <v>2995318777</v>
      </c>
    </row>
    <row r="21" spans="1:4" s="51" customFormat="1" x14ac:dyDescent="0.2">
      <c r="A21" s="50" t="s">
        <v>509</v>
      </c>
      <c r="B21" s="51" t="s">
        <v>510</v>
      </c>
      <c r="C21" s="54">
        <v>338.20000000000005</v>
      </c>
      <c r="D21" s="218">
        <v>9589670162</v>
      </c>
    </row>
    <row r="22" spans="1:4" s="51" customFormat="1" x14ac:dyDescent="0.2">
      <c r="A22" s="50" t="s">
        <v>70</v>
      </c>
      <c r="B22" s="51" t="s">
        <v>71</v>
      </c>
      <c r="C22" s="54">
        <v>409.40000000000003</v>
      </c>
      <c r="D22" s="218" t="s">
        <v>642</v>
      </c>
    </row>
    <row r="23" spans="1:4" s="51" customFormat="1" x14ac:dyDescent="0.2">
      <c r="A23" s="50" t="s">
        <v>117</v>
      </c>
      <c r="B23" s="51" t="s">
        <v>118</v>
      </c>
      <c r="C23" s="54">
        <v>577.4</v>
      </c>
      <c r="D23" s="218" t="s">
        <v>643</v>
      </c>
    </row>
    <row r="24" spans="1:4" s="51" customFormat="1" x14ac:dyDescent="0.2">
      <c r="A24" s="50" t="s">
        <v>165</v>
      </c>
      <c r="B24" s="51" t="s">
        <v>166</v>
      </c>
      <c r="C24" s="54">
        <v>577.4</v>
      </c>
      <c r="D24" s="218" t="s">
        <v>644</v>
      </c>
    </row>
    <row r="25" spans="1:4" s="51" customFormat="1" x14ac:dyDescent="0.2">
      <c r="A25" s="50" t="s">
        <v>82</v>
      </c>
      <c r="B25" s="51" t="s">
        <v>83</v>
      </c>
      <c r="C25" s="54">
        <v>577.4</v>
      </c>
      <c r="D25" s="218" t="s">
        <v>645</v>
      </c>
    </row>
    <row r="26" spans="1:4" s="51" customFormat="1" x14ac:dyDescent="0.2">
      <c r="A26" s="50" t="s">
        <v>141</v>
      </c>
      <c r="B26" s="51" t="s">
        <v>142</v>
      </c>
      <c r="C26" s="54">
        <v>577.20000000000005</v>
      </c>
      <c r="D26" s="218" t="s">
        <v>646</v>
      </c>
    </row>
    <row r="27" spans="1:4" s="51" customFormat="1" x14ac:dyDescent="0.2">
      <c r="A27" s="50" t="s">
        <v>115</v>
      </c>
      <c r="B27" s="51" t="s">
        <v>116</v>
      </c>
      <c r="C27" s="54">
        <v>577.4</v>
      </c>
      <c r="D27" s="218" t="s">
        <v>647</v>
      </c>
    </row>
    <row r="28" spans="1:4" s="51" customFormat="1" x14ac:dyDescent="0.2">
      <c r="A28" s="50" t="s">
        <v>56</v>
      </c>
      <c r="B28" s="51" t="s">
        <v>57</v>
      </c>
      <c r="C28" s="54">
        <v>577.4</v>
      </c>
      <c r="D28" s="218" t="s">
        <v>648</v>
      </c>
    </row>
    <row r="29" spans="1:4" s="51" customFormat="1" x14ac:dyDescent="0.2">
      <c r="A29" s="50" t="s">
        <v>42</v>
      </c>
      <c r="B29" s="51" t="s">
        <v>43</v>
      </c>
      <c r="C29" s="54">
        <v>577.4</v>
      </c>
      <c r="D29" s="218" t="s">
        <v>649</v>
      </c>
    </row>
    <row r="30" spans="1:4" s="51" customFormat="1" x14ac:dyDescent="0.2">
      <c r="A30" s="50" t="s">
        <v>15</v>
      </c>
      <c r="B30" s="51" t="s">
        <v>55</v>
      </c>
      <c r="C30" s="54">
        <v>577.4</v>
      </c>
      <c r="D30" s="218" t="s">
        <v>650</v>
      </c>
    </row>
    <row r="31" spans="1:4" s="51" customFormat="1" x14ac:dyDescent="0.2">
      <c r="A31" s="50" t="s">
        <v>109</v>
      </c>
      <c r="B31" s="51" t="s">
        <v>110</v>
      </c>
      <c r="C31" s="54">
        <v>577.4</v>
      </c>
      <c r="D31" s="218" t="s">
        <v>651</v>
      </c>
    </row>
    <row r="32" spans="1:4" s="51" customFormat="1" x14ac:dyDescent="0.2">
      <c r="A32" s="50" t="s">
        <v>103</v>
      </c>
      <c r="B32" s="51" t="s">
        <v>104</v>
      </c>
      <c r="C32" s="54">
        <v>577.4</v>
      </c>
      <c r="D32" s="218" t="s">
        <v>652</v>
      </c>
    </row>
    <row r="33" spans="1:4" s="51" customFormat="1" x14ac:dyDescent="0.2">
      <c r="A33" s="50" t="s">
        <v>119</v>
      </c>
      <c r="B33" s="51" t="s">
        <v>120</v>
      </c>
      <c r="C33" s="54">
        <v>547.6</v>
      </c>
      <c r="D33" s="218" t="s">
        <v>653</v>
      </c>
    </row>
    <row r="34" spans="1:4" s="51" customFormat="1" x14ac:dyDescent="0.2">
      <c r="A34" s="50" t="s">
        <v>167</v>
      </c>
      <c r="B34" s="51" t="s">
        <v>168</v>
      </c>
      <c r="C34" s="54">
        <v>577.20000000000005</v>
      </c>
      <c r="D34" s="218" t="s">
        <v>654</v>
      </c>
    </row>
    <row r="35" spans="1:4" s="51" customFormat="1" x14ac:dyDescent="0.2">
      <c r="A35" s="50" t="s">
        <v>53</v>
      </c>
      <c r="B35" s="51" t="s">
        <v>54</v>
      </c>
      <c r="C35" s="54">
        <v>577.20000000000005</v>
      </c>
      <c r="D35" s="218" t="s">
        <v>655</v>
      </c>
    </row>
    <row r="36" spans="1:4" s="51" customFormat="1" x14ac:dyDescent="0.2">
      <c r="A36" s="50" t="s">
        <v>92</v>
      </c>
      <c r="B36" s="51" t="s">
        <v>93</v>
      </c>
      <c r="C36" s="54">
        <v>482.60142857142853</v>
      </c>
      <c r="D36" s="218" t="s">
        <v>656</v>
      </c>
    </row>
    <row r="37" spans="1:4" s="51" customFormat="1" x14ac:dyDescent="0.2">
      <c r="A37" s="50" t="s">
        <v>76</v>
      </c>
      <c r="B37" s="215" t="s">
        <v>77</v>
      </c>
      <c r="C37" s="54">
        <v>577.4</v>
      </c>
      <c r="D37" s="218" t="s">
        <v>657</v>
      </c>
    </row>
    <row r="38" spans="1:4" s="51" customFormat="1" x14ac:dyDescent="0.2">
      <c r="A38" s="50" t="s">
        <v>62</v>
      </c>
      <c r="B38" s="51" t="s">
        <v>63</v>
      </c>
      <c r="C38" s="54">
        <v>577.4</v>
      </c>
      <c r="D38" s="218" t="s">
        <v>658</v>
      </c>
    </row>
    <row r="39" spans="1:4" s="51" customFormat="1" x14ac:dyDescent="0.2">
      <c r="A39" s="50" t="s">
        <v>133</v>
      </c>
      <c r="B39" s="51" t="s">
        <v>134</v>
      </c>
      <c r="C39" s="54">
        <v>577.4</v>
      </c>
      <c r="D39" s="218" t="s">
        <v>659</v>
      </c>
    </row>
    <row r="40" spans="1:4" s="51" customFormat="1" x14ac:dyDescent="0.2">
      <c r="A40" s="50" t="s">
        <v>107</v>
      </c>
      <c r="B40" s="51" t="s">
        <v>108</v>
      </c>
      <c r="C40" s="54">
        <v>577.4</v>
      </c>
      <c r="D40" s="218" t="s">
        <v>660</v>
      </c>
    </row>
    <row r="41" spans="1:4" s="51" customFormat="1" x14ac:dyDescent="0.2">
      <c r="A41" s="50" t="s">
        <v>72</v>
      </c>
      <c r="B41" s="51" t="s">
        <v>73</v>
      </c>
      <c r="C41" s="54">
        <v>577.4</v>
      </c>
      <c r="D41" s="218" t="s">
        <v>661</v>
      </c>
    </row>
    <row r="42" spans="1:4" s="51" customFormat="1" x14ac:dyDescent="0.2">
      <c r="A42" s="50" t="s">
        <v>58</v>
      </c>
      <c r="B42" s="51" t="s">
        <v>59</v>
      </c>
      <c r="C42" s="54">
        <v>577.4</v>
      </c>
      <c r="D42" s="218" t="s">
        <v>662</v>
      </c>
    </row>
    <row r="43" spans="1:4" s="51" customFormat="1" x14ac:dyDescent="0.2">
      <c r="A43" s="50" t="s">
        <v>152</v>
      </c>
      <c r="B43" s="51" t="s">
        <v>153</v>
      </c>
      <c r="C43" s="54">
        <v>577.4</v>
      </c>
      <c r="D43" s="218" t="s">
        <v>663</v>
      </c>
    </row>
    <row r="44" spans="1:4" s="51" customFormat="1" x14ac:dyDescent="0.2">
      <c r="A44" s="50" t="s">
        <v>169</v>
      </c>
      <c r="B44" s="51" t="s">
        <v>170</v>
      </c>
      <c r="C44" s="54">
        <v>577.4</v>
      </c>
      <c r="D44" s="218" t="s">
        <v>664</v>
      </c>
    </row>
    <row r="45" spans="1:4" s="51" customFormat="1" x14ac:dyDescent="0.2">
      <c r="A45" s="50" t="s">
        <v>135</v>
      </c>
      <c r="B45" s="51" t="s">
        <v>136</v>
      </c>
      <c r="C45" s="54">
        <v>577.20000000000005</v>
      </c>
      <c r="D45" s="218" t="s">
        <v>665</v>
      </c>
    </row>
    <row r="46" spans="1:4" s="51" customFormat="1" x14ac:dyDescent="0.2">
      <c r="A46" s="50" t="s">
        <v>150</v>
      </c>
      <c r="B46" s="51" t="s">
        <v>151</v>
      </c>
      <c r="C46" s="54">
        <v>577.4</v>
      </c>
      <c r="D46" s="218" t="s">
        <v>666</v>
      </c>
    </row>
    <row r="47" spans="1:4" s="51" customFormat="1" x14ac:dyDescent="0.2">
      <c r="A47" s="50" t="s">
        <v>137</v>
      </c>
      <c r="B47" s="51" t="s">
        <v>138</v>
      </c>
      <c r="C47" s="54">
        <v>577.4</v>
      </c>
      <c r="D47" s="218" t="s">
        <v>667</v>
      </c>
    </row>
    <row r="48" spans="1:4" s="51" customFormat="1" x14ac:dyDescent="0.2">
      <c r="A48" s="50" t="s">
        <v>290</v>
      </c>
      <c r="B48" s="51" t="s">
        <v>46</v>
      </c>
      <c r="C48" s="54">
        <v>388.00285714285718</v>
      </c>
      <c r="D48" s="218" t="s">
        <v>668</v>
      </c>
    </row>
    <row r="49" spans="1:4" s="51" customFormat="1" x14ac:dyDescent="0.2">
      <c r="A49" s="50" t="s">
        <v>36</v>
      </c>
      <c r="B49" s="51" t="s">
        <v>37</v>
      </c>
      <c r="C49" s="54">
        <v>577.4</v>
      </c>
      <c r="D49" s="218" t="s">
        <v>669</v>
      </c>
    </row>
    <row r="50" spans="1:4" s="51" customFormat="1" x14ac:dyDescent="0.2">
      <c r="A50" s="50" t="s">
        <v>50</v>
      </c>
      <c r="B50" s="215" t="s">
        <v>51</v>
      </c>
      <c r="C50" s="54">
        <v>410</v>
      </c>
      <c r="D50" s="218" t="s">
        <v>670</v>
      </c>
    </row>
    <row r="51" spans="1:4" s="51" customFormat="1" x14ac:dyDescent="0.2">
      <c r="A51" s="50" t="s">
        <v>123</v>
      </c>
      <c r="B51" s="51" t="s">
        <v>124</v>
      </c>
      <c r="C51" s="54">
        <v>577.4</v>
      </c>
      <c r="D51" s="218" t="s">
        <v>671</v>
      </c>
    </row>
    <row r="52" spans="1:4" s="51" customFormat="1" x14ac:dyDescent="0.2">
      <c r="A52" s="50" t="s">
        <v>80</v>
      </c>
      <c r="B52" s="51" t="s">
        <v>81</v>
      </c>
      <c r="C52" s="54">
        <v>577.4</v>
      </c>
      <c r="D52" s="218" t="s">
        <v>672</v>
      </c>
    </row>
    <row r="53" spans="1:4" s="51" customFormat="1" x14ac:dyDescent="0.2">
      <c r="A53" s="50" t="s">
        <v>101</v>
      </c>
      <c r="B53" s="51" t="s">
        <v>102</v>
      </c>
      <c r="C53" s="54">
        <v>577.4</v>
      </c>
      <c r="D53" s="218" t="s">
        <v>673</v>
      </c>
    </row>
    <row r="54" spans="1:4" s="51" customFormat="1" x14ac:dyDescent="0.2">
      <c r="A54" s="50" t="s">
        <v>121</v>
      </c>
      <c r="B54" s="51" t="s">
        <v>122</v>
      </c>
      <c r="C54" s="54">
        <v>577.4</v>
      </c>
      <c r="D54" s="218" t="s">
        <v>674</v>
      </c>
    </row>
    <row r="55" spans="1:4" s="51" customFormat="1" x14ac:dyDescent="0.2">
      <c r="A55" s="50" t="s">
        <v>143</v>
      </c>
      <c r="B55" s="51" t="s">
        <v>144</v>
      </c>
      <c r="C55" s="54">
        <v>577.4</v>
      </c>
      <c r="D55" s="218" t="s">
        <v>675</v>
      </c>
    </row>
    <row r="56" spans="1:4" s="51" customFormat="1" ht="12.75" customHeight="1" x14ac:dyDescent="0.2">
      <c r="A56" s="50" t="s">
        <v>34</v>
      </c>
      <c r="B56" s="51" t="s">
        <v>35</v>
      </c>
      <c r="C56" s="54">
        <v>577.4</v>
      </c>
      <c r="D56" s="218" t="s">
        <v>676</v>
      </c>
    </row>
    <row r="57" spans="1:4" s="51" customFormat="1" x14ac:dyDescent="0.2">
      <c r="A57" s="50" t="s">
        <v>90</v>
      </c>
      <c r="B57" s="51" t="s">
        <v>91</v>
      </c>
      <c r="C57" s="54">
        <v>577.38</v>
      </c>
      <c r="D57" s="218" t="s">
        <v>677</v>
      </c>
    </row>
    <row r="58" spans="1:4" s="51" customFormat="1" x14ac:dyDescent="0.2">
      <c r="A58" s="50" t="s">
        <v>159</v>
      </c>
      <c r="B58" s="51" t="s">
        <v>160</v>
      </c>
      <c r="C58" s="54">
        <v>577.20000000000005</v>
      </c>
      <c r="D58" s="218" t="s">
        <v>678</v>
      </c>
    </row>
    <row r="59" spans="1:4" s="51" customFormat="1" x14ac:dyDescent="0.2">
      <c r="A59" s="50" t="s">
        <v>68</v>
      </c>
      <c r="B59" s="215" t="s">
        <v>69</v>
      </c>
      <c r="C59" s="54">
        <v>577.20000000000005</v>
      </c>
      <c r="D59" s="218" t="s">
        <v>679</v>
      </c>
    </row>
    <row r="60" spans="1:4" s="51" customFormat="1" x14ac:dyDescent="0.2">
      <c r="A60" s="50" t="s">
        <v>48</v>
      </c>
      <c r="B60" s="51" t="s">
        <v>49</v>
      </c>
      <c r="C60" s="54">
        <v>577.4</v>
      </c>
      <c r="D60" s="218" t="s">
        <v>680</v>
      </c>
    </row>
    <row r="61" spans="1:4" s="51" customFormat="1" x14ac:dyDescent="0.2">
      <c r="A61" s="50" t="s">
        <v>125</v>
      </c>
      <c r="B61" s="51" t="s">
        <v>126</v>
      </c>
      <c r="C61" s="54">
        <v>577.20000000000005</v>
      </c>
      <c r="D61" s="218" t="s">
        <v>681</v>
      </c>
    </row>
    <row r="62" spans="1:4" s="51" customFormat="1" x14ac:dyDescent="0.2">
      <c r="A62" s="50" t="s">
        <v>96</v>
      </c>
      <c r="B62" s="51" t="s">
        <v>97</v>
      </c>
      <c r="C62" s="54">
        <v>577.4</v>
      </c>
      <c r="D62" s="218" t="s">
        <v>682</v>
      </c>
    </row>
    <row r="63" spans="1:4" s="51" customFormat="1" x14ac:dyDescent="0.2">
      <c r="A63" s="50" t="s">
        <v>64</v>
      </c>
      <c r="B63" s="51" t="s">
        <v>65</v>
      </c>
      <c r="C63" s="54">
        <v>577.20000000000005</v>
      </c>
      <c r="D63" s="218" t="s">
        <v>683</v>
      </c>
    </row>
    <row r="64" spans="1:4" s="51" customFormat="1" x14ac:dyDescent="0.2">
      <c r="A64" s="50" t="s">
        <v>78</v>
      </c>
      <c r="B64" s="51" t="s">
        <v>79</v>
      </c>
      <c r="C64" s="54">
        <v>577.4</v>
      </c>
      <c r="D64" s="218" t="s">
        <v>684</v>
      </c>
    </row>
    <row r="65" spans="1:4" s="51" customFormat="1" x14ac:dyDescent="0.2">
      <c r="A65" s="50" t="s">
        <v>44</v>
      </c>
      <c r="B65" s="51" t="s">
        <v>45</v>
      </c>
      <c r="C65" s="54">
        <v>577.20000000000005</v>
      </c>
      <c r="D65" s="218" t="s">
        <v>685</v>
      </c>
    </row>
    <row r="66" spans="1:4" s="51" customFormat="1" x14ac:dyDescent="0.2">
      <c r="A66" s="50" t="s">
        <v>157</v>
      </c>
      <c r="B66" s="51" t="s">
        <v>158</v>
      </c>
      <c r="C66" s="54">
        <v>577.4</v>
      </c>
      <c r="D66" s="218" t="s">
        <v>686</v>
      </c>
    </row>
    <row r="67" spans="1:4" s="56" customFormat="1" x14ac:dyDescent="0.2">
      <c r="A67" s="50" t="s">
        <v>111</v>
      </c>
      <c r="B67" s="51" t="s">
        <v>112</v>
      </c>
      <c r="C67" s="54">
        <v>577.4</v>
      </c>
      <c r="D67" s="218" t="s">
        <v>687</v>
      </c>
    </row>
    <row r="68" spans="1:4" s="58" customFormat="1" ht="14.25" x14ac:dyDescent="0.2">
      <c r="A68" s="50" t="s">
        <v>105</v>
      </c>
      <c r="B68" s="215" t="s">
        <v>106</v>
      </c>
      <c r="C68" s="54">
        <v>577.4</v>
      </c>
      <c r="D68" s="218" t="s">
        <v>688</v>
      </c>
    </row>
    <row r="69" spans="1:4" s="51" customFormat="1" x14ac:dyDescent="0.2">
      <c r="A69" s="50" t="s">
        <v>66</v>
      </c>
      <c r="B69" s="51" t="s">
        <v>67</v>
      </c>
      <c r="C69" s="54">
        <v>577.20000000000005</v>
      </c>
      <c r="D69" s="218" t="s">
        <v>689</v>
      </c>
    </row>
    <row r="70" spans="1:4" s="51" customFormat="1" x14ac:dyDescent="0.2">
      <c r="A70" s="50" t="s">
        <v>155</v>
      </c>
      <c r="B70" s="51" t="s">
        <v>156</v>
      </c>
      <c r="C70" s="54">
        <v>577.20000000000005</v>
      </c>
      <c r="D70" s="218" t="s">
        <v>690</v>
      </c>
    </row>
    <row r="71" spans="1:4" s="51" customFormat="1" x14ac:dyDescent="0.2">
      <c r="A71" s="50" t="s">
        <v>60</v>
      </c>
      <c r="B71" s="51" t="s">
        <v>61</v>
      </c>
      <c r="C71" s="54">
        <v>577.4</v>
      </c>
      <c r="D71" s="218" t="s">
        <v>691</v>
      </c>
    </row>
    <row r="72" spans="1:4" s="51" customFormat="1" x14ac:dyDescent="0.2">
      <c r="A72" s="50" t="s">
        <v>161</v>
      </c>
      <c r="B72" s="51" t="s">
        <v>162</v>
      </c>
      <c r="C72" s="54">
        <v>577.4</v>
      </c>
      <c r="D72" s="218" t="s">
        <v>692</v>
      </c>
    </row>
    <row r="73" spans="1:4" s="51" customFormat="1" x14ac:dyDescent="0.2">
      <c r="A73" s="50" t="s">
        <v>148</v>
      </c>
      <c r="B73" s="51" t="s">
        <v>149</v>
      </c>
      <c r="C73" s="54">
        <v>577.4</v>
      </c>
      <c r="D73" s="218" t="s">
        <v>693</v>
      </c>
    </row>
    <row r="74" spans="1:4" s="51" customFormat="1" x14ac:dyDescent="0.2">
      <c r="A74" s="50" t="s">
        <v>99</v>
      </c>
      <c r="B74" s="51" t="s">
        <v>100</v>
      </c>
      <c r="C74" s="54">
        <v>577.4</v>
      </c>
      <c r="D74" s="218" t="s">
        <v>694</v>
      </c>
    </row>
    <row r="75" spans="1:4" s="51" customFormat="1" x14ac:dyDescent="0.2">
      <c r="A75" s="50" t="s">
        <v>86</v>
      </c>
      <c r="B75" s="51" t="s">
        <v>87</v>
      </c>
      <c r="C75" s="54">
        <v>577.20000000000005</v>
      </c>
      <c r="D75" s="218" t="s">
        <v>695</v>
      </c>
    </row>
    <row r="76" spans="1:4" s="51" customFormat="1" x14ac:dyDescent="0.2">
      <c r="A76" s="50" t="s">
        <v>139</v>
      </c>
      <c r="B76" s="51" t="s">
        <v>140</v>
      </c>
      <c r="C76" s="54">
        <v>577.4</v>
      </c>
      <c r="D76" s="218" t="s">
        <v>696</v>
      </c>
    </row>
    <row r="77" spans="1:4" s="51" customFormat="1" x14ac:dyDescent="0.2">
      <c r="A77" s="50" t="s">
        <v>131</v>
      </c>
      <c r="B77" s="51" t="s">
        <v>132</v>
      </c>
      <c r="C77" s="54">
        <v>577.4</v>
      </c>
      <c r="D77" s="218" t="s">
        <v>697</v>
      </c>
    </row>
    <row r="78" spans="1:4" s="51" customFormat="1" x14ac:dyDescent="0.2">
      <c r="A78" s="50" t="s">
        <v>163</v>
      </c>
      <c r="B78" s="51" t="s">
        <v>164</v>
      </c>
      <c r="C78" s="54">
        <v>577.4</v>
      </c>
      <c r="D78" s="218" t="s">
        <v>698</v>
      </c>
    </row>
    <row r="79" spans="1:4" s="51" customFormat="1" x14ac:dyDescent="0.2">
      <c r="A79" s="50" t="s">
        <v>173</v>
      </c>
      <c r="B79" s="51" t="s">
        <v>174</v>
      </c>
      <c r="C79" s="54">
        <v>577.4</v>
      </c>
      <c r="D79" s="218" t="s">
        <v>699</v>
      </c>
    </row>
    <row r="80" spans="1:4" s="51" customFormat="1" x14ac:dyDescent="0.2">
      <c r="A80" s="50" t="s">
        <v>113</v>
      </c>
      <c r="B80" s="51" t="s">
        <v>114</v>
      </c>
      <c r="C80" s="54">
        <v>577.4</v>
      </c>
      <c r="D80" s="218" t="s">
        <v>700</v>
      </c>
    </row>
    <row r="81" spans="1:4" s="51" customFormat="1" x14ac:dyDescent="0.2">
      <c r="A81" s="50" t="s">
        <v>38</v>
      </c>
      <c r="B81" s="51" t="s">
        <v>39</v>
      </c>
      <c r="C81" s="54">
        <v>577.4</v>
      </c>
      <c r="D81" s="218" t="s">
        <v>701</v>
      </c>
    </row>
    <row r="82" spans="1:4" s="51" customFormat="1" x14ac:dyDescent="0.2">
      <c r="A82" s="50" t="s">
        <v>88</v>
      </c>
      <c r="B82" s="51" t="s">
        <v>89</v>
      </c>
      <c r="C82" s="54">
        <v>577.4</v>
      </c>
      <c r="D82" s="218" t="s">
        <v>702</v>
      </c>
    </row>
    <row r="83" spans="1:4" s="51" customFormat="1" x14ac:dyDescent="0.2">
      <c r="A83" s="50" t="s">
        <v>291</v>
      </c>
      <c r="B83" s="51" t="s">
        <v>52</v>
      </c>
      <c r="C83" s="54">
        <v>577.4</v>
      </c>
      <c r="D83" s="218" t="s">
        <v>703</v>
      </c>
    </row>
    <row r="84" spans="1:4" s="51" customFormat="1" x14ac:dyDescent="0.2">
      <c r="A84" s="50" t="s">
        <v>171</v>
      </c>
      <c r="B84" s="51" t="s">
        <v>172</v>
      </c>
      <c r="C84" s="54">
        <v>577.4</v>
      </c>
      <c r="D84" s="218" t="s">
        <v>704</v>
      </c>
    </row>
    <row r="85" spans="1:4" s="51" customFormat="1" x14ac:dyDescent="0.2">
      <c r="A85" s="50" t="s">
        <v>129</v>
      </c>
      <c r="B85" s="51" t="s">
        <v>130</v>
      </c>
      <c r="C85" s="54">
        <v>577.4</v>
      </c>
      <c r="D85" s="218" t="s">
        <v>705</v>
      </c>
    </row>
    <row r="86" spans="1:4" s="51" customFormat="1" x14ac:dyDescent="0.2">
      <c r="A86" s="50" t="s">
        <v>40</v>
      </c>
      <c r="B86" s="51" t="s">
        <v>41</v>
      </c>
      <c r="C86" s="54">
        <v>577.4</v>
      </c>
      <c r="D86" s="218" t="s">
        <v>706</v>
      </c>
    </row>
    <row r="87" spans="1:4" s="51" customFormat="1" x14ac:dyDescent="0.2">
      <c r="A87" s="50" t="s">
        <v>197</v>
      </c>
      <c r="B87" s="51" t="s">
        <v>198</v>
      </c>
      <c r="C87" s="54">
        <v>577.4</v>
      </c>
      <c r="D87" s="218" t="s">
        <v>707</v>
      </c>
    </row>
    <row r="88" spans="1:4" s="51" customFormat="1" x14ac:dyDescent="0.2">
      <c r="A88" s="50" t="s">
        <v>317</v>
      </c>
      <c r="B88" s="51" t="s">
        <v>154</v>
      </c>
      <c r="C88" s="54">
        <v>577.20000000000005</v>
      </c>
      <c r="D88" s="218" t="s">
        <v>708</v>
      </c>
    </row>
    <row r="89" spans="1:4" s="51" customFormat="1" ht="12.75" thickBot="1" x14ac:dyDescent="0.25">
      <c r="A89" s="50"/>
      <c r="C89" s="216">
        <f>SUM(C10:C88)</f>
        <v>41522.984285714323</v>
      </c>
      <c r="D89" s="218"/>
    </row>
    <row r="90" spans="1:4" s="51" customFormat="1" x14ac:dyDescent="0.2">
      <c r="A90" s="50"/>
      <c r="C90" s="54"/>
      <c r="D90" s="218"/>
    </row>
    <row r="91" spans="1:4" s="51" customFormat="1" x14ac:dyDescent="0.2">
      <c r="A91" s="50" t="s">
        <v>14</v>
      </c>
      <c r="B91" s="51" t="s">
        <v>47</v>
      </c>
      <c r="C91" s="54">
        <v>577.4</v>
      </c>
      <c r="D91" s="218" t="s">
        <v>641</v>
      </c>
    </row>
    <row r="92" spans="1:4" s="51" customFormat="1" x14ac:dyDescent="0.2">
      <c r="A92" s="50" t="s">
        <v>94</v>
      </c>
      <c r="B92" s="51" t="s">
        <v>95</v>
      </c>
      <c r="C92" s="54">
        <v>577.20000000000005</v>
      </c>
      <c r="D92" s="218" t="s">
        <v>641</v>
      </c>
    </row>
    <row r="93" spans="1:4" s="51" customFormat="1" ht="12.75" thickBot="1" x14ac:dyDescent="0.25">
      <c r="A93" s="50"/>
      <c r="C93" s="216">
        <f>SUM(C91:C92)</f>
        <v>1154.5999999999999</v>
      </c>
      <c r="D93" s="218"/>
    </row>
    <row r="94" spans="1:4" s="51" customFormat="1" x14ac:dyDescent="0.2">
      <c r="A94" s="50"/>
      <c r="C94" s="54"/>
      <c r="D94" s="218"/>
    </row>
    <row r="95" spans="1:4" s="51" customFormat="1" x14ac:dyDescent="0.2">
      <c r="A95" s="50" t="s">
        <v>289</v>
      </c>
      <c r="B95" s="51" t="s">
        <v>178</v>
      </c>
      <c r="C95" s="54">
        <v>577.4</v>
      </c>
      <c r="D95" s="218" t="s">
        <v>709</v>
      </c>
    </row>
    <row r="96" spans="1:4" s="51" customFormat="1" x14ac:dyDescent="0.2">
      <c r="A96" s="50" t="s">
        <v>196</v>
      </c>
      <c r="B96" s="51" t="s">
        <v>296</v>
      </c>
      <c r="C96" s="54">
        <v>577.4</v>
      </c>
      <c r="D96" s="218" t="s">
        <v>709</v>
      </c>
    </row>
    <row r="97" spans="1:4" s="51" customFormat="1" x14ac:dyDescent="0.2">
      <c r="A97" s="50" t="s">
        <v>188</v>
      </c>
      <c r="B97" s="51" t="s">
        <v>314</v>
      </c>
      <c r="C97" s="54">
        <v>577.4</v>
      </c>
      <c r="D97" s="218" t="s">
        <v>709</v>
      </c>
    </row>
    <row r="98" spans="1:4" s="51" customFormat="1" ht="12.75" thickBot="1" x14ac:dyDescent="0.25">
      <c r="A98" s="50"/>
      <c r="C98" s="216">
        <f>SUM(C95:C97)</f>
        <v>1732.1999999999998</v>
      </c>
      <c r="D98" s="218"/>
    </row>
    <row r="100" spans="1:4" x14ac:dyDescent="0.2">
      <c r="B100" s="213" t="s">
        <v>710</v>
      </c>
      <c r="C100" s="177">
        <f>+C89</f>
        <v>41522.984285714323</v>
      </c>
    </row>
    <row r="101" spans="1:4" x14ac:dyDescent="0.2">
      <c r="B101" s="213" t="s">
        <v>711</v>
      </c>
      <c r="C101" s="177">
        <f>+C93</f>
        <v>1154.5999999999999</v>
      </c>
    </row>
    <row r="102" spans="1:4" x14ac:dyDescent="0.2">
      <c r="B102" s="213" t="s">
        <v>709</v>
      </c>
      <c r="C102" s="177">
        <f>+C98</f>
        <v>1732.1999999999998</v>
      </c>
    </row>
    <row r="103" spans="1:4" ht="12.75" thickBot="1" x14ac:dyDescent="0.25">
      <c r="C103" s="212">
        <f>SUM(C100:C102)</f>
        <v>44409.784285714319</v>
      </c>
    </row>
  </sheetData>
  <sortState ref="A10:D93">
    <sortCondition ref="D10:D93"/>
  </sortState>
  <pageMargins left="0.70866141732283472" right="0.70866141732283472" top="0.35433070866141736" bottom="0.36" header="0.19685039370078741" footer="0.31496062992125984"/>
  <pageSetup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H17" sqref="H17:M18"/>
    </sheetView>
  </sheetViews>
  <sheetFormatPr baseColWidth="10" defaultRowHeight="11.25" x14ac:dyDescent="0.2"/>
  <cols>
    <col min="1" max="1" width="9.7109375" style="175" bestFit="1" customWidth="1"/>
    <col min="2" max="2" width="26.42578125" style="174" customWidth="1"/>
    <col min="3" max="3" width="14" style="174" bestFit="1" customWidth="1"/>
    <col min="4" max="4" width="12.28515625" style="174" bestFit="1" customWidth="1"/>
    <col min="5" max="7" width="11.42578125" style="174"/>
    <col min="8" max="8" width="26.7109375" style="174" bestFit="1" customWidth="1"/>
    <col min="9" max="9" width="20.28515625" style="174" bestFit="1" customWidth="1"/>
    <col min="10" max="16384" width="11.42578125" style="174"/>
  </cols>
  <sheetData>
    <row r="1" spans="1:6" ht="12.75" x14ac:dyDescent="0.2">
      <c r="A1" s="3" t="s">
        <v>0</v>
      </c>
      <c r="B1" s="210" t="s">
        <v>18</v>
      </c>
    </row>
    <row r="2" spans="1:6" ht="18" x14ac:dyDescent="0.2">
      <c r="A2" s="4" t="s">
        <v>1</v>
      </c>
      <c r="B2" s="9" t="str">
        <f>+'C&amp;A'!B2:F2</f>
        <v>11 CONSULTORES &amp; ASESORES INTEGRALES SC</v>
      </c>
    </row>
    <row r="3" spans="1:6" ht="15" x14ac:dyDescent="0.2">
      <c r="B3" s="209" t="s">
        <v>2</v>
      </c>
    </row>
    <row r="4" spans="1:6" ht="12.75" x14ac:dyDescent="0.2">
      <c r="B4" s="11" t="s">
        <v>712</v>
      </c>
    </row>
    <row r="5" spans="1:6" x14ac:dyDescent="0.2">
      <c r="B5" s="42" t="s">
        <v>3</v>
      </c>
    </row>
    <row r="6" spans="1:6" x14ac:dyDescent="0.2">
      <c r="B6" s="42" t="s">
        <v>4</v>
      </c>
    </row>
    <row r="8" spans="1:6" s="176" customFormat="1" ht="12" thickBot="1" x14ac:dyDescent="0.25">
      <c r="A8" s="6" t="s">
        <v>5</v>
      </c>
      <c r="B8" s="7" t="s">
        <v>6</v>
      </c>
      <c r="C8" s="28" t="s">
        <v>12</v>
      </c>
    </row>
    <row r="9" spans="1:6" s="51" customFormat="1" ht="12" thickTop="1" x14ac:dyDescent="0.2">
      <c r="A9" s="50"/>
    </row>
    <row r="10" spans="1:6" s="51" customFormat="1" ht="15" x14ac:dyDescent="0.25">
      <c r="A10" s="50"/>
      <c r="B10" s="51" t="s">
        <v>619</v>
      </c>
      <c r="C10" s="59">
        <v>475.39</v>
      </c>
      <c r="D10" s="214">
        <v>1182316935</v>
      </c>
    </row>
    <row r="11" spans="1:6" s="51" customFormat="1" ht="15" x14ac:dyDescent="0.25">
      <c r="A11" s="50" t="s">
        <v>516</v>
      </c>
      <c r="B11" s="51" t="s">
        <v>515</v>
      </c>
      <c r="C11" s="59">
        <v>3063.3329000000003</v>
      </c>
      <c r="D11" s="214">
        <v>1296641458</v>
      </c>
    </row>
    <row r="12" spans="1:6" s="51" customFormat="1" ht="15" x14ac:dyDescent="0.25">
      <c r="A12" s="50"/>
      <c r="B12" s="51" t="s">
        <v>609</v>
      </c>
      <c r="C12" s="59">
        <v>483.75</v>
      </c>
      <c r="D12" s="214">
        <v>1456104819</v>
      </c>
    </row>
    <row r="13" spans="1:6" s="51" customFormat="1" ht="15" x14ac:dyDescent="0.25">
      <c r="A13" s="50"/>
      <c r="B13" s="51" t="s">
        <v>625</v>
      </c>
      <c r="C13" s="59">
        <v>589.2600000000001</v>
      </c>
      <c r="D13" s="214">
        <v>1905307865</v>
      </c>
      <c r="E13" s="51">
        <v>1190530786</v>
      </c>
      <c r="F13" s="277">
        <v>1190530786</v>
      </c>
    </row>
    <row r="14" spans="1:6" s="51" customFormat="1" ht="15" x14ac:dyDescent="0.25">
      <c r="A14" s="50"/>
      <c r="B14" s="51" t="s">
        <v>629</v>
      </c>
      <c r="C14" s="59">
        <v>1136.73</v>
      </c>
      <c r="D14" s="214">
        <v>2857006349</v>
      </c>
    </row>
    <row r="15" spans="1:6" s="51" customFormat="1" ht="15" x14ac:dyDescent="0.25">
      <c r="A15" s="50" t="s">
        <v>500</v>
      </c>
      <c r="B15" s="51" t="s">
        <v>501</v>
      </c>
      <c r="C15" s="59">
        <v>828.46</v>
      </c>
      <c r="D15" s="214">
        <v>2861674129</v>
      </c>
    </row>
    <row r="16" spans="1:6" s="51" customFormat="1" ht="15" x14ac:dyDescent="0.25">
      <c r="A16" s="50"/>
      <c r="B16" s="51" t="s">
        <v>621</v>
      </c>
      <c r="C16" s="59">
        <v>831.79000000000008</v>
      </c>
      <c r="D16" s="214">
        <v>2948910731</v>
      </c>
    </row>
    <row r="17" spans="1:10" s="51" customFormat="1" ht="15" x14ac:dyDescent="0.25">
      <c r="A17" s="50" t="s">
        <v>504</v>
      </c>
      <c r="B17" s="51" t="s">
        <v>505</v>
      </c>
      <c r="C17" s="59">
        <v>1061.8</v>
      </c>
      <c r="D17" s="214">
        <v>2959119167</v>
      </c>
      <c r="H17" s="51" t="s">
        <v>625</v>
      </c>
      <c r="I17" s="214">
        <v>1905307865</v>
      </c>
      <c r="J17" s="51" t="s">
        <v>774</v>
      </c>
    </row>
    <row r="18" spans="1:10" s="51" customFormat="1" ht="15" x14ac:dyDescent="0.25">
      <c r="A18" s="50" t="s">
        <v>518</v>
      </c>
      <c r="B18" s="51" t="s">
        <v>517</v>
      </c>
      <c r="C18" s="59">
        <v>1248.0600000000002</v>
      </c>
      <c r="D18" s="214">
        <v>2959161945</v>
      </c>
      <c r="H18" s="155" t="s">
        <v>723</v>
      </c>
      <c r="I18" s="160" t="s">
        <v>724</v>
      </c>
      <c r="J18" s="51" t="s">
        <v>775</v>
      </c>
    </row>
    <row r="19" spans="1:10" s="51" customFormat="1" ht="15" x14ac:dyDescent="0.25">
      <c r="A19" s="50" t="s">
        <v>511</v>
      </c>
      <c r="B19" s="51" t="s">
        <v>512</v>
      </c>
      <c r="C19" s="59">
        <v>822.6</v>
      </c>
      <c r="D19" s="214">
        <v>2959934200</v>
      </c>
    </row>
    <row r="20" spans="1:10" s="51" customFormat="1" ht="15" x14ac:dyDescent="0.25">
      <c r="A20" s="50" t="s">
        <v>199</v>
      </c>
      <c r="B20" s="51" t="s">
        <v>309</v>
      </c>
      <c r="C20" s="59">
        <v>297.96000000000004</v>
      </c>
      <c r="D20" s="214">
        <v>2995318777</v>
      </c>
    </row>
    <row r="21" spans="1:10" s="51" customFormat="1" ht="15" x14ac:dyDescent="0.25">
      <c r="A21" s="50" t="s">
        <v>509</v>
      </c>
      <c r="B21" s="51" t="s">
        <v>510</v>
      </c>
      <c r="C21" s="59">
        <v>2093.8100000000004</v>
      </c>
      <c r="D21" s="214">
        <v>9589670162</v>
      </c>
    </row>
    <row r="22" spans="1:10" s="51" customFormat="1" ht="15" x14ac:dyDescent="0.25">
      <c r="A22" s="50" t="s">
        <v>70</v>
      </c>
      <c r="B22" s="51" t="s">
        <v>71</v>
      </c>
      <c r="C22" s="59">
        <v>2039.2128571428575</v>
      </c>
      <c r="D22" s="214" t="s">
        <v>642</v>
      </c>
    </row>
    <row r="23" spans="1:10" s="51" customFormat="1" ht="15" x14ac:dyDescent="0.25">
      <c r="A23" s="50" t="s">
        <v>117</v>
      </c>
      <c r="B23" s="51" t="s">
        <v>118</v>
      </c>
      <c r="C23" s="59">
        <v>161.83000000000004</v>
      </c>
      <c r="D23" s="214" t="s">
        <v>643</v>
      </c>
    </row>
    <row r="24" spans="1:10" s="51" customFormat="1" ht="15" x14ac:dyDescent="0.25">
      <c r="A24" s="50" t="s">
        <v>165</v>
      </c>
      <c r="B24" s="51" t="s">
        <v>166</v>
      </c>
      <c r="C24" s="59">
        <v>3030.36</v>
      </c>
      <c r="D24" s="214" t="s">
        <v>644</v>
      </c>
    </row>
    <row r="25" spans="1:10" s="51" customFormat="1" ht="15" x14ac:dyDescent="0.25">
      <c r="A25" s="50" t="s">
        <v>82</v>
      </c>
      <c r="B25" s="51" t="s">
        <v>83</v>
      </c>
      <c r="C25" s="59">
        <v>659.65000000000009</v>
      </c>
      <c r="D25" s="214" t="s">
        <v>645</v>
      </c>
    </row>
    <row r="26" spans="1:10" s="51" customFormat="1" ht="15" x14ac:dyDescent="0.25">
      <c r="A26" s="50" t="s">
        <v>141</v>
      </c>
      <c r="B26" s="51" t="s">
        <v>142</v>
      </c>
      <c r="C26" s="59">
        <v>938.67999999999984</v>
      </c>
      <c r="D26" s="214" t="s">
        <v>646</v>
      </c>
    </row>
    <row r="27" spans="1:10" s="51" customFormat="1" ht="15" x14ac:dyDescent="0.25">
      <c r="A27" s="50" t="s">
        <v>115</v>
      </c>
      <c r="B27" s="51" t="s">
        <v>116</v>
      </c>
      <c r="C27" s="59">
        <v>746.96340000000009</v>
      </c>
      <c r="D27" s="214" t="s">
        <v>647</v>
      </c>
    </row>
    <row r="28" spans="1:10" s="51" customFormat="1" ht="15" x14ac:dyDescent="0.25">
      <c r="A28" s="50" t="s">
        <v>56</v>
      </c>
      <c r="B28" s="51" t="s">
        <v>57</v>
      </c>
      <c r="C28" s="59">
        <v>753.45629999999994</v>
      </c>
      <c r="D28" s="214" t="s">
        <v>648</v>
      </c>
    </row>
    <row r="29" spans="1:10" s="51" customFormat="1" ht="15" x14ac:dyDescent="0.25">
      <c r="A29" s="50" t="s">
        <v>42</v>
      </c>
      <c r="B29" s="51" t="s">
        <v>43</v>
      </c>
      <c r="C29" s="59">
        <v>13161.288999999999</v>
      </c>
      <c r="D29" s="214" t="s">
        <v>649</v>
      </c>
    </row>
    <row r="30" spans="1:10" s="51" customFormat="1" ht="15" x14ac:dyDescent="0.25">
      <c r="A30" s="50" t="s">
        <v>15</v>
      </c>
      <c r="B30" s="51" t="s">
        <v>55</v>
      </c>
      <c r="C30" s="59">
        <v>12560.815000000001</v>
      </c>
      <c r="D30" s="214" t="s">
        <v>650</v>
      </c>
    </row>
    <row r="31" spans="1:10" s="51" customFormat="1" ht="15" x14ac:dyDescent="0.25">
      <c r="A31" s="50" t="s">
        <v>109</v>
      </c>
      <c r="B31" s="51" t="s">
        <v>110</v>
      </c>
      <c r="C31" s="59">
        <v>8232.3580000000002</v>
      </c>
      <c r="D31" s="214" t="s">
        <v>651</v>
      </c>
    </row>
    <row r="32" spans="1:10" s="51" customFormat="1" ht="15" x14ac:dyDescent="0.25">
      <c r="A32" s="50" t="s">
        <v>103</v>
      </c>
      <c r="B32" s="51" t="s">
        <v>104</v>
      </c>
      <c r="C32" s="59">
        <v>1770.1879799999997</v>
      </c>
      <c r="D32" s="214" t="s">
        <v>652</v>
      </c>
    </row>
    <row r="33" spans="1:4" s="51" customFormat="1" ht="15" x14ac:dyDescent="0.25">
      <c r="A33" s="50" t="s">
        <v>119</v>
      </c>
      <c r="B33" s="51" t="s">
        <v>120</v>
      </c>
      <c r="C33" s="59">
        <v>24.678559999999948</v>
      </c>
      <c r="D33" s="214" t="s">
        <v>653</v>
      </c>
    </row>
    <row r="34" spans="1:4" s="51" customFormat="1" ht="15" x14ac:dyDescent="0.25">
      <c r="A34" s="50" t="s">
        <v>167</v>
      </c>
      <c r="B34" s="51" t="s">
        <v>168</v>
      </c>
      <c r="C34" s="59">
        <v>3325.71056</v>
      </c>
      <c r="D34" s="214" t="s">
        <v>654</v>
      </c>
    </row>
    <row r="35" spans="1:4" s="51" customFormat="1" ht="15" x14ac:dyDescent="0.25">
      <c r="A35" s="50" t="s">
        <v>53</v>
      </c>
      <c r="B35" s="51" t="s">
        <v>54</v>
      </c>
      <c r="C35" s="59">
        <v>2014.8880099999999</v>
      </c>
      <c r="D35" s="214" t="s">
        <v>655</v>
      </c>
    </row>
    <row r="36" spans="1:4" s="51" customFormat="1" ht="15" x14ac:dyDescent="0.25">
      <c r="A36" s="50" t="s">
        <v>92</v>
      </c>
      <c r="B36" s="51" t="s">
        <v>93</v>
      </c>
      <c r="C36" s="59">
        <v>28.450000000000017</v>
      </c>
      <c r="D36" s="214" t="s">
        <v>656</v>
      </c>
    </row>
    <row r="37" spans="1:4" s="51" customFormat="1" ht="15" x14ac:dyDescent="0.25">
      <c r="A37" s="50" t="s">
        <v>76</v>
      </c>
      <c r="B37" s="51" t="s">
        <v>77</v>
      </c>
      <c r="C37" s="59">
        <v>1516.8810999999998</v>
      </c>
      <c r="D37" s="214" t="s">
        <v>657</v>
      </c>
    </row>
    <row r="38" spans="1:4" s="51" customFormat="1" ht="15" x14ac:dyDescent="0.25">
      <c r="A38" s="50" t="s">
        <v>62</v>
      </c>
      <c r="B38" s="51" t="s">
        <v>63</v>
      </c>
      <c r="C38" s="59">
        <v>2669.71</v>
      </c>
      <c r="D38" s="214" t="s">
        <v>658</v>
      </c>
    </row>
    <row r="39" spans="1:4" s="51" customFormat="1" ht="15" x14ac:dyDescent="0.25">
      <c r="A39" s="50" t="s">
        <v>133</v>
      </c>
      <c r="B39" s="51" t="s">
        <v>134</v>
      </c>
      <c r="C39" s="59">
        <v>2518.0922299999997</v>
      </c>
      <c r="D39" s="214" t="s">
        <v>659</v>
      </c>
    </row>
    <row r="40" spans="1:4" s="51" customFormat="1" ht="15" x14ac:dyDescent="0.25">
      <c r="A40" s="50" t="s">
        <v>107</v>
      </c>
      <c r="B40" s="51" t="s">
        <v>108</v>
      </c>
      <c r="C40" s="59">
        <v>18366.596000000001</v>
      </c>
      <c r="D40" s="214" t="s">
        <v>660</v>
      </c>
    </row>
    <row r="41" spans="1:4" s="51" customFormat="1" ht="15" x14ac:dyDescent="0.25">
      <c r="A41" s="50" t="s">
        <v>72</v>
      </c>
      <c r="B41" s="51" t="s">
        <v>73</v>
      </c>
      <c r="C41" s="59">
        <v>2877.9805799999999</v>
      </c>
      <c r="D41" s="214" t="s">
        <v>661</v>
      </c>
    </row>
    <row r="42" spans="1:4" s="51" customFormat="1" ht="15" x14ac:dyDescent="0.25">
      <c r="A42" s="50" t="s">
        <v>58</v>
      </c>
      <c r="B42" s="51" t="s">
        <v>59</v>
      </c>
      <c r="C42" s="59">
        <v>228.11714285714277</v>
      </c>
      <c r="D42" s="214" t="s">
        <v>662</v>
      </c>
    </row>
    <row r="43" spans="1:4" s="51" customFormat="1" ht="15" x14ac:dyDescent="0.25">
      <c r="A43" s="50" t="s">
        <v>152</v>
      </c>
      <c r="B43" s="51" t="s">
        <v>153</v>
      </c>
      <c r="C43" s="59">
        <v>583.29405999999983</v>
      </c>
      <c r="D43" s="214" t="s">
        <v>663</v>
      </c>
    </row>
    <row r="44" spans="1:4" s="51" customFormat="1" ht="15" x14ac:dyDescent="0.25">
      <c r="A44" s="50" t="s">
        <v>169</v>
      </c>
      <c r="B44" s="51" t="s">
        <v>170</v>
      </c>
      <c r="C44" s="59">
        <v>522.6</v>
      </c>
      <c r="D44" s="214" t="s">
        <v>664</v>
      </c>
    </row>
    <row r="45" spans="1:4" s="51" customFormat="1" ht="15" x14ac:dyDescent="0.25">
      <c r="A45" s="50" t="s">
        <v>135</v>
      </c>
      <c r="B45" s="51" t="s">
        <v>136</v>
      </c>
      <c r="C45" s="59">
        <v>1318.45</v>
      </c>
      <c r="D45" s="214" t="s">
        <v>665</v>
      </c>
    </row>
    <row r="46" spans="1:4" s="51" customFormat="1" ht="15" x14ac:dyDescent="0.25">
      <c r="A46" s="50" t="s">
        <v>150</v>
      </c>
      <c r="B46" s="51" t="s">
        <v>151</v>
      </c>
      <c r="C46" s="59">
        <v>930.64660000000026</v>
      </c>
      <c r="D46" s="214" t="s">
        <v>666</v>
      </c>
    </row>
    <row r="47" spans="1:4" s="51" customFormat="1" ht="15" x14ac:dyDescent="0.25">
      <c r="A47" s="50" t="s">
        <v>137</v>
      </c>
      <c r="B47" s="51" t="s">
        <v>138</v>
      </c>
      <c r="C47" s="59">
        <v>491.53836000000007</v>
      </c>
      <c r="D47" s="214" t="s">
        <v>667</v>
      </c>
    </row>
    <row r="48" spans="1:4" s="51" customFormat="1" ht="15" x14ac:dyDescent="0.25">
      <c r="A48" s="50" t="s">
        <v>290</v>
      </c>
      <c r="B48" s="51" t="s">
        <v>46</v>
      </c>
      <c r="C48" s="59">
        <v>34.27570285714279</v>
      </c>
      <c r="D48" s="214" t="s">
        <v>668</v>
      </c>
    </row>
    <row r="49" spans="1:4" s="51" customFormat="1" ht="15" x14ac:dyDescent="0.25">
      <c r="A49" s="50" t="s">
        <v>36</v>
      </c>
      <c r="B49" s="51" t="s">
        <v>37</v>
      </c>
      <c r="C49" s="59">
        <v>55528.401999999995</v>
      </c>
      <c r="D49" s="214" t="s">
        <v>669</v>
      </c>
    </row>
    <row r="50" spans="1:4" s="51" customFormat="1" ht="15" x14ac:dyDescent="0.25">
      <c r="A50" s="50" t="s">
        <v>50</v>
      </c>
      <c r="B50" s="51" t="s">
        <v>51</v>
      </c>
      <c r="C50" s="59">
        <v>7473.5249999999996</v>
      </c>
      <c r="D50" s="214" t="s">
        <v>670</v>
      </c>
    </row>
    <row r="51" spans="1:4" s="51" customFormat="1" ht="15" x14ac:dyDescent="0.25">
      <c r="A51" s="50" t="s">
        <v>123</v>
      </c>
      <c r="B51" s="51" t="s">
        <v>124</v>
      </c>
      <c r="C51" s="59">
        <v>2.0000000000001137</v>
      </c>
      <c r="D51" s="214" t="s">
        <v>671</v>
      </c>
    </row>
    <row r="52" spans="1:4" s="51" customFormat="1" ht="15" x14ac:dyDescent="0.25">
      <c r="A52" s="50" t="s">
        <v>80</v>
      </c>
      <c r="B52" s="51" t="s">
        <v>81</v>
      </c>
      <c r="C52" s="59">
        <v>9995.3760000000002</v>
      </c>
      <c r="D52" s="214" t="s">
        <v>672</v>
      </c>
    </row>
    <row r="53" spans="1:4" s="51" customFormat="1" ht="15" x14ac:dyDescent="0.25">
      <c r="A53" s="50" t="s">
        <v>101</v>
      </c>
      <c r="B53" s="51" t="s">
        <v>102</v>
      </c>
      <c r="C53" s="59">
        <v>186.21216000000001</v>
      </c>
      <c r="D53" s="214" t="s">
        <v>673</v>
      </c>
    </row>
    <row r="54" spans="1:4" s="51" customFormat="1" ht="15" x14ac:dyDescent="0.25">
      <c r="A54" s="50" t="s">
        <v>121</v>
      </c>
      <c r="B54" s="51" t="s">
        <v>122</v>
      </c>
      <c r="C54" s="59">
        <v>1160.4482799999998</v>
      </c>
      <c r="D54" s="214" t="s">
        <v>674</v>
      </c>
    </row>
    <row r="55" spans="1:4" s="51" customFormat="1" ht="15" x14ac:dyDescent="0.25">
      <c r="A55" s="50" t="s">
        <v>143</v>
      </c>
      <c r="B55" s="51" t="s">
        <v>144</v>
      </c>
      <c r="C55" s="59">
        <v>1373.1799999999998</v>
      </c>
      <c r="D55" s="214" t="s">
        <v>675</v>
      </c>
    </row>
    <row r="56" spans="1:4" s="51" customFormat="1" ht="15" x14ac:dyDescent="0.25">
      <c r="A56" s="50" t="s">
        <v>34</v>
      </c>
      <c r="B56" s="51" t="s">
        <v>35</v>
      </c>
      <c r="C56" s="59">
        <v>4030.9870000000005</v>
      </c>
      <c r="D56" s="214" t="s">
        <v>676</v>
      </c>
    </row>
    <row r="57" spans="1:4" s="51" customFormat="1" ht="15" x14ac:dyDescent="0.25">
      <c r="A57" s="50" t="s">
        <v>90</v>
      </c>
      <c r="B57" s="51" t="s">
        <v>91</v>
      </c>
      <c r="C57" s="59">
        <v>7531.1180000000004</v>
      </c>
      <c r="D57" s="214" t="s">
        <v>677</v>
      </c>
    </row>
    <row r="58" spans="1:4" s="51" customFormat="1" ht="15" x14ac:dyDescent="0.25">
      <c r="A58" s="50" t="s">
        <v>159</v>
      </c>
      <c r="B58" s="51" t="s">
        <v>160</v>
      </c>
      <c r="C58" s="59">
        <v>2101.5500000000002</v>
      </c>
      <c r="D58" s="214" t="s">
        <v>678</v>
      </c>
    </row>
    <row r="59" spans="1:4" s="51" customFormat="1" ht="15" x14ac:dyDescent="0.25">
      <c r="A59" s="50" t="s">
        <v>68</v>
      </c>
      <c r="B59" s="51" t="s">
        <v>69</v>
      </c>
      <c r="C59" s="59">
        <v>713.88714285714275</v>
      </c>
      <c r="D59" s="214" t="s">
        <v>679</v>
      </c>
    </row>
    <row r="60" spans="1:4" s="51" customFormat="1" ht="15" x14ac:dyDescent="0.25">
      <c r="A60" s="50" t="s">
        <v>48</v>
      </c>
      <c r="B60" s="51" t="s">
        <v>49</v>
      </c>
      <c r="C60" s="59">
        <v>713.68714285714282</v>
      </c>
      <c r="D60" s="214" t="s">
        <v>680</v>
      </c>
    </row>
    <row r="61" spans="1:4" s="51" customFormat="1" ht="15" x14ac:dyDescent="0.25">
      <c r="A61" s="50" t="s">
        <v>125</v>
      </c>
      <c r="B61" s="51" t="s">
        <v>126</v>
      </c>
      <c r="C61" s="59">
        <v>3693.57</v>
      </c>
      <c r="D61" s="214" t="s">
        <v>681</v>
      </c>
    </row>
    <row r="62" spans="1:4" s="51" customFormat="1" ht="15" x14ac:dyDescent="0.25">
      <c r="A62" s="50" t="s">
        <v>96</v>
      </c>
      <c r="B62" s="51" t="s">
        <v>97</v>
      </c>
      <c r="C62" s="59">
        <v>1055.9299999999998</v>
      </c>
      <c r="D62" s="214" t="s">
        <v>682</v>
      </c>
    </row>
    <row r="63" spans="1:4" s="51" customFormat="1" ht="15" x14ac:dyDescent="0.25">
      <c r="A63" s="50" t="s">
        <v>64</v>
      </c>
      <c r="B63" s="51" t="s">
        <v>65</v>
      </c>
      <c r="C63" s="59">
        <v>515.53</v>
      </c>
      <c r="D63" s="214" t="s">
        <v>683</v>
      </c>
    </row>
    <row r="64" spans="1:4" s="51" customFormat="1" ht="15" x14ac:dyDescent="0.25">
      <c r="A64" s="50" t="s">
        <v>78</v>
      </c>
      <c r="B64" s="51" t="s">
        <v>79</v>
      </c>
      <c r="C64" s="59">
        <v>1806.8899999999999</v>
      </c>
      <c r="D64" s="214" t="s">
        <v>684</v>
      </c>
    </row>
    <row r="65" spans="1:4" s="51" customFormat="1" ht="15" x14ac:dyDescent="0.25">
      <c r="A65" s="50" t="s">
        <v>44</v>
      </c>
      <c r="B65" s="51" t="s">
        <v>45</v>
      </c>
      <c r="C65" s="59">
        <v>1729.6</v>
      </c>
      <c r="D65" s="214" t="s">
        <v>685</v>
      </c>
    </row>
    <row r="66" spans="1:4" s="51" customFormat="1" ht="15" x14ac:dyDescent="0.25">
      <c r="A66" s="50" t="s">
        <v>157</v>
      </c>
      <c r="B66" s="51" t="s">
        <v>158</v>
      </c>
      <c r="C66" s="59">
        <v>936.13</v>
      </c>
      <c r="D66" s="214" t="s">
        <v>686</v>
      </c>
    </row>
    <row r="67" spans="1:4" s="51" customFormat="1" ht="15" x14ac:dyDescent="0.25">
      <c r="A67" s="50" t="s">
        <v>111</v>
      </c>
      <c r="B67" s="51" t="s">
        <v>112</v>
      </c>
      <c r="C67" s="59">
        <v>589.2600000000001</v>
      </c>
      <c r="D67" s="214" t="s">
        <v>687</v>
      </c>
    </row>
    <row r="68" spans="1:4" s="51" customFormat="1" ht="15" x14ac:dyDescent="0.25">
      <c r="A68" s="50" t="s">
        <v>105</v>
      </c>
      <c r="B68" s="51" t="s">
        <v>106</v>
      </c>
      <c r="C68" s="59">
        <v>3027.89</v>
      </c>
      <c r="D68" s="214" t="s">
        <v>688</v>
      </c>
    </row>
    <row r="69" spans="1:4" s="51" customFormat="1" ht="15" x14ac:dyDescent="0.25">
      <c r="A69" s="50" t="s">
        <v>66</v>
      </c>
      <c r="B69" s="51" t="s">
        <v>67</v>
      </c>
      <c r="C69" s="59">
        <v>1575.7700000000002</v>
      </c>
      <c r="D69" s="214" t="s">
        <v>689</v>
      </c>
    </row>
    <row r="70" spans="1:4" s="51" customFormat="1" ht="15" x14ac:dyDescent="0.25">
      <c r="A70" s="50" t="s">
        <v>155</v>
      </c>
      <c r="B70" s="51" t="s">
        <v>156</v>
      </c>
      <c r="C70" s="59">
        <v>395.77</v>
      </c>
      <c r="D70" s="214" t="s">
        <v>690</v>
      </c>
    </row>
    <row r="71" spans="1:4" s="51" customFormat="1" ht="15" x14ac:dyDescent="0.25">
      <c r="A71" s="50" t="s">
        <v>60</v>
      </c>
      <c r="B71" s="51" t="s">
        <v>61</v>
      </c>
      <c r="C71" s="59">
        <v>3538.1700000000005</v>
      </c>
      <c r="D71" s="214" t="s">
        <v>691</v>
      </c>
    </row>
    <row r="72" spans="1:4" s="51" customFormat="1" ht="15" x14ac:dyDescent="0.25">
      <c r="A72" s="50" t="s">
        <v>161</v>
      </c>
      <c r="B72" s="51" t="s">
        <v>162</v>
      </c>
      <c r="C72" s="59">
        <v>2869.32</v>
      </c>
      <c r="D72" s="214" t="s">
        <v>692</v>
      </c>
    </row>
    <row r="73" spans="1:4" s="51" customFormat="1" ht="15" x14ac:dyDescent="0.25">
      <c r="A73" s="50" t="s">
        <v>148</v>
      </c>
      <c r="B73" s="51" t="s">
        <v>149</v>
      </c>
      <c r="C73" s="59">
        <v>3937.2740000000003</v>
      </c>
      <c r="D73" s="214" t="s">
        <v>693</v>
      </c>
    </row>
    <row r="74" spans="1:4" s="51" customFormat="1" ht="15" x14ac:dyDescent="0.25">
      <c r="A74" s="50" t="s">
        <v>99</v>
      </c>
      <c r="B74" s="51" t="s">
        <v>100</v>
      </c>
      <c r="C74" s="59">
        <v>13234.36</v>
      </c>
      <c r="D74" s="214" t="s">
        <v>694</v>
      </c>
    </row>
    <row r="75" spans="1:4" s="51" customFormat="1" ht="15" x14ac:dyDescent="0.25">
      <c r="A75" s="50" t="s">
        <v>86</v>
      </c>
      <c r="B75" s="51" t="s">
        <v>87</v>
      </c>
      <c r="C75" s="59">
        <v>2055.59</v>
      </c>
      <c r="D75" s="214" t="s">
        <v>695</v>
      </c>
    </row>
    <row r="76" spans="1:4" s="51" customFormat="1" ht="15" x14ac:dyDescent="0.25">
      <c r="A76" s="50" t="s">
        <v>139</v>
      </c>
      <c r="B76" s="51" t="s">
        <v>140</v>
      </c>
      <c r="C76" s="59">
        <v>1522.6</v>
      </c>
      <c r="D76" s="214" t="s">
        <v>696</v>
      </c>
    </row>
    <row r="77" spans="1:4" s="51" customFormat="1" ht="15" x14ac:dyDescent="0.25">
      <c r="A77" s="50" t="s">
        <v>131</v>
      </c>
      <c r="B77" s="51" t="s">
        <v>132</v>
      </c>
      <c r="C77" s="59">
        <v>1195.8486299999997</v>
      </c>
      <c r="D77" s="214" t="s">
        <v>697</v>
      </c>
    </row>
    <row r="78" spans="1:4" s="51" customFormat="1" ht="15" x14ac:dyDescent="0.25">
      <c r="A78" s="50" t="s">
        <v>163</v>
      </c>
      <c r="B78" s="51" t="s">
        <v>164</v>
      </c>
      <c r="C78" s="59">
        <v>179.7800000000002</v>
      </c>
      <c r="D78" s="214" t="s">
        <v>698</v>
      </c>
    </row>
    <row r="79" spans="1:4" s="51" customFormat="1" ht="15" x14ac:dyDescent="0.25">
      <c r="A79" s="50" t="s">
        <v>173</v>
      </c>
      <c r="B79" s="51" t="s">
        <v>174</v>
      </c>
      <c r="C79" s="59">
        <v>2512.83</v>
      </c>
      <c r="D79" s="214" t="s">
        <v>699</v>
      </c>
    </row>
    <row r="80" spans="1:4" s="51" customFormat="1" ht="15" x14ac:dyDescent="0.25">
      <c r="A80" s="50" t="s">
        <v>113</v>
      </c>
      <c r="B80" s="51" t="s">
        <v>114</v>
      </c>
      <c r="C80" s="59">
        <v>428.71000000000009</v>
      </c>
      <c r="D80" s="214" t="s">
        <v>700</v>
      </c>
    </row>
    <row r="81" spans="1:4" s="51" customFormat="1" ht="15" x14ac:dyDescent="0.25">
      <c r="A81" s="50" t="s">
        <v>38</v>
      </c>
      <c r="B81" s="51" t="s">
        <v>39</v>
      </c>
      <c r="C81" s="59">
        <v>4133.3521700000001</v>
      </c>
      <c r="D81" s="214" t="s">
        <v>701</v>
      </c>
    </row>
    <row r="82" spans="1:4" s="51" customFormat="1" ht="15" x14ac:dyDescent="0.25">
      <c r="A82" s="50" t="s">
        <v>88</v>
      </c>
      <c r="B82" s="51" t="s">
        <v>89</v>
      </c>
      <c r="C82" s="59">
        <v>5012.9540000000006</v>
      </c>
      <c r="D82" s="214" t="s">
        <v>702</v>
      </c>
    </row>
    <row r="83" spans="1:4" s="51" customFormat="1" ht="15" x14ac:dyDescent="0.25">
      <c r="A83" s="50" t="s">
        <v>291</v>
      </c>
      <c r="B83" s="51" t="s">
        <v>52</v>
      </c>
      <c r="C83" s="59">
        <v>588.86</v>
      </c>
      <c r="D83" s="214" t="s">
        <v>703</v>
      </c>
    </row>
    <row r="84" spans="1:4" s="51" customFormat="1" ht="15" x14ac:dyDescent="0.25">
      <c r="A84" s="50" t="s">
        <v>171</v>
      </c>
      <c r="B84" s="51" t="s">
        <v>172</v>
      </c>
      <c r="C84" s="59">
        <v>589.2600000000001</v>
      </c>
      <c r="D84" s="214" t="s">
        <v>704</v>
      </c>
    </row>
    <row r="85" spans="1:4" s="51" customFormat="1" ht="15" x14ac:dyDescent="0.25">
      <c r="A85" s="50" t="s">
        <v>129</v>
      </c>
      <c r="B85" s="51" t="s">
        <v>130</v>
      </c>
      <c r="C85" s="59">
        <v>3198.15</v>
      </c>
      <c r="D85" s="214" t="s">
        <v>705</v>
      </c>
    </row>
    <row r="86" spans="1:4" s="51" customFormat="1" ht="15" x14ac:dyDescent="0.25">
      <c r="A86" s="50" t="s">
        <v>40</v>
      </c>
      <c r="B86" s="51" t="s">
        <v>41</v>
      </c>
      <c r="C86" s="59">
        <v>2022.9</v>
      </c>
      <c r="D86" s="214" t="s">
        <v>706</v>
      </c>
    </row>
    <row r="87" spans="1:4" s="51" customFormat="1" ht="15" x14ac:dyDescent="0.25">
      <c r="A87" s="50" t="s">
        <v>197</v>
      </c>
      <c r="B87" s="51" t="s">
        <v>198</v>
      </c>
      <c r="C87" s="59">
        <v>529.95000000000005</v>
      </c>
      <c r="D87" s="214" t="s">
        <v>707</v>
      </c>
    </row>
    <row r="88" spans="1:4" s="51" customFormat="1" ht="15" x14ac:dyDescent="0.25">
      <c r="A88" s="50" t="s">
        <v>317</v>
      </c>
      <c r="B88" s="51" t="s">
        <v>154</v>
      </c>
      <c r="C88" s="59">
        <v>2010.2600000000002</v>
      </c>
      <c r="D88" s="214" t="s">
        <v>708</v>
      </c>
    </row>
    <row r="89" spans="1:4" s="51" customFormat="1" ht="15.75" thickBot="1" x14ac:dyDescent="0.3">
      <c r="A89" s="50"/>
      <c r="C89" s="222">
        <f>SUM(C10:C88)</f>
        <v>250136.53586857143</v>
      </c>
      <c r="D89" s="214"/>
    </row>
    <row r="90" spans="1:4" s="51" customFormat="1" ht="15" x14ac:dyDescent="0.25">
      <c r="A90" s="50"/>
      <c r="C90" s="59"/>
      <c r="D90" s="214"/>
    </row>
    <row r="91" spans="1:4" s="51" customFormat="1" ht="15" x14ac:dyDescent="0.25">
      <c r="A91" s="50" t="s">
        <v>14</v>
      </c>
      <c r="B91" s="51" t="s">
        <v>47</v>
      </c>
      <c r="C91" s="59">
        <v>117.15000000000003</v>
      </c>
      <c r="D91" s="214" t="s">
        <v>641</v>
      </c>
    </row>
    <row r="92" spans="1:4" s="51" customFormat="1" ht="15" x14ac:dyDescent="0.25">
      <c r="A92" s="50" t="s">
        <v>94</v>
      </c>
      <c r="B92" s="51" t="s">
        <v>95</v>
      </c>
      <c r="C92" s="59">
        <v>4360.3530000000001</v>
      </c>
      <c r="D92" s="214" t="s">
        <v>641</v>
      </c>
    </row>
    <row r="93" spans="1:4" s="51" customFormat="1" ht="15.75" thickBot="1" x14ac:dyDescent="0.3">
      <c r="A93" s="50"/>
      <c r="C93" s="222">
        <f>SUM(C91:C92)</f>
        <v>4477.5029999999997</v>
      </c>
      <c r="D93" s="214"/>
    </row>
    <row r="94" spans="1:4" s="51" customFormat="1" ht="15" x14ac:dyDescent="0.25">
      <c r="A94" s="50"/>
      <c r="C94" s="59"/>
      <c r="D94" s="214"/>
    </row>
    <row r="95" spans="1:4" s="51" customFormat="1" ht="15" x14ac:dyDescent="0.25">
      <c r="A95" s="50" t="s">
        <v>289</v>
      </c>
      <c r="B95" s="51" t="s">
        <v>178</v>
      </c>
      <c r="C95" s="59">
        <v>161.83000000000004</v>
      </c>
      <c r="D95" s="214" t="s">
        <v>709</v>
      </c>
    </row>
    <row r="96" spans="1:4" s="51" customFormat="1" ht="15" x14ac:dyDescent="0.25">
      <c r="A96" s="50" t="s">
        <v>196</v>
      </c>
      <c r="B96" s="51" t="s">
        <v>296</v>
      </c>
      <c r="C96" s="59">
        <v>1114.2575000000002</v>
      </c>
      <c r="D96" s="214" t="s">
        <v>709</v>
      </c>
    </row>
    <row r="97" spans="1:4" s="51" customFormat="1" x14ac:dyDescent="0.2">
      <c r="A97" s="50" t="s">
        <v>188</v>
      </c>
      <c r="B97" s="51" t="s">
        <v>314</v>
      </c>
      <c r="C97" s="59">
        <v>522.6</v>
      </c>
      <c r="D97" s="51" t="s">
        <v>709</v>
      </c>
    </row>
    <row r="98" spans="1:4" s="51" customFormat="1" ht="12.75" thickBot="1" x14ac:dyDescent="0.25">
      <c r="A98" s="50"/>
      <c r="C98" s="222">
        <f>SUM(C95:C97)</f>
        <v>1798.6875</v>
      </c>
    </row>
    <row r="99" spans="1:4" x14ac:dyDescent="0.2">
      <c r="C99" s="177"/>
    </row>
    <row r="100" spans="1:4" x14ac:dyDescent="0.2">
      <c r="B100" s="213" t="s">
        <v>710</v>
      </c>
      <c r="C100" s="177">
        <f>+C89</f>
        <v>250136.53586857143</v>
      </c>
    </row>
    <row r="101" spans="1:4" x14ac:dyDescent="0.2">
      <c r="B101" s="213" t="s">
        <v>711</v>
      </c>
      <c r="C101" s="177">
        <f>+C93</f>
        <v>4477.5029999999997</v>
      </c>
    </row>
    <row r="102" spans="1:4" x14ac:dyDescent="0.2">
      <c r="B102" s="213" t="s">
        <v>709</v>
      </c>
      <c r="C102" s="177">
        <f>+C98</f>
        <v>1798.6875</v>
      </c>
    </row>
    <row r="103" spans="1:4" ht="12.75" thickBot="1" x14ac:dyDescent="0.25">
      <c r="C103" s="212">
        <f>SUM(C100:C102)</f>
        <v>256412.72636857143</v>
      </c>
    </row>
  </sheetData>
  <sortState ref="A10:E93">
    <sortCondition ref="D10:D93"/>
  </sortState>
  <pageMargins left="0.70866141732283472" right="0.70866141732283472" top="0.43307086614173229" bottom="0.39370078740157483" header="0.31496062992125984" footer="0.31496062992125984"/>
  <pageSetup scale="4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0"/>
  <sheetViews>
    <sheetView topLeftCell="A61" workbookViewId="0">
      <selection activeCell="B80" sqref="B80"/>
    </sheetView>
  </sheetViews>
  <sheetFormatPr baseColWidth="10" defaultRowHeight="15" x14ac:dyDescent="0.25"/>
  <cols>
    <col min="2" max="2" width="25" bestFit="1" customWidth="1"/>
    <col min="10" max="17" width="0" style="16" hidden="1" customWidth="1"/>
  </cols>
  <sheetData>
    <row r="1" spans="1:17" x14ac:dyDescent="0.25">
      <c r="A1" t="s">
        <v>200</v>
      </c>
    </row>
    <row r="7" spans="1:17" x14ac:dyDescent="0.25">
      <c r="C7" t="s">
        <v>201</v>
      </c>
    </row>
    <row r="8" spans="1:17" x14ac:dyDescent="0.25">
      <c r="A8" t="s">
        <v>202</v>
      </c>
      <c r="B8" t="s">
        <v>203</v>
      </c>
      <c r="C8" t="s">
        <v>204</v>
      </c>
      <c r="J8" s="30"/>
      <c r="K8" s="30"/>
      <c r="L8" s="30"/>
      <c r="M8" s="30"/>
      <c r="N8" s="30"/>
      <c r="O8" s="30"/>
      <c r="P8" s="30"/>
      <c r="Q8" s="30"/>
    </row>
    <row r="9" spans="1:17" x14ac:dyDescent="0.25">
      <c r="A9" t="s">
        <v>34</v>
      </c>
      <c r="B9" t="s">
        <v>205</v>
      </c>
      <c r="C9">
        <v>0</v>
      </c>
    </row>
    <row r="10" spans="1:17" x14ac:dyDescent="0.25">
      <c r="A10" t="s">
        <v>36</v>
      </c>
      <c r="B10" t="s">
        <v>270</v>
      </c>
      <c r="C10">
        <v>0</v>
      </c>
      <c r="J10" s="35"/>
      <c r="K10" s="35"/>
      <c r="L10" s="35"/>
      <c r="M10" s="35"/>
      <c r="N10" s="35"/>
      <c r="O10" s="35"/>
      <c r="P10" s="35"/>
      <c r="Q10" s="35"/>
    </row>
    <row r="11" spans="1:17" x14ac:dyDescent="0.25">
      <c r="A11" t="s">
        <v>38</v>
      </c>
      <c r="B11" t="s">
        <v>245</v>
      </c>
      <c r="C11">
        <v>0</v>
      </c>
      <c r="J11" s="35"/>
      <c r="K11" s="35"/>
      <c r="L11" s="35"/>
      <c r="M11" s="35"/>
      <c r="N11" s="35"/>
      <c r="O11" s="35"/>
      <c r="P11" s="35"/>
      <c r="Q11" s="35"/>
    </row>
    <row r="12" spans="1:17" x14ac:dyDescent="0.25">
      <c r="A12" t="s">
        <v>40</v>
      </c>
      <c r="B12" t="s">
        <v>206</v>
      </c>
      <c r="C12">
        <v>0</v>
      </c>
      <c r="J12" s="35"/>
      <c r="K12" s="35"/>
      <c r="L12" s="35"/>
      <c r="M12" s="35"/>
      <c r="N12" s="35"/>
      <c r="O12" s="35"/>
      <c r="P12" s="35"/>
      <c r="Q12" s="35"/>
    </row>
    <row r="13" spans="1:17" x14ac:dyDescent="0.25">
      <c r="A13">
        <v>16</v>
      </c>
      <c r="B13" t="s">
        <v>265</v>
      </c>
      <c r="C13">
        <v>0</v>
      </c>
      <c r="J13" s="35"/>
      <c r="K13" s="35"/>
      <c r="L13" s="35"/>
      <c r="M13" s="35"/>
      <c r="N13" s="35"/>
      <c r="O13" s="35"/>
      <c r="P13" s="35"/>
      <c r="Q13" s="35"/>
    </row>
    <row r="14" spans="1:17" x14ac:dyDescent="0.25">
      <c r="A14" t="s">
        <v>191</v>
      </c>
      <c r="B14" t="s">
        <v>246</v>
      </c>
      <c r="C14">
        <v>0</v>
      </c>
      <c r="J14" s="35"/>
      <c r="K14" s="35"/>
      <c r="L14" s="35"/>
      <c r="M14" s="35"/>
      <c r="N14" s="35"/>
      <c r="O14" s="35"/>
      <c r="P14" s="35"/>
      <c r="Q14" s="35"/>
    </row>
    <row r="15" spans="1:17" x14ac:dyDescent="0.25">
      <c r="A15" t="s">
        <v>236</v>
      </c>
      <c r="B15" t="s">
        <v>237</v>
      </c>
      <c r="C15">
        <v>0</v>
      </c>
      <c r="J15" s="35"/>
      <c r="K15" s="35"/>
      <c r="L15" s="35"/>
      <c r="M15" s="35"/>
      <c r="N15" s="35"/>
      <c r="O15" s="35"/>
      <c r="P15" s="35"/>
      <c r="Q15" s="35"/>
    </row>
    <row r="16" spans="1:17" x14ac:dyDescent="0.25">
      <c r="A16" t="s">
        <v>14</v>
      </c>
      <c r="B16" t="s">
        <v>269</v>
      </c>
      <c r="C16">
        <v>879.45</v>
      </c>
      <c r="J16" s="35"/>
      <c r="K16" s="35"/>
      <c r="L16" s="35"/>
      <c r="M16" s="35"/>
      <c r="N16" s="35"/>
      <c r="O16" s="35"/>
      <c r="P16" s="35"/>
      <c r="Q16" s="35"/>
    </row>
    <row r="17" spans="1:17" x14ac:dyDescent="0.25">
      <c r="A17" t="s">
        <v>48</v>
      </c>
      <c r="B17" t="s">
        <v>227</v>
      </c>
      <c r="C17">
        <v>0</v>
      </c>
      <c r="J17" s="35"/>
      <c r="K17" s="35"/>
      <c r="L17" s="35"/>
      <c r="M17" s="35"/>
      <c r="N17" s="35"/>
      <c r="O17" s="35"/>
      <c r="P17" s="35"/>
      <c r="Q17" s="35"/>
    </row>
    <row r="18" spans="1:17" x14ac:dyDescent="0.25">
      <c r="A18" t="s">
        <v>50</v>
      </c>
      <c r="B18" t="s">
        <v>271</v>
      </c>
      <c r="C18">
        <v>3257.47</v>
      </c>
      <c r="J18" s="35"/>
      <c r="K18" s="35"/>
      <c r="L18" s="35"/>
      <c r="M18" s="35"/>
      <c r="N18" s="35"/>
      <c r="O18" s="35"/>
      <c r="P18" s="35"/>
      <c r="Q18" s="35"/>
    </row>
    <row r="19" spans="1:17" x14ac:dyDescent="0.25">
      <c r="A19" t="s">
        <v>180</v>
      </c>
      <c r="B19" t="s">
        <v>207</v>
      </c>
      <c r="C19">
        <v>0</v>
      </c>
      <c r="J19" s="35"/>
      <c r="K19" s="35"/>
      <c r="L19" s="35"/>
      <c r="M19" s="35"/>
      <c r="N19" s="35"/>
      <c r="O19" s="35"/>
      <c r="P19" s="35"/>
      <c r="Q19" s="35"/>
    </row>
    <row r="20" spans="1:17" x14ac:dyDescent="0.25">
      <c r="A20" t="s">
        <v>53</v>
      </c>
      <c r="B20" t="s">
        <v>247</v>
      </c>
      <c r="C20">
        <v>0</v>
      </c>
      <c r="J20" s="35"/>
      <c r="K20" s="35"/>
      <c r="L20" s="35"/>
      <c r="M20" s="35"/>
      <c r="N20" s="35"/>
      <c r="O20" s="35"/>
      <c r="P20" s="35"/>
      <c r="Q20" s="35"/>
    </row>
    <row r="21" spans="1:17" x14ac:dyDescent="0.25">
      <c r="A21">
        <v>18</v>
      </c>
      <c r="B21" t="s">
        <v>266</v>
      </c>
      <c r="C21">
        <v>0</v>
      </c>
      <c r="J21" s="35"/>
      <c r="K21" s="35"/>
      <c r="L21" s="35"/>
      <c r="M21" s="35"/>
      <c r="N21" s="35"/>
      <c r="O21" s="35"/>
      <c r="P21" s="35"/>
      <c r="Q21" s="35"/>
    </row>
    <row r="22" spans="1:17" x14ac:dyDescent="0.25">
      <c r="A22" t="s">
        <v>56</v>
      </c>
      <c r="B22" t="s">
        <v>248</v>
      </c>
      <c r="C22">
        <v>0</v>
      </c>
      <c r="J22" s="35"/>
      <c r="K22" s="35"/>
      <c r="L22" s="35"/>
      <c r="M22" s="35"/>
      <c r="N22" s="35"/>
      <c r="O22" s="35"/>
      <c r="P22" s="35"/>
      <c r="Q22" s="35"/>
    </row>
    <row r="23" spans="1:17" x14ac:dyDescent="0.25">
      <c r="A23" t="s">
        <v>58</v>
      </c>
      <c r="B23" t="s">
        <v>229</v>
      </c>
      <c r="C23">
        <v>357.73</v>
      </c>
      <c r="J23" s="35"/>
      <c r="K23" s="35"/>
      <c r="L23" s="35"/>
      <c r="M23" s="35"/>
      <c r="N23" s="35"/>
      <c r="O23" s="35"/>
      <c r="P23" s="35"/>
      <c r="Q23" s="35"/>
    </row>
    <row r="24" spans="1:17" x14ac:dyDescent="0.25">
      <c r="A24" t="s">
        <v>60</v>
      </c>
      <c r="B24" t="s">
        <v>239</v>
      </c>
      <c r="C24">
        <v>797.62</v>
      </c>
      <c r="J24" s="35"/>
      <c r="K24" s="35"/>
      <c r="L24" s="35"/>
      <c r="M24" s="35"/>
      <c r="N24" s="35"/>
      <c r="O24" s="35"/>
      <c r="P24" s="35"/>
      <c r="Q24" s="35"/>
    </row>
    <row r="25" spans="1:17" x14ac:dyDescent="0.25">
      <c r="A25" t="s">
        <v>62</v>
      </c>
      <c r="B25" t="s">
        <v>213</v>
      </c>
      <c r="C25">
        <v>0</v>
      </c>
      <c r="J25" s="35"/>
      <c r="K25" s="35"/>
      <c r="L25" s="35"/>
      <c r="M25" s="35"/>
      <c r="N25" s="35"/>
      <c r="O25" s="35"/>
      <c r="P25" s="35"/>
      <c r="Q25" s="35"/>
    </row>
    <row r="26" spans="1:17" x14ac:dyDescent="0.25">
      <c r="A26" t="s">
        <v>64</v>
      </c>
      <c r="B26" t="s">
        <v>238</v>
      </c>
      <c r="C26">
        <v>0</v>
      </c>
      <c r="J26" s="35"/>
      <c r="K26" s="35"/>
      <c r="L26" s="35"/>
      <c r="M26" s="35"/>
      <c r="N26" s="35"/>
      <c r="O26" s="35"/>
      <c r="P26" s="35"/>
      <c r="Q26" s="35"/>
    </row>
    <row r="27" spans="1:17" x14ac:dyDescent="0.25">
      <c r="A27" t="s">
        <v>66</v>
      </c>
      <c r="B27" t="s">
        <v>230</v>
      </c>
      <c r="C27">
        <v>0</v>
      </c>
      <c r="J27" s="35"/>
      <c r="K27" s="35"/>
      <c r="L27" s="35"/>
      <c r="M27" s="35"/>
      <c r="N27" s="35"/>
      <c r="O27" s="35"/>
      <c r="P27" s="35"/>
      <c r="Q27" s="35"/>
    </row>
    <row r="28" spans="1:17" x14ac:dyDescent="0.25">
      <c r="A28" t="s">
        <v>68</v>
      </c>
      <c r="B28" t="s">
        <v>228</v>
      </c>
      <c r="C28">
        <v>0</v>
      </c>
      <c r="J28" s="35"/>
      <c r="K28" s="35"/>
      <c r="L28" s="35"/>
      <c r="M28" s="35"/>
      <c r="N28" s="35"/>
      <c r="O28" s="35"/>
      <c r="P28" s="35"/>
      <c r="Q28" s="35"/>
    </row>
    <row r="29" spans="1:17" x14ac:dyDescent="0.25">
      <c r="A29" t="s">
        <v>70</v>
      </c>
      <c r="B29" t="s">
        <v>231</v>
      </c>
      <c r="C29">
        <v>0</v>
      </c>
      <c r="J29" s="35"/>
      <c r="K29" s="35"/>
      <c r="L29" s="35"/>
      <c r="M29" s="35"/>
      <c r="N29" s="35"/>
      <c r="O29" s="35"/>
      <c r="P29" s="35"/>
      <c r="Q29" s="35"/>
    </row>
    <row r="30" spans="1:17" x14ac:dyDescent="0.25">
      <c r="A30" t="s">
        <v>72</v>
      </c>
      <c r="B30" t="s">
        <v>249</v>
      </c>
      <c r="C30">
        <v>0</v>
      </c>
      <c r="J30" s="35"/>
      <c r="K30" s="35"/>
      <c r="L30" s="35"/>
      <c r="M30" s="35"/>
      <c r="N30" s="35"/>
      <c r="O30" s="35"/>
      <c r="P30" s="35"/>
      <c r="Q30" s="35"/>
    </row>
    <row r="31" spans="1:17" x14ac:dyDescent="0.25">
      <c r="A31" t="s">
        <v>74</v>
      </c>
      <c r="B31" t="s">
        <v>272</v>
      </c>
      <c r="C31">
        <v>530.28</v>
      </c>
      <c r="J31" s="35"/>
      <c r="K31" s="35"/>
      <c r="L31" s="35"/>
      <c r="M31" s="35"/>
      <c r="N31" s="35"/>
      <c r="O31" s="35"/>
      <c r="P31" s="35"/>
      <c r="Q31" s="35"/>
    </row>
    <row r="32" spans="1:17" x14ac:dyDescent="0.25">
      <c r="A32" t="s">
        <v>76</v>
      </c>
      <c r="B32" t="s">
        <v>250</v>
      </c>
      <c r="C32">
        <v>0</v>
      </c>
      <c r="J32" s="35"/>
      <c r="K32" s="35"/>
      <c r="L32" s="35"/>
      <c r="M32" s="35"/>
      <c r="N32" s="35"/>
      <c r="O32" s="35"/>
      <c r="P32" s="35"/>
      <c r="Q32" s="35"/>
    </row>
    <row r="33" spans="1:17" x14ac:dyDescent="0.25">
      <c r="A33" t="s">
        <v>78</v>
      </c>
      <c r="B33" t="s">
        <v>208</v>
      </c>
      <c r="C33">
        <v>0</v>
      </c>
      <c r="J33" s="35"/>
      <c r="K33" s="35"/>
      <c r="L33" s="35"/>
      <c r="M33" s="35"/>
      <c r="N33" s="35"/>
      <c r="O33" s="35"/>
      <c r="P33" s="35"/>
      <c r="Q33" s="35"/>
    </row>
    <row r="34" spans="1:17" x14ac:dyDescent="0.25">
      <c r="A34" t="s">
        <v>273</v>
      </c>
      <c r="B34" t="s">
        <v>274</v>
      </c>
      <c r="C34">
        <v>349.07</v>
      </c>
      <c r="J34" s="35"/>
      <c r="K34" s="35"/>
      <c r="L34" s="35"/>
      <c r="M34" s="35"/>
      <c r="N34" s="35"/>
      <c r="O34" s="35"/>
      <c r="P34" s="35"/>
      <c r="Q34" s="35"/>
    </row>
    <row r="35" spans="1:17" x14ac:dyDescent="0.25">
      <c r="A35" t="s">
        <v>82</v>
      </c>
      <c r="B35" t="s">
        <v>276</v>
      </c>
      <c r="C35">
        <v>0</v>
      </c>
      <c r="J35" s="35"/>
      <c r="K35" s="35"/>
      <c r="L35" s="35"/>
      <c r="M35" s="35"/>
      <c r="N35" s="35"/>
      <c r="O35" s="35"/>
      <c r="P35" s="35"/>
      <c r="Q35" s="35"/>
    </row>
    <row r="36" spans="1:17" x14ac:dyDescent="0.25">
      <c r="A36" t="s">
        <v>197</v>
      </c>
      <c r="B36" t="s">
        <v>275</v>
      </c>
      <c r="C36">
        <v>0</v>
      </c>
      <c r="J36" s="35"/>
      <c r="K36" s="35"/>
      <c r="L36" s="35"/>
      <c r="M36" s="35"/>
      <c r="N36" s="35"/>
      <c r="O36" s="35"/>
      <c r="P36" s="35"/>
      <c r="Q36" s="35"/>
    </row>
    <row r="37" spans="1:17" x14ac:dyDescent="0.25">
      <c r="A37" t="s">
        <v>84</v>
      </c>
      <c r="B37" t="s">
        <v>240</v>
      </c>
      <c r="C37">
        <v>0</v>
      </c>
      <c r="J37" s="35"/>
      <c r="K37" s="35"/>
      <c r="L37" s="35"/>
      <c r="M37" s="35"/>
      <c r="N37" s="35"/>
      <c r="O37" s="35"/>
      <c r="P37" s="35"/>
      <c r="Q37" s="35"/>
    </row>
    <row r="38" spans="1:17" x14ac:dyDescent="0.25">
      <c r="A38" t="s">
        <v>86</v>
      </c>
      <c r="B38" t="s">
        <v>214</v>
      </c>
      <c r="C38">
        <v>0</v>
      </c>
      <c r="J38" s="35"/>
      <c r="K38" s="35"/>
      <c r="L38" s="35"/>
      <c r="M38" s="35"/>
      <c r="N38" s="35"/>
      <c r="O38" s="35"/>
      <c r="P38" s="35"/>
      <c r="Q38" s="35"/>
    </row>
    <row r="39" spans="1:17" x14ac:dyDescent="0.25">
      <c r="A39" t="s">
        <v>88</v>
      </c>
      <c r="B39" t="s">
        <v>277</v>
      </c>
      <c r="C39">
        <v>0</v>
      </c>
      <c r="J39" s="35"/>
      <c r="K39" s="35"/>
      <c r="L39" s="35"/>
      <c r="M39" s="35"/>
      <c r="N39" s="35"/>
      <c r="O39" s="35"/>
      <c r="P39" s="35"/>
      <c r="Q39" s="35"/>
    </row>
    <row r="40" spans="1:17" x14ac:dyDescent="0.25">
      <c r="A40" t="s">
        <v>90</v>
      </c>
      <c r="B40" t="s">
        <v>278</v>
      </c>
      <c r="C40">
        <v>771.61</v>
      </c>
      <c r="J40" s="36" t="s">
        <v>292</v>
      </c>
      <c r="K40" s="37" t="s">
        <v>293</v>
      </c>
      <c r="L40" s="35"/>
      <c r="M40" s="35"/>
      <c r="N40" s="35"/>
      <c r="O40" s="35"/>
      <c r="P40" s="35"/>
      <c r="Q40" s="35"/>
    </row>
    <row r="41" spans="1:17" x14ac:dyDescent="0.25">
      <c r="A41" t="s">
        <v>92</v>
      </c>
      <c r="B41" t="s">
        <v>241</v>
      </c>
      <c r="C41">
        <v>0</v>
      </c>
      <c r="J41" s="36" t="s">
        <v>294</v>
      </c>
      <c r="K41" s="37" t="s">
        <v>295</v>
      </c>
      <c r="L41" s="35"/>
      <c r="M41" s="35"/>
      <c r="N41" s="35"/>
      <c r="O41" s="35"/>
      <c r="P41" s="35"/>
      <c r="Q41" s="35"/>
    </row>
    <row r="42" spans="1:17" x14ac:dyDescent="0.25">
      <c r="A42" t="s">
        <v>94</v>
      </c>
      <c r="B42" t="s">
        <v>279</v>
      </c>
      <c r="C42">
        <v>0</v>
      </c>
      <c r="J42" s="34" t="s">
        <v>297</v>
      </c>
      <c r="K42" s="33" t="s">
        <v>298</v>
      </c>
      <c r="L42" s="35"/>
      <c r="M42" s="35"/>
      <c r="N42" s="35"/>
      <c r="O42" s="35"/>
      <c r="P42" s="35"/>
      <c r="Q42" s="35"/>
    </row>
    <row r="43" spans="1:17" x14ac:dyDescent="0.25">
      <c r="A43" t="s">
        <v>96</v>
      </c>
      <c r="B43" t="s">
        <v>232</v>
      </c>
      <c r="C43">
        <v>0</v>
      </c>
      <c r="J43" s="34" t="s">
        <v>299</v>
      </c>
      <c r="K43" s="33" t="s">
        <v>300</v>
      </c>
      <c r="L43" s="35"/>
      <c r="M43" s="35"/>
      <c r="N43" s="35"/>
      <c r="O43" s="35"/>
      <c r="P43" s="35"/>
      <c r="Q43" s="35"/>
    </row>
    <row r="44" spans="1:17" x14ac:dyDescent="0.25">
      <c r="A44" t="s">
        <v>98</v>
      </c>
      <c r="B44" t="s">
        <v>280</v>
      </c>
      <c r="C44">
        <v>697.64</v>
      </c>
      <c r="J44" s="34" t="s">
        <v>301</v>
      </c>
      <c r="K44" s="33" t="s">
        <v>302</v>
      </c>
      <c r="L44" s="35"/>
      <c r="M44" s="35"/>
      <c r="N44" s="35"/>
      <c r="O44" s="35"/>
      <c r="P44" s="35"/>
      <c r="Q44" s="35"/>
    </row>
    <row r="45" spans="1:17" x14ac:dyDescent="0.25">
      <c r="A45" t="s">
        <v>99</v>
      </c>
      <c r="B45" t="s">
        <v>282</v>
      </c>
      <c r="C45">
        <v>284.61</v>
      </c>
      <c r="J45" s="34" t="s">
        <v>303</v>
      </c>
      <c r="K45" s="33" t="s">
        <v>304</v>
      </c>
      <c r="L45" s="35"/>
      <c r="M45" s="35"/>
      <c r="N45" s="35"/>
      <c r="O45" s="35"/>
      <c r="P45" s="35"/>
      <c r="Q45" s="35"/>
    </row>
    <row r="46" spans="1:17" x14ac:dyDescent="0.25">
      <c r="A46" t="s">
        <v>101</v>
      </c>
      <c r="B46" t="s">
        <v>251</v>
      </c>
      <c r="C46">
        <v>0</v>
      </c>
      <c r="J46" s="34" t="s">
        <v>305</v>
      </c>
      <c r="K46" s="33" t="s">
        <v>306</v>
      </c>
      <c r="L46" s="35"/>
      <c r="M46" s="35"/>
      <c r="N46" s="35"/>
      <c r="O46" s="35"/>
      <c r="P46" s="35"/>
      <c r="Q46" s="35"/>
    </row>
    <row r="47" spans="1:17" x14ac:dyDescent="0.25">
      <c r="A47" t="s">
        <v>103</v>
      </c>
      <c r="B47" t="s">
        <v>252</v>
      </c>
      <c r="C47">
        <v>0</v>
      </c>
      <c r="J47" s="34" t="s">
        <v>307</v>
      </c>
      <c r="K47" s="33" t="s">
        <v>308</v>
      </c>
      <c r="L47" s="35"/>
      <c r="M47" s="35"/>
      <c r="N47" s="35"/>
      <c r="O47" s="35"/>
      <c r="P47" s="35"/>
      <c r="Q47" s="35"/>
    </row>
    <row r="48" spans="1:17" x14ac:dyDescent="0.25">
      <c r="A48" t="s">
        <v>105</v>
      </c>
      <c r="B48" t="s">
        <v>215</v>
      </c>
      <c r="C48">
        <v>0</v>
      </c>
      <c r="J48" s="34" t="s">
        <v>199</v>
      </c>
      <c r="K48" s="33" t="s">
        <v>309</v>
      </c>
      <c r="L48" s="35"/>
      <c r="M48" s="35"/>
      <c r="N48" s="35"/>
      <c r="O48" s="35"/>
      <c r="P48" s="35"/>
      <c r="Q48" s="35"/>
    </row>
    <row r="49" spans="1:17" x14ac:dyDescent="0.25">
      <c r="A49" t="s">
        <v>107</v>
      </c>
      <c r="B49" t="s">
        <v>281</v>
      </c>
      <c r="C49">
        <v>0</v>
      </c>
      <c r="J49" s="34" t="s">
        <v>310</v>
      </c>
      <c r="K49" s="33" t="s">
        <v>311</v>
      </c>
      <c r="L49" s="35"/>
      <c r="M49" s="35"/>
      <c r="N49" s="35"/>
      <c r="O49" s="35"/>
      <c r="P49" s="35"/>
      <c r="Q49" s="35"/>
    </row>
    <row r="50" spans="1:17" x14ac:dyDescent="0.25">
      <c r="A50">
        <v>30</v>
      </c>
      <c r="B50" t="s">
        <v>268</v>
      </c>
      <c r="C50">
        <v>0</v>
      </c>
      <c r="J50" s="34" t="s">
        <v>312</v>
      </c>
      <c r="K50" s="33" t="s">
        <v>313</v>
      </c>
      <c r="L50" s="35"/>
      <c r="M50" s="35"/>
      <c r="N50" s="35"/>
      <c r="O50" s="35"/>
      <c r="P50" s="35"/>
      <c r="Q50" s="35"/>
    </row>
    <row r="51" spans="1:17" x14ac:dyDescent="0.25">
      <c r="A51" t="s">
        <v>111</v>
      </c>
      <c r="B51" t="s">
        <v>242</v>
      </c>
      <c r="C51">
        <v>0</v>
      </c>
      <c r="J51" s="34" t="s">
        <v>315</v>
      </c>
      <c r="K51" s="33" t="s">
        <v>316</v>
      </c>
      <c r="L51" s="35"/>
      <c r="M51" s="35"/>
      <c r="N51" s="35"/>
      <c r="O51" s="35"/>
      <c r="P51" s="35"/>
      <c r="Q51" s="35"/>
    </row>
    <row r="52" spans="1:17" x14ac:dyDescent="0.25">
      <c r="A52" t="s">
        <v>209</v>
      </c>
      <c r="B52" t="s">
        <v>210</v>
      </c>
      <c r="C52">
        <v>0</v>
      </c>
      <c r="J52" s="34" t="s">
        <v>318</v>
      </c>
      <c r="K52" s="33" t="s">
        <v>319</v>
      </c>
      <c r="L52" s="35"/>
      <c r="M52" s="35"/>
      <c r="N52" s="35"/>
      <c r="O52" s="35"/>
      <c r="P52" s="35"/>
      <c r="Q52" s="35"/>
    </row>
    <row r="53" spans="1:17" x14ac:dyDescent="0.25">
      <c r="A53" t="s">
        <v>113</v>
      </c>
      <c r="B53" t="s">
        <v>283</v>
      </c>
      <c r="C53">
        <v>523.01</v>
      </c>
      <c r="J53" s="34" t="s">
        <v>320</v>
      </c>
      <c r="K53" s="33" t="s">
        <v>321</v>
      </c>
      <c r="L53" s="35"/>
      <c r="M53" s="35"/>
      <c r="N53" s="35"/>
      <c r="O53" s="35"/>
      <c r="P53" s="35"/>
      <c r="Q53" s="35"/>
    </row>
    <row r="54" spans="1:17" x14ac:dyDescent="0.25">
      <c r="A54" t="s">
        <v>115</v>
      </c>
      <c r="B54" t="s">
        <v>253</v>
      </c>
      <c r="C54">
        <v>0</v>
      </c>
      <c r="J54" s="34" t="s">
        <v>322</v>
      </c>
      <c r="K54" s="33" t="s">
        <v>323</v>
      </c>
      <c r="L54" s="35"/>
      <c r="M54" s="35"/>
      <c r="N54" s="35"/>
      <c r="O54" s="35"/>
      <c r="P54" s="35"/>
      <c r="Q54" s="35"/>
    </row>
    <row r="55" spans="1:17" x14ac:dyDescent="0.25">
      <c r="A55" t="s">
        <v>216</v>
      </c>
      <c r="B55" t="s">
        <v>217</v>
      </c>
      <c r="C55">
        <v>0</v>
      </c>
      <c r="J55" s="34" t="s">
        <v>324</v>
      </c>
      <c r="K55" s="33" t="s">
        <v>325</v>
      </c>
      <c r="L55" s="35"/>
      <c r="M55" s="35"/>
      <c r="N55" s="35"/>
      <c r="O55" s="35"/>
      <c r="P55" s="35"/>
      <c r="Q55" s="35"/>
    </row>
    <row r="56" spans="1:17" x14ac:dyDescent="0.25">
      <c r="A56" t="s">
        <v>117</v>
      </c>
      <c r="B56" t="s">
        <v>218</v>
      </c>
      <c r="C56">
        <v>0</v>
      </c>
      <c r="J56" s="34" t="s">
        <v>326</v>
      </c>
      <c r="K56" s="33" t="s">
        <v>327</v>
      </c>
      <c r="L56" s="35"/>
      <c r="M56" s="35"/>
      <c r="N56" s="35"/>
      <c r="O56" s="35"/>
      <c r="P56" s="35"/>
      <c r="Q56" s="35"/>
    </row>
    <row r="57" spans="1:17" x14ac:dyDescent="0.25">
      <c r="A57" t="s">
        <v>119</v>
      </c>
      <c r="B57" t="s">
        <v>254</v>
      </c>
      <c r="C57">
        <v>0</v>
      </c>
      <c r="J57" s="35"/>
      <c r="K57" s="35"/>
      <c r="L57" s="35"/>
      <c r="M57" s="35"/>
      <c r="N57" s="35"/>
      <c r="O57" s="35"/>
      <c r="P57" s="35"/>
      <c r="Q57" s="35"/>
    </row>
    <row r="58" spans="1:17" x14ac:dyDescent="0.25">
      <c r="A58" t="s">
        <v>121</v>
      </c>
      <c r="B58" t="s">
        <v>255</v>
      </c>
      <c r="C58">
        <v>0</v>
      </c>
      <c r="J58" s="35"/>
      <c r="K58" s="35"/>
      <c r="L58" s="35"/>
      <c r="M58" s="35"/>
      <c r="N58" s="35"/>
      <c r="O58" s="35"/>
      <c r="P58" s="35"/>
      <c r="Q58" s="35"/>
    </row>
    <row r="59" spans="1:17" x14ac:dyDescent="0.25">
      <c r="A59" t="s">
        <v>123</v>
      </c>
      <c r="B59" t="s">
        <v>284</v>
      </c>
      <c r="C59">
        <v>0</v>
      </c>
      <c r="J59" s="35"/>
      <c r="K59" s="35"/>
      <c r="L59" s="35"/>
      <c r="M59" s="35"/>
      <c r="N59" s="35"/>
      <c r="O59" s="35"/>
      <c r="P59" s="35"/>
      <c r="Q59" s="35"/>
    </row>
    <row r="60" spans="1:17" x14ac:dyDescent="0.25">
      <c r="A60" t="s">
        <v>125</v>
      </c>
      <c r="B60" t="s">
        <v>219</v>
      </c>
      <c r="C60">
        <v>0</v>
      </c>
      <c r="J60" s="35"/>
      <c r="K60" s="35"/>
      <c r="L60" s="35"/>
      <c r="M60" s="35"/>
      <c r="N60" s="35"/>
      <c r="O60" s="35"/>
      <c r="P60" s="35"/>
      <c r="Q60" s="35"/>
    </row>
    <row r="61" spans="1:17" x14ac:dyDescent="0.25">
      <c r="A61" t="s">
        <v>127</v>
      </c>
      <c r="B61" t="s">
        <v>243</v>
      </c>
      <c r="C61">
        <v>955.1</v>
      </c>
      <c r="J61" s="35"/>
      <c r="K61" s="35"/>
      <c r="L61" s="35"/>
      <c r="M61" s="35"/>
      <c r="N61" s="35"/>
      <c r="O61" s="35"/>
      <c r="P61" s="35"/>
      <c r="Q61" s="35"/>
    </row>
    <row r="62" spans="1:17" x14ac:dyDescent="0.25">
      <c r="A62" t="s">
        <v>129</v>
      </c>
      <c r="B62" t="s">
        <v>220</v>
      </c>
      <c r="C62">
        <v>0</v>
      </c>
      <c r="J62" s="35"/>
      <c r="K62" s="35"/>
      <c r="L62" s="35"/>
      <c r="M62" s="35"/>
      <c r="N62" s="35"/>
      <c r="O62" s="35"/>
      <c r="P62" s="35"/>
      <c r="Q62" s="35"/>
    </row>
    <row r="63" spans="1:17" x14ac:dyDescent="0.25">
      <c r="A63" t="s">
        <v>131</v>
      </c>
      <c r="B63" t="s">
        <v>256</v>
      </c>
      <c r="C63">
        <v>0</v>
      </c>
      <c r="J63" s="38"/>
      <c r="K63" s="38"/>
      <c r="L63" s="38"/>
      <c r="M63" s="38"/>
      <c r="N63" s="38"/>
      <c r="O63" s="38"/>
      <c r="P63" s="38"/>
      <c r="Q63" s="38"/>
    </row>
    <row r="64" spans="1:17" x14ac:dyDescent="0.25">
      <c r="A64" t="s">
        <v>133</v>
      </c>
      <c r="B64" t="s">
        <v>257</v>
      </c>
      <c r="C64">
        <v>0</v>
      </c>
      <c r="J64" s="39"/>
      <c r="K64" s="39"/>
      <c r="L64" s="39"/>
      <c r="M64" s="39"/>
      <c r="N64" s="39"/>
      <c r="O64" s="39"/>
      <c r="P64" s="39"/>
      <c r="Q64" s="39"/>
    </row>
    <row r="65" spans="1:17" x14ac:dyDescent="0.25">
      <c r="A65" t="s">
        <v>135</v>
      </c>
      <c r="B65" t="s">
        <v>234</v>
      </c>
      <c r="C65">
        <v>0</v>
      </c>
      <c r="J65" s="35"/>
      <c r="K65" s="35"/>
      <c r="L65" s="35"/>
      <c r="M65" s="35"/>
      <c r="N65" s="35"/>
      <c r="O65" s="35"/>
      <c r="P65" s="35"/>
      <c r="Q65" s="35"/>
    </row>
    <row r="66" spans="1:17" x14ac:dyDescent="0.25">
      <c r="A66" t="s">
        <v>259</v>
      </c>
      <c r="B66" t="s">
        <v>260</v>
      </c>
      <c r="C66">
        <v>0</v>
      </c>
      <c r="J66" s="35"/>
      <c r="K66" s="35"/>
      <c r="L66" s="35"/>
      <c r="M66" s="35"/>
      <c r="N66" s="35"/>
      <c r="O66" s="35"/>
      <c r="P66" s="35"/>
      <c r="Q66" s="35"/>
    </row>
    <row r="67" spans="1:17" x14ac:dyDescent="0.25">
      <c r="A67" t="s">
        <v>139</v>
      </c>
      <c r="B67" t="s">
        <v>233</v>
      </c>
      <c r="C67">
        <v>0</v>
      </c>
      <c r="J67" s="21"/>
      <c r="K67" s="21"/>
      <c r="L67" s="21"/>
      <c r="M67" s="21"/>
      <c r="N67" s="21"/>
      <c r="O67" s="21"/>
      <c r="P67" s="21"/>
      <c r="Q67" s="21"/>
    </row>
    <row r="68" spans="1:17" x14ac:dyDescent="0.25">
      <c r="A68" t="s">
        <v>141</v>
      </c>
      <c r="B68" t="s">
        <v>258</v>
      </c>
      <c r="C68">
        <v>831.77</v>
      </c>
      <c r="J68" s="35"/>
      <c r="K68" s="35"/>
      <c r="L68" s="35"/>
      <c r="M68" s="35"/>
      <c r="N68" s="35"/>
      <c r="O68" s="35"/>
      <c r="P68" s="35"/>
      <c r="Q68" s="35"/>
    </row>
    <row r="69" spans="1:17" x14ac:dyDescent="0.25">
      <c r="A69" t="s">
        <v>143</v>
      </c>
      <c r="B69" t="s">
        <v>211</v>
      </c>
      <c r="C69">
        <v>0</v>
      </c>
      <c r="J69" s="35"/>
      <c r="K69" s="35"/>
      <c r="L69" s="35"/>
      <c r="M69" s="35"/>
      <c r="N69" s="35"/>
      <c r="O69" s="35"/>
      <c r="P69" s="35"/>
      <c r="Q69" s="35"/>
    </row>
    <row r="70" spans="1:17" x14ac:dyDescent="0.25">
      <c r="A70" t="s">
        <v>145</v>
      </c>
      <c r="B70" t="s">
        <v>221</v>
      </c>
      <c r="C70">
        <v>0</v>
      </c>
      <c r="J70" s="35"/>
      <c r="K70" s="35"/>
      <c r="L70" s="35"/>
      <c r="M70" s="35"/>
      <c r="N70" s="35"/>
      <c r="O70" s="35"/>
      <c r="P70" s="35"/>
      <c r="Q70" s="35"/>
    </row>
    <row r="71" spans="1:17" x14ac:dyDescent="0.25">
      <c r="A71">
        <v>21</v>
      </c>
      <c r="B71" t="s">
        <v>267</v>
      </c>
      <c r="C71">
        <v>163.91</v>
      </c>
      <c r="J71" s="35"/>
      <c r="K71" s="35"/>
      <c r="L71" s="35"/>
      <c r="M71" s="35"/>
      <c r="N71" s="35"/>
      <c r="O71" s="35"/>
      <c r="P71" s="35"/>
      <c r="Q71" s="35"/>
    </row>
    <row r="72" spans="1:17" x14ac:dyDescent="0.25">
      <c r="A72" t="s">
        <v>148</v>
      </c>
      <c r="B72" t="s">
        <v>285</v>
      </c>
      <c r="C72">
        <v>0</v>
      </c>
      <c r="J72" s="35"/>
      <c r="K72" s="35"/>
      <c r="L72" s="35"/>
      <c r="M72" s="35"/>
      <c r="N72" s="35"/>
      <c r="O72" s="35"/>
      <c r="P72" s="35"/>
      <c r="Q72" s="35"/>
    </row>
    <row r="73" spans="1:17" x14ac:dyDescent="0.25">
      <c r="A73" t="s">
        <v>261</v>
      </c>
      <c r="B73" t="s">
        <v>262</v>
      </c>
      <c r="C73">
        <v>0</v>
      </c>
      <c r="J73" s="35"/>
      <c r="K73" s="35"/>
      <c r="L73" s="35"/>
      <c r="M73" s="35"/>
      <c r="N73" s="35"/>
      <c r="O73" s="35"/>
      <c r="P73" s="35"/>
      <c r="Q73" s="35"/>
    </row>
    <row r="74" spans="1:17" x14ac:dyDescent="0.25">
      <c r="A74" t="s">
        <v>152</v>
      </c>
      <c r="B74" t="s">
        <v>263</v>
      </c>
      <c r="C74">
        <v>0</v>
      </c>
      <c r="J74" s="35"/>
      <c r="K74" s="35"/>
      <c r="L74" s="35"/>
      <c r="M74" s="35"/>
      <c r="N74" s="35"/>
      <c r="O74" s="35"/>
      <c r="P74" s="35"/>
      <c r="Q74" s="35"/>
    </row>
    <row r="75" spans="1:17" x14ac:dyDescent="0.25">
      <c r="A75" t="s">
        <v>182</v>
      </c>
      <c r="B75" t="s">
        <v>223</v>
      </c>
      <c r="C75">
        <v>0</v>
      </c>
      <c r="J75" s="35"/>
      <c r="K75" s="35"/>
      <c r="L75" s="35"/>
      <c r="M75" s="35"/>
      <c r="N75" s="35"/>
      <c r="O75" s="35"/>
      <c r="P75" s="35"/>
      <c r="Q75" s="35"/>
    </row>
    <row r="76" spans="1:17" x14ac:dyDescent="0.25">
      <c r="A76" t="s">
        <v>155</v>
      </c>
      <c r="B76" t="s">
        <v>235</v>
      </c>
      <c r="C76">
        <v>355.65</v>
      </c>
      <c r="J76" s="35"/>
      <c r="K76" s="35"/>
      <c r="L76" s="35"/>
      <c r="M76" s="35"/>
      <c r="N76" s="35"/>
      <c r="O76" s="35"/>
      <c r="P76" s="35"/>
      <c r="Q76" s="35"/>
    </row>
    <row r="77" spans="1:17" x14ac:dyDescent="0.25">
      <c r="A77" t="s">
        <v>157</v>
      </c>
      <c r="B77" t="s">
        <v>222</v>
      </c>
      <c r="C77">
        <v>0</v>
      </c>
      <c r="J77" s="35"/>
      <c r="K77" s="35"/>
      <c r="L77" s="35"/>
      <c r="M77" s="35"/>
      <c r="N77" s="35"/>
      <c r="O77" s="35"/>
      <c r="P77" s="35"/>
      <c r="Q77" s="35"/>
    </row>
    <row r="78" spans="1:17" x14ac:dyDescent="0.25">
      <c r="A78" t="s">
        <v>159</v>
      </c>
      <c r="B78" t="s">
        <v>224</v>
      </c>
      <c r="C78">
        <v>0</v>
      </c>
      <c r="J78" s="35"/>
      <c r="K78" s="35"/>
      <c r="L78" s="35"/>
      <c r="M78" s="35"/>
      <c r="N78" s="35"/>
      <c r="O78" s="35"/>
      <c r="P78" s="35"/>
      <c r="Q78" s="35"/>
    </row>
    <row r="79" spans="1:17" x14ac:dyDescent="0.25">
      <c r="A79" t="s">
        <v>161</v>
      </c>
      <c r="B79" t="s">
        <v>212</v>
      </c>
      <c r="C79">
        <v>0</v>
      </c>
      <c r="J79" s="35"/>
      <c r="K79" s="35"/>
      <c r="L79" s="35"/>
      <c r="M79" s="35"/>
      <c r="N79" s="35"/>
      <c r="O79" s="35"/>
      <c r="P79" s="35"/>
      <c r="Q79" s="35"/>
    </row>
    <row r="80" spans="1:17" x14ac:dyDescent="0.25">
      <c r="A80" t="s">
        <v>163</v>
      </c>
      <c r="B80" t="s">
        <v>286</v>
      </c>
      <c r="C80">
        <v>488.83</v>
      </c>
      <c r="J80" s="21"/>
      <c r="K80" s="21"/>
      <c r="L80" s="21"/>
      <c r="M80" s="21"/>
      <c r="N80" s="21"/>
      <c r="O80" s="21"/>
      <c r="P80" s="21"/>
      <c r="Q80" s="21"/>
    </row>
    <row r="81" spans="1:17" x14ac:dyDescent="0.25">
      <c r="A81" t="s">
        <v>165</v>
      </c>
      <c r="B81" t="s">
        <v>244</v>
      </c>
      <c r="C81">
        <v>0</v>
      </c>
      <c r="J81" s="35"/>
      <c r="K81" s="35"/>
      <c r="L81" s="35"/>
      <c r="M81" s="35"/>
      <c r="N81" s="35"/>
      <c r="O81" s="35"/>
      <c r="P81" s="35"/>
      <c r="Q81" s="35"/>
    </row>
    <row r="82" spans="1:17" x14ac:dyDescent="0.25">
      <c r="A82" t="s">
        <v>167</v>
      </c>
      <c r="B82" t="s">
        <v>264</v>
      </c>
      <c r="C82">
        <v>0</v>
      </c>
      <c r="J82" s="35"/>
      <c r="K82" s="35"/>
      <c r="L82" s="35"/>
      <c r="M82" s="35"/>
      <c r="N82" s="35"/>
      <c r="O82" s="35"/>
      <c r="P82" s="35"/>
      <c r="Q82" s="35"/>
    </row>
    <row r="83" spans="1:17" x14ac:dyDescent="0.25">
      <c r="A83" t="s">
        <v>169</v>
      </c>
      <c r="B83" t="s">
        <v>226</v>
      </c>
      <c r="C83">
        <v>0</v>
      </c>
      <c r="J83" s="35"/>
      <c r="K83" s="35"/>
      <c r="L83" s="35"/>
      <c r="M83" s="35"/>
      <c r="N83" s="35"/>
      <c r="O83" s="35"/>
      <c r="P83" s="35"/>
      <c r="Q83" s="35"/>
    </row>
    <row r="84" spans="1:17" x14ac:dyDescent="0.25">
      <c r="A84" t="s">
        <v>171</v>
      </c>
      <c r="B84" t="s">
        <v>287</v>
      </c>
      <c r="C84">
        <v>0</v>
      </c>
      <c r="J84" s="35"/>
      <c r="K84" s="35"/>
      <c r="L84" s="35"/>
      <c r="M84" s="35"/>
      <c r="N84" s="35"/>
      <c r="O84" s="35"/>
      <c r="P84" s="35"/>
      <c r="Q84" s="35"/>
    </row>
    <row r="85" spans="1:17" x14ac:dyDescent="0.25">
      <c r="A85" t="s">
        <v>173</v>
      </c>
      <c r="B85" t="s">
        <v>225</v>
      </c>
      <c r="C85">
        <v>0</v>
      </c>
      <c r="J85" s="35"/>
      <c r="K85" s="35"/>
      <c r="L85" s="35"/>
      <c r="M85" s="35"/>
      <c r="N85" s="35"/>
      <c r="O85" s="35"/>
      <c r="P85" s="35"/>
      <c r="Q85" s="35"/>
    </row>
    <row r="86" spans="1:17" x14ac:dyDescent="0.25">
      <c r="A86" t="s">
        <v>175</v>
      </c>
      <c r="B86" t="s">
        <v>288</v>
      </c>
      <c r="C86">
        <v>0</v>
      </c>
      <c r="J86" s="35"/>
      <c r="K86" s="35"/>
      <c r="L86" s="35"/>
      <c r="M86" s="35"/>
      <c r="N86" s="35"/>
      <c r="O86" s="35"/>
      <c r="P86" s="35"/>
      <c r="Q86" s="35"/>
    </row>
    <row r="87" spans="1:17" x14ac:dyDescent="0.25">
      <c r="J87" s="35"/>
      <c r="K87" s="35"/>
      <c r="L87" s="35"/>
      <c r="M87" s="35"/>
      <c r="N87" s="35"/>
      <c r="O87" s="35"/>
      <c r="P87" s="35"/>
      <c r="Q87" s="35"/>
    </row>
    <row r="88" spans="1:17" x14ac:dyDescent="0.25">
      <c r="J88" s="35"/>
      <c r="K88" s="35"/>
      <c r="L88" s="35"/>
      <c r="M88" s="35"/>
      <c r="N88" s="35"/>
      <c r="O88" s="35"/>
      <c r="P88" s="35"/>
      <c r="Q88" s="35"/>
    </row>
    <row r="89" spans="1:17" x14ac:dyDescent="0.25">
      <c r="J89" s="35"/>
      <c r="K89" s="35"/>
      <c r="L89" s="35"/>
      <c r="M89" s="35"/>
      <c r="N89" s="35"/>
      <c r="O89" s="35"/>
      <c r="P89" s="35"/>
      <c r="Q89" s="35"/>
    </row>
    <row r="90" spans="1:17" x14ac:dyDescent="0.25">
      <c r="J90" s="35"/>
      <c r="K90" s="35"/>
      <c r="L90" s="35"/>
      <c r="M90" s="35"/>
      <c r="N90" s="35"/>
      <c r="O90" s="35"/>
      <c r="P90" s="35"/>
      <c r="Q90" s="35"/>
    </row>
  </sheetData>
  <sortState ref="A9:D307">
    <sortCondition ref="B9:B30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workbookViewId="0">
      <selection activeCell="C10" sqref="C10"/>
    </sheetView>
  </sheetViews>
  <sheetFormatPr baseColWidth="10" defaultRowHeight="15" x14ac:dyDescent="0.25"/>
  <cols>
    <col min="2" max="2" width="23.140625" bestFit="1" customWidth="1"/>
    <col min="3" max="3" width="18.140625" bestFit="1" customWidth="1"/>
  </cols>
  <sheetData>
    <row r="1" spans="1:8" x14ac:dyDescent="0.25">
      <c r="A1" s="351" t="s">
        <v>778</v>
      </c>
      <c r="B1" s="351"/>
      <c r="C1" s="351"/>
      <c r="D1" s="351"/>
      <c r="E1" s="351"/>
      <c r="F1" s="351"/>
      <c r="G1" s="351"/>
      <c r="H1" s="351"/>
    </row>
    <row r="2" spans="1:8" x14ac:dyDescent="0.25">
      <c r="A2" s="352" t="s">
        <v>779</v>
      </c>
      <c r="B2" s="352"/>
      <c r="C2" s="352"/>
      <c r="D2" s="352"/>
      <c r="E2" s="352"/>
      <c r="F2" s="352"/>
      <c r="G2" s="352"/>
      <c r="H2" s="352"/>
    </row>
    <row r="3" spans="1:8" x14ac:dyDescent="0.25">
      <c r="A3" s="352"/>
      <c r="B3" s="352"/>
      <c r="C3" s="352"/>
      <c r="D3" s="352"/>
      <c r="E3" s="352"/>
      <c r="F3" s="352"/>
      <c r="G3" s="352"/>
      <c r="H3" s="352"/>
    </row>
    <row r="4" spans="1:8" x14ac:dyDescent="0.25">
      <c r="A4" s="352" t="s">
        <v>780</v>
      </c>
      <c r="B4" s="353" t="s">
        <v>784</v>
      </c>
      <c r="C4" s="352"/>
      <c r="D4" s="352"/>
      <c r="E4" s="352"/>
      <c r="F4" s="352"/>
      <c r="G4" s="352"/>
      <c r="H4" s="352"/>
    </row>
    <row r="5" spans="1:8" x14ac:dyDescent="0.25">
      <c r="A5" s="352" t="s">
        <v>783</v>
      </c>
      <c r="B5" s="352"/>
      <c r="C5" s="352"/>
      <c r="D5" s="352"/>
      <c r="E5" s="352"/>
      <c r="F5" s="352"/>
      <c r="G5" s="352"/>
      <c r="H5" s="352"/>
    </row>
    <row r="6" spans="1:8" x14ac:dyDescent="0.25">
      <c r="A6" s="352"/>
      <c r="B6" s="352"/>
      <c r="C6" s="352"/>
      <c r="D6" s="352"/>
      <c r="E6" s="352"/>
      <c r="F6" s="352"/>
      <c r="G6" s="352"/>
      <c r="H6" s="352"/>
    </row>
    <row r="7" spans="1:8" x14ac:dyDescent="0.25">
      <c r="A7" s="354" t="s">
        <v>606</v>
      </c>
      <c r="B7" s="354" t="s">
        <v>781</v>
      </c>
      <c r="C7" s="352"/>
      <c r="D7" s="352"/>
      <c r="E7" s="352"/>
      <c r="F7" s="352"/>
      <c r="G7" s="352"/>
      <c r="H7" s="352"/>
    </row>
    <row r="8" spans="1:8" x14ac:dyDescent="0.25">
      <c r="A8" s="352">
        <v>700070</v>
      </c>
      <c r="B8" s="355">
        <v>93090.95</v>
      </c>
      <c r="C8" s="352" t="s">
        <v>785</v>
      </c>
      <c r="D8" s="352"/>
      <c r="E8" s="352"/>
      <c r="F8" s="352"/>
      <c r="G8" s="352"/>
      <c r="H8" s="352"/>
    </row>
    <row r="9" spans="1:8" x14ac:dyDescent="0.25">
      <c r="A9" s="352">
        <v>701070</v>
      </c>
      <c r="B9" s="355">
        <v>21055.94</v>
      </c>
      <c r="C9" s="352" t="s">
        <v>786</v>
      </c>
      <c r="D9" s="352"/>
      <c r="E9" s="352"/>
      <c r="F9" s="352"/>
      <c r="G9" s="352"/>
      <c r="H9" s="352"/>
    </row>
    <row r="10" spans="1:8" x14ac:dyDescent="0.25">
      <c r="A10" s="352">
        <v>702070</v>
      </c>
      <c r="B10" s="355"/>
      <c r="C10" s="352" t="s">
        <v>787</v>
      </c>
      <c r="D10" s="352"/>
      <c r="E10" s="352"/>
      <c r="F10" s="352"/>
      <c r="G10" s="352"/>
      <c r="H10" s="352"/>
    </row>
    <row r="11" spans="1:8" x14ac:dyDescent="0.25">
      <c r="A11" s="352">
        <v>703070</v>
      </c>
      <c r="B11" s="355"/>
      <c r="C11" s="352" t="s">
        <v>788</v>
      </c>
      <c r="D11" s="352"/>
      <c r="E11" s="352"/>
      <c r="F11" s="352"/>
      <c r="G11" s="352"/>
      <c r="H11" s="352"/>
    </row>
    <row r="12" spans="1:8" x14ac:dyDescent="0.25">
      <c r="A12" s="352">
        <v>704070</v>
      </c>
      <c r="B12" s="355"/>
      <c r="C12" s="352" t="s">
        <v>789</v>
      </c>
      <c r="D12" s="352"/>
      <c r="E12" s="352"/>
      <c r="F12" s="352"/>
      <c r="G12" s="352"/>
      <c r="H12" s="352"/>
    </row>
    <row r="13" spans="1:8" x14ac:dyDescent="0.25">
      <c r="A13" s="352">
        <v>705070</v>
      </c>
      <c r="B13" s="355">
        <v>26525.65</v>
      </c>
      <c r="C13" s="352" t="s">
        <v>791</v>
      </c>
      <c r="D13" s="352"/>
      <c r="E13" s="352"/>
      <c r="F13" s="352"/>
      <c r="G13" s="352"/>
      <c r="H13" s="352"/>
    </row>
    <row r="14" spans="1:8" s="351" customFormat="1" x14ac:dyDescent="0.25">
      <c r="A14" s="352">
        <v>706070</v>
      </c>
      <c r="B14" s="355">
        <v>6057.34</v>
      </c>
      <c r="C14" s="352"/>
      <c r="D14" s="352"/>
      <c r="E14" s="352"/>
      <c r="F14" s="352"/>
      <c r="G14" s="352"/>
      <c r="H14" s="352"/>
    </row>
    <row r="15" spans="1:8" ht="15.75" thickBot="1" x14ac:dyDescent="0.3">
      <c r="A15" s="352" t="s">
        <v>782</v>
      </c>
      <c r="B15" s="349">
        <v>100180.47</v>
      </c>
      <c r="C15" s="352" t="s">
        <v>790</v>
      </c>
      <c r="D15" s="352"/>
      <c r="E15" s="352"/>
      <c r="F15" s="352"/>
      <c r="G15" s="352"/>
      <c r="H15" s="352"/>
    </row>
    <row r="16" spans="1:8" x14ac:dyDescent="0.25">
      <c r="A16" s="352"/>
      <c r="B16" s="350">
        <f>SUM(B8:B15)</f>
        <v>246910.35</v>
      </c>
      <c r="C16" s="352"/>
      <c r="D16" s="352"/>
      <c r="E16" s="352"/>
      <c r="F16" s="352"/>
      <c r="G16" s="352"/>
      <c r="H16" s="352"/>
    </row>
    <row r="17" spans="1:8" ht="15.75" thickBot="1" x14ac:dyDescent="0.3">
      <c r="A17" s="352"/>
      <c r="B17" s="349">
        <f>B16*0.16</f>
        <v>39505.656000000003</v>
      </c>
      <c r="C17" s="352"/>
      <c r="D17" s="352"/>
      <c r="E17" s="352"/>
      <c r="F17" s="352"/>
      <c r="G17" s="352"/>
      <c r="H17" s="352"/>
    </row>
    <row r="18" spans="1:8" x14ac:dyDescent="0.25">
      <c r="A18" s="352"/>
      <c r="B18" s="348">
        <f>+B16+B17</f>
        <v>286416.00599999999</v>
      </c>
      <c r="C18" s="352"/>
      <c r="D18" s="352"/>
      <c r="E18" s="352"/>
      <c r="F18" s="352"/>
      <c r="G18" s="352"/>
      <c r="H18" s="352"/>
    </row>
    <row r="19" spans="1:8" x14ac:dyDescent="0.25">
      <c r="A19" s="352"/>
      <c r="B19" s="355"/>
      <c r="C19" s="352"/>
      <c r="D19" s="352"/>
      <c r="E19" s="352"/>
      <c r="F19" s="352"/>
      <c r="G19" s="352"/>
      <c r="H19" s="352"/>
    </row>
    <row r="20" spans="1:8" x14ac:dyDescent="0.25">
      <c r="A20" s="352"/>
      <c r="B20" s="355"/>
      <c r="C20" s="352"/>
      <c r="D20" s="352"/>
      <c r="E20" s="352"/>
      <c r="F20" s="352"/>
      <c r="G20" s="352"/>
      <c r="H20" s="352"/>
    </row>
    <row r="21" spans="1:8" x14ac:dyDescent="0.25">
      <c r="A21" s="352"/>
      <c r="B21" s="355"/>
      <c r="C21" s="352"/>
      <c r="D21" s="352"/>
      <c r="E21" s="352"/>
      <c r="F21" s="352"/>
      <c r="G21" s="352"/>
      <c r="H21" s="352"/>
    </row>
    <row r="22" spans="1:8" x14ac:dyDescent="0.25">
      <c r="A22" s="352"/>
      <c r="B22" s="352"/>
      <c r="C22" s="352"/>
      <c r="D22" s="352"/>
      <c r="E22" s="352"/>
      <c r="F22" s="352"/>
      <c r="G22" s="352"/>
      <c r="H22" s="352"/>
    </row>
    <row r="23" spans="1:8" x14ac:dyDescent="0.25">
      <c r="A23" s="352"/>
      <c r="B23" s="352"/>
      <c r="C23" s="352"/>
      <c r="D23" s="352"/>
      <c r="E23" s="352"/>
      <c r="F23" s="352"/>
      <c r="G23" s="352"/>
      <c r="H23" s="352"/>
    </row>
    <row r="24" spans="1:8" x14ac:dyDescent="0.25">
      <c r="A24" s="352"/>
      <c r="B24" s="352"/>
      <c r="C24" s="352"/>
      <c r="D24" s="352"/>
      <c r="E24" s="352"/>
      <c r="F24" s="352"/>
      <c r="G24" s="352"/>
      <c r="H24" s="352"/>
    </row>
    <row r="25" spans="1:8" x14ac:dyDescent="0.25">
      <c r="A25" s="352"/>
      <c r="B25" s="352"/>
      <c r="C25" s="352"/>
      <c r="D25" s="352"/>
      <c r="E25" s="352"/>
      <c r="F25" s="352"/>
      <c r="G25" s="352"/>
      <c r="H25" s="352"/>
    </row>
    <row r="26" spans="1:8" x14ac:dyDescent="0.25">
      <c r="A26" s="352"/>
      <c r="B26" s="352"/>
      <c r="C26" s="352"/>
      <c r="D26" s="352"/>
      <c r="E26" s="352"/>
      <c r="F26" s="352"/>
      <c r="G26" s="352"/>
      <c r="H26" s="352"/>
    </row>
  </sheetData>
  <pageMargins left="0.70866141732283472" right="0.70866141732283472" top="0.74803149606299213" bottom="0.74803149606299213" header="0.31496062992125984" footer="0.31496062992125984"/>
  <pageSetup scale="82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23"/>
  <sheetViews>
    <sheetView topLeftCell="Z1" workbookViewId="0">
      <selection activeCell="H21" sqref="H21"/>
    </sheetView>
  </sheetViews>
  <sheetFormatPr baseColWidth="10" defaultColWidth="11.5703125" defaultRowHeight="15" x14ac:dyDescent="0.25"/>
  <cols>
    <col min="1" max="1" width="28.7109375" style="111" customWidth="1"/>
    <col min="2" max="2" width="39.140625" style="111" customWidth="1"/>
    <col min="3" max="3" width="8.140625" style="111" bestFit="1" customWidth="1"/>
    <col min="4" max="4" width="8.85546875" style="111" customWidth="1"/>
    <col min="5" max="5" width="31.5703125" style="111" customWidth="1"/>
    <col min="6" max="6" width="13.5703125" style="111" customWidth="1"/>
    <col min="7" max="7" width="13" style="111" bestFit="1" customWidth="1"/>
    <col min="8" max="8" width="11.7109375" style="111" customWidth="1"/>
    <col min="9" max="9" width="17.140625" style="111" customWidth="1"/>
    <col min="10" max="10" width="11.7109375" style="111" customWidth="1"/>
    <col min="11" max="12" width="13.85546875" style="84" customWidth="1"/>
    <col min="13" max="15" width="13.5703125" style="84" customWidth="1"/>
    <col min="16" max="16" width="17" style="85" customWidth="1"/>
    <col min="17" max="17" width="13.5703125" style="84" customWidth="1"/>
    <col min="18" max="18" width="13.5703125" style="86" customWidth="1"/>
    <col min="19" max="19" width="19.28515625" style="86" customWidth="1"/>
    <col min="20" max="20" width="16.85546875" style="86" customWidth="1"/>
    <col min="21" max="21" width="16.140625" style="86" customWidth="1"/>
    <col min="22" max="25" width="13.5703125" style="84" customWidth="1"/>
    <col min="26" max="26" width="16.7109375" style="85" customWidth="1"/>
    <col min="27" max="27" width="16.7109375" style="84" customWidth="1"/>
    <col min="28" max="28" width="15.42578125" style="85" customWidth="1"/>
    <col min="29" max="30" width="13.5703125" style="84" customWidth="1"/>
    <col min="31" max="31" width="15.42578125" style="85" customWidth="1"/>
    <col min="32" max="33" width="11.5703125" style="111"/>
    <col min="34" max="34" width="15.28515625" style="111" customWidth="1"/>
    <col min="35" max="16384" width="11.5703125" style="111"/>
  </cols>
  <sheetData>
    <row r="1" spans="1:52" s="78" customFormat="1" x14ac:dyDescent="0.25">
      <c r="A1" s="73" t="s">
        <v>337</v>
      </c>
      <c r="B1" s="73"/>
      <c r="C1" s="73"/>
      <c r="D1" s="73"/>
      <c r="E1" s="74"/>
      <c r="F1" s="74"/>
      <c r="G1" s="74"/>
      <c r="H1" s="74"/>
      <c r="I1" s="74"/>
      <c r="J1" s="74"/>
      <c r="K1" s="75"/>
      <c r="L1" s="75"/>
      <c r="M1" s="75"/>
      <c r="N1" s="75"/>
      <c r="O1" s="75"/>
      <c r="P1" s="76"/>
      <c r="Q1" s="75"/>
      <c r="R1" s="75"/>
      <c r="S1" s="75"/>
      <c r="T1" s="75"/>
      <c r="U1" s="75"/>
      <c r="V1" s="75"/>
      <c r="W1" s="75"/>
      <c r="X1" s="75"/>
      <c r="Y1" s="75"/>
      <c r="Z1" s="76"/>
      <c r="AA1" s="75"/>
      <c r="AB1" s="76"/>
      <c r="AC1" s="75"/>
      <c r="AD1" s="75"/>
      <c r="AE1" s="76"/>
      <c r="AF1" s="77"/>
    </row>
    <row r="2" spans="1:52" s="78" customFormat="1" x14ac:dyDescent="0.25">
      <c r="A2" s="79" t="s">
        <v>338</v>
      </c>
      <c r="B2" s="79"/>
      <c r="C2" s="79"/>
      <c r="D2" s="79"/>
      <c r="E2" s="80"/>
      <c r="F2" s="80"/>
      <c r="G2" s="80"/>
      <c r="H2" s="80"/>
      <c r="I2" s="80"/>
      <c r="J2" s="80"/>
      <c r="K2" s="75"/>
      <c r="L2" s="75"/>
      <c r="M2" s="75"/>
      <c r="N2" s="75"/>
      <c r="O2" s="75"/>
      <c r="P2" s="76"/>
      <c r="Q2" s="75"/>
      <c r="R2" s="75"/>
      <c r="S2" s="75"/>
      <c r="T2" s="75"/>
      <c r="U2" s="75"/>
      <c r="V2" s="75"/>
      <c r="W2" s="75"/>
      <c r="X2" s="75"/>
      <c r="Y2" s="75"/>
      <c r="Z2" s="76"/>
      <c r="AA2" s="75"/>
      <c r="AB2" s="76"/>
      <c r="AC2" s="75"/>
      <c r="AD2" s="75"/>
      <c r="AE2" s="76"/>
      <c r="AF2" s="77"/>
    </row>
    <row r="3" spans="1:52" s="78" customFormat="1" x14ac:dyDescent="0.25">
      <c r="A3" s="81" t="s">
        <v>339</v>
      </c>
      <c r="B3" s="81"/>
      <c r="C3" s="81"/>
      <c r="D3" s="81"/>
      <c r="E3" s="82"/>
      <c r="F3" s="82"/>
      <c r="G3" s="82"/>
      <c r="H3" s="82"/>
      <c r="I3" s="82"/>
      <c r="J3" s="82"/>
      <c r="K3" s="75"/>
      <c r="L3" s="75"/>
      <c r="M3" s="75"/>
      <c r="N3" s="75"/>
      <c r="O3" s="75"/>
      <c r="P3" s="76"/>
      <c r="Q3" s="75"/>
      <c r="R3" s="75"/>
      <c r="S3" s="75"/>
      <c r="T3" s="75"/>
      <c r="U3" s="75"/>
      <c r="V3" s="75"/>
      <c r="W3" s="75"/>
      <c r="X3" s="75"/>
      <c r="Y3" s="75"/>
      <c r="Z3" s="76"/>
      <c r="AA3" s="75"/>
      <c r="AB3" s="76"/>
      <c r="AC3" s="75"/>
      <c r="AD3" s="75"/>
      <c r="AE3" s="76"/>
      <c r="AF3" s="77"/>
    </row>
    <row r="4" spans="1:52" s="83" customFormat="1" x14ac:dyDescent="0.25">
      <c r="A4" s="83" t="s">
        <v>340</v>
      </c>
      <c r="K4" s="84"/>
      <c r="L4" s="84"/>
      <c r="M4" s="84"/>
      <c r="N4" s="84"/>
      <c r="O4" s="84"/>
      <c r="P4" s="85"/>
      <c r="Q4" s="84"/>
      <c r="R4" s="86"/>
      <c r="S4" s="86"/>
      <c r="T4" s="86"/>
      <c r="U4" s="86"/>
      <c r="V4" s="84"/>
      <c r="W4" s="84"/>
      <c r="X4" s="84"/>
      <c r="Y4" s="84"/>
      <c r="Z4" s="85"/>
      <c r="AA4" s="84"/>
      <c r="AB4" s="85"/>
      <c r="AC4" s="84"/>
      <c r="AD4" s="84"/>
      <c r="AE4" s="85"/>
    </row>
    <row r="5" spans="1:52" s="83" customFormat="1" ht="28.5" customHeight="1" x14ac:dyDescent="0.25">
      <c r="A5" s="336" t="s">
        <v>341</v>
      </c>
      <c r="B5" s="338" t="s">
        <v>342</v>
      </c>
      <c r="C5" s="87"/>
      <c r="D5" s="338" t="s">
        <v>343</v>
      </c>
      <c r="E5" s="338" t="s">
        <v>344</v>
      </c>
      <c r="F5" s="87" t="s">
        <v>345</v>
      </c>
      <c r="G5" s="335" t="s">
        <v>346</v>
      </c>
      <c r="H5" s="335" t="s">
        <v>347</v>
      </c>
      <c r="I5" s="341" t="s">
        <v>348</v>
      </c>
      <c r="J5" s="341" t="s">
        <v>349</v>
      </c>
      <c r="K5" s="335" t="s">
        <v>350</v>
      </c>
      <c r="L5" s="341" t="s">
        <v>351</v>
      </c>
      <c r="M5" s="335" t="s">
        <v>352</v>
      </c>
      <c r="N5" s="335" t="s">
        <v>353</v>
      </c>
      <c r="O5" s="335" t="s">
        <v>354</v>
      </c>
      <c r="P5" s="335" t="s">
        <v>355</v>
      </c>
      <c r="Q5" s="335" t="s">
        <v>356</v>
      </c>
      <c r="R5" s="339" t="s">
        <v>357</v>
      </c>
      <c r="S5" s="339" t="s">
        <v>358</v>
      </c>
      <c r="T5" s="339" t="s">
        <v>359</v>
      </c>
      <c r="U5" s="339" t="s">
        <v>360</v>
      </c>
      <c r="V5" s="335" t="s">
        <v>361</v>
      </c>
      <c r="W5" s="335" t="s">
        <v>362</v>
      </c>
      <c r="X5" s="335" t="s">
        <v>363</v>
      </c>
      <c r="Y5" s="335" t="s">
        <v>364</v>
      </c>
      <c r="Z5" s="335" t="s">
        <v>365</v>
      </c>
      <c r="AA5" s="335" t="s">
        <v>366</v>
      </c>
      <c r="AB5" s="335" t="s">
        <v>367</v>
      </c>
      <c r="AC5" s="335" t="s">
        <v>368</v>
      </c>
      <c r="AD5" s="335" t="s">
        <v>369</v>
      </c>
      <c r="AE5" s="335" t="s">
        <v>370</v>
      </c>
      <c r="AF5" s="335" t="s">
        <v>371</v>
      </c>
      <c r="AG5" s="335" t="s">
        <v>372</v>
      </c>
      <c r="AH5" s="343" t="s">
        <v>373</v>
      </c>
      <c r="AI5" s="344"/>
      <c r="AJ5" s="345" t="s">
        <v>374</v>
      </c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</row>
    <row r="6" spans="1:52" s="91" customFormat="1" ht="39" customHeight="1" x14ac:dyDescent="0.25">
      <c r="A6" s="337"/>
      <c r="B6" s="338"/>
      <c r="C6" s="87"/>
      <c r="D6" s="338"/>
      <c r="E6" s="338"/>
      <c r="F6" s="87"/>
      <c r="G6" s="335"/>
      <c r="H6" s="335"/>
      <c r="I6" s="342"/>
      <c r="J6" s="342"/>
      <c r="K6" s="335"/>
      <c r="L6" s="342"/>
      <c r="M6" s="335"/>
      <c r="N6" s="335"/>
      <c r="O6" s="335"/>
      <c r="P6" s="335"/>
      <c r="Q6" s="335"/>
      <c r="R6" s="340"/>
      <c r="S6" s="340"/>
      <c r="T6" s="340"/>
      <c r="U6" s="340"/>
      <c r="V6" s="335"/>
      <c r="W6" s="335"/>
      <c r="X6" s="335"/>
      <c r="Y6" s="335"/>
      <c r="Z6" s="335"/>
      <c r="AA6" s="335"/>
      <c r="AB6" s="335"/>
      <c r="AC6" s="335"/>
      <c r="AD6" s="335"/>
      <c r="AE6" s="335"/>
      <c r="AF6" s="335"/>
      <c r="AG6" s="335"/>
      <c r="AH6" s="89" t="s">
        <v>348</v>
      </c>
      <c r="AI6" s="89" t="s">
        <v>349</v>
      </c>
      <c r="AJ6" s="345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</row>
    <row r="7" spans="1:52" s="109" customFormat="1" x14ac:dyDescent="0.25">
      <c r="A7" s="92" t="s">
        <v>375</v>
      </c>
      <c r="B7" s="92" t="s">
        <v>376</v>
      </c>
      <c r="C7" s="92"/>
      <c r="D7" s="92" t="s">
        <v>34</v>
      </c>
      <c r="E7" s="92" t="s">
        <v>179</v>
      </c>
      <c r="F7" s="92"/>
      <c r="G7" s="93"/>
      <c r="H7" s="93"/>
      <c r="I7" s="94">
        <v>1166.26</v>
      </c>
      <c r="J7" s="94"/>
      <c r="K7" s="95">
        <f t="shared" ref="K7:K70" si="0">+I7+J7</f>
        <v>1166.26</v>
      </c>
      <c r="L7" s="95">
        <v>1454.84</v>
      </c>
      <c r="M7" s="96"/>
      <c r="N7" s="96"/>
      <c r="O7" s="97"/>
      <c r="P7" s="98">
        <f t="shared" ref="P7:P38" si="1">SUM(K7:N7)-O7</f>
        <v>2621.1</v>
      </c>
      <c r="Q7" s="99"/>
      <c r="R7" s="100">
        <v>0</v>
      </c>
      <c r="S7" s="100"/>
      <c r="T7" s="100"/>
      <c r="U7" s="100"/>
      <c r="V7" s="101"/>
      <c r="W7" s="101"/>
      <c r="X7" s="102"/>
      <c r="Y7" s="103">
        <v>0</v>
      </c>
      <c r="Z7" s="98">
        <f t="shared" ref="Z7:Z12" si="2">+P7-SUM(Q7:Y7)</f>
        <v>2621.1</v>
      </c>
      <c r="AA7" s="104">
        <f>IF(P7&gt;4500,P7*0.1,0)</f>
        <v>0</v>
      </c>
      <c r="AB7" s="98">
        <f t="shared" ref="AB7:AB12" si="3">+Z7-AA7</f>
        <v>2621.1</v>
      </c>
      <c r="AC7" s="105">
        <f t="shared" ref="AC7:AC70" si="4">IF(P7&lt;4500,P7*0.1,0)</f>
        <v>262.11</v>
      </c>
      <c r="AD7" s="104">
        <f t="shared" ref="AD7:AD70" si="5">I7*0.02</f>
        <v>23.325199999999999</v>
      </c>
      <c r="AE7" s="106">
        <f t="shared" ref="AE7:AE70" si="6">+P7+AC7+AD7</f>
        <v>2906.5352000000003</v>
      </c>
      <c r="AF7" s="107"/>
      <c r="AG7" s="108">
        <f>+AB7-AF7</f>
        <v>2621.1</v>
      </c>
      <c r="AH7" s="107"/>
      <c r="AI7" s="107"/>
      <c r="AJ7" s="108">
        <f>+AG7-AH7-AI7</f>
        <v>2621.1</v>
      </c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</row>
    <row r="8" spans="1:52" x14ac:dyDescent="0.25">
      <c r="A8" s="92" t="s">
        <v>377</v>
      </c>
      <c r="B8" s="92" t="s">
        <v>378</v>
      </c>
      <c r="C8" s="92" t="s">
        <v>379</v>
      </c>
      <c r="D8" s="92" t="s">
        <v>36</v>
      </c>
      <c r="E8" s="92" t="s">
        <v>380</v>
      </c>
      <c r="F8" s="92"/>
      <c r="G8" s="93"/>
      <c r="H8" s="93"/>
      <c r="I8" s="94">
        <v>1633.33</v>
      </c>
      <c r="J8" s="93"/>
      <c r="K8" s="95">
        <f t="shared" si="0"/>
        <v>1633.33</v>
      </c>
      <c r="L8" s="95">
        <v>8970.69</v>
      </c>
      <c r="M8" s="96"/>
      <c r="N8" s="96"/>
      <c r="O8" s="97"/>
      <c r="P8" s="98">
        <f t="shared" si="1"/>
        <v>10604.02</v>
      </c>
      <c r="Q8" s="99"/>
      <c r="R8" s="100">
        <v>0</v>
      </c>
      <c r="S8" s="100"/>
      <c r="T8" s="100"/>
      <c r="U8" s="100"/>
      <c r="V8" s="101"/>
      <c r="W8" s="101"/>
      <c r="X8" s="102"/>
      <c r="Y8" s="110">
        <v>0</v>
      </c>
      <c r="Z8" s="98">
        <f t="shared" si="2"/>
        <v>10604.02</v>
      </c>
      <c r="AA8" s="104">
        <f>IF(P8&gt;4500,P8*0.1,0)</f>
        <v>1060.402</v>
      </c>
      <c r="AB8" s="98">
        <f t="shared" si="3"/>
        <v>9543.6180000000004</v>
      </c>
      <c r="AC8" s="105">
        <f t="shared" si="4"/>
        <v>0</v>
      </c>
      <c r="AD8" s="104">
        <f t="shared" si="5"/>
        <v>32.666600000000003</v>
      </c>
      <c r="AE8" s="106">
        <f t="shared" si="6"/>
        <v>10636.686600000001</v>
      </c>
      <c r="AF8" s="107"/>
      <c r="AG8" s="108">
        <f>+AB8-AF8</f>
        <v>9543.6180000000004</v>
      </c>
      <c r="AH8" s="107"/>
      <c r="AI8" s="107"/>
      <c r="AJ8" s="108">
        <f>+AG8-AH8-AI8</f>
        <v>9543.6180000000004</v>
      </c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</row>
    <row r="9" spans="1:52" x14ac:dyDescent="0.25">
      <c r="A9" s="112" t="s">
        <v>381</v>
      </c>
      <c r="B9" s="92" t="s">
        <v>382</v>
      </c>
      <c r="C9" s="92"/>
      <c r="D9" s="92" t="s">
        <v>38</v>
      </c>
      <c r="E9" s="92" t="s">
        <v>190</v>
      </c>
      <c r="F9" s="92"/>
      <c r="G9" s="93"/>
      <c r="H9" s="93"/>
      <c r="I9" s="113">
        <v>608.16</v>
      </c>
      <c r="J9" s="93"/>
      <c r="K9" s="95">
        <f t="shared" si="0"/>
        <v>608.16</v>
      </c>
      <c r="L9" s="95">
        <v>6205.93</v>
      </c>
      <c r="M9" s="96"/>
      <c r="N9" s="96"/>
      <c r="O9" s="97"/>
      <c r="P9" s="98">
        <f t="shared" si="1"/>
        <v>6814.09</v>
      </c>
      <c r="Q9" s="99"/>
      <c r="R9" s="100"/>
      <c r="S9" s="114">
        <f>P9*1%</f>
        <v>68.140900000000002</v>
      </c>
      <c r="T9" s="114">
        <f>P9*4.9%</f>
        <v>333.89041000000003</v>
      </c>
      <c r="U9" s="100"/>
      <c r="V9" s="101"/>
      <c r="W9" s="101"/>
      <c r="X9" s="102"/>
      <c r="Y9" s="103">
        <v>0</v>
      </c>
      <c r="Z9" s="98">
        <f t="shared" si="2"/>
        <v>6412.0586899999998</v>
      </c>
      <c r="AA9" s="104">
        <f>IF(P9&gt;4500,P9*0.1,0)</f>
        <v>681.40900000000011</v>
      </c>
      <c r="AB9" s="98">
        <f t="shared" si="3"/>
        <v>5730.6496900000002</v>
      </c>
      <c r="AC9" s="105">
        <f t="shared" si="4"/>
        <v>0</v>
      </c>
      <c r="AD9" s="104">
        <f t="shared" si="5"/>
        <v>12.1632</v>
      </c>
      <c r="AE9" s="106">
        <f t="shared" si="6"/>
        <v>6826.2532000000001</v>
      </c>
      <c r="AF9" s="107"/>
      <c r="AG9" s="108">
        <f>+AB9-AF9</f>
        <v>5730.6496900000002</v>
      </c>
      <c r="AH9" s="107"/>
      <c r="AI9" s="107"/>
      <c r="AJ9" s="108">
        <f>+AG9-AH9-AI9</f>
        <v>5730.6496900000002</v>
      </c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</row>
    <row r="10" spans="1:52" x14ac:dyDescent="0.25">
      <c r="A10" s="112" t="s">
        <v>383</v>
      </c>
      <c r="B10" s="92" t="s">
        <v>384</v>
      </c>
      <c r="C10" s="92"/>
      <c r="D10" s="92" t="s">
        <v>289</v>
      </c>
      <c r="E10" s="92" t="s">
        <v>385</v>
      </c>
      <c r="F10" s="92"/>
      <c r="G10" s="93"/>
      <c r="H10" s="93"/>
      <c r="I10" s="92">
        <v>739.23</v>
      </c>
      <c r="J10" s="93"/>
      <c r="K10" s="95">
        <f t="shared" si="0"/>
        <v>739.23</v>
      </c>
      <c r="L10" s="95">
        <v>2240.0700000000002</v>
      </c>
      <c r="M10" s="96"/>
      <c r="N10" s="96"/>
      <c r="O10" s="97"/>
      <c r="P10" s="98">
        <f t="shared" si="1"/>
        <v>2979.3</v>
      </c>
      <c r="Q10" s="99"/>
      <c r="R10" s="100"/>
      <c r="S10" s="100"/>
      <c r="T10" s="100"/>
      <c r="U10" s="100"/>
      <c r="V10" s="101"/>
      <c r="W10" s="101"/>
      <c r="X10" s="102"/>
      <c r="Y10" s="103"/>
      <c r="Z10" s="98">
        <f t="shared" si="2"/>
        <v>2979.3</v>
      </c>
      <c r="AA10" s="104"/>
      <c r="AB10" s="98">
        <f t="shared" si="3"/>
        <v>2979.3</v>
      </c>
      <c r="AC10" s="105">
        <f t="shared" si="4"/>
        <v>297.93</v>
      </c>
      <c r="AD10" s="104">
        <f t="shared" si="5"/>
        <v>14.784600000000001</v>
      </c>
      <c r="AE10" s="106">
        <f t="shared" si="6"/>
        <v>3292.0146</v>
      </c>
      <c r="AF10" s="107"/>
      <c r="AG10" s="108"/>
      <c r="AH10" s="107"/>
      <c r="AI10" s="107"/>
      <c r="AJ10" s="108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</row>
    <row r="11" spans="1:52" x14ac:dyDescent="0.25">
      <c r="A11" s="92" t="s">
        <v>375</v>
      </c>
      <c r="B11" s="92" t="s">
        <v>386</v>
      </c>
      <c r="C11" s="92"/>
      <c r="D11" s="92" t="s">
        <v>40</v>
      </c>
      <c r="E11" s="92" t="s">
        <v>179</v>
      </c>
      <c r="F11" s="92"/>
      <c r="G11" s="92"/>
      <c r="H11" s="92"/>
      <c r="I11" s="94">
        <v>1166.6600000000001</v>
      </c>
      <c r="J11" s="94"/>
      <c r="K11" s="95">
        <f t="shared" si="0"/>
        <v>1166.6600000000001</v>
      </c>
      <c r="L11" s="95">
        <v>669.68</v>
      </c>
      <c r="M11" s="95"/>
      <c r="N11" s="95"/>
      <c r="O11" s="97"/>
      <c r="P11" s="98">
        <f t="shared" si="1"/>
        <v>1836.3400000000001</v>
      </c>
      <c r="Q11" s="99"/>
      <c r="R11" s="100">
        <v>0</v>
      </c>
      <c r="S11" s="100"/>
      <c r="T11" s="100"/>
      <c r="U11" s="100"/>
      <c r="V11" s="101"/>
      <c r="W11" s="101"/>
      <c r="X11" s="102"/>
      <c r="Y11" s="103">
        <v>0</v>
      </c>
      <c r="Z11" s="98">
        <f t="shared" si="2"/>
        <v>1836.3400000000001</v>
      </c>
      <c r="AA11" s="104">
        <f t="shared" ref="AA11:AA74" si="7">IF(P11&gt;4500,P11*0.1,0)</f>
        <v>0</v>
      </c>
      <c r="AB11" s="98">
        <f t="shared" si="3"/>
        <v>1836.3400000000001</v>
      </c>
      <c r="AC11" s="105">
        <f t="shared" si="4"/>
        <v>183.63400000000001</v>
      </c>
      <c r="AD11" s="104">
        <f t="shared" si="5"/>
        <v>23.333200000000001</v>
      </c>
      <c r="AE11" s="106">
        <f t="shared" si="6"/>
        <v>2043.3072000000002</v>
      </c>
      <c r="AF11" s="107"/>
      <c r="AG11" s="108">
        <f>+AB11-AF11</f>
        <v>1836.3400000000001</v>
      </c>
      <c r="AH11" s="107"/>
      <c r="AI11" s="107"/>
      <c r="AJ11" s="108">
        <f>+AG11-AH11-AI11</f>
        <v>1836.3400000000001</v>
      </c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</row>
    <row r="12" spans="1:52" x14ac:dyDescent="0.25">
      <c r="A12" s="92" t="s">
        <v>377</v>
      </c>
      <c r="B12" s="92" t="s">
        <v>387</v>
      </c>
      <c r="C12" s="92" t="s">
        <v>379</v>
      </c>
      <c r="D12" s="92">
        <v>16</v>
      </c>
      <c r="E12" s="92" t="s">
        <v>388</v>
      </c>
      <c r="F12" s="92"/>
      <c r="G12" s="93"/>
      <c r="H12" s="93"/>
      <c r="I12" s="94">
        <v>1633.33</v>
      </c>
      <c r="J12" s="93"/>
      <c r="K12" s="95">
        <f t="shared" si="0"/>
        <v>1633.33</v>
      </c>
      <c r="L12" s="95">
        <v>806.29</v>
      </c>
      <c r="M12" s="96"/>
      <c r="N12" s="96"/>
      <c r="O12" s="97"/>
      <c r="P12" s="98">
        <f t="shared" si="1"/>
        <v>2439.62</v>
      </c>
      <c r="Q12" s="99"/>
      <c r="R12" s="100">
        <v>0</v>
      </c>
      <c r="S12" s="100"/>
      <c r="T12" s="100"/>
      <c r="U12" s="100"/>
      <c r="V12" s="101"/>
      <c r="W12" s="101"/>
      <c r="X12" s="102"/>
      <c r="Y12" s="110">
        <v>0</v>
      </c>
      <c r="Z12" s="98">
        <f t="shared" si="2"/>
        <v>2439.62</v>
      </c>
      <c r="AA12" s="104">
        <f t="shared" si="7"/>
        <v>0</v>
      </c>
      <c r="AB12" s="98">
        <f t="shared" si="3"/>
        <v>2439.62</v>
      </c>
      <c r="AC12" s="105">
        <f t="shared" si="4"/>
        <v>243.96199999999999</v>
      </c>
      <c r="AD12" s="104">
        <f t="shared" si="5"/>
        <v>32.666600000000003</v>
      </c>
      <c r="AE12" s="106">
        <f t="shared" si="6"/>
        <v>2716.2485999999999</v>
      </c>
      <c r="AF12" s="107"/>
      <c r="AG12" s="108">
        <f>+AB12-AF12</f>
        <v>2439.62</v>
      </c>
      <c r="AH12" s="107"/>
      <c r="AI12" s="107"/>
      <c r="AJ12" s="108">
        <f>+AG12-AH12-AI12</f>
        <v>2439.62</v>
      </c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</row>
    <row r="13" spans="1:52" s="125" customFormat="1" x14ac:dyDescent="0.25">
      <c r="A13" s="115" t="s">
        <v>389</v>
      </c>
      <c r="B13" s="115" t="s">
        <v>390</v>
      </c>
      <c r="C13" s="115" t="s">
        <v>391</v>
      </c>
      <c r="D13" s="115"/>
      <c r="E13" s="115" t="s">
        <v>392</v>
      </c>
      <c r="F13" s="116">
        <v>42052</v>
      </c>
      <c r="G13" s="115"/>
      <c r="H13" s="115"/>
      <c r="I13" s="117">
        <v>513.33000000000004</v>
      </c>
      <c r="J13" s="115">
        <v>653.33000000000004</v>
      </c>
      <c r="K13" s="118">
        <f t="shared" si="0"/>
        <v>1166.6600000000001</v>
      </c>
      <c r="L13" s="118"/>
      <c r="M13" s="118"/>
      <c r="N13" s="118"/>
      <c r="O13" s="119"/>
      <c r="P13" s="120">
        <f t="shared" si="1"/>
        <v>1166.6600000000001</v>
      </c>
      <c r="Q13" s="121"/>
      <c r="R13" s="121"/>
      <c r="S13" s="121"/>
      <c r="T13" s="121"/>
      <c r="U13" s="121"/>
      <c r="V13" s="122"/>
      <c r="W13" s="122"/>
      <c r="X13" s="115"/>
      <c r="Y13" s="123"/>
      <c r="Z13" s="120"/>
      <c r="AA13" s="124">
        <f t="shared" si="7"/>
        <v>0</v>
      </c>
      <c r="AB13" s="120"/>
      <c r="AC13" s="124">
        <f t="shared" si="4"/>
        <v>116.66600000000001</v>
      </c>
      <c r="AD13" s="124">
        <f t="shared" si="5"/>
        <v>10.2666</v>
      </c>
      <c r="AE13" s="106">
        <f t="shared" si="6"/>
        <v>1293.5925999999999</v>
      </c>
      <c r="AG13" s="126"/>
      <c r="AJ13" s="126"/>
    </row>
    <row r="14" spans="1:52" x14ac:dyDescent="0.25">
      <c r="A14" s="92" t="s">
        <v>377</v>
      </c>
      <c r="B14" s="92" t="s">
        <v>393</v>
      </c>
      <c r="C14" s="92" t="s">
        <v>30</v>
      </c>
      <c r="D14" s="92" t="s">
        <v>44</v>
      </c>
      <c r="E14" s="92" t="s">
        <v>189</v>
      </c>
      <c r="F14" s="92"/>
      <c r="G14" s="93"/>
      <c r="H14" s="93"/>
      <c r="I14" s="92">
        <v>513.33000000000004</v>
      </c>
      <c r="J14" s="93">
        <v>653.33000000000004</v>
      </c>
      <c r="K14" s="95">
        <f t="shared" si="0"/>
        <v>1166.6600000000001</v>
      </c>
      <c r="L14" s="95">
        <f>2713.86+3277.12</f>
        <v>5990.98</v>
      </c>
      <c r="M14" s="96"/>
      <c r="N14" s="96"/>
      <c r="O14" s="97"/>
      <c r="P14" s="98">
        <f t="shared" si="1"/>
        <v>7157.6399999999994</v>
      </c>
      <c r="Q14" s="99"/>
      <c r="R14" s="100">
        <v>0</v>
      </c>
      <c r="S14" s="100"/>
      <c r="T14" s="100"/>
      <c r="U14" s="100"/>
      <c r="V14" s="101"/>
      <c r="W14" s="101"/>
      <c r="X14" s="102"/>
      <c r="Y14" s="110">
        <v>368.35</v>
      </c>
      <c r="Z14" s="98">
        <f t="shared" ref="Z14:Z77" si="8">+P14-SUM(Q14:Y14)</f>
        <v>6789.2899999999991</v>
      </c>
      <c r="AA14" s="104">
        <f t="shared" si="7"/>
        <v>715.76400000000001</v>
      </c>
      <c r="AB14" s="98">
        <f t="shared" ref="AB14:AB77" si="9">+Z14-AA14</f>
        <v>6073.5259999999989</v>
      </c>
      <c r="AC14" s="105">
        <f t="shared" si="4"/>
        <v>0</v>
      </c>
      <c r="AD14" s="104">
        <f t="shared" si="5"/>
        <v>10.2666</v>
      </c>
      <c r="AE14" s="106">
        <f t="shared" si="6"/>
        <v>7167.9065999999993</v>
      </c>
      <c r="AF14" s="107"/>
      <c r="AG14" s="108">
        <f t="shared" ref="AG14:AG33" si="10">+AB14-AF14</f>
        <v>6073.5259999999989</v>
      </c>
      <c r="AH14" s="107"/>
      <c r="AI14" s="107"/>
      <c r="AJ14" s="108">
        <f t="shared" ref="AJ14:AJ33" si="11">+AG14-AH14-AI14</f>
        <v>6073.5259999999989</v>
      </c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</row>
    <row r="15" spans="1:52" x14ac:dyDescent="0.25">
      <c r="A15" s="112" t="s">
        <v>381</v>
      </c>
      <c r="B15" s="127" t="s">
        <v>394</v>
      </c>
      <c r="C15" s="127"/>
      <c r="D15" s="92" t="s">
        <v>191</v>
      </c>
      <c r="E15" s="92" t="s">
        <v>190</v>
      </c>
      <c r="F15" s="92"/>
      <c r="G15" s="93"/>
      <c r="H15" s="93"/>
      <c r="I15" s="113">
        <v>608.16</v>
      </c>
      <c r="J15" s="93"/>
      <c r="K15" s="95">
        <f t="shared" si="0"/>
        <v>608.16</v>
      </c>
      <c r="L15" s="95">
        <v>1021.3</v>
      </c>
      <c r="M15" s="96"/>
      <c r="N15" s="96"/>
      <c r="O15" s="97"/>
      <c r="P15" s="98">
        <f t="shared" si="1"/>
        <v>1629.46</v>
      </c>
      <c r="Q15" s="99"/>
      <c r="R15" s="114">
        <v>150</v>
      </c>
      <c r="S15" s="114">
        <f>P15*1%</f>
        <v>16.294599999999999</v>
      </c>
      <c r="T15" s="114">
        <f>P15*4.9%</f>
        <v>79.843540000000004</v>
      </c>
      <c r="U15" s="100"/>
      <c r="V15" s="101"/>
      <c r="W15" s="101"/>
      <c r="X15" s="102"/>
      <c r="Y15" s="103">
        <v>0</v>
      </c>
      <c r="Z15" s="98">
        <f t="shared" si="8"/>
        <v>1383.32186</v>
      </c>
      <c r="AA15" s="104">
        <f t="shared" si="7"/>
        <v>0</v>
      </c>
      <c r="AB15" s="98">
        <f t="shared" si="9"/>
        <v>1383.32186</v>
      </c>
      <c r="AC15" s="105">
        <f t="shared" si="4"/>
        <v>162.94600000000003</v>
      </c>
      <c r="AD15" s="104">
        <f t="shared" si="5"/>
        <v>12.1632</v>
      </c>
      <c r="AE15" s="106">
        <f t="shared" si="6"/>
        <v>1804.5691999999999</v>
      </c>
      <c r="AF15" s="107"/>
      <c r="AG15" s="108">
        <f t="shared" si="10"/>
        <v>1383.32186</v>
      </c>
      <c r="AH15" s="107"/>
      <c r="AI15" s="107"/>
      <c r="AJ15" s="108">
        <f t="shared" si="11"/>
        <v>1383.32186</v>
      </c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</row>
    <row r="16" spans="1:52" x14ac:dyDescent="0.25">
      <c r="A16" s="92" t="s">
        <v>389</v>
      </c>
      <c r="B16" s="92" t="s">
        <v>395</v>
      </c>
      <c r="C16" s="92" t="s">
        <v>391</v>
      </c>
      <c r="D16" s="92" t="s">
        <v>14</v>
      </c>
      <c r="E16" s="92" t="s">
        <v>189</v>
      </c>
      <c r="F16" s="128">
        <v>42326</v>
      </c>
      <c r="G16" s="93"/>
      <c r="H16" s="93"/>
      <c r="I16" s="92">
        <v>513.33000000000004</v>
      </c>
      <c r="J16" s="93">
        <v>653.33000000000004</v>
      </c>
      <c r="K16" s="95">
        <f t="shared" si="0"/>
        <v>1166.6600000000001</v>
      </c>
      <c r="L16" s="95">
        <f>1500+653.33</f>
        <v>2153.33</v>
      </c>
      <c r="M16" s="96"/>
      <c r="N16" s="96"/>
      <c r="O16" s="97"/>
      <c r="P16" s="98">
        <f t="shared" si="1"/>
        <v>3319.99</v>
      </c>
      <c r="Q16" s="99"/>
      <c r="R16" s="100">
        <v>0</v>
      </c>
      <c r="S16" s="100"/>
      <c r="T16" s="100"/>
      <c r="U16" s="100"/>
      <c r="V16" s="101"/>
      <c r="W16" s="101"/>
      <c r="X16" s="102"/>
      <c r="Y16" s="103">
        <f>879.45+287.21</f>
        <v>1166.6600000000001</v>
      </c>
      <c r="Z16" s="98">
        <f t="shared" si="8"/>
        <v>2153.33</v>
      </c>
      <c r="AA16" s="104">
        <f t="shared" si="7"/>
        <v>0</v>
      </c>
      <c r="AB16" s="98">
        <f t="shared" si="9"/>
        <v>2153.33</v>
      </c>
      <c r="AC16" s="105">
        <f t="shared" si="4"/>
        <v>331.99900000000002</v>
      </c>
      <c r="AD16" s="104">
        <f t="shared" si="5"/>
        <v>10.2666</v>
      </c>
      <c r="AE16" s="106">
        <f t="shared" si="6"/>
        <v>3662.2555999999995</v>
      </c>
      <c r="AF16" s="107"/>
      <c r="AG16" s="108">
        <f t="shared" si="10"/>
        <v>2153.33</v>
      </c>
      <c r="AH16" s="107"/>
      <c r="AI16" s="107"/>
      <c r="AJ16" s="108">
        <f t="shared" si="11"/>
        <v>2153.33</v>
      </c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</row>
    <row r="17" spans="1:52" x14ac:dyDescent="0.25">
      <c r="A17" s="92" t="s">
        <v>396</v>
      </c>
      <c r="B17" s="92" t="s">
        <v>397</v>
      </c>
      <c r="C17" s="92"/>
      <c r="D17" s="92" t="s">
        <v>48</v>
      </c>
      <c r="E17" s="92" t="s">
        <v>398</v>
      </c>
      <c r="F17" s="92"/>
      <c r="G17" s="93"/>
      <c r="H17" s="93"/>
      <c r="I17" s="92">
        <v>933.33</v>
      </c>
      <c r="J17" s="93"/>
      <c r="K17" s="95">
        <f t="shared" si="0"/>
        <v>933.33</v>
      </c>
      <c r="L17" s="95">
        <v>550</v>
      </c>
      <c r="M17" s="96"/>
      <c r="N17" s="96"/>
      <c r="O17" s="97"/>
      <c r="P17" s="98">
        <f t="shared" si="1"/>
        <v>1483.33</v>
      </c>
      <c r="Q17" s="99"/>
      <c r="R17" s="100">
        <v>0</v>
      </c>
      <c r="S17" s="100"/>
      <c r="T17" s="100"/>
      <c r="U17" s="100"/>
      <c r="V17" s="101"/>
      <c r="W17" s="101"/>
      <c r="X17" s="102"/>
      <c r="Y17" s="103">
        <v>0</v>
      </c>
      <c r="Z17" s="98">
        <f t="shared" si="8"/>
        <v>1483.33</v>
      </c>
      <c r="AA17" s="104">
        <f t="shared" si="7"/>
        <v>0</v>
      </c>
      <c r="AB17" s="98">
        <f t="shared" si="9"/>
        <v>1483.33</v>
      </c>
      <c r="AC17" s="105">
        <f t="shared" si="4"/>
        <v>148.333</v>
      </c>
      <c r="AD17" s="104">
        <f t="shared" si="5"/>
        <v>18.666600000000003</v>
      </c>
      <c r="AE17" s="106">
        <f t="shared" si="6"/>
        <v>1650.3296</v>
      </c>
      <c r="AF17" s="107"/>
      <c r="AG17" s="108">
        <f t="shared" si="10"/>
        <v>1483.33</v>
      </c>
      <c r="AH17" s="107"/>
      <c r="AI17" s="107"/>
      <c r="AJ17" s="108">
        <f t="shared" si="11"/>
        <v>1483.33</v>
      </c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</row>
    <row r="18" spans="1:52" x14ac:dyDescent="0.25">
      <c r="A18" s="92" t="s">
        <v>377</v>
      </c>
      <c r="B18" s="92" t="s">
        <v>399</v>
      </c>
      <c r="C18" s="92" t="s">
        <v>32</v>
      </c>
      <c r="D18" s="92" t="s">
        <v>50</v>
      </c>
      <c r="E18" s="92" t="s">
        <v>189</v>
      </c>
      <c r="F18" s="92"/>
      <c r="G18" s="93"/>
      <c r="H18" s="93"/>
      <c r="I18" s="92">
        <v>513.33000000000004</v>
      </c>
      <c r="J18" s="93"/>
      <c r="K18" s="95">
        <f t="shared" si="0"/>
        <v>513.33000000000004</v>
      </c>
      <c r="L18" s="95">
        <v>2855.65</v>
      </c>
      <c r="M18" s="96"/>
      <c r="N18" s="96"/>
      <c r="O18" s="97"/>
      <c r="P18" s="98">
        <f t="shared" si="1"/>
        <v>3368.98</v>
      </c>
      <c r="Q18" s="99"/>
      <c r="R18" s="100">
        <v>500</v>
      </c>
      <c r="S18" s="100"/>
      <c r="T18" s="100"/>
      <c r="U18" s="100"/>
      <c r="V18" s="101"/>
      <c r="W18" s="101"/>
      <c r="X18" s="102"/>
      <c r="Y18" s="129">
        <v>1697.06</v>
      </c>
      <c r="Z18" s="98">
        <f t="shared" si="8"/>
        <v>1171.92</v>
      </c>
      <c r="AA18" s="104">
        <f t="shared" si="7"/>
        <v>0</v>
      </c>
      <c r="AB18" s="98">
        <f t="shared" si="9"/>
        <v>1171.92</v>
      </c>
      <c r="AC18" s="105">
        <f t="shared" si="4"/>
        <v>336.89800000000002</v>
      </c>
      <c r="AD18" s="104">
        <f t="shared" si="5"/>
        <v>10.2666</v>
      </c>
      <c r="AE18" s="106">
        <f t="shared" si="6"/>
        <v>3716.1446000000001</v>
      </c>
      <c r="AF18" s="107"/>
      <c r="AG18" s="108">
        <f t="shared" si="10"/>
        <v>1171.92</v>
      </c>
      <c r="AH18" s="107"/>
      <c r="AI18" s="107"/>
      <c r="AJ18" s="108">
        <f t="shared" si="11"/>
        <v>1171.92</v>
      </c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</row>
    <row r="19" spans="1:52" x14ac:dyDescent="0.25">
      <c r="A19" s="92" t="s">
        <v>375</v>
      </c>
      <c r="B19" s="92" t="s">
        <v>400</v>
      </c>
      <c r="C19" s="92"/>
      <c r="D19" s="92" t="s">
        <v>180</v>
      </c>
      <c r="E19" s="92" t="s">
        <v>179</v>
      </c>
      <c r="F19" s="92"/>
      <c r="G19" s="92"/>
      <c r="H19" s="92"/>
      <c r="I19" s="94">
        <v>1166.26</v>
      </c>
      <c r="J19" s="94"/>
      <c r="K19" s="95">
        <f t="shared" si="0"/>
        <v>1166.26</v>
      </c>
      <c r="L19" s="95">
        <v>1045.71</v>
      </c>
      <c r="M19" s="95"/>
      <c r="N19" s="95"/>
      <c r="O19" s="97"/>
      <c r="P19" s="98">
        <f t="shared" si="1"/>
        <v>2211.9700000000003</v>
      </c>
      <c r="Q19" s="99"/>
      <c r="R19" s="100">
        <v>0</v>
      </c>
      <c r="S19" s="100"/>
      <c r="T19" s="100"/>
      <c r="U19" s="100"/>
      <c r="V19" s="101"/>
      <c r="W19" s="101"/>
      <c r="X19" s="102"/>
      <c r="Y19" s="103">
        <v>0</v>
      </c>
      <c r="Z19" s="98">
        <f t="shared" si="8"/>
        <v>2211.9700000000003</v>
      </c>
      <c r="AA19" s="104">
        <f t="shared" si="7"/>
        <v>0</v>
      </c>
      <c r="AB19" s="98">
        <f t="shared" si="9"/>
        <v>2211.9700000000003</v>
      </c>
      <c r="AC19" s="105">
        <f t="shared" si="4"/>
        <v>221.19700000000003</v>
      </c>
      <c r="AD19" s="104">
        <f t="shared" si="5"/>
        <v>23.325199999999999</v>
      </c>
      <c r="AE19" s="106">
        <f t="shared" si="6"/>
        <v>2456.4922000000006</v>
      </c>
      <c r="AF19" s="107"/>
      <c r="AG19" s="108">
        <f t="shared" si="10"/>
        <v>2211.9700000000003</v>
      </c>
      <c r="AH19" s="107"/>
      <c r="AI19" s="107"/>
      <c r="AJ19" s="108">
        <f t="shared" si="11"/>
        <v>2211.9700000000003</v>
      </c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</row>
    <row r="20" spans="1:52" x14ac:dyDescent="0.25">
      <c r="A20" s="112" t="s">
        <v>381</v>
      </c>
      <c r="B20" s="92" t="s">
        <v>401</v>
      </c>
      <c r="C20" s="92"/>
      <c r="D20" s="92" t="s">
        <v>53</v>
      </c>
      <c r="E20" s="92" t="s">
        <v>181</v>
      </c>
      <c r="F20" s="92"/>
      <c r="G20" s="93"/>
      <c r="H20" s="93"/>
      <c r="I20" s="113">
        <v>511.28</v>
      </c>
      <c r="J20" s="93"/>
      <c r="K20" s="95">
        <f t="shared" si="0"/>
        <v>511.28</v>
      </c>
      <c r="L20" s="95">
        <v>1388.4</v>
      </c>
      <c r="M20" s="96"/>
      <c r="N20" s="96"/>
      <c r="O20" s="97"/>
      <c r="P20" s="98">
        <f t="shared" si="1"/>
        <v>1899.68</v>
      </c>
      <c r="Q20" s="99"/>
      <c r="R20" s="114">
        <v>0</v>
      </c>
      <c r="S20" s="114">
        <f>P20*1%</f>
        <v>18.9968</v>
      </c>
      <c r="T20" s="114">
        <f>P20*4.9%</f>
        <v>93.084320000000005</v>
      </c>
      <c r="U20" s="100"/>
      <c r="V20" s="101"/>
      <c r="W20" s="101"/>
      <c r="X20" s="102"/>
      <c r="Y20" s="103">
        <v>0</v>
      </c>
      <c r="Z20" s="98">
        <f t="shared" si="8"/>
        <v>1787.59888</v>
      </c>
      <c r="AA20" s="104">
        <f t="shared" si="7"/>
        <v>0</v>
      </c>
      <c r="AB20" s="98">
        <f t="shared" si="9"/>
        <v>1787.59888</v>
      </c>
      <c r="AC20" s="105">
        <f t="shared" si="4"/>
        <v>189.96800000000002</v>
      </c>
      <c r="AD20" s="104">
        <f t="shared" si="5"/>
        <v>10.2256</v>
      </c>
      <c r="AE20" s="106">
        <f t="shared" si="6"/>
        <v>2099.8736000000004</v>
      </c>
      <c r="AF20" s="107"/>
      <c r="AG20" s="108">
        <f t="shared" si="10"/>
        <v>1787.59888</v>
      </c>
      <c r="AH20" s="107"/>
      <c r="AI20" s="107"/>
      <c r="AJ20" s="108">
        <f t="shared" si="11"/>
        <v>1787.59888</v>
      </c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</row>
    <row r="21" spans="1:52" x14ac:dyDescent="0.25">
      <c r="A21" s="92" t="s">
        <v>377</v>
      </c>
      <c r="B21" s="92" t="s">
        <v>402</v>
      </c>
      <c r="C21" s="92" t="s">
        <v>379</v>
      </c>
      <c r="D21" s="92">
        <v>18</v>
      </c>
      <c r="E21" s="92" t="s">
        <v>403</v>
      </c>
      <c r="F21" s="92"/>
      <c r="G21" s="93"/>
      <c r="H21" s="93"/>
      <c r="I21" s="94">
        <v>1633.33</v>
      </c>
      <c r="J21" s="93"/>
      <c r="K21" s="95">
        <f t="shared" si="0"/>
        <v>1633.33</v>
      </c>
      <c r="L21" s="95">
        <v>6279.03</v>
      </c>
      <c r="M21" s="96"/>
      <c r="N21" s="96"/>
      <c r="O21" s="97"/>
      <c r="P21" s="98">
        <f t="shared" si="1"/>
        <v>7912.36</v>
      </c>
      <c r="Q21" s="99"/>
      <c r="R21" s="114">
        <v>700</v>
      </c>
      <c r="S21" s="100"/>
      <c r="T21" s="100"/>
      <c r="U21" s="100"/>
      <c r="V21" s="101"/>
      <c r="W21" s="101"/>
      <c r="X21" s="102">
        <v>205.7</v>
      </c>
      <c r="Y21" s="110">
        <v>0</v>
      </c>
      <c r="Z21" s="98">
        <f t="shared" si="8"/>
        <v>7006.66</v>
      </c>
      <c r="AA21" s="104">
        <f t="shared" si="7"/>
        <v>791.23599999999999</v>
      </c>
      <c r="AB21" s="98">
        <f t="shared" si="9"/>
        <v>6215.424</v>
      </c>
      <c r="AC21" s="105">
        <f t="shared" si="4"/>
        <v>0</v>
      </c>
      <c r="AD21" s="104">
        <f t="shared" si="5"/>
        <v>32.666600000000003</v>
      </c>
      <c r="AE21" s="106">
        <f t="shared" si="6"/>
        <v>7945.0265999999992</v>
      </c>
      <c r="AF21" s="107"/>
      <c r="AG21" s="108">
        <f t="shared" si="10"/>
        <v>6215.424</v>
      </c>
      <c r="AH21" s="107"/>
      <c r="AI21" s="107"/>
      <c r="AJ21" s="108">
        <f t="shared" si="11"/>
        <v>6215.424</v>
      </c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</row>
    <row r="22" spans="1:52" x14ac:dyDescent="0.25">
      <c r="A22" s="92" t="s">
        <v>381</v>
      </c>
      <c r="B22" s="92" t="s">
        <v>404</v>
      </c>
      <c r="C22" s="92"/>
      <c r="D22" s="92" t="s">
        <v>56</v>
      </c>
      <c r="E22" s="92" t="s">
        <v>405</v>
      </c>
      <c r="F22" s="92"/>
      <c r="G22" s="93"/>
      <c r="H22" s="93"/>
      <c r="I22" s="113">
        <v>1100</v>
      </c>
      <c r="J22" s="93"/>
      <c r="K22" s="95">
        <f t="shared" si="0"/>
        <v>1100</v>
      </c>
      <c r="L22" s="95"/>
      <c r="M22" s="96"/>
      <c r="N22" s="96"/>
      <c r="O22" s="97"/>
      <c r="P22" s="98">
        <f t="shared" si="1"/>
        <v>1100</v>
      </c>
      <c r="Q22" s="99"/>
      <c r="R22" s="100">
        <v>0</v>
      </c>
      <c r="S22" s="100"/>
      <c r="T22" s="100"/>
      <c r="U22" s="100"/>
      <c r="V22" s="101"/>
      <c r="W22" s="101"/>
      <c r="X22" s="102"/>
      <c r="Y22" s="103">
        <v>0</v>
      </c>
      <c r="Z22" s="98">
        <f t="shared" si="8"/>
        <v>1100</v>
      </c>
      <c r="AA22" s="104">
        <f t="shared" si="7"/>
        <v>0</v>
      </c>
      <c r="AB22" s="98">
        <f t="shared" si="9"/>
        <v>1100</v>
      </c>
      <c r="AC22" s="105">
        <f t="shared" si="4"/>
        <v>110</v>
      </c>
      <c r="AD22" s="104">
        <f t="shared" si="5"/>
        <v>22</v>
      </c>
      <c r="AE22" s="106">
        <f t="shared" si="6"/>
        <v>1232</v>
      </c>
      <c r="AF22" s="107"/>
      <c r="AG22" s="108">
        <f t="shared" si="10"/>
        <v>1100</v>
      </c>
      <c r="AH22" s="107"/>
      <c r="AI22" s="107"/>
      <c r="AJ22" s="108">
        <f t="shared" si="11"/>
        <v>1100</v>
      </c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</row>
    <row r="23" spans="1:52" x14ac:dyDescent="0.25">
      <c r="A23" s="92" t="s">
        <v>396</v>
      </c>
      <c r="B23" s="92" t="s">
        <v>406</v>
      </c>
      <c r="C23" s="92"/>
      <c r="D23" s="92" t="s">
        <v>58</v>
      </c>
      <c r="E23" s="92" t="s">
        <v>398</v>
      </c>
      <c r="F23" s="92"/>
      <c r="G23" s="93"/>
      <c r="H23" s="93"/>
      <c r="I23" s="92">
        <v>933.33</v>
      </c>
      <c r="J23" s="93"/>
      <c r="K23" s="95">
        <f t="shared" si="0"/>
        <v>933.33</v>
      </c>
      <c r="L23" s="95">
        <v>550</v>
      </c>
      <c r="M23" s="96"/>
      <c r="N23" s="96"/>
      <c r="O23" s="97"/>
      <c r="P23" s="98">
        <f t="shared" si="1"/>
        <v>1483.33</v>
      </c>
      <c r="Q23" s="99"/>
      <c r="R23" s="100">
        <v>0</v>
      </c>
      <c r="S23" s="100"/>
      <c r="T23" s="100"/>
      <c r="U23" s="100"/>
      <c r="V23" s="101"/>
      <c r="W23" s="101"/>
      <c r="X23" s="102"/>
      <c r="Y23" s="103">
        <v>357.73</v>
      </c>
      <c r="Z23" s="98">
        <f t="shared" si="8"/>
        <v>1125.5999999999999</v>
      </c>
      <c r="AA23" s="104">
        <f t="shared" si="7"/>
        <v>0</v>
      </c>
      <c r="AB23" s="98">
        <f t="shared" si="9"/>
        <v>1125.5999999999999</v>
      </c>
      <c r="AC23" s="105">
        <f t="shared" si="4"/>
        <v>148.333</v>
      </c>
      <c r="AD23" s="104">
        <f t="shared" si="5"/>
        <v>18.666600000000003</v>
      </c>
      <c r="AE23" s="106">
        <f t="shared" si="6"/>
        <v>1650.3296</v>
      </c>
      <c r="AF23" s="107"/>
      <c r="AG23" s="108">
        <f t="shared" si="10"/>
        <v>1125.5999999999999</v>
      </c>
      <c r="AH23" s="107"/>
      <c r="AI23" s="107"/>
      <c r="AJ23" s="108">
        <f t="shared" si="11"/>
        <v>1125.5999999999999</v>
      </c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</row>
    <row r="24" spans="1:52" x14ac:dyDescent="0.25">
      <c r="A24" s="92" t="s">
        <v>389</v>
      </c>
      <c r="B24" s="92" t="s">
        <v>407</v>
      </c>
      <c r="C24" s="92" t="s">
        <v>391</v>
      </c>
      <c r="D24" s="92" t="s">
        <v>60</v>
      </c>
      <c r="E24" s="92" t="s">
        <v>189</v>
      </c>
      <c r="F24" s="128">
        <v>42066</v>
      </c>
      <c r="G24" s="93"/>
      <c r="H24" s="93"/>
      <c r="I24" s="92">
        <v>513.33000000000004</v>
      </c>
      <c r="J24" s="93">
        <v>653.33000000000004</v>
      </c>
      <c r="K24" s="95">
        <f t="shared" si="0"/>
        <v>1166.6600000000001</v>
      </c>
      <c r="L24" s="95">
        <f>583.83+653.33</f>
        <v>1237.1600000000001</v>
      </c>
      <c r="M24" s="96"/>
      <c r="N24" s="96"/>
      <c r="O24" s="97"/>
      <c r="P24" s="98">
        <f t="shared" si="1"/>
        <v>2403.8200000000002</v>
      </c>
      <c r="Q24" s="99"/>
      <c r="R24" s="100">
        <v>0</v>
      </c>
      <c r="S24" s="100"/>
      <c r="T24" s="100"/>
      <c r="U24" s="100"/>
      <c r="V24" s="101"/>
      <c r="W24" s="101"/>
      <c r="X24" s="102"/>
      <c r="Y24" s="103">
        <f>797.62+284.29</f>
        <v>1081.9100000000001</v>
      </c>
      <c r="Z24" s="98">
        <f t="shared" si="8"/>
        <v>1321.91</v>
      </c>
      <c r="AA24" s="104">
        <f t="shared" si="7"/>
        <v>0</v>
      </c>
      <c r="AB24" s="98">
        <f t="shared" si="9"/>
        <v>1321.91</v>
      </c>
      <c r="AC24" s="105">
        <f t="shared" si="4"/>
        <v>240.38200000000003</v>
      </c>
      <c r="AD24" s="104">
        <f t="shared" si="5"/>
        <v>10.2666</v>
      </c>
      <c r="AE24" s="106">
        <f t="shared" si="6"/>
        <v>2654.4686000000002</v>
      </c>
      <c r="AF24" s="107"/>
      <c r="AG24" s="108">
        <f t="shared" si="10"/>
        <v>1321.91</v>
      </c>
      <c r="AH24" s="107"/>
      <c r="AI24" s="107"/>
      <c r="AJ24" s="108">
        <f t="shared" si="11"/>
        <v>1321.91</v>
      </c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</row>
    <row r="25" spans="1:52" x14ac:dyDescent="0.25">
      <c r="A25" s="112" t="s">
        <v>383</v>
      </c>
      <c r="B25" s="92" t="s">
        <v>408</v>
      </c>
      <c r="C25" s="92"/>
      <c r="D25" s="92" t="s">
        <v>62</v>
      </c>
      <c r="E25" s="92" t="s">
        <v>409</v>
      </c>
      <c r="F25" s="92"/>
      <c r="G25" s="92"/>
      <c r="H25" s="92"/>
      <c r="I25" s="130">
        <v>739.23</v>
      </c>
      <c r="J25" s="92"/>
      <c r="K25" s="95">
        <f t="shared" si="0"/>
        <v>739.23</v>
      </c>
      <c r="L25" s="95">
        <v>2990.4720000000002</v>
      </c>
      <c r="M25" s="95"/>
      <c r="N25" s="95"/>
      <c r="O25" s="97"/>
      <c r="P25" s="98">
        <f t="shared" si="1"/>
        <v>3729.7020000000002</v>
      </c>
      <c r="Q25" s="99"/>
      <c r="R25" s="100">
        <v>0</v>
      </c>
      <c r="S25" s="100"/>
      <c r="T25" s="100"/>
      <c r="U25" s="100"/>
      <c r="V25" s="101"/>
      <c r="W25" s="101"/>
      <c r="X25" s="102"/>
      <c r="Y25" s="103">
        <v>0</v>
      </c>
      <c r="Z25" s="98">
        <f t="shared" si="8"/>
        <v>3729.7020000000002</v>
      </c>
      <c r="AA25" s="104">
        <f t="shared" si="7"/>
        <v>0</v>
      </c>
      <c r="AB25" s="98">
        <f t="shared" si="9"/>
        <v>3729.7020000000002</v>
      </c>
      <c r="AC25" s="105">
        <f t="shared" si="4"/>
        <v>372.97020000000003</v>
      </c>
      <c r="AD25" s="104">
        <f t="shared" si="5"/>
        <v>14.784600000000001</v>
      </c>
      <c r="AE25" s="106">
        <f t="shared" si="6"/>
        <v>4117.4567999999999</v>
      </c>
      <c r="AF25" s="107"/>
      <c r="AG25" s="108">
        <f t="shared" si="10"/>
        <v>3729.7020000000002</v>
      </c>
      <c r="AH25" s="107"/>
      <c r="AI25" s="107"/>
      <c r="AJ25" s="108">
        <f t="shared" si="11"/>
        <v>3729.7020000000002</v>
      </c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</row>
    <row r="26" spans="1:52" x14ac:dyDescent="0.25">
      <c r="A26" s="92" t="s">
        <v>389</v>
      </c>
      <c r="B26" s="92" t="s">
        <v>410</v>
      </c>
      <c r="C26" s="92" t="s">
        <v>391</v>
      </c>
      <c r="D26" s="92" t="s">
        <v>64</v>
      </c>
      <c r="E26" s="92" t="s">
        <v>392</v>
      </c>
      <c r="F26" s="128">
        <v>42304</v>
      </c>
      <c r="G26" s="93"/>
      <c r="H26" s="93"/>
      <c r="I26" s="92">
        <v>513.33000000000004</v>
      </c>
      <c r="J26" s="93"/>
      <c r="K26" s="95">
        <f t="shared" si="0"/>
        <v>513.33000000000004</v>
      </c>
      <c r="L26" s="95">
        <v>1000</v>
      </c>
      <c r="M26" s="96"/>
      <c r="N26" s="96"/>
      <c r="O26" s="97"/>
      <c r="P26" s="98">
        <f t="shared" si="1"/>
        <v>1513.33</v>
      </c>
      <c r="Q26" s="99"/>
      <c r="R26" s="100">
        <v>0</v>
      </c>
      <c r="S26" s="100"/>
      <c r="T26" s="100"/>
      <c r="U26" s="100"/>
      <c r="V26" s="101"/>
      <c r="W26" s="101"/>
      <c r="X26" s="102"/>
      <c r="Y26" s="103">
        <v>0</v>
      </c>
      <c r="Z26" s="98">
        <f t="shared" si="8"/>
        <v>1513.33</v>
      </c>
      <c r="AA26" s="104">
        <f t="shared" si="7"/>
        <v>0</v>
      </c>
      <c r="AB26" s="98">
        <f t="shared" si="9"/>
        <v>1513.33</v>
      </c>
      <c r="AC26" s="105">
        <f t="shared" si="4"/>
        <v>151.333</v>
      </c>
      <c r="AD26" s="104">
        <f t="shared" si="5"/>
        <v>10.2666</v>
      </c>
      <c r="AE26" s="106">
        <f t="shared" si="6"/>
        <v>1674.9295999999999</v>
      </c>
      <c r="AF26" s="107"/>
      <c r="AG26" s="108">
        <f t="shared" si="10"/>
        <v>1513.33</v>
      </c>
      <c r="AH26" s="107"/>
      <c r="AI26" s="107"/>
      <c r="AJ26" s="108">
        <f t="shared" si="11"/>
        <v>1513.33</v>
      </c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</row>
    <row r="27" spans="1:52" s="109" customFormat="1" x14ac:dyDescent="0.25">
      <c r="A27" s="92" t="s">
        <v>383</v>
      </c>
      <c r="B27" s="92" t="s">
        <v>411</v>
      </c>
      <c r="C27" s="92"/>
      <c r="D27" s="92" t="s">
        <v>66</v>
      </c>
      <c r="E27" s="92" t="s">
        <v>385</v>
      </c>
      <c r="F27" s="92"/>
      <c r="G27" s="92"/>
      <c r="H27" s="92"/>
      <c r="I27" s="94">
        <v>1100</v>
      </c>
      <c r="J27" s="92"/>
      <c r="K27" s="95">
        <f t="shared" si="0"/>
        <v>1100</v>
      </c>
      <c r="L27" s="95"/>
      <c r="M27" s="95"/>
      <c r="N27" s="95"/>
      <c r="O27" s="97"/>
      <c r="P27" s="98">
        <f t="shared" si="1"/>
        <v>1100</v>
      </c>
      <c r="Q27" s="99"/>
      <c r="R27" s="100">
        <v>0</v>
      </c>
      <c r="S27" s="100"/>
      <c r="T27" s="100"/>
      <c r="U27" s="100"/>
      <c r="V27" s="101"/>
      <c r="W27" s="101"/>
      <c r="X27" s="102"/>
      <c r="Y27" s="103">
        <v>0</v>
      </c>
      <c r="Z27" s="98">
        <f t="shared" si="8"/>
        <v>1100</v>
      </c>
      <c r="AA27" s="104">
        <f t="shared" si="7"/>
        <v>0</v>
      </c>
      <c r="AB27" s="98">
        <f t="shared" si="9"/>
        <v>1100</v>
      </c>
      <c r="AC27" s="105">
        <f t="shared" si="4"/>
        <v>110</v>
      </c>
      <c r="AD27" s="104">
        <f t="shared" si="5"/>
        <v>22</v>
      </c>
      <c r="AE27" s="106">
        <f t="shared" si="6"/>
        <v>1232</v>
      </c>
      <c r="AF27" s="107"/>
      <c r="AG27" s="108">
        <f t="shared" si="10"/>
        <v>1100</v>
      </c>
      <c r="AH27" s="107"/>
      <c r="AI27" s="107"/>
      <c r="AJ27" s="108">
        <f t="shared" si="11"/>
        <v>1100</v>
      </c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</row>
    <row r="28" spans="1:52" x14ac:dyDescent="0.25">
      <c r="A28" s="92" t="s">
        <v>396</v>
      </c>
      <c r="B28" s="92" t="s">
        <v>412</v>
      </c>
      <c r="C28" s="92"/>
      <c r="D28" s="92" t="s">
        <v>68</v>
      </c>
      <c r="E28" s="92" t="s">
        <v>413</v>
      </c>
      <c r="F28" s="92"/>
      <c r="G28" s="92"/>
      <c r="H28" s="92"/>
      <c r="I28" s="92">
        <v>933.33</v>
      </c>
      <c r="J28" s="92"/>
      <c r="K28" s="95">
        <f t="shared" si="0"/>
        <v>933.33</v>
      </c>
      <c r="L28" s="95">
        <v>550</v>
      </c>
      <c r="M28" s="95"/>
      <c r="N28" s="95"/>
      <c r="O28" s="97"/>
      <c r="P28" s="98">
        <f t="shared" si="1"/>
        <v>1483.33</v>
      </c>
      <c r="Q28" s="99"/>
      <c r="R28" s="100">
        <v>0</v>
      </c>
      <c r="S28" s="100"/>
      <c r="T28" s="100"/>
      <c r="U28" s="100"/>
      <c r="V28" s="101"/>
      <c r="W28" s="101"/>
      <c r="X28" s="102"/>
      <c r="Y28" s="103">
        <v>0</v>
      </c>
      <c r="Z28" s="98">
        <f t="shared" si="8"/>
        <v>1483.33</v>
      </c>
      <c r="AA28" s="104">
        <f t="shared" si="7"/>
        <v>0</v>
      </c>
      <c r="AB28" s="98">
        <f t="shared" si="9"/>
        <v>1483.33</v>
      </c>
      <c r="AC28" s="105">
        <f t="shared" si="4"/>
        <v>148.333</v>
      </c>
      <c r="AD28" s="104">
        <f t="shared" si="5"/>
        <v>18.666600000000003</v>
      </c>
      <c r="AE28" s="106">
        <f t="shared" si="6"/>
        <v>1650.3296</v>
      </c>
      <c r="AF28" s="107"/>
      <c r="AG28" s="108">
        <f t="shared" si="10"/>
        <v>1483.33</v>
      </c>
      <c r="AH28" s="107"/>
      <c r="AI28" s="107"/>
      <c r="AJ28" s="108">
        <f t="shared" si="11"/>
        <v>1483.33</v>
      </c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</row>
    <row r="29" spans="1:52" x14ac:dyDescent="0.25">
      <c r="A29" s="92" t="s">
        <v>414</v>
      </c>
      <c r="B29" s="92" t="s">
        <v>415</v>
      </c>
      <c r="C29" s="92"/>
      <c r="D29" s="92" t="s">
        <v>70</v>
      </c>
      <c r="E29" s="92" t="s">
        <v>186</v>
      </c>
      <c r="F29" s="92"/>
      <c r="G29" s="92"/>
      <c r="H29" s="92"/>
      <c r="I29" s="94">
        <v>1516.67</v>
      </c>
      <c r="J29" s="92"/>
      <c r="K29" s="95">
        <f t="shared" si="0"/>
        <v>1516.67</v>
      </c>
      <c r="L29" s="95"/>
      <c r="M29" s="95"/>
      <c r="N29" s="95"/>
      <c r="O29" s="97"/>
      <c r="P29" s="98">
        <f t="shared" si="1"/>
        <v>1516.67</v>
      </c>
      <c r="Q29" s="99"/>
      <c r="R29" s="114">
        <v>200</v>
      </c>
      <c r="S29" s="100"/>
      <c r="T29" s="100"/>
      <c r="U29" s="100"/>
      <c r="V29" s="101"/>
      <c r="W29" s="101"/>
      <c r="X29" s="102"/>
      <c r="Y29" s="110">
        <v>0</v>
      </c>
      <c r="Z29" s="98">
        <f t="shared" si="8"/>
        <v>1316.67</v>
      </c>
      <c r="AA29" s="104">
        <f t="shared" si="7"/>
        <v>0</v>
      </c>
      <c r="AB29" s="98">
        <f t="shared" si="9"/>
        <v>1316.67</v>
      </c>
      <c r="AC29" s="105">
        <f t="shared" si="4"/>
        <v>151.667</v>
      </c>
      <c r="AD29" s="104">
        <f t="shared" si="5"/>
        <v>30.333400000000001</v>
      </c>
      <c r="AE29" s="106">
        <f t="shared" si="6"/>
        <v>1698.6704</v>
      </c>
      <c r="AF29" s="107"/>
      <c r="AG29" s="108">
        <f t="shared" si="10"/>
        <v>1316.67</v>
      </c>
      <c r="AH29" s="107"/>
      <c r="AI29" s="107"/>
      <c r="AJ29" s="108">
        <f t="shared" si="11"/>
        <v>1316.67</v>
      </c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</row>
    <row r="30" spans="1:52" s="109" customFormat="1" x14ac:dyDescent="0.25">
      <c r="A30" s="112" t="s">
        <v>381</v>
      </c>
      <c r="B30" s="92" t="s">
        <v>416</v>
      </c>
      <c r="C30" s="92"/>
      <c r="D30" s="92" t="s">
        <v>72</v>
      </c>
      <c r="E30" s="92" t="s">
        <v>190</v>
      </c>
      <c r="F30" s="92"/>
      <c r="G30" s="93"/>
      <c r="H30" s="93"/>
      <c r="I30" s="113">
        <v>608.16</v>
      </c>
      <c r="J30" s="93"/>
      <c r="K30" s="95">
        <f t="shared" si="0"/>
        <v>608.16</v>
      </c>
      <c r="L30" s="95">
        <v>4825.84</v>
      </c>
      <c r="M30" s="96"/>
      <c r="N30" s="96"/>
      <c r="O30" s="97"/>
      <c r="P30" s="98">
        <f t="shared" si="1"/>
        <v>5434</v>
      </c>
      <c r="Q30" s="99"/>
      <c r="R30" s="114">
        <v>500</v>
      </c>
      <c r="S30" s="114">
        <f>P30*1%</f>
        <v>54.34</v>
      </c>
      <c r="T30" s="114">
        <f>P30*4.9%</f>
        <v>266.26600000000002</v>
      </c>
      <c r="U30" s="100"/>
      <c r="V30" s="101"/>
      <c r="W30" s="101"/>
      <c r="X30" s="102"/>
      <c r="Y30" s="103">
        <v>0</v>
      </c>
      <c r="Z30" s="98">
        <f t="shared" si="8"/>
        <v>4613.3940000000002</v>
      </c>
      <c r="AA30" s="104">
        <f t="shared" si="7"/>
        <v>543.4</v>
      </c>
      <c r="AB30" s="98">
        <f t="shared" si="9"/>
        <v>4069.9940000000001</v>
      </c>
      <c r="AC30" s="105">
        <f t="shared" si="4"/>
        <v>0</v>
      </c>
      <c r="AD30" s="104">
        <f t="shared" si="5"/>
        <v>12.1632</v>
      </c>
      <c r="AE30" s="106">
        <f t="shared" si="6"/>
        <v>5446.1632</v>
      </c>
      <c r="AF30" s="107"/>
      <c r="AG30" s="108">
        <f t="shared" si="10"/>
        <v>4069.9940000000001</v>
      </c>
      <c r="AH30" s="107"/>
      <c r="AI30" s="107"/>
      <c r="AJ30" s="108">
        <f t="shared" si="11"/>
        <v>4069.9940000000001</v>
      </c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</row>
    <row r="31" spans="1:52" s="109" customFormat="1" x14ac:dyDescent="0.25">
      <c r="A31" s="92" t="s">
        <v>377</v>
      </c>
      <c r="B31" s="92" t="s">
        <v>417</v>
      </c>
      <c r="C31" s="92" t="s">
        <v>30</v>
      </c>
      <c r="D31" s="92" t="s">
        <v>74</v>
      </c>
      <c r="E31" s="92" t="s">
        <v>189</v>
      </c>
      <c r="F31" s="92"/>
      <c r="G31" s="93"/>
      <c r="H31" s="93"/>
      <c r="I31" s="92">
        <v>513.33000000000004</v>
      </c>
      <c r="J31" s="93"/>
      <c r="K31" s="95">
        <f t="shared" si="0"/>
        <v>513.33000000000004</v>
      </c>
      <c r="L31" s="95">
        <v>8777.2199999999993</v>
      </c>
      <c r="M31" s="96"/>
      <c r="N31" s="96"/>
      <c r="O31" s="97"/>
      <c r="P31" s="98">
        <f t="shared" si="1"/>
        <v>9290.5499999999993</v>
      </c>
      <c r="Q31" s="99"/>
      <c r="R31" s="100">
        <v>0</v>
      </c>
      <c r="S31" s="100"/>
      <c r="T31" s="100"/>
      <c r="U31" s="100"/>
      <c r="V31" s="101"/>
      <c r="W31" s="101"/>
      <c r="X31" s="102"/>
      <c r="Y31" s="110">
        <v>530.28</v>
      </c>
      <c r="Z31" s="98">
        <f t="shared" si="8"/>
        <v>8760.2699999999986</v>
      </c>
      <c r="AA31" s="104">
        <f t="shared" si="7"/>
        <v>929.05499999999995</v>
      </c>
      <c r="AB31" s="98">
        <f t="shared" si="9"/>
        <v>7831.2149999999983</v>
      </c>
      <c r="AC31" s="105">
        <f t="shared" si="4"/>
        <v>0</v>
      </c>
      <c r="AD31" s="104">
        <f t="shared" si="5"/>
        <v>10.2666</v>
      </c>
      <c r="AE31" s="106">
        <f t="shared" si="6"/>
        <v>9300.8166000000001</v>
      </c>
      <c r="AF31" s="107"/>
      <c r="AG31" s="108">
        <f t="shared" si="10"/>
        <v>7831.2149999999983</v>
      </c>
      <c r="AH31" s="107"/>
      <c r="AI31" s="107"/>
      <c r="AJ31" s="108">
        <f t="shared" si="11"/>
        <v>7831.2149999999983</v>
      </c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</row>
    <row r="32" spans="1:52" s="109" customFormat="1" x14ac:dyDescent="0.25">
      <c r="A32" s="112" t="s">
        <v>381</v>
      </c>
      <c r="B32" s="92" t="s">
        <v>418</v>
      </c>
      <c r="C32" s="92"/>
      <c r="D32" s="92" t="s">
        <v>76</v>
      </c>
      <c r="E32" s="92" t="s">
        <v>419</v>
      </c>
      <c r="F32" s="92"/>
      <c r="G32" s="93"/>
      <c r="H32" s="93"/>
      <c r="I32" s="113">
        <v>608.16</v>
      </c>
      <c r="J32" s="93"/>
      <c r="K32" s="95">
        <f t="shared" si="0"/>
        <v>608.16</v>
      </c>
      <c r="L32" s="95">
        <v>3017.1</v>
      </c>
      <c r="M32" s="96"/>
      <c r="N32" s="96"/>
      <c r="O32" s="97"/>
      <c r="P32" s="98">
        <f t="shared" si="1"/>
        <v>3625.2599999999998</v>
      </c>
      <c r="Q32" s="99"/>
      <c r="R32" s="114">
        <v>1000</v>
      </c>
      <c r="S32" s="114">
        <f>P32*1%</f>
        <v>36.252600000000001</v>
      </c>
      <c r="T32" s="114">
        <f>P32*4.9%</f>
        <v>177.63774000000001</v>
      </c>
      <c r="U32" s="100"/>
      <c r="V32" s="101"/>
      <c r="W32" s="101"/>
      <c r="X32" s="102"/>
      <c r="Y32" s="103">
        <v>0</v>
      </c>
      <c r="Z32" s="98">
        <f t="shared" si="8"/>
        <v>2411.3696599999998</v>
      </c>
      <c r="AA32" s="104">
        <f t="shared" si="7"/>
        <v>0</v>
      </c>
      <c r="AB32" s="98">
        <f t="shared" si="9"/>
        <v>2411.3696599999998</v>
      </c>
      <c r="AC32" s="105">
        <f t="shared" si="4"/>
        <v>362.52600000000001</v>
      </c>
      <c r="AD32" s="104">
        <f t="shared" si="5"/>
        <v>12.1632</v>
      </c>
      <c r="AE32" s="106">
        <f t="shared" si="6"/>
        <v>3999.9491999999996</v>
      </c>
      <c r="AF32" s="107"/>
      <c r="AG32" s="108">
        <f t="shared" si="10"/>
        <v>2411.3696599999998</v>
      </c>
      <c r="AH32" s="107"/>
      <c r="AI32" s="107"/>
      <c r="AJ32" s="108">
        <f t="shared" si="11"/>
        <v>2411.3696599999998</v>
      </c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</row>
    <row r="33" spans="1:52" s="109" customFormat="1" x14ac:dyDescent="0.25">
      <c r="A33" s="92" t="s">
        <v>375</v>
      </c>
      <c r="B33" s="92" t="s">
        <v>420</v>
      </c>
      <c r="C33" s="92"/>
      <c r="D33" s="92" t="s">
        <v>78</v>
      </c>
      <c r="E33" s="92" t="s">
        <v>179</v>
      </c>
      <c r="F33" s="92"/>
      <c r="G33" s="92"/>
      <c r="H33" s="92"/>
      <c r="I33" s="94">
        <v>1166.26</v>
      </c>
      <c r="J33" s="94"/>
      <c r="K33" s="95">
        <f t="shared" si="0"/>
        <v>1166.26</v>
      </c>
      <c r="L33" s="95">
        <v>1509.29</v>
      </c>
      <c r="M33" s="95"/>
      <c r="N33" s="95"/>
      <c r="O33" s="97"/>
      <c r="P33" s="98">
        <f t="shared" si="1"/>
        <v>2675.55</v>
      </c>
      <c r="Q33" s="99"/>
      <c r="R33" s="100">
        <v>0</v>
      </c>
      <c r="S33" s="100"/>
      <c r="T33" s="100"/>
      <c r="U33" s="100"/>
      <c r="V33" s="101"/>
      <c r="W33" s="101"/>
      <c r="X33" s="102"/>
      <c r="Y33" s="103">
        <v>0</v>
      </c>
      <c r="Z33" s="98">
        <f t="shared" si="8"/>
        <v>2675.55</v>
      </c>
      <c r="AA33" s="104">
        <f t="shared" si="7"/>
        <v>0</v>
      </c>
      <c r="AB33" s="98">
        <f t="shared" si="9"/>
        <v>2675.55</v>
      </c>
      <c r="AC33" s="105">
        <f t="shared" si="4"/>
        <v>267.55500000000001</v>
      </c>
      <c r="AD33" s="104">
        <f t="shared" si="5"/>
        <v>23.325199999999999</v>
      </c>
      <c r="AE33" s="106">
        <f t="shared" si="6"/>
        <v>2966.4302000000002</v>
      </c>
      <c r="AF33" s="107"/>
      <c r="AG33" s="108">
        <f t="shared" si="10"/>
        <v>2675.55</v>
      </c>
      <c r="AH33" s="107"/>
      <c r="AI33" s="107"/>
      <c r="AJ33" s="108">
        <f t="shared" si="11"/>
        <v>2675.55</v>
      </c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</row>
    <row r="34" spans="1:52" s="125" customFormat="1" x14ac:dyDescent="0.25">
      <c r="A34" s="115" t="s">
        <v>377</v>
      </c>
      <c r="B34" s="115" t="s">
        <v>421</v>
      </c>
      <c r="C34" s="115" t="s">
        <v>30</v>
      </c>
      <c r="D34" s="115"/>
      <c r="E34" s="115" t="s">
        <v>189</v>
      </c>
      <c r="F34" s="116">
        <v>42415</v>
      </c>
      <c r="G34" s="115"/>
      <c r="H34" s="115"/>
      <c r="I34" s="117">
        <v>513.33000000000004</v>
      </c>
      <c r="J34" s="117">
        <v>653.33000000000004</v>
      </c>
      <c r="K34" s="118">
        <f t="shared" si="0"/>
        <v>1166.6600000000001</v>
      </c>
      <c r="L34" s="118"/>
      <c r="M34" s="118"/>
      <c r="N34" s="118"/>
      <c r="O34" s="119"/>
      <c r="P34" s="120">
        <f t="shared" si="1"/>
        <v>1166.6600000000001</v>
      </c>
      <c r="Q34" s="121"/>
      <c r="R34" s="121"/>
      <c r="S34" s="121"/>
      <c r="T34" s="121"/>
      <c r="U34" s="121"/>
      <c r="V34" s="122"/>
      <c r="W34" s="122"/>
      <c r="X34" s="115"/>
      <c r="Y34" s="131"/>
      <c r="Z34" s="120">
        <f t="shared" si="8"/>
        <v>1166.6600000000001</v>
      </c>
      <c r="AA34" s="124">
        <f t="shared" si="7"/>
        <v>0</v>
      </c>
      <c r="AB34" s="120">
        <f t="shared" si="9"/>
        <v>1166.6600000000001</v>
      </c>
      <c r="AC34" s="124">
        <f t="shared" si="4"/>
        <v>116.66600000000001</v>
      </c>
      <c r="AD34" s="124">
        <f t="shared" si="5"/>
        <v>10.2666</v>
      </c>
      <c r="AE34" s="106">
        <f t="shared" si="6"/>
        <v>1293.5925999999999</v>
      </c>
      <c r="AG34" s="126"/>
      <c r="AJ34" s="126"/>
    </row>
    <row r="35" spans="1:52" x14ac:dyDescent="0.25">
      <c r="A35" s="92" t="s">
        <v>377</v>
      </c>
      <c r="B35" s="92" t="s">
        <v>422</v>
      </c>
      <c r="C35" s="92" t="s">
        <v>30</v>
      </c>
      <c r="D35" s="92" t="s">
        <v>273</v>
      </c>
      <c r="E35" s="92" t="s">
        <v>189</v>
      </c>
      <c r="F35" s="92"/>
      <c r="G35" s="93"/>
      <c r="H35" s="93"/>
      <c r="I35" s="92">
        <v>513.33000000000004</v>
      </c>
      <c r="J35" s="93"/>
      <c r="K35" s="95">
        <f t="shared" si="0"/>
        <v>513.33000000000004</v>
      </c>
      <c r="L35" s="95">
        <v>8461.1</v>
      </c>
      <c r="M35" s="96"/>
      <c r="N35" s="96"/>
      <c r="O35" s="97"/>
      <c r="P35" s="98">
        <f t="shared" si="1"/>
        <v>8974.43</v>
      </c>
      <c r="Q35" s="99"/>
      <c r="R35" s="100">
        <v>0</v>
      </c>
      <c r="S35" s="100"/>
      <c r="T35" s="100"/>
      <c r="U35" s="100"/>
      <c r="V35" s="101"/>
      <c r="W35" s="101"/>
      <c r="X35" s="102"/>
      <c r="Y35" s="110">
        <v>349.07</v>
      </c>
      <c r="Z35" s="98">
        <f t="shared" si="8"/>
        <v>8625.36</v>
      </c>
      <c r="AA35" s="104">
        <f t="shared" si="7"/>
        <v>897.4430000000001</v>
      </c>
      <c r="AB35" s="98">
        <f t="shared" si="9"/>
        <v>7727.9170000000004</v>
      </c>
      <c r="AC35" s="105">
        <f t="shared" si="4"/>
        <v>0</v>
      </c>
      <c r="AD35" s="104">
        <f t="shared" si="5"/>
        <v>10.2666</v>
      </c>
      <c r="AE35" s="106">
        <f t="shared" si="6"/>
        <v>8984.6966000000011</v>
      </c>
      <c r="AF35" s="107"/>
      <c r="AG35" s="108">
        <f t="shared" ref="AG35:AG44" si="12">+AB35-AF35</f>
        <v>7727.9170000000004</v>
      </c>
      <c r="AH35" s="107"/>
      <c r="AI35" s="107"/>
      <c r="AJ35" s="108">
        <f t="shared" ref="AJ35:AJ44" si="13">+AG35-AH35-AI35</f>
        <v>7727.9170000000004</v>
      </c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</row>
    <row r="36" spans="1:52" x14ac:dyDescent="0.25">
      <c r="A36" s="92" t="s">
        <v>377</v>
      </c>
      <c r="B36" s="92" t="s">
        <v>423</v>
      </c>
      <c r="C36" s="92" t="s">
        <v>30</v>
      </c>
      <c r="D36" s="92" t="s">
        <v>82</v>
      </c>
      <c r="E36" s="92" t="s">
        <v>189</v>
      </c>
      <c r="F36" s="92"/>
      <c r="G36" s="93"/>
      <c r="H36" s="93"/>
      <c r="I36" s="92">
        <v>513.33000000000004</v>
      </c>
      <c r="J36" s="93"/>
      <c r="K36" s="95">
        <f t="shared" si="0"/>
        <v>513.33000000000004</v>
      </c>
      <c r="L36" s="95">
        <v>11221.46</v>
      </c>
      <c r="M36" s="96"/>
      <c r="N36" s="96"/>
      <c r="O36" s="97"/>
      <c r="P36" s="98">
        <f t="shared" si="1"/>
        <v>11734.789999999999</v>
      </c>
      <c r="Q36" s="99"/>
      <c r="R36" s="100">
        <v>0</v>
      </c>
      <c r="S36" s="100"/>
      <c r="T36" s="100"/>
      <c r="U36" s="100"/>
      <c r="V36" s="101"/>
      <c r="W36" s="101"/>
      <c r="X36" s="102"/>
      <c r="Y36" s="110">
        <v>0</v>
      </c>
      <c r="Z36" s="98">
        <f t="shared" si="8"/>
        <v>11734.789999999999</v>
      </c>
      <c r="AA36" s="104">
        <f t="shared" si="7"/>
        <v>1173.479</v>
      </c>
      <c r="AB36" s="98">
        <f t="shared" si="9"/>
        <v>10561.311</v>
      </c>
      <c r="AC36" s="105">
        <f t="shared" si="4"/>
        <v>0</v>
      </c>
      <c r="AD36" s="104">
        <f t="shared" si="5"/>
        <v>10.2666</v>
      </c>
      <c r="AE36" s="106">
        <f t="shared" si="6"/>
        <v>11745.0566</v>
      </c>
      <c r="AF36" s="107"/>
      <c r="AG36" s="108">
        <f t="shared" si="12"/>
        <v>10561.311</v>
      </c>
      <c r="AH36" s="107"/>
      <c r="AI36" s="107"/>
      <c r="AJ36" s="108">
        <f t="shared" si="13"/>
        <v>10561.311</v>
      </c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</row>
    <row r="37" spans="1:52" x14ac:dyDescent="0.25">
      <c r="A37" s="92" t="s">
        <v>377</v>
      </c>
      <c r="B37" s="92" t="s">
        <v>424</v>
      </c>
      <c r="C37" s="92" t="s">
        <v>31</v>
      </c>
      <c r="D37" s="92" t="s">
        <v>84</v>
      </c>
      <c r="E37" s="92" t="s">
        <v>189</v>
      </c>
      <c r="F37" s="92"/>
      <c r="G37" s="93"/>
      <c r="H37" s="93"/>
      <c r="I37" s="92">
        <v>513.33000000000004</v>
      </c>
      <c r="J37" s="93"/>
      <c r="K37" s="95">
        <f t="shared" si="0"/>
        <v>513.33000000000004</v>
      </c>
      <c r="L37" s="95">
        <v>4867.3599999999997</v>
      </c>
      <c r="M37" s="96"/>
      <c r="N37" s="96"/>
      <c r="O37" s="97"/>
      <c r="P37" s="98">
        <f t="shared" si="1"/>
        <v>5380.69</v>
      </c>
      <c r="Q37" s="99"/>
      <c r="R37" s="100">
        <v>0</v>
      </c>
      <c r="S37" s="100"/>
      <c r="T37" s="100"/>
      <c r="U37" s="100"/>
      <c r="V37" s="101"/>
      <c r="W37" s="101"/>
      <c r="X37" s="102"/>
      <c r="Y37" s="110">
        <v>0</v>
      </c>
      <c r="Z37" s="98">
        <f t="shared" si="8"/>
        <v>5380.69</v>
      </c>
      <c r="AA37" s="104">
        <f t="shared" si="7"/>
        <v>538.06899999999996</v>
      </c>
      <c r="AB37" s="98">
        <f t="shared" si="9"/>
        <v>4842.6209999999992</v>
      </c>
      <c r="AC37" s="105">
        <f t="shared" si="4"/>
        <v>0</v>
      </c>
      <c r="AD37" s="104">
        <f t="shared" si="5"/>
        <v>10.2666</v>
      </c>
      <c r="AE37" s="106">
        <f t="shared" si="6"/>
        <v>5390.9565999999995</v>
      </c>
      <c r="AF37" s="107"/>
      <c r="AG37" s="108">
        <f t="shared" si="12"/>
        <v>4842.6209999999992</v>
      </c>
      <c r="AH37" s="107"/>
      <c r="AI37" s="107"/>
      <c r="AJ37" s="108">
        <f t="shared" si="13"/>
        <v>4842.6209999999992</v>
      </c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</row>
    <row r="38" spans="1:52" x14ac:dyDescent="0.25">
      <c r="A38" s="112" t="s">
        <v>383</v>
      </c>
      <c r="B38" s="92" t="s">
        <v>425</v>
      </c>
      <c r="C38" s="92"/>
      <c r="D38" s="92" t="s">
        <v>86</v>
      </c>
      <c r="E38" s="92" t="s">
        <v>181</v>
      </c>
      <c r="F38" s="92"/>
      <c r="G38" s="92"/>
      <c r="H38" s="92"/>
      <c r="I38" s="92">
        <v>739.23</v>
      </c>
      <c r="J38" s="92"/>
      <c r="K38" s="95">
        <f t="shared" si="0"/>
        <v>739.23</v>
      </c>
      <c r="L38" s="95">
        <v>2095.4160000000002</v>
      </c>
      <c r="M38" s="95"/>
      <c r="N38" s="95"/>
      <c r="O38" s="97"/>
      <c r="P38" s="98">
        <f t="shared" si="1"/>
        <v>2834.6460000000002</v>
      </c>
      <c r="Q38" s="99"/>
      <c r="R38" s="100">
        <v>0</v>
      </c>
      <c r="S38" s="100"/>
      <c r="T38" s="100"/>
      <c r="U38" s="100"/>
      <c r="V38" s="101"/>
      <c r="W38" s="101"/>
      <c r="X38" s="102"/>
      <c r="Y38" s="103">
        <v>0</v>
      </c>
      <c r="Z38" s="98">
        <f t="shared" si="8"/>
        <v>2834.6460000000002</v>
      </c>
      <c r="AA38" s="104">
        <f t="shared" si="7"/>
        <v>0</v>
      </c>
      <c r="AB38" s="98">
        <f t="shared" si="9"/>
        <v>2834.6460000000002</v>
      </c>
      <c r="AC38" s="105">
        <f t="shared" si="4"/>
        <v>283.46460000000002</v>
      </c>
      <c r="AD38" s="104">
        <f t="shared" si="5"/>
        <v>14.784600000000001</v>
      </c>
      <c r="AE38" s="106">
        <f t="shared" si="6"/>
        <v>3132.8951999999999</v>
      </c>
      <c r="AF38" s="107"/>
      <c r="AG38" s="108">
        <f t="shared" si="12"/>
        <v>2834.6460000000002</v>
      </c>
      <c r="AH38" s="107"/>
      <c r="AI38" s="107"/>
      <c r="AJ38" s="108">
        <f t="shared" si="13"/>
        <v>2834.6460000000002</v>
      </c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</row>
    <row r="39" spans="1:52" x14ac:dyDescent="0.25">
      <c r="A39" s="92" t="s">
        <v>377</v>
      </c>
      <c r="B39" s="92" t="s">
        <v>426</v>
      </c>
      <c r="C39" s="92" t="s">
        <v>32</v>
      </c>
      <c r="D39" s="92" t="s">
        <v>88</v>
      </c>
      <c r="E39" s="92" t="s">
        <v>189</v>
      </c>
      <c r="F39" s="92"/>
      <c r="G39" s="93"/>
      <c r="H39" s="93"/>
      <c r="I39" s="92">
        <v>513.33000000000004</v>
      </c>
      <c r="J39" s="93"/>
      <c r="K39" s="95">
        <f t="shared" si="0"/>
        <v>513.33000000000004</v>
      </c>
      <c r="L39" s="95">
        <v>5764.25</v>
      </c>
      <c r="M39" s="96"/>
      <c r="N39" s="96"/>
      <c r="O39" s="97"/>
      <c r="P39" s="98">
        <f t="shared" ref="P39:P69" si="14">SUM(K39:N39)-O39</f>
        <v>6277.58</v>
      </c>
      <c r="Q39" s="99"/>
      <c r="R39" s="100">
        <v>0</v>
      </c>
      <c r="S39" s="100"/>
      <c r="T39" s="100"/>
      <c r="U39" s="100"/>
      <c r="V39" s="101"/>
      <c r="W39" s="101"/>
      <c r="X39" s="102"/>
      <c r="Y39" s="110">
        <v>0</v>
      </c>
      <c r="Z39" s="98">
        <f t="shared" si="8"/>
        <v>6277.58</v>
      </c>
      <c r="AA39" s="104">
        <f t="shared" si="7"/>
        <v>627.75800000000004</v>
      </c>
      <c r="AB39" s="98">
        <f t="shared" si="9"/>
        <v>5649.8220000000001</v>
      </c>
      <c r="AC39" s="105">
        <f t="shared" si="4"/>
        <v>0</v>
      </c>
      <c r="AD39" s="104">
        <f t="shared" si="5"/>
        <v>10.2666</v>
      </c>
      <c r="AE39" s="106">
        <f t="shared" si="6"/>
        <v>6287.8465999999999</v>
      </c>
      <c r="AF39" s="107"/>
      <c r="AG39" s="108">
        <f t="shared" si="12"/>
        <v>5649.8220000000001</v>
      </c>
      <c r="AH39" s="107"/>
      <c r="AI39" s="107"/>
      <c r="AJ39" s="108">
        <f t="shared" si="13"/>
        <v>5649.8220000000001</v>
      </c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</row>
    <row r="40" spans="1:52" x14ac:dyDescent="0.25">
      <c r="A40" s="92" t="s">
        <v>377</v>
      </c>
      <c r="B40" s="92" t="s">
        <v>427</v>
      </c>
      <c r="C40" s="92" t="s">
        <v>31</v>
      </c>
      <c r="D40" s="92" t="s">
        <v>90</v>
      </c>
      <c r="E40" s="92" t="s">
        <v>189</v>
      </c>
      <c r="F40" s="92"/>
      <c r="G40" s="93"/>
      <c r="H40" s="93"/>
      <c r="I40" s="92">
        <v>513.33000000000004</v>
      </c>
      <c r="J40" s="93"/>
      <c r="K40" s="95">
        <f t="shared" si="0"/>
        <v>513.33000000000004</v>
      </c>
      <c r="L40" s="95"/>
      <c r="M40" s="96"/>
      <c r="N40" s="96"/>
      <c r="O40" s="97"/>
      <c r="P40" s="98">
        <f t="shared" si="14"/>
        <v>513.33000000000004</v>
      </c>
      <c r="Q40" s="99"/>
      <c r="R40" s="100">
        <v>0</v>
      </c>
      <c r="S40" s="100"/>
      <c r="T40" s="100"/>
      <c r="U40" s="100"/>
      <c r="V40" s="101"/>
      <c r="W40" s="101"/>
      <c r="X40" s="102"/>
      <c r="Y40" s="110">
        <v>771.61</v>
      </c>
      <c r="Z40" s="98">
        <f t="shared" si="8"/>
        <v>-258.27999999999997</v>
      </c>
      <c r="AA40" s="104">
        <f t="shared" si="7"/>
        <v>0</v>
      </c>
      <c r="AB40" s="98">
        <f t="shared" si="9"/>
        <v>-258.27999999999997</v>
      </c>
      <c r="AC40" s="105">
        <f t="shared" si="4"/>
        <v>51.333000000000006</v>
      </c>
      <c r="AD40" s="104">
        <f t="shared" si="5"/>
        <v>10.2666</v>
      </c>
      <c r="AE40" s="106">
        <f t="shared" si="6"/>
        <v>574.92960000000005</v>
      </c>
      <c r="AF40" s="107"/>
      <c r="AG40" s="108">
        <f t="shared" si="12"/>
        <v>-258.27999999999997</v>
      </c>
      <c r="AH40" s="107"/>
      <c r="AI40" s="107"/>
      <c r="AJ40" s="108">
        <f t="shared" si="13"/>
        <v>-258.27999999999997</v>
      </c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</row>
    <row r="41" spans="1:52" x14ac:dyDescent="0.25">
      <c r="A41" s="92" t="s">
        <v>389</v>
      </c>
      <c r="B41" s="92" t="s">
        <v>428</v>
      </c>
      <c r="C41" s="92" t="s">
        <v>391</v>
      </c>
      <c r="D41" s="92" t="s">
        <v>92</v>
      </c>
      <c r="E41" s="92" t="s">
        <v>392</v>
      </c>
      <c r="F41" s="92"/>
      <c r="G41" s="93"/>
      <c r="H41" s="93"/>
      <c r="I41" s="92">
        <v>513.33000000000004</v>
      </c>
      <c r="J41" s="93"/>
      <c r="K41" s="95">
        <f t="shared" si="0"/>
        <v>513.33000000000004</v>
      </c>
      <c r="L41" s="95">
        <v>2500</v>
      </c>
      <c r="M41" s="96"/>
      <c r="N41" s="96"/>
      <c r="O41" s="97"/>
      <c r="P41" s="98">
        <f t="shared" si="14"/>
        <v>3013.33</v>
      </c>
      <c r="Q41" s="99"/>
      <c r="R41" s="100">
        <v>0</v>
      </c>
      <c r="S41" s="100"/>
      <c r="T41" s="100"/>
      <c r="U41" s="100"/>
      <c r="V41" s="101"/>
      <c r="W41" s="101"/>
      <c r="X41" s="102"/>
      <c r="Y41" s="103">
        <v>0</v>
      </c>
      <c r="Z41" s="98">
        <f t="shared" si="8"/>
        <v>3013.33</v>
      </c>
      <c r="AA41" s="104">
        <f t="shared" si="7"/>
        <v>0</v>
      </c>
      <c r="AB41" s="98">
        <f t="shared" si="9"/>
        <v>3013.33</v>
      </c>
      <c r="AC41" s="105">
        <f t="shared" si="4"/>
        <v>301.33300000000003</v>
      </c>
      <c r="AD41" s="104">
        <f t="shared" si="5"/>
        <v>10.2666</v>
      </c>
      <c r="AE41" s="106">
        <f t="shared" si="6"/>
        <v>3324.9295999999999</v>
      </c>
      <c r="AF41" s="107"/>
      <c r="AG41" s="108">
        <f t="shared" si="12"/>
        <v>3013.33</v>
      </c>
      <c r="AH41" s="107"/>
      <c r="AI41" s="107"/>
      <c r="AJ41" s="108">
        <f t="shared" si="13"/>
        <v>3013.33</v>
      </c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</row>
    <row r="42" spans="1:52" x14ac:dyDescent="0.25">
      <c r="A42" s="92" t="s">
        <v>377</v>
      </c>
      <c r="B42" s="92" t="s">
        <v>429</v>
      </c>
      <c r="C42" s="92" t="s">
        <v>31</v>
      </c>
      <c r="D42" s="92" t="s">
        <v>94</v>
      </c>
      <c r="E42" s="92" t="s">
        <v>189</v>
      </c>
      <c r="F42" s="92"/>
      <c r="G42" s="93"/>
      <c r="H42" s="93"/>
      <c r="I42" s="92">
        <v>513.33000000000004</v>
      </c>
      <c r="J42" s="93"/>
      <c r="K42" s="95">
        <f t="shared" si="0"/>
        <v>513.33000000000004</v>
      </c>
      <c r="L42" s="95"/>
      <c r="M42" s="96"/>
      <c r="N42" s="96"/>
      <c r="O42" s="97"/>
      <c r="P42" s="98">
        <f t="shared" si="14"/>
        <v>513.33000000000004</v>
      </c>
      <c r="Q42" s="99"/>
      <c r="R42" s="100">
        <v>0</v>
      </c>
      <c r="S42" s="100"/>
      <c r="T42" s="100"/>
      <c r="U42" s="100"/>
      <c r="V42" s="101"/>
      <c r="W42" s="101"/>
      <c r="X42" s="102"/>
      <c r="Y42" s="110">
        <v>0</v>
      </c>
      <c r="Z42" s="98">
        <f t="shared" si="8"/>
        <v>513.33000000000004</v>
      </c>
      <c r="AA42" s="104">
        <f t="shared" si="7"/>
        <v>0</v>
      </c>
      <c r="AB42" s="98">
        <f t="shared" si="9"/>
        <v>513.33000000000004</v>
      </c>
      <c r="AC42" s="105">
        <f t="shared" si="4"/>
        <v>51.333000000000006</v>
      </c>
      <c r="AD42" s="104">
        <f t="shared" si="5"/>
        <v>10.2666</v>
      </c>
      <c r="AE42" s="106">
        <f t="shared" si="6"/>
        <v>574.92960000000005</v>
      </c>
      <c r="AF42" s="107"/>
      <c r="AG42" s="108">
        <f t="shared" si="12"/>
        <v>513.33000000000004</v>
      </c>
      <c r="AH42" s="107"/>
      <c r="AI42" s="107"/>
      <c r="AJ42" s="108">
        <f t="shared" si="13"/>
        <v>513.33000000000004</v>
      </c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</row>
    <row r="43" spans="1:52" x14ac:dyDescent="0.25">
      <c r="A43" s="92" t="s">
        <v>375</v>
      </c>
      <c r="B43" s="92" t="s">
        <v>430</v>
      </c>
      <c r="C43" s="92"/>
      <c r="D43" s="92" t="s">
        <v>96</v>
      </c>
      <c r="E43" s="92" t="s">
        <v>187</v>
      </c>
      <c r="F43" s="92"/>
      <c r="G43" s="92"/>
      <c r="H43" s="92"/>
      <c r="I43" s="94">
        <v>1633.33</v>
      </c>
      <c r="J43" s="92"/>
      <c r="K43" s="95">
        <f t="shared" si="0"/>
        <v>1633.33</v>
      </c>
      <c r="L43" s="95"/>
      <c r="M43" s="95"/>
      <c r="N43" s="95"/>
      <c r="O43" s="97"/>
      <c r="P43" s="98">
        <f t="shared" si="14"/>
        <v>1633.33</v>
      </c>
      <c r="Q43" s="99"/>
      <c r="R43" s="100">
        <v>0</v>
      </c>
      <c r="S43" s="100"/>
      <c r="T43" s="100"/>
      <c r="U43" s="100"/>
      <c r="V43" s="101"/>
      <c r="W43" s="101"/>
      <c r="X43" s="102"/>
      <c r="Y43" s="103">
        <v>0</v>
      </c>
      <c r="Z43" s="98">
        <f t="shared" si="8"/>
        <v>1633.33</v>
      </c>
      <c r="AA43" s="104">
        <f t="shared" si="7"/>
        <v>0</v>
      </c>
      <c r="AB43" s="98">
        <f t="shared" si="9"/>
        <v>1633.33</v>
      </c>
      <c r="AC43" s="105">
        <f t="shared" si="4"/>
        <v>163.333</v>
      </c>
      <c r="AD43" s="104">
        <f t="shared" si="5"/>
        <v>32.666600000000003</v>
      </c>
      <c r="AE43" s="106">
        <f t="shared" si="6"/>
        <v>1829.3296</v>
      </c>
      <c r="AF43" s="107"/>
      <c r="AG43" s="108">
        <f t="shared" si="12"/>
        <v>1633.33</v>
      </c>
      <c r="AH43" s="107"/>
      <c r="AI43" s="107"/>
      <c r="AJ43" s="108">
        <f t="shared" si="13"/>
        <v>1633.33</v>
      </c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</row>
    <row r="44" spans="1:52" x14ac:dyDescent="0.25">
      <c r="A44" s="92" t="s">
        <v>377</v>
      </c>
      <c r="B44" s="92" t="s">
        <v>33</v>
      </c>
      <c r="C44" s="92" t="s">
        <v>30</v>
      </c>
      <c r="D44" s="92" t="s">
        <v>99</v>
      </c>
      <c r="E44" s="92" t="s">
        <v>189</v>
      </c>
      <c r="F44" s="92"/>
      <c r="G44" s="93"/>
      <c r="H44" s="93"/>
      <c r="I44" s="92">
        <v>513.33000000000004</v>
      </c>
      <c r="J44" s="93"/>
      <c r="K44" s="95">
        <f t="shared" si="0"/>
        <v>513.33000000000004</v>
      </c>
      <c r="L44" s="95"/>
      <c r="M44" s="96"/>
      <c r="N44" s="96"/>
      <c r="O44" s="97"/>
      <c r="P44" s="98">
        <f t="shared" si="14"/>
        <v>513.33000000000004</v>
      </c>
      <c r="Q44" s="99"/>
      <c r="R44" s="100">
        <v>0</v>
      </c>
      <c r="S44" s="100"/>
      <c r="T44" s="100"/>
      <c r="U44" s="100"/>
      <c r="V44" s="101"/>
      <c r="W44" s="101"/>
      <c r="X44" s="102"/>
      <c r="Y44" s="110">
        <v>210.56</v>
      </c>
      <c r="Z44" s="98">
        <f t="shared" si="8"/>
        <v>302.77000000000004</v>
      </c>
      <c r="AA44" s="104">
        <f t="shared" si="7"/>
        <v>0</v>
      </c>
      <c r="AB44" s="98">
        <f t="shared" si="9"/>
        <v>302.77000000000004</v>
      </c>
      <c r="AC44" s="105">
        <f t="shared" si="4"/>
        <v>51.333000000000006</v>
      </c>
      <c r="AD44" s="104">
        <f t="shared" si="5"/>
        <v>10.2666</v>
      </c>
      <c r="AE44" s="106">
        <f t="shared" si="6"/>
        <v>574.92960000000005</v>
      </c>
      <c r="AF44" s="107"/>
      <c r="AG44" s="108">
        <f t="shared" si="12"/>
        <v>302.77000000000004</v>
      </c>
      <c r="AH44" s="107"/>
      <c r="AI44" s="107"/>
      <c r="AJ44" s="108">
        <f t="shared" si="13"/>
        <v>302.77000000000004</v>
      </c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</row>
    <row r="45" spans="1:52" s="125" customFormat="1" x14ac:dyDescent="0.25">
      <c r="A45" s="115" t="s">
        <v>431</v>
      </c>
      <c r="B45" s="115" t="s">
        <v>432</v>
      </c>
      <c r="C45" s="115"/>
      <c r="D45" s="115"/>
      <c r="E45" s="115" t="s">
        <v>186</v>
      </c>
      <c r="F45" s="115"/>
      <c r="G45" s="115"/>
      <c r="H45" s="115"/>
      <c r="I45" s="115">
        <v>1400</v>
      </c>
      <c r="J45" s="115"/>
      <c r="K45" s="118">
        <f t="shared" si="0"/>
        <v>1400</v>
      </c>
      <c r="L45" s="118"/>
      <c r="M45" s="118"/>
      <c r="N45" s="118"/>
      <c r="O45" s="119"/>
      <c r="P45" s="120">
        <f t="shared" si="14"/>
        <v>1400</v>
      </c>
      <c r="Q45" s="121"/>
      <c r="R45" s="121"/>
      <c r="S45" s="121"/>
      <c r="T45" s="121"/>
      <c r="U45" s="121"/>
      <c r="V45" s="122"/>
      <c r="W45" s="122"/>
      <c r="X45" s="115"/>
      <c r="Y45" s="123"/>
      <c r="Z45" s="120">
        <f t="shared" si="8"/>
        <v>1400</v>
      </c>
      <c r="AA45" s="124">
        <f t="shared" si="7"/>
        <v>0</v>
      </c>
      <c r="AB45" s="120">
        <f t="shared" si="9"/>
        <v>1400</v>
      </c>
      <c r="AC45" s="124">
        <f t="shared" si="4"/>
        <v>140</v>
      </c>
      <c r="AD45" s="124">
        <f t="shared" si="5"/>
        <v>28</v>
      </c>
      <c r="AE45" s="106">
        <f t="shared" si="6"/>
        <v>1568</v>
      </c>
      <c r="AG45" s="126"/>
      <c r="AJ45" s="126"/>
    </row>
    <row r="46" spans="1:52" x14ac:dyDescent="0.25">
      <c r="A46" s="112" t="s">
        <v>381</v>
      </c>
      <c r="B46" s="92" t="s">
        <v>433</v>
      </c>
      <c r="C46" s="92"/>
      <c r="D46" s="92" t="s">
        <v>101</v>
      </c>
      <c r="E46" s="92" t="s">
        <v>190</v>
      </c>
      <c r="F46" s="92"/>
      <c r="G46" s="93"/>
      <c r="H46" s="93"/>
      <c r="I46" s="113">
        <v>608.16</v>
      </c>
      <c r="J46" s="93"/>
      <c r="K46" s="95">
        <f t="shared" si="0"/>
        <v>608.16</v>
      </c>
      <c r="L46" s="95">
        <v>443.3</v>
      </c>
      <c r="M46" s="96"/>
      <c r="N46" s="96"/>
      <c r="O46" s="97"/>
      <c r="P46" s="98">
        <f t="shared" si="14"/>
        <v>1051.46</v>
      </c>
      <c r="Q46" s="99"/>
      <c r="R46" s="114">
        <v>100</v>
      </c>
      <c r="S46" s="114">
        <f>P46*1%</f>
        <v>10.5146</v>
      </c>
      <c r="T46" s="114">
        <f>P46*4.9%</f>
        <v>51.521540000000002</v>
      </c>
      <c r="U46" s="100"/>
      <c r="V46" s="101"/>
      <c r="W46" s="101"/>
      <c r="X46" s="102"/>
      <c r="Y46" s="103">
        <v>0</v>
      </c>
      <c r="Z46" s="98">
        <f t="shared" si="8"/>
        <v>889.4238600000001</v>
      </c>
      <c r="AA46" s="104">
        <f t="shared" si="7"/>
        <v>0</v>
      </c>
      <c r="AB46" s="98">
        <f t="shared" si="9"/>
        <v>889.4238600000001</v>
      </c>
      <c r="AC46" s="105">
        <f t="shared" si="4"/>
        <v>105.14600000000002</v>
      </c>
      <c r="AD46" s="104">
        <f t="shared" si="5"/>
        <v>12.1632</v>
      </c>
      <c r="AE46" s="106">
        <f t="shared" si="6"/>
        <v>1168.7692</v>
      </c>
      <c r="AF46" s="107"/>
      <c r="AG46" s="108">
        <f>+AB46-AF46</f>
        <v>889.4238600000001</v>
      </c>
      <c r="AH46" s="107"/>
      <c r="AI46" s="107"/>
      <c r="AJ46" s="108">
        <f>+AG46-AH46-AI46</f>
        <v>889.4238600000001</v>
      </c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  <c r="AY46" s="107"/>
      <c r="AZ46" s="107"/>
    </row>
    <row r="47" spans="1:52" x14ac:dyDescent="0.25">
      <c r="A47" s="112" t="s">
        <v>381</v>
      </c>
      <c r="B47" s="92" t="s">
        <v>434</v>
      </c>
      <c r="C47" s="92"/>
      <c r="D47" s="92" t="s">
        <v>103</v>
      </c>
      <c r="E47" s="92" t="s">
        <v>192</v>
      </c>
      <c r="F47" s="92"/>
      <c r="G47" s="93"/>
      <c r="H47" s="93"/>
      <c r="I47" s="113">
        <v>608.16</v>
      </c>
      <c r="J47" s="93"/>
      <c r="K47" s="95">
        <f t="shared" si="0"/>
        <v>608.16</v>
      </c>
      <c r="L47" s="95">
        <f>3626.92+5.571</f>
        <v>3632.491</v>
      </c>
      <c r="M47" s="96"/>
      <c r="N47" s="96"/>
      <c r="O47" s="97"/>
      <c r="P47" s="98">
        <f t="shared" si="14"/>
        <v>4240.6509999999998</v>
      </c>
      <c r="Q47" s="99"/>
      <c r="R47" s="100"/>
      <c r="S47" s="114">
        <f>P47*1%</f>
        <v>42.406509999999997</v>
      </c>
      <c r="T47" s="114">
        <f>P47*4.9%</f>
        <v>207.791899</v>
      </c>
      <c r="U47" s="100"/>
      <c r="V47" s="101"/>
      <c r="W47" s="101"/>
      <c r="X47" s="102"/>
      <c r="Y47" s="103">
        <v>0</v>
      </c>
      <c r="Z47" s="98">
        <f t="shared" si="8"/>
        <v>3990.4525909999998</v>
      </c>
      <c r="AA47" s="104">
        <f t="shared" si="7"/>
        <v>0</v>
      </c>
      <c r="AB47" s="98">
        <f t="shared" si="9"/>
        <v>3990.4525909999998</v>
      </c>
      <c r="AC47" s="105">
        <f t="shared" si="4"/>
        <v>424.06510000000003</v>
      </c>
      <c r="AD47" s="104">
        <f t="shared" si="5"/>
        <v>12.1632</v>
      </c>
      <c r="AE47" s="106">
        <f t="shared" si="6"/>
        <v>4676.8792999999996</v>
      </c>
      <c r="AF47" s="107"/>
      <c r="AG47" s="108">
        <f>+AB47-AF47</f>
        <v>3990.4525909999998</v>
      </c>
      <c r="AH47" s="107"/>
      <c r="AI47" s="107"/>
      <c r="AJ47" s="108">
        <f>+AG47-AH47-AI47</f>
        <v>3990.4525909999998</v>
      </c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</row>
    <row r="48" spans="1:52" x14ac:dyDescent="0.25">
      <c r="A48" s="112" t="s">
        <v>383</v>
      </c>
      <c r="B48" s="92" t="s">
        <v>435</v>
      </c>
      <c r="C48" s="92"/>
      <c r="D48" s="92" t="s">
        <v>105</v>
      </c>
      <c r="E48" s="92" t="s">
        <v>177</v>
      </c>
      <c r="F48" s="92"/>
      <c r="G48" s="92"/>
      <c r="H48" s="92"/>
      <c r="I48" s="92">
        <v>739.23</v>
      </c>
      <c r="J48" s="92"/>
      <c r="K48" s="95">
        <f t="shared" si="0"/>
        <v>739.23</v>
      </c>
      <c r="L48" s="95">
        <v>3087.3820000000001</v>
      </c>
      <c r="M48" s="95"/>
      <c r="N48" s="95"/>
      <c r="O48" s="97"/>
      <c r="P48" s="98">
        <f t="shared" si="14"/>
        <v>3826.6120000000001</v>
      </c>
      <c r="Q48" s="99"/>
      <c r="R48" s="100">
        <v>0</v>
      </c>
      <c r="S48" s="100"/>
      <c r="T48" s="100"/>
      <c r="U48" s="100"/>
      <c r="V48" s="101"/>
      <c r="W48" s="101"/>
      <c r="X48" s="102"/>
      <c r="Y48" s="103">
        <v>0</v>
      </c>
      <c r="Z48" s="98">
        <f t="shared" si="8"/>
        <v>3826.6120000000001</v>
      </c>
      <c r="AA48" s="104">
        <f t="shared" si="7"/>
        <v>0</v>
      </c>
      <c r="AB48" s="98">
        <f t="shared" si="9"/>
        <v>3826.6120000000001</v>
      </c>
      <c r="AC48" s="105">
        <f t="shared" si="4"/>
        <v>382.66120000000001</v>
      </c>
      <c r="AD48" s="104">
        <f t="shared" si="5"/>
        <v>14.784600000000001</v>
      </c>
      <c r="AE48" s="106">
        <f t="shared" si="6"/>
        <v>4224.0577999999996</v>
      </c>
      <c r="AF48" s="107"/>
      <c r="AG48" s="108">
        <f>+AB48-AF48</f>
        <v>3826.6120000000001</v>
      </c>
      <c r="AH48" s="107"/>
      <c r="AI48" s="107"/>
      <c r="AJ48" s="108">
        <f>+AG48-AH48-AI48</f>
        <v>3826.6120000000001</v>
      </c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  <c r="AY48" s="107"/>
      <c r="AZ48" s="107"/>
    </row>
    <row r="49" spans="1:52" s="125" customFormat="1" x14ac:dyDescent="0.25">
      <c r="A49" s="112" t="s">
        <v>381</v>
      </c>
      <c r="B49" s="115" t="s">
        <v>436</v>
      </c>
      <c r="C49" s="115"/>
      <c r="D49" s="115"/>
      <c r="E49" s="115" t="s">
        <v>177</v>
      </c>
      <c r="F49" s="115"/>
      <c r="G49" s="115"/>
      <c r="H49" s="115"/>
      <c r="I49" s="121">
        <v>739.23</v>
      </c>
      <c r="J49" s="115"/>
      <c r="K49" s="118">
        <f t="shared" si="0"/>
        <v>739.23</v>
      </c>
      <c r="L49" s="118">
        <v>835.52</v>
      </c>
      <c r="M49" s="118"/>
      <c r="N49" s="118"/>
      <c r="O49" s="119"/>
      <c r="P49" s="120">
        <f t="shared" si="14"/>
        <v>1574.75</v>
      </c>
      <c r="Q49" s="121"/>
      <c r="R49" s="121"/>
      <c r="S49" s="121"/>
      <c r="T49" s="121">
        <f>P49*1%</f>
        <v>15.7475</v>
      </c>
      <c r="U49" s="121"/>
      <c r="V49" s="122"/>
      <c r="W49" s="122"/>
      <c r="X49" s="115"/>
      <c r="Y49" s="123"/>
      <c r="Z49" s="120">
        <f t="shared" si="8"/>
        <v>1559.0025000000001</v>
      </c>
      <c r="AA49" s="124">
        <f t="shared" si="7"/>
        <v>0</v>
      </c>
      <c r="AB49" s="120">
        <f t="shared" si="9"/>
        <v>1559.0025000000001</v>
      </c>
      <c r="AC49" s="124">
        <f t="shared" si="4"/>
        <v>157.47500000000002</v>
      </c>
      <c r="AD49" s="124">
        <f t="shared" si="5"/>
        <v>14.784600000000001</v>
      </c>
      <c r="AE49" s="106">
        <f t="shared" si="6"/>
        <v>1747.0095999999999</v>
      </c>
      <c r="AG49" s="126"/>
      <c r="AJ49" s="126"/>
    </row>
    <row r="50" spans="1:52" x14ac:dyDescent="0.25">
      <c r="A50" s="92" t="s">
        <v>377</v>
      </c>
      <c r="B50" s="92" t="s">
        <v>437</v>
      </c>
      <c r="C50" s="92" t="s">
        <v>31</v>
      </c>
      <c r="D50" s="92" t="s">
        <v>107</v>
      </c>
      <c r="E50" s="92" t="s">
        <v>189</v>
      </c>
      <c r="F50" s="92"/>
      <c r="G50" s="93"/>
      <c r="H50" s="93"/>
      <c r="I50" s="92">
        <v>513.33000000000004</v>
      </c>
      <c r="J50" s="93"/>
      <c r="K50" s="95">
        <f t="shared" si="0"/>
        <v>513.33000000000004</v>
      </c>
      <c r="L50" s="95"/>
      <c r="M50" s="96"/>
      <c r="N50" s="96"/>
      <c r="O50" s="97"/>
      <c r="P50" s="98">
        <f t="shared" si="14"/>
        <v>513.33000000000004</v>
      </c>
      <c r="Q50" s="99"/>
      <c r="R50" s="100">
        <v>0</v>
      </c>
      <c r="S50" s="100"/>
      <c r="T50" s="100"/>
      <c r="U50" s="100"/>
      <c r="V50" s="101"/>
      <c r="W50" s="101"/>
      <c r="X50" s="102"/>
      <c r="Y50" s="110">
        <v>0</v>
      </c>
      <c r="Z50" s="98">
        <f t="shared" si="8"/>
        <v>513.33000000000004</v>
      </c>
      <c r="AA50" s="104">
        <f t="shared" si="7"/>
        <v>0</v>
      </c>
      <c r="AB50" s="98">
        <f t="shared" si="9"/>
        <v>513.33000000000004</v>
      </c>
      <c r="AC50" s="105">
        <f t="shared" si="4"/>
        <v>51.333000000000006</v>
      </c>
      <c r="AD50" s="104">
        <f t="shared" si="5"/>
        <v>10.2666</v>
      </c>
      <c r="AE50" s="106">
        <f t="shared" si="6"/>
        <v>574.92960000000005</v>
      </c>
      <c r="AF50" s="107"/>
      <c r="AG50" s="108">
        <f t="shared" ref="AG50:AG67" si="15">+AB50-AF50</f>
        <v>513.33000000000004</v>
      </c>
      <c r="AH50" s="107"/>
      <c r="AI50" s="107"/>
      <c r="AJ50" s="108">
        <f t="shared" ref="AJ50:AJ67" si="16">+AG50-AH50-AI50</f>
        <v>513.33000000000004</v>
      </c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</row>
    <row r="51" spans="1:52" x14ac:dyDescent="0.25">
      <c r="A51" s="92" t="s">
        <v>377</v>
      </c>
      <c r="B51" s="92" t="s">
        <v>438</v>
      </c>
      <c r="C51" s="92" t="s">
        <v>32</v>
      </c>
      <c r="D51" s="92">
        <v>30</v>
      </c>
      <c r="E51" s="92" t="s">
        <v>189</v>
      </c>
      <c r="F51" s="92"/>
      <c r="G51" s="93"/>
      <c r="H51" s="93"/>
      <c r="I51" s="92">
        <v>513.33000000000004</v>
      </c>
      <c r="J51" s="93"/>
      <c r="K51" s="95">
        <f t="shared" si="0"/>
        <v>513.33000000000004</v>
      </c>
      <c r="L51" s="95">
        <v>5456.54</v>
      </c>
      <c r="M51" s="96"/>
      <c r="N51" s="96"/>
      <c r="O51" s="97"/>
      <c r="P51" s="98">
        <f t="shared" si="14"/>
        <v>5969.87</v>
      </c>
      <c r="Q51" s="99"/>
      <c r="R51" s="100">
        <v>0</v>
      </c>
      <c r="S51" s="100"/>
      <c r="T51" s="100"/>
      <c r="U51" s="100"/>
      <c r="V51" s="101"/>
      <c r="W51" s="101"/>
      <c r="X51" s="102"/>
      <c r="Y51" s="110">
        <v>0</v>
      </c>
      <c r="Z51" s="98">
        <f t="shared" si="8"/>
        <v>5969.87</v>
      </c>
      <c r="AA51" s="104">
        <f t="shared" si="7"/>
        <v>596.98699999999997</v>
      </c>
      <c r="AB51" s="98">
        <f t="shared" si="9"/>
        <v>5372.8829999999998</v>
      </c>
      <c r="AC51" s="105">
        <f t="shared" si="4"/>
        <v>0</v>
      </c>
      <c r="AD51" s="104">
        <f t="shared" si="5"/>
        <v>10.2666</v>
      </c>
      <c r="AE51" s="106">
        <f t="shared" si="6"/>
        <v>5980.1365999999998</v>
      </c>
      <c r="AF51" s="107"/>
      <c r="AG51" s="108">
        <f t="shared" si="15"/>
        <v>5372.8829999999998</v>
      </c>
      <c r="AH51" s="107"/>
      <c r="AI51" s="107"/>
      <c r="AJ51" s="108">
        <f t="shared" si="16"/>
        <v>5372.8829999999998</v>
      </c>
      <c r="AK51" s="107"/>
      <c r="AL51" s="107"/>
      <c r="AM51" s="107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  <c r="AZ51" s="107"/>
    </row>
    <row r="52" spans="1:52" x14ac:dyDescent="0.25">
      <c r="A52" s="92" t="s">
        <v>377</v>
      </c>
      <c r="B52" s="92" t="s">
        <v>439</v>
      </c>
      <c r="C52" s="92" t="s">
        <v>30</v>
      </c>
      <c r="D52" s="92" t="s">
        <v>196</v>
      </c>
      <c r="E52" s="92" t="s">
        <v>189</v>
      </c>
      <c r="F52" s="128">
        <v>42408</v>
      </c>
      <c r="G52" s="93"/>
      <c r="H52" s="93"/>
      <c r="I52" s="92">
        <v>513.33000000000004</v>
      </c>
      <c r="J52" s="93">
        <v>653.33000000000004</v>
      </c>
      <c r="K52" s="95">
        <f t="shared" si="0"/>
        <v>1166.6600000000001</v>
      </c>
      <c r="L52" s="95">
        <v>653.33000000000004</v>
      </c>
      <c r="M52" s="96"/>
      <c r="N52" s="96"/>
      <c r="O52" s="97"/>
      <c r="P52" s="98">
        <f t="shared" si="14"/>
        <v>1819.9900000000002</v>
      </c>
      <c r="Q52" s="99"/>
      <c r="R52" s="100">
        <v>0</v>
      </c>
      <c r="S52" s="100"/>
      <c r="T52" s="100"/>
      <c r="U52" s="100"/>
      <c r="V52" s="101"/>
      <c r="W52" s="101"/>
      <c r="X52" s="102"/>
      <c r="Y52" s="110">
        <v>257.7</v>
      </c>
      <c r="Z52" s="98">
        <f t="shared" si="8"/>
        <v>1562.2900000000002</v>
      </c>
      <c r="AA52" s="104">
        <f t="shared" si="7"/>
        <v>0</v>
      </c>
      <c r="AB52" s="98">
        <f t="shared" si="9"/>
        <v>1562.2900000000002</v>
      </c>
      <c r="AC52" s="105">
        <f t="shared" si="4"/>
        <v>181.99900000000002</v>
      </c>
      <c r="AD52" s="104">
        <f t="shared" si="5"/>
        <v>10.2666</v>
      </c>
      <c r="AE52" s="106">
        <f t="shared" si="6"/>
        <v>2012.2556000000002</v>
      </c>
      <c r="AF52" s="107"/>
      <c r="AG52" s="108">
        <f t="shared" si="15"/>
        <v>1562.2900000000002</v>
      </c>
      <c r="AH52" s="107"/>
      <c r="AI52" s="107"/>
      <c r="AJ52" s="108">
        <f t="shared" si="16"/>
        <v>1562.2900000000002</v>
      </c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</row>
    <row r="53" spans="1:52" x14ac:dyDescent="0.25">
      <c r="A53" s="92" t="s">
        <v>389</v>
      </c>
      <c r="B53" s="92" t="s">
        <v>440</v>
      </c>
      <c r="C53" s="92" t="s">
        <v>391</v>
      </c>
      <c r="D53" s="92" t="s">
        <v>111</v>
      </c>
      <c r="E53" s="92" t="s">
        <v>392</v>
      </c>
      <c r="F53" s="128">
        <v>42352</v>
      </c>
      <c r="G53" s="93"/>
      <c r="H53" s="93"/>
      <c r="I53" s="92">
        <v>513.33000000000004</v>
      </c>
      <c r="J53" s="93">
        <v>653.33000000000004</v>
      </c>
      <c r="K53" s="95">
        <f t="shared" si="0"/>
        <v>1166.6600000000001</v>
      </c>
      <c r="L53" s="95">
        <f>4000+653.33</f>
        <v>4653.33</v>
      </c>
      <c r="M53" s="96"/>
      <c r="N53" s="96"/>
      <c r="O53" s="97"/>
      <c r="P53" s="98">
        <f t="shared" si="14"/>
        <v>5819.99</v>
      </c>
      <c r="Q53" s="99"/>
      <c r="R53" s="100">
        <v>0</v>
      </c>
      <c r="S53" s="100"/>
      <c r="T53" s="100"/>
      <c r="U53" s="100"/>
      <c r="V53" s="101"/>
      <c r="W53" s="101"/>
      <c r="X53" s="102"/>
      <c r="Y53" s="103">
        <v>0</v>
      </c>
      <c r="Z53" s="98">
        <f t="shared" si="8"/>
        <v>5819.99</v>
      </c>
      <c r="AA53" s="104">
        <f t="shared" si="7"/>
        <v>581.99900000000002</v>
      </c>
      <c r="AB53" s="98">
        <f t="shared" si="9"/>
        <v>5237.991</v>
      </c>
      <c r="AC53" s="105">
        <f t="shared" si="4"/>
        <v>0</v>
      </c>
      <c r="AD53" s="104">
        <f t="shared" si="5"/>
        <v>10.2666</v>
      </c>
      <c r="AE53" s="106">
        <f t="shared" si="6"/>
        <v>5830.2565999999997</v>
      </c>
      <c r="AF53" s="107"/>
      <c r="AG53" s="108">
        <f t="shared" si="15"/>
        <v>5237.991</v>
      </c>
      <c r="AH53" s="107"/>
      <c r="AI53" s="107"/>
      <c r="AJ53" s="108">
        <f t="shared" si="16"/>
        <v>5237.991</v>
      </c>
      <c r="AK53" s="107"/>
      <c r="AL53" s="107"/>
      <c r="AM53" s="107"/>
      <c r="AN53" s="107"/>
      <c r="AO53" s="107"/>
      <c r="AP53" s="107"/>
      <c r="AQ53" s="107"/>
      <c r="AR53" s="107"/>
      <c r="AS53" s="107"/>
      <c r="AT53" s="107"/>
      <c r="AU53" s="107"/>
      <c r="AV53" s="107"/>
      <c r="AW53" s="107"/>
      <c r="AX53" s="107"/>
      <c r="AY53" s="107"/>
      <c r="AZ53" s="107"/>
    </row>
    <row r="54" spans="1:52" x14ac:dyDescent="0.25">
      <c r="A54" s="92" t="s">
        <v>377</v>
      </c>
      <c r="B54" s="92" t="s">
        <v>441</v>
      </c>
      <c r="C54" s="92" t="s">
        <v>32</v>
      </c>
      <c r="D54" s="92" t="s">
        <v>113</v>
      </c>
      <c r="E54" s="92" t="s">
        <v>189</v>
      </c>
      <c r="F54" s="92"/>
      <c r="G54" s="93"/>
      <c r="H54" s="93"/>
      <c r="I54" s="92">
        <v>513.33000000000004</v>
      </c>
      <c r="J54" s="93"/>
      <c r="K54" s="95">
        <f t="shared" si="0"/>
        <v>513.33000000000004</v>
      </c>
      <c r="L54" s="95"/>
      <c r="M54" s="96"/>
      <c r="N54" s="96"/>
      <c r="O54" s="97"/>
      <c r="P54" s="98">
        <f t="shared" si="14"/>
        <v>513.33000000000004</v>
      </c>
      <c r="Q54" s="99"/>
      <c r="R54" s="100">
        <v>0</v>
      </c>
      <c r="S54" s="100"/>
      <c r="T54" s="100"/>
      <c r="U54" s="100"/>
      <c r="V54" s="101"/>
      <c r="W54" s="101"/>
      <c r="X54" s="102"/>
      <c r="Y54" s="110">
        <v>523.01</v>
      </c>
      <c r="Z54" s="98">
        <f t="shared" si="8"/>
        <v>-9.67999999999995</v>
      </c>
      <c r="AA54" s="104">
        <f t="shared" si="7"/>
        <v>0</v>
      </c>
      <c r="AB54" s="98">
        <f t="shared" si="9"/>
        <v>-9.67999999999995</v>
      </c>
      <c r="AC54" s="105">
        <f t="shared" si="4"/>
        <v>51.333000000000006</v>
      </c>
      <c r="AD54" s="104">
        <f t="shared" si="5"/>
        <v>10.2666</v>
      </c>
      <c r="AE54" s="106">
        <f t="shared" si="6"/>
        <v>574.92960000000005</v>
      </c>
      <c r="AF54" s="107"/>
      <c r="AG54" s="108">
        <f t="shared" si="15"/>
        <v>-9.67999999999995</v>
      </c>
      <c r="AH54" s="107"/>
      <c r="AI54" s="107"/>
      <c r="AJ54" s="108">
        <f t="shared" si="16"/>
        <v>-9.67999999999995</v>
      </c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</row>
    <row r="55" spans="1:52" x14ac:dyDescent="0.25">
      <c r="A55" s="92" t="s">
        <v>381</v>
      </c>
      <c r="B55" s="92" t="s">
        <v>442</v>
      </c>
      <c r="C55" s="92"/>
      <c r="D55" s="92" t="s">
        <v>115</v>
      </c>
      <c r="E55" s="92" t="s">
        <v>443</v>
      </c>
      <c r="F55" s="92"/>
      <c r="G55" s="93"/>
      <c r="H55" s="93"/>
      <c r="I55" s="113">
        <v>1100</v>
      </c>
      <c r="J55" s="93"/>
      <c r="K55" s="95">
        <f t="shared" si="0"/>
        <v>1100</v>
      </c>
      <c r="L55" s="95"/>
      <c r="M55" s="96"/>
      <c r="N55" s="96"/>
      <c r="O55" s="97"/>
      <c r="P55" s="98">
        <f t="shared" si="14"/>
        <v>1100</v>
      </c>
      <c r="Q55" s="99"/>
      <c r="R55" s="100">
        <v>0</v>
      </c>
      <c r="S55" s="100"/>
      <c r="T55" s="100"/>
      <c r="U55" s="100"/>
      <c r="V55" s="101"/>
      <c r="W55" s="101"/>
      <c r="X55" s="102"/>
      <c r="Y55" s="103">
        <v>0</v>
      </c>
      <c r="Z55" s="98">
        <f t="shared" si="8"/>
        <v>1100</v>
      </c>
      <c r="AA55" s="104">
        <f t="shared" si="7"/>
        <v>0</v>
      </c>
      <c r="AB55" s="98">
        <f t="shared" si="9"/>
        <v>1100</v>
      </c>
      <c r="AC55" s="105">
        <f t="shared" si="4"/>
        <v>110</v>
      </c>
      <c r="AD55" s="104">
        <f t="shared" si="5"/>
        <v>22</v>
      </c>
      <c r="AE55" s="106">
        <f t="shared" si="6"/>
        <v>1232</v>
      </c>
      <c r="AF55" s="107"/>
      <c r="AG55" s="108">
        <f t="shared" si="15"/>
        <v>1100</v>
      </c>
      <c r="AH55" s="107"/>
      <c r="AI55" s="107"/>
      <c r="AJ55" s="108">
        <f t="shared" si="16"/>
        <v>1100</v>
      </c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  <c r="AU55" s="107"/>
      <c r="AV55" s="107"/>
      <c r="AW55" s="107"/>
      <c r="AX55" s="107"/>
      <c r="AY55" s="107"/>
      <c r="AZ55" s="107"/>
    </row>
    <row r="56" spans="1:52" x14ac:dyDescent="0.25">
      <c r="A56" s="112" t="s">
        <v>383</v>
      </c>
      <c r="B56" s="92" t="s">
        <v>444</v>
      </c>
      <c r="C56" s="92"/>
      <c r="D56" s="92" t="s">
        <v>117</v>
      </c>
      <c r="E56" s="92" t="s">
        <v>177</v>
      </c>
      <c r="F56" s="92"/>
      <c r="G56" s="92"/>
      <c r="H56" s="92"/>
      <c r="I56" s="92">
        <v>739.23</v>
      </c>
      <c r="J56" s="92"/>
      <c r="K56" s="95">
        <f t="shared" si="0"/>
        <v>739.23</v>
      </c>
      <c r="L56" s="95">
        <v>2219.11</v>
      </c>
      <c r="M56" s="95"/>
      <c r="N56" s="95"/>
      <c r="O56" s="97"/>
      <c r="P56" s="98">
        <f t="shared" si="14"/>
        <v>2958.34</v>
      </c>
      <c r="Q56" s="99"/>
      <c r="R56" s="100">
        <v>0</v>
      </c>
      <c r="S56" s="100"/>
      <c r="T56" s="100"/>
      <c r="U56" s="100"/>
      <c r="V56" s="101"/>
      <c r="W56" s="101"/>
      <c r="X56" s="102"/>
      <c r="Y56" s="103">
        <v>0</v>
      </c>
      <c r="Z56" s="98">
        <f t="shared" si="8"/>
        <v>2958.34</v>
      </c>
      <c r="AA56" s="104">
        <f t="shared" si="7"/>
        <v>0</v>
      </c>
      <c r="AB56" s="98">
        <f t="shared" si="9"/>
        <v>2958.34</v>
      </c>
      <c r="AC56" s="105">
        <f t="shared" si="4"/>
        <v>295.834</v>
      </c>
      <c r="AD56" s="104">
        <f t="shared" si="5"/>
        <v>14.784600000000001</v>
      </c>
      <c r="AE56" s="106">
        <f t="shared" si="6"/>
        <v>3268.9585999999999</v>
      </c>
      <c r="AF56" s="107"/>
      <c r="AG56" s="108">
        <f t="shared" si="15"/>
        <v>2958.34</v>
      </c>
      <c r="AH56" s="107"/>
      <c r="AI56" s="107"/>
      <c r="AJ56" s="108">
        <f t="shared" si="16"/>
        <v>2958.34</v>
      </c>
      <c r="AK56" s="107"/>
      <c r="AL56" s="107"/>
      <c r="AM56" s="107"/>
      <c r="AN56" s="107"/>
      <c r="AO56" s="107"/>
      <c r="AP56" s="107"/>
      <c r="AQ56" s="107"/>
      <c r="AR56" s="107"/>
      <c r="AS56" s="107"/>
      <c r="AT56" s="107"/>
      <c r="AU56" s="107"/>
      <c r="AV56" s="107"/>
      <c r="AW56" s="107"/>
      <c r="AX56" s="107"/>
      <c r="AY56" s="107"/>
      <c r="AZ56" s="107"/>
    </row>
    <row r="57" spans="1:52" x14ac:dyDescent="0.25">
      <c r="A57" s="112" t="s">
        <v>381</v>
      </c>
      <c r="B57" s="92" t="s">
        <v>445</v>
      </c>
      <c r="C57" s="92"/>
      <c r="D57" s="92" t="s">
        <v>119</v>
      </c>
      <c r="E57" s="92" t="s">
        <v>193</v>
      </c>
      <c r="F57" s="92"/>
      <c r="G57" s="93"/>
      <c r="H57" s="93"/>
      <c r="I57" s="113">
        <v>608.16</v>
      </c>
      <c r="J57" s="93"/>
      <c r="K57" s="95">
        <f t="shared" si="0"/>
        <v>608.16</v>
      </c>
      <c r="L57" s="95">
        <v>903.62</v>
      </c>
      <c r="M57" s="96"/>
      <c r="N57" s="96"/>
      <c r="O57" s="97"/>
      <c r="P57" s="98">
        <f t="shared" si="14"/>
        <v>1511.78</v>
      </c>
      <c r="Q57" s="99"/>
      <c r="R57" s="100"/>
      <c r="S57" s="114">
        <f>P57*1%</f>
        <v>15.117800000000001</v>
      </c>
      <c r="T57" s="114">
        <f>P57*4.9%</f>
        <v>74.077219999999997</v>
      </c>
      <c r="U57" s="100"/>
      <c r="V57" s="101"/>
      <c r="W57" s="101"/>
      <c r="X57" s="102"/>
      <c r="Y57" s="103">
        <v>0</v>
      </c>
      <c r="Z57" s="98">
        <f t="shared" si="8"/>
        <v>1422.5849800000001</v>
      </c>
      <c r="AA57" s="104">
        <f t="shared" si="7"/>
        <v>0</v>
      </c>
      <c r="AB57" s="98">
        <f t="shared" si="9"/>
        <v>1422.5849800000001</v>
      </c>
      <c r="AC57" s="105">
        <f t="shared" si="4"/>
        <v>151.178</v>
      </c>
      <c r="AD57" s="104">
        <f t="shared" si="5"/>
        <v>12.1632</v>
      </c>
      <c r="AE57" s="106">
        <f t="shared" si="6"/>
        <v>1675.1212</v>
      </c>
      <c r="AF57" s="107"/>
      <c r="AG57" s="108">
        <f t="shared" si="15"/>
        <v>1422.5849800000001</v>
      </c>
      <c r="AH57" s="107"/>
      <c r="AI57" s="107"/>
      <c r="AJ57" s="108">
        <f t="shared" si="16"/>
        <v>1422.5849800000001</v>
      </c>
      <c r="AK57" s="107"/>
      <c r="AL57" s="107"/>
      <c r="AM57" s="107"/>
      <c r="AN57" s="107"/>
      <c r="AO57" s="107"/>
      <c r="AP57" s="107"/>
      <c r="AQ57" s="107"/>
      <c r="AR57" s="107"/>
      <c r="AS57" s="107"/>
      <c r="AT57" s="107"/>
      <c r="AU57" s="107"/>
      <c r="AV57" s="107"/>
      <c r="AW57" s="107"/>
      <c r="AX57" s="107"/>
      <c r="AY57" s="107"/>
      <c r="AZ57" s="107"/>
    </row>
    <row r="58" spans="1:52" x14ac:dyDescent="0.25">
      <c r="A58" s="112" t="s">
        <v>381</v>
      </c>
      <c r="B58" s="92" t="s">
        <v>446</v>
      </c>
      <c r="C58" s="92"/>
      <c r="D58" s="92" t="s">
        <v>121</v>
      </c>
      <c r="E58" s="92" t="s">
        <v>194</v>
      </c>
      <c r="F58" s="92"/>
      <c r="G58" s="93"/>
      <c r="H58" s="93"/>
      <c r="I58" s="113">
        <v>511.28</v>
      </c>
      <c r="J58" s="93"/>
      <c r="K58" s="95">
        <f t="shared" si="0"/>
        <v>511.28</v>
      </c>
      <c r="L58" s="95">
        <v>1949.1</v>
      </c>
      <c r="M58" s="96"/>
      <c r="N58" s="96"/>
      <c r="O58" s="97"/>
      <c r="P58" s="98">
        <f t="shared" si="14"/>
        <v>2460.38</v>
      </c>
      <c r="Q58" s="99"/>
      <c r="R58" s="114">
        <v>100</v>
      </c>
      <c r="S58" s="114">
        <f>P58*1%</f>
        <v>24.603800000000003</v>
      </c>
      <c r="T58" s="114">
        <f>P58*4.9%</f>
        <v>120.55862</v>
      </c>
      <c r="U58" s="100"/>
      <c r="V58" s="101"/>
      <c r="W58" s="101"/>
      <c r="X58" s="102"/>
      <c r="Y58" s="103">
        <v>0</v>
      </c>
      <c r="Z58" s="98">
        <f t="shared" si="8"/>
        <v>2215.21758</v>
      </c>
      <c r="AA58" s="104">
        <f t="shared" si="7"/>
        <v>0</v>
      </c>
      <c r="AB58" s="98">
        <f t="shared" si="9"/>
        <v>2215.21758</v>
      </c>
      <c r="AC58" s="105">
        <f t="shared" si="4"/>
        <v>246.03800000000001</v>
      </c>
      <c r="AD58" s="104">
        <f t="shared" si="5"/>
        <v>10.2256</v>
      </c>
      <c r="AE58" s="106">
        <f t="shared" si="6"/>
        <v>2716.6436000000003</v>
      </c>
      <c r="AF58" s="107"/>
      <c r="AG58" s="108">
        <f t="shared" si="15"/>
        <v>2215.21758</v>
      </c>
      <c r="AH58" s="107"/>
      <c r="AI58" s="107"/>
      <c r="AJ58" s="108">
        <f t="shared" si="16"/>
        <v>2215.21758</v>
      </c>
      <c r="AK58" s="107"/>
      <c r="AL58" s="107"/>
      <c r="AM58" s="107"/>
      <c r="AN58" s="107"/>
      <c r="AO58" s="107"/>
      <c r="AP58" s="107"/>
      <c r="AQ58" s="107"/>
      <c r="AR58" s="107"/>
      <c r="AS58" s="107"/>
      <c r="AT58" s="107"/>
      <c r="AU58" s="107"/>
      <c r="AV58" s="107"/>
      <c r="AW58" s="107"/>
      <c r="AX58" s="107"/>
      <c r="AY58" s="107"/>
      <c r="AZ58" s="107"/>
    </row>
    <row r="59" spans="1:52" x14ac:dyDescent="0.25">
      <c r="A59" s="92" t="s">
        <v>377</v>
      </c>
      <c r="B59" s="92" t="s">
        <v>447</v>
      </c>
      <c r="C59" s="92" t="s">
        <v>31</v>
      </c>
      <c r="D59" s="92" t="s">
        <v>123</v>
      </c>
      <c r="E59" s="92" t="s">
        <v>189</v>
      </c>
      <c r="F59" s="92"/>
      <c r="G59" s="93"/>
      <c r="H59" s="93"/>
      <c r="I59" s="92">
        <v>513.33000000000004</v>
      </c>
      <c r="J59" s="93"/>
      <c r="K59" s="95">
        <f t="shared" si="0"/>
        <v>513.33000000000004</v>
      </c>
      <c r="L59" s="95"/>
      <c r="M59" s="96"/>
      <c r="N59" s="96"/>
      <c r="O59" s="97"/>
      <c r="P59" s="98">
        <f t="shared" si="14"/>
        <v>513.33000000000004</v>
      </c>
      <c r="Q59" s="99"/>
      <c r="R59" s="100">
        <v>0</v>
      </c>
      <c r="S59" s="100"/>
      <c r="T59" s="100"/>
      <c r="U59" s="100"/>
      <c r="V59" s="101"/>
      <c r="W59" s="101"/>
      <c r="X59" s="102"/>
      <c r="Y59" s="110">
        <v>0</v>
      </c>
      <c r="Z59" s="98">
        <f t="shared" si="8"/>
        <v>513.33000000000004</v>
      </c>
      <c r="AA59" s="104">
        <f t="shared" si="7"/>
        <v>0</v>
      </c>
      <c r="AB59" s="98">
        <f t="shared" si="9"/>
        <v>513.33000000000004</v>
      </c>
      <c r="AC59" s="105">
        <f t="shared" si="4"/>
        <v>51.333000000000006</v>
      </c>
      <c r="AD59" s="104">
        <f t="shared" si="5"/>
        <v>10.2666</v>
      </c>
      <c r="AE59" s="106">
        <f t="shared" si="6"/>
        <v>574.92960000000005</v>
      </c>
      <c r="AF59" s="107"/>
      <c r="AG59" s="108">
        <f t="shared" si="15"/>
        <v>513.33000000000004</v>
      </c>
      <c r="AH59" s="107"/>
      <c r="AI59" s="107"/>
      <c r="AJ59" s="108">
        <f t="shared" si="16"/>
        <v>513.33000000000004</v>
      </c>
      <c r="AK59" s="107"/>
      <c r="AL59" s="107"/>
      <c r="AM59" s="107"/>
      <c r="AN59" s="107"/>
      <c r="AO59" s="107"/>
      <c r="AP59" s="107"/>
      <c r="AQ59" s="107"/>
      <c r="AR59" s="107"/>
      <c r="AS59" s="107"/>
      <c r="AT59" s="107"/>
      <c r="AU59" s="107"/>
      <c r="AV59" s="107"/>
      <c r="AW59" s="107"/>
      <c r="AX59" s="107"/>
      <c r="AY59" s="107"/>
      <c r="AZ59" s="107"/>
    </row>
    <row r="60" spans="1:52" x14ac:dyDescent="0.25">
      <c r="A60" s="112" t="s">
        <v>383</v>
      </c>
      <c r="B60" s="92" t="s">
        <v>448</v>
      </c>
      <c r="C60" s="92"/>
      <c r="D60" s="92" t="s">
        <v>125</v>
      </c>
      <c r="E60" s="92" t="s">
        <v>449</v>
      </c>
      <c r="F60" s="92"/>
      <c r="G60" s="92"/>
      <c r="H60" s="93"/>
      <c r="I60" s="92">
        <v>739.23</v>
      </c>
      <c r="J60" s="93"/>
      <c r="K60" s="95">
        <f t="shared" si="0"/>
        <v>739.23</v>
      </c>
      <c r="L60" s="95">
        <v>3992.31</v>
      </c>
      <c r="M60" s="132"/>
      <c r="N60" s="96"/>
      <c r="O60" s="97"/>
      <c r="P60" s="98">
        <f t="shared" si="14"/>
        <v>4731.54</v>
      </c>
      <c r="Q60" s="99"/>
      <c r="R60" s="100">
        <v>0</v>
      </c>
      <c r="S60" s="100"/>
      <c r="T60" s="100"/>
      <c r="U60" s="100"/>
      <c r="V60" s="101"/>
      <c r="W60" s="101"/>
      <c r="X60" s="102"/>
      <c r="Y60" s="103">
        <v>0</v>
      </c>
      <c r="Z60" s="98">
        <f t="shared" si="8"/>
        <v>4731.54</v>
      </c>
      <c r="AA60" s="104">
        <f t="shared" si="7"/>
        <v>473.154</v>
      </c>
      <c r="AB60" s="98">
        <f t="shared" si="9"/>
        <v>4258.3860000000004</v>
      </c>
      <c r="AC60" s="105">
        <f t="shared" si="4"/>
        <v>0</v>
      </c>
      <c r="AD60" s="104">
        <f t="shared" si="5"/>
        <v>14.784600000000001</v>
      </c>
      <c r="AE60" s="106">
        <f t="shared" si="6"/>
        <v>4746.3245999999999</v>
      </c>
      <c r="AF60" s="107"/>
      <c r="AG60" s="108">
        <f t="shared" si="15"/>
        <v>4258.3860000000004</v>
      </c>
      <c r="AH60" s="107"/>
      <c r="AI60" s="107"/>
      <c r="AJ60" s="108">
        <f t="shared" si="16"/>
        <v>4258.3860000000004</v>
      </c>
      <c r="AK60" s="107"/>
      <c r="AL60" s="107"/>
      <c r="AM60" s="107"/>
      <c r="AN60" s="107"/>
      <c r="AO60" s="107"/>
      <c r="AP60" s="107"/>
      <c r="AQ60" s="107"/>
      <c r="AR60" s="107"/>
      <c r="AS60" s="107"/>
      <c r="AT60" s="107"/>
      <c r="AU60" s="107"/>
      <c r="AV60" s="107"/>
      <c r="AW60" s="107"/>
      <c r="AX60" s="107"/>
      <c r="AY60" s="107"/>
      <c r="AZ60" s="107"/>
    </row>
    <row r="61" spans="1:52" x14ac:dyDescent="0.25">
      <c r="A61" s="92" t="s">
        <v>389</v>
      </c>
      <c r="B61" s="92" t="s">
        <v>450</v>
      </c>
      <c r="C61" s="92" t="s">
        <v>391</v>
      </c>
      <c r="D61" s="92" t="s">
        <v>127</v>
      </c>
      <c r="E61" s="92" t="s">
        <v>451</v>
      </c>
      <c r="F61" s="92"/>
      <c r="G61" s="93"/>
      <c r="H61" s="93"/>
      <c r="I61" s="94">
        <v>2333.33</v>
      </c>
      <c r="J61" s="93"/>
      <c r="K61" s="95">
        <f t="shared" si="0"/>
        <v>2333.33</v>
      </c>
      <c r="L61" s="95">
        <v>304.83999999999997</v>
      </c>
      <c r="M61" s="96"/>
      <c r="N61" s="96"/>
      <c r="O61" s="97"/>
      <c r="P61" s="98">
        <f t="shared" si="14"/>
        <v>2638.17</v>
      </c>
      <c r="Q61" s="99"/>
      <c r="R61" s="100">
        <v>0</v>
      </c>
      <c r="S61" s="100"/>
      <c r="T61" s="100"/>
      <c r="U61" s="100"/>
      <c r="V61" s="101"/>
      <c r="W61" s="101"/>
      <c r="X61" s="102">
        <v>329</v>
      </c>
      <c r="Y61" s="103">
        <v>955.1</v>
      </c>
      <c r="Z61" s="98">
        <f t="shared" si="8"/>
        <v>1354.0700000000002</v>
      </c>
      <c r="AA61" s="104">
        <f t="shared" si="7"/>
        <v>0</v>
      </c>
      <c r="AB61" s="98">
        <f t="shared" si="9"/>
        <v>1354.0700000000002</v>
      </c>
      <c r="AC61" s="105">
        <f t="shared" si="4"/>
        <v>263.81700000000001</v>
      </c>
      <c r="AD61" s="104">
        <f t="shared" si="5"/>
        <v>46.666600000000003</v>
      </c>
      <c r="AE61" s="106">
        <f t="shared" si="6"/>
        <v>2948.6536000000001</v>
      </c>
      <c r="AF61" s="107"/>
      <c r="AG61" s="108">
        <f t="shared" si="15"/>
        <v>1354.0700000000002</v>
      </c>
      <c r="AH61" s="107"/>
      <c r="AI61" s="107"/>
      <c r="AJ61" s="108">
        <f t="shared" si="16"/>
        <v>1354.0700000000002</v>
      </c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</row>
    <row r="62" spans="1:52" x14ac:dyDescent="0.25">
      <c r="A62" s="112" t="s">
        <v>383</v>
      </c>
      <c r="B62" s="92" t="s">
        <v>452</v>
      </c>
      <c r="C62" s="92"/>
      <c r="D62" s="92" t="s">
        <v>129</v>
      </c>
      <c r="E62" s="92" t="s">
        <v>177</v>
      </c>
      <c r="F62" s="92"/>
      <c r="G62" s="92"/>
      <c r="H62" s="93"/>
      <c r="I62" s="92">
        <v>739.23</v>
      </c>
      <c r="J62" s="93"/>
      <c r="K62" s="95">
        <f t="shared" si="0"/>
        <v>739.23</v>
      </c>
      <c r="L62" s="95">
        <v>2678.5439999999999</v>
      </c>
      <c r="M62" s="96"/>
      <c r="N62" s="96"/>
      <c r="O62" s="97"/>
      <c r="P62" s="98">
        <f t="shared" si="14"/>
        <v>3417.7739999999999</v>
      </c>
      <c r="Q62" s="99"/>
      <c r="R62" s="100">
        <v>0</v>
      </c>
      <c r="S62" s="100"/>
      <c r="T62" s="100"/>
      <c r="U62" s="100"/>
      <c r="V62" s="101"/>
      <c r="W62" s="101"/>
      <c r="X62" s="102"/>
      <c r="Y62" s="103">
        <v>0</v>
      </c>
      <c r="Z62" s="98">
        <f t="shared" si="8"/>
        <v>3417.7739999999999</v>
      </c>
      <c r="AA62" s="104">
        <f t="shared" si="7"/>
        <v>0</v>
      </c>
      <c r="AB62" s="98">
        <f t="shared" si="9"/>
        <v>3417.7739999999999</v>
      </c>
      <c r="AC62" s="105">
        <f t="shared" si="4"/>
        <v>341.7774</v>
      </c>
      <c r="AD62" s="104">
        <f t="shared" si="5"/>
        <v>14.784600000000001</v>
      </c>
      <c r="AE62" s="106">
        <f t="shared" si="6"/>
        <v>3774.3359999999998</v>
      </c>
      <c r="AF62" s="107"/>
      <c r="AG62" s="108">
        <f t="shared" si="15"/>
        <v>3417.7739999999999</v>
      </c>
      <c r="AH62" s="107"/>
      <c r="AI62" s="107"/>
      <c r="AJ62" s="108">
        <f t="shared" si="16"/>
        <v>3417.7739999999999</v>
      </c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</row>
    <row r="63" spans="1:52" x14ac:dyDescent="0.25">
      <c r="A63" s="112" t="s">
        <v>381</v>
      </c>
      <c r="B63" s="92" t="s">
        <v>453</v>
      </c>
      <c r="C63" s="92"/>
      <c r="D63" s="92" t="s">
        <v>131</v>
      </c>
      <c r="E63" s="92" t="s">
        <v>454</v>
      </c>
      <c r="F63" s="92"/>
      <c r="G63" s="93"/>
      <c r="H63" s="93"/>
      <c r="I63" s="113">
        <v>608.16</v>
      </c>
      <c r="J63" s="93"/>
      <c r="K63" s="95">
        <f t="shared" si="0"/>
        <v>608.16</v>
      </c>
      <c r="L63" s="95">
        <v>1454.37</v>
      </c>
      <c r="M63" s="96"/>
      <c r="N63" s="96"/>
      <c r="O63" s="97"/>
      <c r="P63" s="98">
        <f t="shared" si="14"/>
        <v>2062.5299999999997</v>
      </c>
      <c r="Q63" s="99"/>
      <c r="R63" s="100"/>
      <c r="S63" s="114">
        <f t="shared" ref="S63:S64" si="17">P63*1%</f>
        <v>20.625299999999999</v>
      </c>
      <c r="T63" s="114">
        <f t="shared" ref="T63:T64" si="18">P63*4.9%</f>
        <v>101.06397</v>
      </c>
      <c r="U63" s="100"/>
      <c r="V63" s="101"/>
      <c r="W63" s="101"/>
      <c r="X63" s="102"/>
      <c r="Y63" s="103">
        <v>0</v>
      </c>
      <c r="Z63" s="98">
        <f t="shared" si="8"/>
        <v>1940.8407299999997</v>
      </c>
      <c r="AA63" s="104">
        <f t="shared" si="7"/>
        <v>0</v>
      </c>
      <c r="AB63" s="98">
        <f t="shared" si="9"/>
        <v>1940.8407299999997</v>
      </c>
      <c r="AC63" s="105">
        <f t="shared" si="4"/>
        <v>206.25299999999999</v>
      </c>
      <c r="AD63" s="104">
        <f t="shared" si="5"/>
        <v>12.1632</v>
      </c>
      <c r="AE63" s="106">
        <f t="shared" si="6"/>
        <v>2280.9461999999999</v>
      </c>
      <c r="AF63" s="107"/>
      <c r="AG63" s="108">
        <f t="shared" si="15"/>
        <v>1940.8407299999997</v>
      </c>
      <c r="AH63" s="107"/>
      <c r="AI63" s="107"/>
      <c r="AJ63" s="108">
        <f t="shared" si="16"/>
        <v>1940.8407299999997</v>
      </c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</row>
    <row r="64" spans="1:52" x14ac:dyDescent="0.25">
      <c r="A64" s="112" t="s">
        <v>381</v>
      </c>
      <c r="B64" s="92" t="s">
        <v>455</v>
      </c>
      <c r="C64" s="92"/>
      <c r="D64" s="92" t="s">
        <v>133</v>
      </c>
      <c r="E64" s="92" t="s">
        <v>190</v>
      </c>
      <c r="F64" s="92"/>
      <c r="G64" s="93"/>
      <c r="H64" s="93"/>
      <c r="I64" s="113">
        <v>608.16</v>
      </c>
      <c r="J64" s="93"/>
      <c r="K64" s="95">
        <f t="shared" si="0"/>
        <v>608.16</v>
      </c>
      <c r="L64" s="95">
        <v>3219.319</v>
      </c>
      <c r="M64" s="96"/>
      <c r="N64" s="96"/>
      <c r="O64" s="97"/>
      <c r="P64" s="98">
        <f t="shared" si="14"/>
        <v>3827.4789999999998</v>
      </c>
      <c r="Q64" s="99"/>
      <c r="R64" s="114">
        <v>200</v>
      </c>
      <c r="S64" s="114">
        <f t="shared" si="17"/>
        <v>38.274789999999996</v>
      </c>
      <c r="T64" s="114">
        <f t="shared" si="18"/>
        <v>187.546471</v>
      </c>
      <c r="U64" s="114">
        <v>321.74</v>
      </c>
      <c r="V64" s="101"/>
      <c r="W64" s="101"/>
      <c r="X64" s="102"/>
      <c r="Y64" s="103">
        <v>0</v>
      </c>
      <c r="Z64" s="98">
        <f t="shared" si="8"/>
        <v>3079.9177389999995</v>
      </c>
      <c r="AA64" s="104">
        <f t="shared" si="7"/>
        <v>0</v>
      </c>
      <c r="AB64" s="98">
        <f t="shared" si="9"/>
        <v>3079.9177389999995</v>
      </c>
      <c r="AC64" s="105">
        <f t="shared" si="4"/>
        <v>382.74790000000002</v>
      </c>
      <c r="AD64" s="104">
        <f t="shared" si="5"/>
        <v>12.1632</v>
      </c>
      <c r="AE64" s="106">
        <f t="shared" si="6"/>
        <v>4222.3900999999996</v>
      </c>
      <c r="AF64" s="107"/>
      <c r="AG64" s="108">
        <f t="shared" si="15"/>
        <v>3079.9177389999995</v>
      </c>
      <c r="AH64" s="107"/>
      <c r="AI64" s="107"/>
      <c r="AJ64" s="108">
        <f t="shared" si="16"/>
        <v>3079.9177389999995</v>
      </c>
      <c r="AK64" s="107"/>
      <c r="AL64" s="107"/>
      <c r="AM64" s="107"/>
      <c r="AN64" s="107"/>
      <c r="AO64" s="107"/>
      <c r="AP64" s="107"/>
      <c r="AQ64" s="107"/>
      <c r="AR64" s="107"/>
      <c r="AS64" s="107"/>
      <c r="AT64" s="107"/>
      <c r="AU64" s="107"/>
      <c r="AV64" s="107"/>
      <c r="AW64" s="107"/>
      <c r="AX64" s="107"/>
      <c r="AY64" s="107"/>
      <c r="AZ64" s="107"/>
    </row>
    <row r="65" spans="1:52" x14ac:dyDescent="0.25">
      <c r="A65" s="92" t="s">
        <v>431</v>
      </c>
      <c r="B65" s="92" t="s">
        <v>456</v>
      </c>
      <c r="C65" s="92"/>
      <c r="D65" s="92" t="s">
        <v>135</v>
      </c>
      <c r="E65" s="92" t="s">
        <v>186</v>
      </c>
      <c r="F65" s="92"/>
      <c r="G65" s="93"/>
      <c r="H65" s="93"/>
      <c r="I65" s="94">
        <v>1400</v>
      </c>
      <c r="J65" s="93"/>
      <c r="K65" s="95">
        <f t="shared" si="0"/>
        <v>1400</v>
      </c>
      <c r="L65" s="95"/>
      <c r="M65" s="96"/>
      <c r="N65" s="96"/>
      <c r="O65" s="97"/>
      <c r="P65" s="98">
        <f t="shared" si="14"/>
        <v>1400</v>
      </c>
      <c r="Q65" s="99"/>
      <c r="R65" s="100">
        <v>0</v>
      </c>
      <c r="S65" s="100"/>
      <c r="T65" s="100"/>
      <c r="U65" s="100"/>
      <c r="V65" s="101"/>
      <c r="W65" s="101"/>
      <c r="X65" s="102"/>
      <c r="Y65" s="103">
        <v>0</v>
      </c>
      <c r="Z65" s="98">
        <f t="shared" si="8"/>
        <v>1400</v>
      </c>
      <c r="AA65" s="104">
        <f t="shared" si="7"/>
        <v>0</v>
      </c>
      <c r="AB65" s="98">
        <f t="shared" si="9"/>
        <v>1400</v>
      </c>
      <c r="AC65" s="105">
        <f t="shared" si="4"/>
        <v>140</v>
      </c>
      <c r="AD65" s="104">
        <f t="shared" si="5"/>
        <v>28</v>
      </c>
      <c r="AE65" s="106">
        <f t="shared" si="6"/>
        <v>1568</v>
      </c>
      <c r="AF65" s="107"/>
      <c r="AG65" s="108">
        <f t="shared" si="15"/>
        <v>1400</v>
      </c>
      <c r="AH65" s="107"/>
      <c r="AI65" s="107"/>
      <c r="AJ65" s="108">
        <f t="shared" si="16"/>
        <v>1400</v>
      </c>
      <c r="AK65" s="107"/>
      <c r="AL65" s="107"/>
      <c r="AM65" s="107"/>
      <c r="AN65" s="107"/>
      <c r="AO65" s="107"/>
      <c r="AP65" s="107"/>
      <c r="AQ65" s="107"/>
      <c r="AR65" s="107"/>
      <c r="AS65" s="107"/>
      <c r="AT65" s="107"/>
      <c r="AU65" s="107"/>
      <c r="AV65" s="107"/>
      <c r="AW65" s="107"/>
      <c r="AX65" s="107"/>
      <c r="AY65" s="107"/>
      <c r="AZ65" s="107"/>
    </row>
    <row r="66" spans="1:52" x14ac:dyDescent="0.25">
      <c r="A66" s="112" t="s">
        <v>381</v>
      </c>
      <c r="B66" s="92" t="s">
        <v>457</v>
      </c>
      <c r="C66" s="92"/>
      <c r="D66" s="92" t="s">
        <v>259</v>
      </c>
      <c r="E66" s="92" t="s">
        <v>190</v>
      </c>
      <c r="F66" s="92"/>
      <c r="G66" s="93"/>
      <c r="H66" s="93"/>
      <c r="I66" s="113">
        <v>608.16</v>
      </c>
      <c r="J66" s="93"/>
      <c r="K66" s="95">
        <f t="shared" si="0"/>
        <v>608.16</v>
      </c>
      <c r="L66" s="95">
        <v>406.8</v>
      </c>
      <c r="M66" s="96"/>
      <c r="N66" s="96"/>
      <c r="O66" s="97"/>
      <c r="P66" s="98">
        <f t="shared" si="14"/>
        <v>1014.96</v>
      </c>
      <c r="Q66" s="99"/>
      <c r="R66" s="100">
        <v>0</v>
      </c>
      <c r="S66" s="114">
        <f>P66*1%</f>
        <v>10.149600000000001</v>
      </c>
      <c r="T66" s="114">
        <f>P66*4.9%</f>
        <v>49.733040000000003</v>
      </c>
      <c r="U66" s="100"/>
      <c r="V66" s="101"/>
      <c r="W66" s="101"/>
      <c r="X66" s="102"/>
      <c r="Y66" s="103">
        <v>0</v>
      </c>
      <c r="Z66" s="98">
        <f t="shared" si="8"/>
        <v>955.07736</v>
      </c>
      <c r="AA66" s="104">
        <f t="shared" si="7"/>
        <v>0</v>
      </c>
      <c r="AB66" s="98">
        <f t="shared" si="9"/>
        <v>955.07736</v>
      </c>
      <c r="AC66" s="105">
        <f t="shared" si="4"/>
        <v>101.49600000000001</v>
      </c>
      <c r="AD66" s="104">
        <f t="shared" si="5"/>
        <v>12.1632</v>
      </c>
      <c r="AE66" s="106">
        <f t="shared" si="6"/>
        <v>1128.6192000000001</v>
      </c>
      <c r="AF66" s="107"/>
      <c r="AG66" s="108">
        <f t="shared" si="15"/>
        <v>955.07736</v>
      </c>
      <c r="AH66" s="107"/>
      <c r="AI66" s="107"/>
      <c r="AJ66" s="108">
        <f t="shared" si="16"/>
        <v>955.07736</v>
      </c>
      <c r="AK66" s="107"/>
      <c r="AL66" s="107"/>
      <c r="AM66" s="107"/>
      <c r="AN66" s="107"/>
      <c r="AO66" s="107"/>
      <c r="AP66" s="107"/>
      <c r="AQ66" s="107"/>
      <c r="AR66" s="107"/>
      <c r="AS66" s="107"/>
      <c r="AT66" s="107"/>
      <c r="AU66" s="107"/>
      <c r="AV66" s="107"/>
      <c r="AW66" s="107"/>
      <c r="AX66" s="107"/>
      <c r="AY66" s="107"/>
      <c r="AZ66" s="107"/>
    </row>
    <row r="67" spans="1:52" x14ac:dyDescent="0.25">
      <c r="A67" s="92" t="s">
        <v>375</v>
      </c>
      <c r="B67" s="92" t="s">
        <v>458</v>
      </c>
      <c r="C67" s="92"/>
      <c r="D67" s="92" t="s">
        <v>139</v>
      </c>
      <c r="E67" s="92" t="s">
        <v>186</v>
      </c>
      <c r="F67" s="92"/>
      <c r="G67" s="92"/>
      <c r="H67" s="92"/>
      <c r="I67" s="94">
        <v>1400</v>
      </c>
      <c r="J67" s="92"/>
      <c r="K67" s="95">
        <f t="shared" si="0"/>
        <v>1400</v>
      </c>
      <c r="L67" s="95"/>
      <c r="M67" s="95"/>
      <c r="N67" s="95"/>
      <c r="O67" s="97"/>
      <c r="P67" s="98">
        <f t="shared" si="14"/>
        <v>1400</v>
      </c>
      <c r="Q67" s="99"/>
      <c r="R67" s="100">
        <v>0</v>
      </c>
      <c r="S67" s="100"/>
      <c r="T67" s="100"/>
      <c r="U67" s="100"/>
      <c r="V67" s="101"/>
      <c r="W67" s="101"/>
      <c r="X67" s="102"/>
      <c r="Y67" s="103">
        <v>0</v>
      </c>
      <c r="Z67" s="98">
        <f t="shared" si="8"/>
        <v>1400</v>
      </c>
      <c r="AA67" s="104">
        <f t="shared" si="7"/>
        <v>0</v>
      </c>
      <c r="AB67" s="98">
        <f t="shared" si="9"/>
        <v>1400</v>
      </c>
      <c r="AC67" s="105">
        <f t="shared" si="4"/>
        <v>140</v>
      </c>
      <c r="AD67" s="104">
        <f t="shared" si="5"/>
        <v>28</v>
      </c>
      <c r="AE67" s="106">
        <f t="shared" si="6"/>
        <v>1568</v>
      </c>
      <c r="AF67" s="107"/>
      <c r="AG67" s="108">
        <f t="shared" si="15"/>
        <v>1400</v>
      </c>
      <c r="AH67" s="107"/>
      <c r="AI67" s="107"/>
      <c r="AJ67" s="108">
        <f t="shared" si="16"/>
        <v>1400</v>
      </c>
      <c r="AK67" s="107"/>
      <c r="AL67" s="107"/>
      <c r="AM67" s="107"/>
      <c r="AN67" s="107"/>
      <c r="AO67" s="107"/>
      <c r="AP67" s="107"/>
      <c r="AQ67" s="107"/>
      <c r="AR67" s="107"/>
      <c r="AS67" s="107"/>
      <c r="AT67" s="107"/>
      <c r="AU67" s="107"/>
      <c r="AV67" s="107"/>
      <c r="AW67" s="107"/>
      <c r="AX67" s="107"/>
      <c r="AY67" s="107"/>
      <c r="AZ67" s="107"/>
    </row>
    <row r="68" spans="1:52" s="125" customFormat="1" x14ac:dyDescent="0.25">
      <c r="A68" s="112" t="s">
        <v>383</v>
      </c>
      <c r="B68" s="115" t="s">
        <v>459</v>
      </c>
      <c r="C68" s="115"/>
      <c r="D68" s="115"/>
      <c r="E68" s="115" t="s">
        <v>177</v>
      </c>
      <c r="F68" s="115"/>
      <c r="G68" s="115"/>
      <c r="H68" s="115"/>
      <c r="I68" s="117">
        <v>739.23</v>
      </c>
      <c r="J68" s="115"/>
      <c r="K68" s="118">
        <f t="shared" si="0"/>
        <v>739.23</v>
      </c>
      <c r="L68" s="118">
        <v>332.68200000000002</v>
      </c>
      <c r="M68" s="118"/>
      <c r="N68" s="118"/>
      <c r="O68" s="119"/>
      <c r="P68" s="120">
        <f t="shared" si="14"/>
        <v>1071.912</v>
      </c>
      <c r="Q68" s="121"/>
      <c r="R68" s="121"/>
      <c r="S68" s="121"/>
      <c r="T68" s="121"/>
      <c r="U68" s="121"/>
      <c r="V68" s="122"/>
      <c r="W68" s="122"/>
      <c r="X68" s="115"/>
      <c r="Y68" s="123"/>
      <c r="Z68" s="120">
        <f t="shared" si="8"/>
        <v>1071.912</v>
      </c>
      <c r="AA68" s="124">
        <f t="shared" si="7"/>
        <v>0</v>
      </c>
      <c r="AB68" s="120">
        <f t="shared" si="9"/>
        <v>1071.912</v>
      </c>
      <c r="AC68" s="124">
        <f t="shared" si="4"/>
        <v>107.19120000000001</v>
      </c>
      <c r="AD68" s="124">
        <f t="shared" si="5"/>
        <v>14.784600000000001</v>
      </c>
      <c r="AE68" s="106">
        <f t="shared" si="6"/>
        <v>1193.8878</v>
      </c>
      <c r="AG68" s="126"/>
      <c r="AJ68" s="126"/>
    </row>
    <row r="69" spans="1:52" x14ac:dyDescent="0.25">
      <c r="A69" s="112" t="s">
        <v>381</v>
      </c>
      <c r="B69" s="92" t="s">
        <v>460</v>
      </c>
      <c r="C69" s="92"/>
      <c r="D69" s="92" t="s">
        <v>141</v>
      </c>
      <c r="E69" s="92" t="s">
        <v>195</v>
      </c>
      <c r="F69" s="92"/>
      <c r="G69" s="93"/>
      <c r="H69" s="93"/>
      <c r="I69" s="113">
        <v>511.28</v>
      </c>
      <c r="J69" s="93"/>
      <c r="K69" s="95">
        <f t="shared" si="0"/>
        <v>511.28</v>
      </c>
      <c r="L69" s="95">
        <v>2488.44</v>
      </c>
      <c r="M69" s="96"/>
      <c r="N69" s="96"/>
      <c r="O69" s="97"/>
      <c r="P69" s="98">
        <f t="shared" si="14"/>
        <v>2999.7200000000003</v>
      </c>
      <c r="Q69" s="99"/>
      <c r="R69" s="114">
        <v>300</v>
      </c>
      <c r="S69" s="100"/>
      <c r="T69" s="100"/>
      <c r="U69" s="100"/>
      <c r="V69" s="101"/>
      <c r="W69" s="101"/>
      <c r="X69" s="102"/>
      <c r="Y69" s="103">
        <v>831.77</v>
      </c>
      <c r="Z69" s="98">
        <f t="shared" si="8"/>
        <v>1867.9500000000003</v>
      </c>
      <c r="AA69" s="104">
        <f t="shared" si="7"/>
        <v>0</v>
      </c>
      <c r="AB69" s="98">
        <f t="shared" si="9"/>
        <v>1867.9500000000003</v>
      </c>
      <c r="AC69" s="105">
        <f t="shared" si="4"/>
        <v>299.97200000000004</v>
      </c>
      <c r="AD69" s="104">
        <f t="shared" si="5"/>
        <v>10.2256</v>
      </c>
      <c r="AE69" s="106">
        <f t="shared" si="6"/>
        <v>3309.9176000000007</v>
      </c>
      <c r="AF69" s="107"/>
      <c r="AG69" s="108">
        <f t="shared" ref="AG69:AG77" si="19">+AB69-AF69</f>
        <v>1867.9500000000003</v>
      </c>
      <c r="AH69" s="107"/>
      <c r="AI69" s="107"/>
      <c r="AJ69" s="108">
        <f t="shared" ref="AJ69:AJ77" si="20">+AG69-AH69-AI69</f>
        <v>1867.9500000000003</v>
      </c>
      <c r="AK69" s="107"/>
      <c r="AL69" s="107"/>
      <c r="AM69" s="107"/>
      <c r="AN69" s="107"/>
      <c r="AO69" s="107"/>
      <c r="AP69" s="107"/>
      <c r="AQ69" s="107"/>
      <c r="AR69" s="107"/>
      <c r="AS69" s="107"/>
      <c r="AT69" s="107"/>
      <c r="AU69" s="107"/>
      <c r="AV69" s="107"/>
      <c r="AW69" s="107"/>
      <c r="AX69" s="107"/>
      <c r="AY69" s="107"/>
      <c r="AZ69" s="107"/>
    </row>
    <row r="70" spans="1:52" x14ac:dyDescent="0.25">
      <c r="A70" s="92" t="s">
        <v>375</v>
      </c>
      <c r="B70" s="92" t="s">
        <v>461</v>
      </c>
      <c r="C70" s="92"/>
      <c r="D70" s="92" t="s">
        <v>143</v>
      </c>
      <c r="E70" s="92" t="s">
        <v>179</v>
      </c>
      <c r="F70" s="92"/>
      <c r="G70" s="92"/>
      <c r="H70" s="92"/>
      <c r="I70" s="94">
        <v>1166.26</v>
      </c>
      <c r="J70" s="94"/>
      <c r="K70" s="95">
        <f t="shared" si="0"/>
        <v>1166.26</v>
      </c>
      <c r="L70" s="95"/>
      <c r="M70" s="95"/>
      <c r="N70" s="95"/>
      <c r="O70" s="97"/>
      <c r="P70" s="98">
        <f t="shared" ref="P70:P86" si="21">SUM(K70:N70)-O70</f>
        <v>1166.26</v>
      </c>
      <c r="Q70" s="99"/>
      <c r="R70" s="100">
        <v>0</v>
      </c>
      <c r="S70" s="100"/>
      <c r="T70" s="100"/>
      <c r="U70" s="100"/>
      <c r="V70" s="101"/>
      <c r="W70" s="101"/>
      <c r="X70" s="102"/>
      <c r="Y70" s="103">
        <v>0</v>
      </c>
      <c r="Z70" s="98">
        <f t="shared" si="8"/>
        <v>1166.26</v>
      </c>
      <c r="AA70" s="104">
        <f t="shared" si="7"/>
        <v>0</v>
      </c>
      <c r="AB70" s="98">
        <f t="shared" si="9"/>
        <v>1166.26</v>
      </c>
      <c r="AC70" s="105">
        <f t="shared" si="4"/>
        <v>116.626</v>
      </c>
      <c r="AD70" s="104">
        <f t="shared" si="5"/>
        <v>23.325199999999999</v>
      </c>
      <c r="AE70" s="106">
        <f t="shared" si="6"/>
        <v>1306.2112</v>
      </c>
      <c r="AF70" s="107"/>
      <c r="AG70" s="108">
        <f t="shared" si="19"/>
        <v>1166.26</v>
      </c>
      <c r="AH70" s="107"/>
      <c r="AI70" s="107"/>
      <c r="AJ70" s="108">
        <f t="shared" si="20"/>
        <v>1166.26</v>
      </c>
      <c r="AK70" s="107"/>
      <c r="AL70" s="107"/>
      <c r="AM70" s="107"/>
      <c r="AN70" s="107"/>
      <c r="AO70" s="107"/>
      <c r="AP70" s="107"/>
      <c r="AQ70" s="107"/>
      <c r="AR70" s="107"/>
      <c r="AS70" s="107"/>
      <c r="AT70" s="107"/>
      <c r="AU70" s="107"/>
      <c r="AV70" s="107"/>
      <c r="AW70" s="107"/>
      <c r="AX70" s="107"/>
      <c r="AY70" s="107"/>
      <c r="AZ70" s="107"/>
    </row>
    <row r="71" spans="1:52" x14ac:dyDescent="0.25">
      <c r="A71" s="92" t="s">
        <v>431</v>
      </c>
      <c r="B71" s="92" t="s">
        <v>462</v>
      </c>
      <c r="C71" s="92"/>
      <c r="D71" s="92" t="s">
        <v>188</v>
      </c>
      <c r="E71" s="92" t="s">
        <v>185</v>
      </c>
      <c r="F71" s="92"/>
      <c r="G71" s="92"/>
      <c r="H71" s="92"/>
      <c r="I71" s="94">
        <v>1100</v>
      </c>
      <c r="J71" s="92"/>
      <c r="K71" s="95">
        <f t="shared" ref="K71:K90" si="22">+I71+J71</f>
        <v>1100</v>
      </c>
      <c r="L71" s="95"/>
      <c r="M71" s="95"/>
      <c r="N71" s="95"/>
      <c r="O71" s="97"/>
      <c r="P71" s="98">
        <f t="shared" si="21"/>
        <v>1100</v>
      </c>
      <c r="Q71" s="99"/>
      <c r="R71" s="100">
        <v>0</v>
      </c>
      <c r="S71" s="100"/>
      <c r="T71" s="100"/>
      <c r="U71" s="100"/>
      <c r="V71" s="101"/>
      <c r="W71" s="101"/>
      <c r="X71" s="102"/>
      <c r="Y71" s="103">
        <v>0</v>
      </c>
      <c r="Z71" s="98">
        <f t="shared" si="8"/>
        <v>1100</v>
      </c>
      <c r="AA71" s="104">
        <f t="shared" si="7"/>
        <v>0</v>
      </c>
      <c r="AB71" s="98">
        <f t="shared" si="9"/>
        <v>1100</v>
      </c>
      <c r="AC71" s="105">
        <f t="shared" ref="AC71:AC90" si="23">IF(P71&lt;4500,P71*0.1,0)</f>
        <v>110</v>
      </c>
      <c r="AD71" s="104">
        <f t="shared" ref="AD71:AD90" si="24">I71*0.02</f>
        <v>22</v>
      </c>
      <c r="AE71" s="106">
        <f t="shared" ref="AE71:AE90" si="25">+P71+AC71+AD71</f>
        <v>1232</v>
      </c>
      <c r="AF71" s="107"/>
      <c r="AG71" s="108">
        <f t="shared" si="19"/>
        <v>1100</v>
      </c>
      <c r="AH71" s="107"/>
      <c r="AI71" s="107"/>
      <c r="AJ71" s="108">
        <f t="shared" si="20"/>
        <v>1100</v>
      </c>
      <c r="AK71" s="107"/>
      <c r="AL71" s="107"/>
      <c r="AM71" s="107"/>
      <c r="AN71" s="107"/>
      <c r="AO71" s="107"/>
      <c r="AP71" s="107"/>
      <c r="AQ71" s="107"/>
      <c r="AR71" s="107"/>
      <c r="AS71" s="107"/>
      <c r="AT71" s="107"/>
      <c r="AU71" s="107"/>
      <c r="AV71" s="107"/>
      <c r="AW71" s="107"/>
      <c r="AX71" s="107"/>
      <c r="AY71" s="107"/>
      <c r="AZ71" s="107"/>
    </row>
    <row r="72" spans="1:52" x14ac:dyDescent="0.25">
      <c r="A72" s="92" t="s">
        <v>377</v>
      </c>
      <c r="B72" s="92" t="s">
        <v>463</v>
      </c>
      <c r="C72" s="92" t="s">
        <v>31</v>
      </c>
      <c r="D72" s="92">
        <v>21</v>
      </c>
      <c r="E72" s="92" t="s">
        <v>189</v>
      </c>
      <c r="F72" s="92"/>
      <c r="G72" s="93"/>
      <c r="H72" s="93"/>
      <c r="I72" s="92">
        <v>513.33000000000004</v>
      </c>
      <c r="J72" s="93"/>
      <c r="K72" s="95">
        <f t="shared" si="22"/>
        <v>513.33000000000004</v>
      </c>
      <c r="L72" s="95">
        <v>3251.67</v>
      </c>
      <c r="M72" s="96"/>
      <c r="N72" s="96"/>
      <c r="O72" s="97"/>
      <c r="P72" s="98">
        <f t="shared" si="21"/>
        <v>3765</v>
      </c>
      <c r="Q72" s="99"/>
      <c r="R72" s="100">
        <v>0</v>
      </c>
      <c r="S72" s="100"/>
      <c r="T72" s="100"/>
      <c r="U72" s="100"/>
      <c r="V72" s="101"/>
      <c r="W72" s="101"/>
      <c r="X72" s="102"/>
      <c r="Y72" s="110">
        <v>150.49</v>
      </c>
      <c r="Z72" s="98">
        <f t="shared" si="8"/>
        <v>3614.51</v>
      </c>
      <c r="AA72" s="104">
        <f t="shared" si="7"/>
        <v>0</v>
      </c>
      <c r="AB72" s="98">
        <f t="shared" si="9"/>
        <v>3614.51</v>
      </c>
      <c r="AC72" s="105">
        <f t="shared" si="23"/>
        <v>376.5</v>
      </c>
      <c r="AD72" s="104">
        <f t="shared" si="24"/>
        <v>10.2666</v>
      </c>
      <c r="AE72" s="106">
        <f t="shared" si="25"/>
        <v>4151.7665999999999</v>
      </c>
      <c r="AF72" s="107"/>
      <c r="AG72" s="108">
        <f t="shared" si="19"/>
        <v>3614.51</v>
      </c>
      <c r="AH72" s="107"/>
      <c r="AI72" s="107"/>
      <c r="AJ72" s="108">
        <f t="shared" si="20"/>
        <v>3614.51</v>
      </c>
      <c r="AK72" s="107"/>
      <c r="AL72" s="107"/>
      <c r="AM72" s="107"/>
      <c r="AN72" s="107"/>
      <c r="AO72" s="107"/>
      <c r="AP72" s="107"/>
      <c r="AQ72" s="107"/>
      <c r="AR72" s="107"/>
      <c r="AS72" s="107"/>
      <c r="AT72" s="107"/>
      <c r="AU72" s="107"/>
      <c r="AV72" s="107"/>
      <c r="AW72" s="107"/>
      <c r="AX72" s="107"/>
      <c r="AY72" s="107"/>
      <c r="AZ72" s="107"/>
    </row>
    <row r="73" spans="1:52" x14ac:dyDescent="0.25">
      <c r="A73" s="92" t="s">
        <v>377</v>
      </c>
      <c r="B73" s="92" t="s">
        <v>464</v>
      </c>
      <c r="C73" s="92" t="s">
        <v>30</v>
      </c>
      <c r="D73" s="92" t="s">
        <v>148</v>
      </c>
      <c r="E73" s="92" t="s">
        <v>189</v>
      </c>
      <c r="F73" s="92"/>
      <c r="G73" s="93"/>
      <c r="H73" s="93"/>
      <c r="I73" s="92">
        <v>513.33000000000004</v>
      </c>
      <c r="J73" s="93"/>
      <c r="K73" s="95">
        <f t="shared" si="22"/>
        <v>513.33000000000004</v>
      </c>
      <c r="L73" s="95">
        <v>782.37</v>
      </c>
      <c r="M73" s="96"/>
      <c r="N73" s="96"/>
      <c r="O73" s="97"/>
      <c r="P73" s="98">
        <f t="shared" si="21"/>
        <v>1295.7</v>
      </c>
      <c r="Q73" s="99"/>
      <c r="R73" s="100">
        <v>0</v>
      </c>
      <c r="S73" s="100"/>
      <c r="T73" s="100"/>
      <c r="U73" s="100"/>
      <c r="V73" s="101"/>
      <c r="W73" s="101"/>
      <c r="X73" s="102"/>
      <c r="Y73" s="110">
        <v>0</v>
      </c>
      <c r="Z73" s="98">
        <f t="shared" si="8"/>
        <v>1295.7</v>
      </c>
      <c r="AA73" s="104">
        <f t="shared" si="7"/>
        <v>0</v>
      </c>
      <c r="AB73" s="98">
        <f t="shared" si="9"/>
        <v>1295.7</v>
      </c>
      <c r="AC73" s="105">
        <f t="shared" si="23"/>
        <v>129.57000000000002</v>
      </c>
      <c r="AD73" s="104">
        <f t="shared" si="24"/>
        <v>10.2666</v>
      </c>
      <c r="AE73" s="106">
        <f t="shared" si="25"/>
        <v>1435.5365999999999</v>
      </c>
      <c r="AF73" s="107"/>
      <c r="AG73" s="108">
        <f t="shared" si="19"/>
        <v>1295.7</v>
      </c>
      <c r="AH73" s="107"/>
      <c r="AI73" s="107"/>
      <c r="AJ73" s="108">
        <f t="shared" si="20"/>
        <v>1295.7</v>
      </c>
      <c r="AK73" s="107"/>
      <c r="AL73" s="107"/>
      <c r="AM73" s="107"/>
      <c r="AN73" s="107"/>
      <c r="AO73" s="107"/>
      <c r="AP73" s="107"/>
      <c r="AQ73" s="107"/>
      <c r="AR73" s="107"/>
      <c r="AS73" s="107"/>
      <c r="AT73" s="107"/>
      <c r="AU73" s="107"/>
      <c r="AV73" s="107"/>
      <c r="AW73" s="107"/>
      <c r="AX73" s="107"/>
      <c r="AY73" s="107"/>
      <c r="AZ73" s="107"/>
    </row>
    <row r="74" spans="1:52" x14ac:dyDescent="0.25">
      <c r="A74" s="112" t="s">
        <v>381</v>
      </c>
      <c r="B74" s="92" t="s">
        <v>465</v>
      </c>
      <c r="C74" s="92"/>
      <c r="D74" s="92" t="s">
        <v>261</v>
      </c>
      <c r="E74" s="92" t="s">
        <v>466</v>
      </c>
      <c r="F74" s="92"/>
      <c r="G74" s="93"/>
      <c r="H74" s="93"/>
      <c r="I74" s="113">
        <v>543.20000000000005</v>
      </c>
      <c r="J74" s="93"/>
      <c r="K74" s="95">
        <f t="shared" si="22"/>
        <v>543.20000000000005</v>
      </c>
      <c r="L74" s="95">
        <v>1283.7</v>
      </c>
      <c r="M74" s="96"/>
      <c r="N74" s="96"/>
      <c r="O74" s="97"/>
      <c r="P74" s="98">
        <f t="shared" si="21"/>
        <v>1826.9</v>
      </c>
      <c r="Q74" s="99"/>
      <c r="R74" s="100">
        <v>0</v>
      </c>
      <c r="S74" s="114">
        <f t="shared" ref="S74:S75" si="26">P74*1%</f>
        <v>18.269000000000002</v>
      </c>
      <c r="T74" s="114">
        <f t="shared" ref="T74:T75" si="27">P74*4.9%</f>
        <v>89.518100000000004</v>
      </c>
      <c r="U74" s="100"/>
      <c r="V74" s="101"/>
      <c r="W74" s="101"/>
      <c r="X74" s="102"/>
      <c r="Y74" s="103">
        <v>0</v>
      </c>
      <c r="Z74" s="98">
        <f t="shared" si="8"/>
        <v>1719.1129000000001</v>
      </c>
      <c r="AA74" s="104">
        <f t="shared" si="7"/>
        <v>0</v>
      </c>
      <c r="AB74" s="98">
        <f t="shared" si="9"/>
        <v>1719.1129000000001</v>
      </c>
      <c r="AC74" s="105">
        <f t="shared" si="23"/>
        <v>182.69000000000003</v>
      </c>
      <c r="AD74" s="104">
        <f t="shared" si="24"/>
        <v>10.864000000000001</v>
      </c>
      <c r="AE74" s="106">
        <f t="shared" si="25"/>
        <v>2020.4540000000002</v>
      </c>
      <c r="AF74" s="107"/>
      <c r="AG74" s="108">
        <f t="shared" si="19"/>
        <v>1719.1129000000001</v>
      </c>
      <c r="AH74" s="107"/>
      <c r="AI74" s="107"/>
      <c r="AJ74" s="108">
        <f t="shared" si="20"/>
        <v>1719.1129000000001</v>
      </c>
      <c r="AK74" s="107"/>
      <c r="AL74" s="107"/>
      <c r="AM74" s="107"/>
      <c r="AN74" s="107"/>
      <c r="AO74" s="107"/>
      <c r="AP74" s="107"/>
      <c r="AQ74" s="107"/>
      <c r="AR74" s="107"/>
      <c r="AS74" s="107"/>
      <c r="AT74" s="107"/>
      <c r="AU74" s="107"/>
      <c r="AV74" s="107"/>
      <c r="AW74" s="107"/>
      <c r="AX74" s="107"/>
      <c r="AY74" s="107"/>
      <c r="AZ74" s="107"/>
    </row>
    <row r="75" spans="1:52" x14ac:dyDescent="0.25">
      <c r="A75" s="112" t="s">
        <v>381</v>
      </c>
      <c r="B75" s="92" t="s">
        <v>467</v>
      </c>
      <c r="C75" s="92"/>
      <c r="D75" s="92" t="s">
        <v>152</v>
      </c>
      <c r="E75" s="92" t="s">
        <v>190</v>
      </c>
      <c r="F75" s="92"/>
      <c r="G75" s="93"/>
      <c r="H75" s="93"/>
      <c r="I75" s="113">
        <v>608.16</v>
      </c>
      <c r="J75" s="93"/>
      <c r="K75" s="95">
        <f t="shared" si="22"/>
        <v>608.16</v>
      </c>
      <c r="L75" s="95">
        <f>1692.89+5.571</f>
        <v>1698.461</v>
      </c>
      <c r="M75" s="96"/>
      <c r="N75" s="96"/>
      <c r="O75" s="97"/>
      <c r="P75" s="98">
        <f t="shared" si="21"/>
        <v>2306.6210000000001</v>
      </c>
      <c r="Q75" s="99"/>
      <c r="R75" s="114">
        <v>200</v>
      </c>
      <c r="S75" s="114">
        <f t="shared" si="26"/>
        <v>23.066210000000002</v>
      </c>
      <c r="T75" s="114">
        <f t="shared" si="27"/>
        <v>113.02442900000001</v>
      </c>
      <c r="U75" s="114">
        <v>257.64</v>
      </c>
      <c r="V75" s="101"/>
      <c r="W75" s="101"/>
      <c r="X75" s="102">
        <v>201.24</v>
      </c>
      <c r="Y75" s="103">
        <v>0</v>
      </c>
      <c r="Z75" s="98">
        <f t="shared" si="8"/>
        <v>1511.650361</v>
      </c>
      <c r="AA75" s="104">
        <f t="shared" ref="AA75:AA90" si="28">IF(P75&gt;4500,P75*0.1,0)</f>
        <v>0</v>
      </c>
      <c r="AB75" s="98">
        <f t="shared" si="9"/>
        <v>1511.650361</v>
      </c>
      <c r="AC75" s="105">
        <f t="shared" si="23"/>
        <v>230.66210000000001</v>
      </c>
      <c r="AD75" s="104">
        <f t="shared" si="24"/>
        <v>12.1632</v>
      </c>
      <c r="AE75" s="106">
        <f t="shared" si="25"/>
        <v>2549.4463000000001</v>
      </c>
      <c r="AF75" s="107"/>
      <c r="AG75" s="108">
        <f t="shared" si="19"/>
        <v>1511.650361</v>
      </c>
      <c r="AH75" s="107"/>
      <c r="AI75" s="107"/>
      <c r="AJ75" s="108">
        <f t="shared" si="20"/>
        <v>1511.650361</v>
      </c>
      <c r="AK75" s="107"/>
      <c r="AL75" s="107"/>
      <c r="AM75" s="107"/>
      <c r="AN75" s="107"/>
      <c r="AO75" s="107"/>
      <c r="AP75" s="107"/>
      <c r="AQ75" s="107"/>
      <c r="AR75" s="107"/>
      <c r="AS75" s="107"/>
      <c r="AT75" s="107"/>
      <c r="AU75" s="107"/>
      <c r="AV75" s="107"/>
      <c r="AW75" s="107"/>
      <c r="AX75" s="107"/>
      <c r="AY75" s="107"/>
      <c r="AZ75" s="107"/>
    </row>
    <row r="76" spans="1:52" x14ac:dyDescent="0.25">
      <c r="A76" s="112" t="s">
        <v>383</v>
      </c>
      <c r="B76" s="92" t="s">
        <v>468</v>
      </c>
      <c r="C76" s="92"/>
      <c r="D76" s="92" t="s">
        <v>182</v>
      </c>
      <c r="E76" s="92" t="s">
        <v>183</v>
      </c>
      <c r="F76" s="92"/>
      <c r="G76" s="92"/>
      <c r="H76" s="92"/>
      <c r="I76" s="92">
        <v>739.23</v>
      </c>
      <c r="J76" s="92"/>
      <c r="K76" s="95">
        <f t="shared" si="22"/>
        <v>739.23</v>
      </c>
      <c r="L76" s="95">
        <v>2395.5239999999999</v>
      </c>
      <c r="M76" s="96"/>
      <c r="N76" s="96"/>
      <c r="O76" s="97"/>
      <c r="P76" s="98">
        <f t="shared" si="21"/>
        <v>3134.7539999999999</v>
      </c>
      <c r="Q76" s="99"/>
      <c r="R76" s="114">
        <v>150</v>
      </c>
      <c r="S76" s="100"/>
      <c r="T76" s="100"/>
      <c r="U76" s="100"/>
      <c r="V76" s="101"/>
      <c r="W76" s="101"/>
      <c r="X76" s="102"/>
      <c r="Y76" s="103">
        <v>0</v>
      </c>
      <c r="Z76" s="98">
        <f t="shared" si="8"/>
        <v>2984.7539999999999</v>
      </c>
      <c r="AA76" s="104">
        <f t="shared" si="28"/>
        <v>0</v>
      </c>
      <c r="AB76" s="98">
        <f t="shared" si="9"/>
        <v>2984.7539999999999</v>
      </c>
      <c r="AC76" s="105">
        <f t="shared" si="23"/>
        <v>313.47540000000004</v>
      </c>
      <c r="AD76" s="104">
        <f t="shared" si="24"/>
        <v>14.784600000000001</v>
      </c>
      <c r="AE76" s="106">
        <f t="shared" si="25"/>
        <v>3463.0140000000001</v>
      </c>
      <c r="AF76" s="107"/>
      <c r="AG76" s="108">
        <f t="shared" si="19"/>
        <v>2984.7539999999999</v>
      </c>
      <c r="AH76" s="107"/>
      <c r="AI76" s="107"/>
      <c r="AJ76" s="108">
        <f t="shared" si="20"/>
        <v>2984.7539999999999</v>
      </c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7"/>
      <c r="AV76" s="107"/>
      <c r="AW76" s="107"/>
      <c r="AX76" s="107"/>
      <c r="AY76" s="107"/>
      <c r="AZ76" s="107"/>
    </row>
    <row r="77" spans="1:52" x14ac:dyDescent="0.25">
      <c r="A77" s="92" t="s">
        <v>431</v>
      </c>
      <c r="B77" s="92" t="s">
        <v>469</v>
      </c>
      <c r="C77" s="92"/>
      <c r="D77" s="92" t="s">
        <v>155</v>
      </c>
      <c r="E77" s="92" t="s">
        <v>186</v>
      </c>
      <c r="F77" s="92"/>
      <c r="G77" s="93"/>
      <c r="H77" s="93"/>
      <c r="I77" s="94">
        <v>1400</v>
      </c>
      <c r="J77" s="93"/>
      <c r="K77" s="95">
        <f t="shared" si="22"/>
        <v>1400</v>
      </c>
      <c r="L77" s="95"/>
      <c r="M77" s="96"/>
      <c r="N77" s="96"/>
      <c r="O77" s="97"/>
      <c r="P77" s="98">
        <f t="shared" si="21"/>
        <v>1400</v>
      </c>
      <c r="Q77" s="99"/>
      <c r="R77" s="100">
        <v>0</v>
      </c>
      <c r="S77" s="100"/>
      <c r="T77" s="100"/>
      <c r="U77" s="100"/>
      <c r="V77" s="101"/>
      <c r="W77" s="101"/>
      <c r="X77" s="102"/>
      <c r="Y77" s="103">
        <v>355.65</v>
      </c>
      <c r="Z77" s="98">
        <f t="shared" si="8"/>
        <v>1044.3499999999999</v>
      </c>
      <c r="AA77" s="104">
        <f t="shared" si="28"/>
        <v>0</v>
      </c>
      <c r="AB77" s="98">
        <f t="shared" si="9"/>
        <v>1044.3499999999999</v>
      </c>
      <c r="AC77" s="105">
        <f t="shared" si="23"/>
        <v>140</v>
      </c>
      <c r="AD77" s="104">
        <f t="shared" si="24"/>
        <v>28</v>
      </c>
      <c r="AE77" s="106">
        <f t="shared" si="25"/>
        <v>1568</v>
      </c>
      <c r="AF77" s="107"/>
      <c r="AG77" s="108">
        <f t="shared" si="19"/>
        <v>1044.3499999999999</v>
      </c>
      <c r="AH77" s="107"/>
      <c r="AI77" s="107"/>
      <c r="AJ77" s="108">
        <f t="shared" si="20"/>
        <v>1044.3499999999999</v>
      </c>
      <c r="AK77" s="107"/>
      <c r="AL77" s="107"/>
      <c r="AM77" s="107"/>
      <c r="AN77" s="107"/>
      <c r="AO77" s="107"/>
      <c r="AP77" s="107"/>
      <c r="AQ77" s="107"/>
      <c r="AR77" s="107"/>
      <c r="AS77" s="107"/>
      <c r="AT77" s="107"/>
      <c r="AU77" s="107"/>
      <c r="AV77" s="107"/>
      <c r="AW77" s="107"/>
      <c r="AX77" s="107"/>
      <c r="AY77" s="107"/>
      <c r="AZ77" s="107"/>
    </row>
    <row r="78" spans="1:52" s="125" customFormat="1" x14ac:dyDescent="0.25">
      <c r="A78" s="115" t="s">
        <v>431</v>
      </c>
      <c r="B78" s="115" t="s">
        <v>470</v>
      </c>
      <c r="C78" s="115"/>
      <c r="D78" s="115"/>
      <c r="E78" s="115" t="s">
        <v>186</v>
      </c>
      <c r="F78" s="115"/>
      <c r="G78" s="115"/>
      <c r="H78" s="115"/>
      <c r="I78" s="117">
        <v>1400</v>
      </c>
      <c r="J78" s="115"/>
      <c r="K78" s="118">
        <f t="shared" si="22"/>
        <v>1400</v>
      </c>
      <c r="L78" s="118"/>
      <c r="M78" s="118"/>
      <c r="N78" s="118"/>
      <c r="O78" s="119"/>
      <c r="P78" s="120">
        <f t="shared" si="21"/>
        <v>1400</v>
      </c>
      <c r="Q78" s="121"/>
      <c r="R78" s="121"/>
      <c r="S78" s="121"/>
      <c r="T78" s="121"/>
      <c r="U78" s="121"/>
      <c r="V78" s="122"/>
      <c r="W78" s="122"/>
      <c r="X78" s="115"/>
      <c r="Y78" s="123"/>
      <c r="Z78" s="120">
        <f t="shared" ref="Z78:Z86" si="29">+P78-SUM(Q78:Y78)</f>
        <v>1400</v>
      </c>
      <c r="AA78" s="124">
        <f t="shared" si="28"/>
        <v>0</v>
      </c>
      <c r="AB78" s="120">
        <f t="shared" ref="AB78:AB90" si="30">+Z78-AA78</f>
        <v>1400</v>
      </c>
      <c r="AC78" s="124">
        <f t="shared" si="23"/>
        <v>140</v>
      </c>
      <c r="AD78" s="124">
        <f t="shared" si="24"/>
        <v>28</v>
      </c>
      <c r="AE78" s="106">
        <f t="shared" si="25"/>
        <v>1568</v>
      </c>
      <c r="AG78" s="126"/>
      <c r="AJ78" s="126"/>
    </row>
    <row r="79" spans="1:52" x14ac:dyDescent="0.25">
      <c r="A79" s="112" t="s">
        <v>383</v>
      </c>
      <c r="B79" s="92" t="s">
        <v>471</v>
      </c>
      <c r="C79" s="92"/>
      <c r="D79" s="92" t="s">
        <v>157</v>
      </c>
      <c r="E79" s="92" t="s">
        <v>177</v>
      </c>
      <c r="F79" s="92"/>
      <c r="G79" s="92"/>
      <c r="H79" s="92"/>
      <c r="I79" s="92">
        <v>739.23</v>
      </c>
      <c r="J79" s="92"/>
      <c r="K79" s="95">
        <f t="shared" si="22"/>
        <v>739.23</v>
      </c>
      <c r="L79" s="95">
        <v>1722.15</v>
      </c>
      <c r="M79" s="96"/>
      <c r="N79" s="96"/>
      <c r="O79" s="97"/>
      <c r="P79" s="98">
        <f t="shared" si="21"/>
        <v>2461.38</v>
      </c>
      <c r="Q79" s="99"/>
      <c r="R79" s="100">
        <v>0</v>
      </c>
      <c r="S79" s="100"/>
      <c r="T79" s="100"/>
      <c r="U79" s="100"/>
      <c r="V79" s="101"/>
      <c r="W79" s="101"/>
      <c r="X79" s="102"/>
      <c r="Y79" s="103">
        <v>0</v>
      </c>
      <c r="Z79" s="98">
        <f t="shared" si="29"/>
        <v>2461.38</v>
      </c>
      <c r="AA79" s="104">
        <f t="shared" si="28"/>
        <v>0</v>
      </c>
      <c r="AB79" s="98">
        <f t="shared" si="30"/>
        <v>2461.38</v>
      </c>
      <c r="AC79" s="105">
        <f t="shared" si="23"/>
        <v>246.13800000000003</v>
      </c>
      <c r="AD79" s="104">
        <f t="shared" si="24"/>
        <v>14.784600000000001</v>
      </c>
      <c r="AE79" s="106">
        <f t="shared" si="25"/>
        <v>2722.3026</v>
      </c>
      <c r="AF79" s="107"/>
      <c r="AG79" s="108">
        <f t="shared" ref="AG79:AG94" si="31">+AB79-AF79</f>
        <v>2461.38</v>
      </c>
      <c r="AH79" s="107"/>
      <c r="AI79" s="107"/>
      <c r="AJ79" s="108">
        <f t="shared" ref="AJ79:AJ90" si="32">+AG79-AH79-AI79</f>
        <v>2461.38</v>
      </c>
      <c r="AK79" s="107"/>
      <c r="AL79" s="107"/>
      <c r="AM79" s="107"/>
      <c r="AN79" s="107"/>
      <c r="AO79" s="107"/>
      <c r="AP79" s="107"/>
      <c r="AQ79" s="107"/>
      <c r="AR79" s="107"/>
      <c r="AS79" s="107"/>
      <c r="AT79" s="107"/>
      <c r="AU79" s="107"/>
      <c r="AV79" s="107"/>
      <c r="AW79" s="107"/>
      <c r="AX79" s="107"/>
      <c r="AY79" s="107"/>
      <c r="AZ79" s="107"/>
    </row>
    <row r="80" spans="1:52" x14ac:dyDescent="0.25">
      <c r="A80" s="112" t="s">
        <v>383</v>
      </c>
      <c r="B80" s="92" t="s">
        <v>472</v>
      </c>
      <c r="C80" s="92"/>
      <c r="D80" s="92" t="s">
        <v>159</v>
      </c>
      <c r="E80" s="92" t="s">
        <v>184</v>
      </c>
      <c r="F80" s="92"/>
      <c r="G80" s="92"/>
      <c r="H80" s="92"/>
      <c r="I80" s="92">
        <v>739.23</v>
      </c>
      <c r="J80" s="92"/>
      <c r="K80" s="95">
        <f t="shared" si="22"/>
        <v>739.23</v>
      </c>
      <c r="L80" s="95">
        <v>2400.4969999999998</v>
      </c>
      <c r="M80" s="95"/>
      <c r="N80" s="95"/>
      <c r="O80" s="97"/>
      <c r="P80" s="98">
        <f t="shared" si="21"/>
        <v>3139.7269999999999</v>
      </c>
      <c r="Q80" s="99"/>
      <c r="R80" s="100">
        <v>0</v>
      </c>
      <c r="S80" s="100"/>
      <c r="T80" s="100"/>
      <c r="U80" s="100"/>
      <c r="V80" s="101"/>
      <c r="W80" s="101"/>
      <c r="X80" s="102"/>
      <c r="Y80" s="103">
        <v>0</v>
      </c>
      <c r="Z80" s="98">
        <f t="shared" si="29"/>
        <v>3139.7269999999999</v>
      </c>
      <c r="AA80" s="104">
        <f t="shared" si="28"/>
        <v>0</v>
      </c>
      <c r="AB80" s="98">
        <f t="shared" si="30"/>
        <v>3139.7269999999999</v>
      </c>
      <c r="AC80" s="105">
        <f t="shared" si="23"/>
        <v>313.97270000000003</v>
      </c>
      <c r="AD80" s="104">
        <f t="shared" si="24"/>
        <v>14.784600000000001</v>
      </c>
      <c r="AE80" s="106">
        <f t="shared" si="25"/>
        <v>3468.4843000000001</v>
      </c>
      <c r="AF80" s="107"/>
      <c r="AG80" s="108">
        <f t="shared" si="31"/>
        <v>3139.7269999999999</v>
      </c>
      <c r="AH80" s="107"/>
      <c r="AI80" s="107"/>
      <c r="AJ80" s="108">
        <f t="shared" si="32"/>
        <v>3139.7269999999999</v>
      </c>
      <c r="AK80" s="107"/>
      <c r="AL80" s="107"/>
      <c r="AM80" s="107"/>
      <c r="AN80" s="107"/>
      <c r="AO80" s="107"/>
      <c r="AP80" s="107"/>
      <c r="AQ80" s="107"/>
      <c r="AR80" s="107"/>
      <c r="AS80" s="107"/>
      <c r="AT80" s="107"/>
      <c r="AU80" s="107"/>
      <c r="AV80" s="107"/>
      <c r="AW80" s="107"/>
      <c r="AX80" s="107"/>
      <c r="AY80" s="107"/>
      <c r="AZ80" s="107"/>
    </row>
    <row r="81" spans="1:52" x14ac:dyDescent="0.25">
      <c r="A81" s="92" t="s">
        <v>377</v>
      </c>
      <c r="B81" s="92" t="s">
        <v>473</v>
      </c>
      <c r="C81" s="92" t="s">
        <v>32</v>
      </c>
      <c r="D81" s="92" t="s">
        <v>163</v>
      </c>
      <c r="E81" s="92" t="s">
        <v>189</v>
      </c>
      <c r="F81" s="92"/>
      <c r="G81" s="93"/>
      <c r="H81" s="93"/>
      <c r="I81" s="92">
        <v>513.33000000000004</v>
      </c>
      <c r="J81" s="93">
        <v>653.33000000000004</v>
      </c>
      <c r="K81" s="95">
        <f t="shared" si="22"/>
        <v>1166.6600000000001</v>
      </c>
      <c r="L81" s="95">
        <v>12504.16</v>
      </c>
      <c r="M81" s="96"/>
      <c r="N81" s="96"/>
      <c r="O81" s="97"/>
      <c r="P81" s="98">
        <f t="shared" si="21"/>
        <v>13670.82</v>
      </c>
      <c r="Q81" s="99"/>
      <c r="R81" s="100">
        <v>0</v>
      </c>
      <c r="S81" s="100"/>
      <c r="T81" s="100"/>
      <c r="U81" s="100"/>
      <c r="V81" s="101"/>
      <c r="W81" s="101"/>
      <c r="X81" s="102"/>
      <c r="Y81" s="110">
        <v>488.83</v>
      </c>
      <c r="Z81" s="98">
        <f t="shared" si="29"/>
        <v>13181.99</v>
      </c>
      <c r="AA81" s="104">
        <f t="shared" si="28"/>
        <v>1367.0820000000001</v>
      </c>
      <c r="AB81" s="98">
        <f t="shared" si="30"/>
        <v>11814.907999999999</v>
      </c>
      <c r="AC81" s="105">
        <f t="shared" si="23"/>
        <v>0</v>
      </c>
      <c r="AD81" s="104">
        <f t="shared" si="24"/>
        <v>10.2666</v>
      </c>
      <c r="AE81" s="106">
        <f t="shared" si="25"/>
        <v>13681.086600000001</v>
      </c>
      <c r="AF81" s="107"/>
      <c r="AG81" s="108">
        <f t="shared" si="31"/>
        <v>11814.907999999999</v>
      </c>
      <c r="AH81" s="107"/>
      <c r="AI81" s="107"/>
      <c r="AJ81" s="108">
        <f t="shared" si="32"/>
        <v>11814.907999999999</v>
      </c>
      <c r="AK81" s="107"/>
      <c r="AL81" s="107"/>
      <c r="AM81" s="107"/>
      <c r="AN81" s="107"/>
      <c r="AO81" s="107"/>
      <c r="AP81" s="107"/>
      <c r="AQ81" s="107"/>
      <c r="AR81" s="107"/>
      <c r="AS81" s="107"/>
      <c r="AT81" s="107"/>
      <c r="AU81" s="107"/>
      <c r="AV81" s="107"/>
      <c r="AW81" s="107"/>
      <c r="AX81" s="107"/>
      <c r="AY81" s="107"/>
      <c r="AZ81" s="107"/>
    </row>
    <row r="82" spans="1:52" x14ac:dyDescent="0.25">
      <c r="A82" s="92" t="s">
        <v>389</v>
      </c>
      <c r="B82" s="92" t="s">
        <v>474</v>
      </c>
      <c r="C82" s="92" t="s">
        <v>391</v>
      </c>
      <c r="D82" s="92" t="s">
        <v>165</v>
      </c>
      <c r="E82" s="92" t="s">
        <v>392</v>
      </c>
      <c r="F82" s="92"/>
      <c r="G82" s="93"/>
      <c r="H82" s="93"/>
      <c r="I82" s="94">
        <v>1166.67</v>
      </c>
      <c r="J82" s="93"/>
      <c r="K82" s="95">
        <f t="shared" si="22"/>
        <v>1166.67</v>
      </c>
      <c r="L82" s="95">
        <v>1500</v>
      </c>
      <c r="M82" s="96"/>
      <c r="N82" s="96"/>
      <c r="O82" s="97"/>
      <c r="P82" s="98">
        <f t="shared" si="21"/>
        <v>2666.67</v>
      </c>
      <c r="Q82" s="99"/>
      <c r="R82" s="100">
        <v>0</v>
      </c>
      <c r="S82" s="100"/>
      <c r="T82" s="100"/>
      <c r="U82" s="100"/>
      <c r="V82" s="101"/>
      <c r="W82" s="101"/>
      <c r="X82" s="102"/>
      <c r="Y82" s="103">
        <v>0</v>
      </c>
      <c r="Z82" s="98">
        <f t="shared" si="29"/>
        <v>2666.67</v>
      </c>
      <c r="AA82" s="104">
        <f t="shared" si="28"/>
        <v>0</v>
      </c>
      <c r="AB82" s="98">
        <f t="shared" si="30"/>
        <v>2666.67</v>
      </c>
      <c r="AC82" s="105">
        <f t="shared" si="23"/>
        <v>266.66700000000003</v>
      </c>
      <c r="AD82" s="104">
        <f t="shared" si="24"/>
        <v>23.333400000000001</v>
      </c>
      <c r="AE82" s="106">
        <f t="shared" si="25"/>
        <v>2956.6704</v>
      </c>
      <c r="AF82" s="107"/>
      <c r="AG82" s="108">
        <f t="shared" si="31"/>
        <v>2666.67</v>
      </c>
      <c r="AH82" s="107"/>
      <c r="AI82" s="107"/>
      <c r="AJ82" s="108">
        <f t="shared" si="32"/>
        <v>2666.67</v>
      </c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</row>
    <row r="83" spans="1:52" x14ac:dyDescent="0.25">
      <c r="A83" s="112" t="s">
        <v>381</v>
      </c>
      <c r="B83" s="92" t="s">
        <v>475</v>
      </c>
      <c r="C83" s="92"/>
      <c r="D83" s="92" t="s">
        <v>167</v>
      </c>
      <c r="E83" s="92" t="s">
        <v>193</v>
      </c>
      <c r="F83" s="92"/>
      <c r="G83" s="93"/>
      <c r="H83" s="93"/>
      <c r="I83" s="113">
        <v>608.16</v>
      </c>
      <c r="J83" s="93"/>
      <c r="K83" s="95">
        <f t="shared" si="22"/>
        <v>608.16</v>
      </c>
      <c r="L83" s="95">
        <v>2862.13</v>
      </c>
      <c r="M83" s="96"/>
      <c r="N83" s="96"/>
      <c r="O83" s="97"/>
      <c r="P83" s="98">
        <f t="shared" si="21"/>
        <v>3470.29</v>
      </c>
      <c r="Q83" s="99"/>
      <c r="R83" s="114">
        <v>200</v>
      </c>
      <c r="S83" s="114">
        <f>P83*1%</f>
        <v>34.7029</v>
      </c>
      <c r="T83" s="114">
        <f>P83*4.9%</f>
        <v>170.04420999999999</v>
      </c>
      <c r="U83" s="100"/>
      <c r="V83" s="101"/>
      <c r="W83" s="101"/>
      <c r="X83" s="102"/>
      <c r="Y83" s="103">
        <v>0</v>
      </c>
      <c r="Z83" s="98">
        <f t="shared" si="29"/>
        <v>3065.5428899999997</v>
      </c>
      <c r="AA83" s="104">
        <f t="shared" si="28"/>
        <v>0</v>
      </c>
      <c r="AB83" s="98">
        <f t="shared" si="30"/>
        <v>3065.5428899999997</v>
      </c>
      <c r="AC83" s="105">
        <f t="shared" si="23"/>
        <v>347.029</v>
      </c>
      <c r="AD83" s="104">
        <f t="shared" si="24"/>
        <v>12.1632</v>
      </c>
      <c r="AE83" s="106">
        <f t="shared" si="25"/>
        <v>3829.4821999999999</v>
      </c>
      <c r="AF83" s="107"/>
      <c r="AG83" s="108">
        <f t="shared" si="31"/>
        <v>3065.5428899999997</v>
      </c>
      <c r="AH83" s="107"/>
      <c r="AI83" s="107"/>
      <c r="AJ83" s="108">
        <f t="shared" si="32"/>
        <v>3065.5428899999997</v>
      </c>
      <c r="AK83" s="107"/>
      <c r="AL83" s="107"/>
      <c r="AM83" s="107"/>
      <c r="AN83" s="107"/>
      <c r="AO83" s="107"/>
      <c r="AP83" s="107"/>
      <c r="AQ83" s="107"/>
      <c r="AR83" s="107"/>
      <c r="AS83" s="107"/>
      <c r="AT83" s="107"/>
      <c r="AU83" s="107"/>
      <c r="AV83" s="107"/>
      <c r="AW83" s="107"/>
      <c r="AX83" s="107"/>
      <c r="AY83" s="107"/>
      <c r="AZ83" s="107"/>
    </row>
    <row r="84" spans="1:52" x14ac:dyDescent="0.25">
      <c r="A84" s="92" t="s">
        <v>375</v>
      </c>
      <c r="B84" s="92" t="s">
        <v>476</v>
      </c>
      <c r="C84" s="92"/>
      <c r="D84" s="92" t="s">
        <v>169</v>
      </c>
      <c r="E84" s="92" t="s">
        <v>185</v>
      </c>
      <c r="F84" s="92"/>
      <c r="G84" s="92"/>
      <c r="H84" s="92"/>
      <c r="I84" s="94">
        <v>1100</v>
      </c>
      <c r="J84" s="92"/>
      <c r="K84" s="95">
        <f t="shared" si="22"/>
        <v>1100</v>
      </c>
      <c r="L84" s="95"/>
      <c r="M84" s="95"/>
      <c r="N84" s="95"/>
      <c r="O84" s="97"/>
      <c r="P84" s="98">
        <f t="shared" si="21"/>
        <v>1100</v>
      </c>
      <c r="Q84" s="99"/>
      <c r="R84" s="100">
        <v>0</v>
      </c>
      <c r="S84" s="100"/>
      <c r="T84" s="100"/>
      <c r="U84" s="100"/>
      <c r="V84" s="101"/>
      <c r="W84" s="101"/>
      <c r="X84" s="102"/>
      <c r="Y84" s="103">
        <v>0</v>
      </c>
      <c r="Z84" s="98">
        <f t="shared" si="29"/>
        <v>1100</v>
      </c>
      <c r="AA84" s="104">
        <f t="shared" si="28"/>
        <v>0</v>
      </c>
      <c r="AB84" s="98">
        <f t="shared" si="30"/>
        <v>1100</v>
      </c>
      <c r="AC84" s="105">
        <f t="shared" si="23"/>
        <v>110</v>
      </c>
      <c r="AD84" s="104">
        <f t="shared" si="24"/>
        <v>22</v>
      </c>
      <c r="AE84" s="106">
        <f t="shared" si="25"/>
        <v>1232</v>
      </c>
      <c r="AF84" s="107"/>
      <c r="AG84" s="108">
        <f t="shared" si="31"/>
        <v>1100</v>
      </c>
      <c r="AH84" s="107"/>
      <c r="AI84" s="107"/>
      <c r="AJ84" s="108">
        <f t="shared" si="32"/>
        <v>1100</v>
      </c>
      <c r="AK84" s="107"/>
      <c r="AL84" s="107"/>
      <c r="AM84" s="107"/>
      <c r="AN84" s="107"/>
      <c r="AO84" s="107"/>
      <c r="AP84" s="107"/>
      <c r="AQ84" s="107"/>
      <c r="AR84" s="107"/>
      <c r="AS84" s="107"/>
      <c r="AT84" s="107"/>
      <c r="AU84" s="107"/>
      <c r="AV84" s="107"/>
      <c r="AW84" s="107"/>
      <c r="AX84" s="107"/>
      <c r="AY84" s="107"/>
      <c r="AZ84" s="107"/>
    </row>
    <row r="85" spans="1:52" x14ac:dyDescent="0.25">
      <c r="A85" s="92" t="s">
        <v>377</v>
      </c>
      <c r="B85" s="92" t="s">
        <v>477</v>
      </c>
      <c r="C85" s="92" t="s">
        <v>31</v>
      </c>
      <c r="D85" s="92" t="s">
        <v>171</v>
      </c>
      <c r="E85" s="92" t="s">
        <v>189</v>
      </c>
      <c r="F85" s="92"/>
      <c r="G85" s="93"/>
      <c r="H85" s="93"/>
      <c r="I85" s="92">
        <v>513.33000000000004</v>
      </c>
      <c r="J85" s="93">
        <v>653.33000000000004</v>
      </c>
      <c r="K85" s="95">
        <f t="shared" si="22"/>
        <v>1166.6600000000001</v>
      </c>
      <c r="L85" s="95"/>
      <c r="M85" s="96"/>
      <c r="N85" s="96"/>
      <c r="O85" s="97"/>
      <c r="P85" s="98">
        <f t="shared" si="21"/>
        <v>1166.6600000000001</v>
      </c>
      <c r="Q85" s="99"/>
      <c r="R85" s="100">
        <v>0</v>
      </c>
      <c r="S85" s="100"/>
      <c r="T85" s="100"/>
      <c r="U85" s="100"/>
      <c r="V85" s="101"/>
      <c r="W85" s="101"/>
      <c r="X85" s="102"/>
      <c r="Y85" s="110">
        <v>0</v>
      </c>
      <c r="Z85" s="98">
        <f t="shared" si="29"/>
        <v>1166.6600000000001</v>
      </c>
      <c r="AA85" s="104">
        <f t="shared" si="28"/>
        <v>0</v>
      </c>
      <c r="AB85" s="98">
        <f t="shared" si="30"/>
        <v>1166.6600000000001</v>
      </c>
      <c r="AC85" s="105">
        <f t="shared" si="23"/>
        <v>116.66600000000001</v>
      </c>
      <c r="AD85" s="104">
        <f t="shared" si="24"/>
        <v>10.2666</v>
      </c>
      <c r="AE85" s="106">
        <f t="shared" si="25"/>
        <v>1293.5925999999999</v>
      </c>
      <c r="AF85" s="107"/>
      <c r="AG85" s="108">
        <f t="shared" si="31"/>
        <v>1166.6600000000001</v>
      </c>
      <c r="AH85" s="107"/>
      <c r="AI85" s="107"/>
      <c r="AJ85" s="108">
        <f t="shared" si="32"/>
        <v>1166.6600000000001</v>
      </c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</row>
    <row r="86" spans="1:52" x14ac:dyDescent="0.25">
      <c r="A86" s="112" t="s">
        <v>383</v>
      </c>
      <c r="B86" s="92" t="s">
        <v>478</v>
      </c>
      <c r="C86" s="92"/>
      <c r="D86" s="92" t="s">
        <v>173</v>
      </c>
      <c r="E86" s="92" t="s">
        <v>385</v>
      </c>
      <c r="F86" s="92"/>
      <c r="G86" s="92"/>
      <c r="H86" s="92"/>
      <c r="I86" s="92">
        <v>739.23</v>
      </c>
      <c r="J86" s="92"/>
      <c r="K86" s="95">
        <f t="shared" si="22"/>
        <v>739.23</v>
      </c>
      <c r="L86" s="95">
        <v>3239.2959999999998</v>
      </c>
      <c r="M86" s="95"/>
      <c r="N86" s="95"/>
      <c r="O86" s="97"/>
      <c r="P86" s="98">
        <f t="shared" si="21"/>
        <v>3978.5259999999998</v>
      </c>
      <c r="Q86" s="99"/>
      <c r="R86" s="114">
        <v>500</v>
      </c>
      <c r="S86" s="100"/>
      <c r="T86" s="100"/>
      <c r="U86" s="100"/>
      <c r="V86" s="101"/>
      <c r="W86" s="101"/>
      <c r="X86" s="102"/>
      <c r="Y86" s="103">
        <v>0</v>
      </c>
      <c r="Z86" s="98">
        <f t="shared" si="29"/>
        <v>3478.5259999999998</v>
      </c>
      <c r="AA86" s="104">
        <f t="shared" si="28"/>
        <v>0</v>
      </c>
      <c r="AB86" s="98">
        <f t="shared" si="30"/>
        <v>3478.5259999999998</v>
      </c>
      <c r="AC86" s="105">
        <f t="shared" si="23"/>
        <v>397.8526</v>
      </c>
      <c r="AD86" s="104">
        <f t="shared" si="24"/>
        <v>14.784600000000001</v>
      </c>
      <c r="AE86" s="106">
        <f t="shared" si="25"/>
        <v>4391.1632</v>
      </c>
      <c r="AF86" s="107"/>
      <c r="AG86" s="108">
        <f t="shared" si="31"/>
        <v>3478.5259999999998</v>
      </c>
      <c r="AH86" s="107"/>
      <c r="AI86" s="107"/>
      <c r="AJ86" s="108">
        <f t="shared" si="32"/>
        <v>3478.5259999999998</v>
      </c>
      <c r="AK86" s="107"/>
      <c r="AL86" s="107"/>
      <c r="AM86" s="107"/>
      <c r="AN86" s="107"/>
      <c r="AO86" s="107"/>
      <c r="AP86" s="107"/>
      <c r="AQ86" s="107"/>
      <c r="AR86" s="107"/>
      <c r="AS86" s="107"/>
      <c r="AT86" s="107"/>
      <c r="AU86" s="107"/>
      <c r="AV86" s="107"/>
      <c r="AW86" s="107"/>
      <c r="AX86" s="107"/>
      <c r="AY86" s="107"/>
      <c r="AZ86" s="107"/>
    </row>
    <row r="87" spans="1:52" x14ac:dyDescent="0.25">
      <c r="A87" s="92" t="s">
        <v>377</v>
      </c>
      <c r="B87" s="92" t="s">
        <v>479</v>
      </c>
      <c r="C87" s="92" t="s">
        <v>32</v>
      </c>
      <c r="D87" s="92" t="s">
        <v>175</v>
      </c>
      <c r="E87" s="92" t="s">
        <v>189</v>
      </c>
      <c r="F87" s="92"/>
      <c r="G87" s="93"/>
      <c r="H87" s="93"/>
      <c r="I87" s="92">
        <v>513.33000000000004</v>
      </c>
      <c r="J87" s="93">
        <v>653.33000000000004</v>
      </c>
      <c r="K87" s="95">
        <f t="shared" si="22"/>
        <v>1166.6600000000001</v>
      </c>
      <c r="L87" s="95">
        <f>1256.76+3397.56</f>
        <v>4654.32</v>
      </c>
      <c r="M87" s="95"/>
      <c r="N87" s="95"/>
      <c r="O87" s="97"/>
      <c r="P87" s="98">
        <f t="shared" ref="P87:P88" si="33">SUM(K87:N87)-O87</f>
        <v>5820.98</v>
      </c>
      <c r="Q87" s="99"/>
      <c r="R87" s="114">
        <v>500</v>
      </c>
      <c r="S87" s="100"/>
      <c r="T87" s="100"/>
      <c r="U87" s="100"/>
      <c r="V87" s="101"/>
      <c r="W87" s="101"/>
      <c r="X87" s="102"/>
      <c r="Y87" s="110">
        <v>0</v>
      </c>
      <c r="Z87" s="98">
        <f t="shared" ref="Z87:Z90" si="34">+P87-SUM(Q87:Y87)</f>
        <v>5320.98</v>
      </c>
      <c r="AA87" s="104">
        <f t="shared" si="28"/>
        <v>582.09799999999996</v>
      </c>
      <c r="AB87" s="98">
        <f t="shared" si="30"/>
        <v>4738.8819999999996</v>
      </c>
      <c r="AC87" s="105">
        <f t="shared" si="23"/>
        <v>0</v>
      </c>
      <c r="AD87" s="104">
        <f t="shared" si="24"/>
        <v>10.2666</v>
      </c>
      <c r="AE87" s="106">
        <f t="shared" si="25"/>
        <v>5831.2465999999995</v>
      </c>
      <c r="AF87" s="107"/>
      <c r="AG87" s="108">
        <f t="shared" si="31"/>
        <v>4738.8819999999996</v>
      </c>
      <c r="AH87" s="107"/>
      <c r="AI87" s="107"/>
      <c r="AJ87" s="108">
        <f t="shared" si="32"/>
        <v>4738.8819999999996</v>
      </c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  <c r="AU87" s="107"/>
      <c r="AV87" s="107"/>
      <c r="AW87" s="107"/>
      <c r="AX87" s="107"/>
      <c r="AY87" s="107"/>
      <c r="AZ87" s="107"/>
    </row>
    <row r="88" spans="1:52" x14ac:dyDescent="0.25">
      <c r="A88" s="92" t="s">
        <v>377</v>
      </c>
      <c r="B88" s="92" t="s">
        <v>480</v>
      </c>
      <c r="C88" s="92" t="s">
        <v>32</v>
      </c>
      <c r="D88" s="133" t="s">
        <v>199</v>
      </c>
      <c r="E88" s="92" t="s">
        <v>189</v>
      </c>
      <c r="F88" s="92"/>
      <c r="G88" s="93"/>
      <c r="H88" s="93"/>
      <c r="I88" s="92">
        <v>513.33000000000004</v>
      </c>
      <c r="J88" s="93">
        <v>653.33000000000004</v>
      </c>
      <c r="K88" s="95">
        <f t="shared" si="22"/>
        <v>1166.6600000000001</v>
      </c>
      <c r="L88" s="95"/>
      <c r="M88" s="95"/>
      <c r="N88" s="95"/>
      <c r="O88" s="97"/>
      <c r="P88" s="98">
        <f t="shared" si="33"/>
        <v>1166.6600000000001</v>
      </c>
      <c r="Q88" s="99"/>
      <c r="R88" s="100"/>
      <c r="S88" s="100"/>
      <c r="T88" s="100"/>
      <c r="U88" s="100"/>
      <c r="V88" s="101"/>
      <c r="W88" s="101"/>
      <c r="X88" s="102"/>
      <c r="Y88" s="110">
        <v>291.5</v>
      </c>
      <c r="Z88" s="98">
        <f t="shared" si="34"/>
        <v>875.16000000000008</v>
      </c>
      <c r="AA88" s="104">
        <f t="shared" si="28"/>
        <v>0</v>
      </c>
      <c r="AB88" s="98">
        <f t="shared" si="30"/>
        <v>875.16000000000008</v>
      </c>
      <c r="AC88" s="105">
        <f t="shared" si="23"/>
        <v>116.66600000000001</v>
      </c>
      <c r="AD88" s="104">
        <f t="shared" si="24"/>
        <v>10.2666</v>
      </c>
      <c r="AE88" s="106">
        <f t="shared" si="25"/>
        <v>1293.5925999999999</v>
      </c>
      <c r="AF88" s="107"/>
      <c r="AG88" s="108">
        <f t="shared" si="31"/>
        <v>875.16000000000008</v>
      </c>
      <c r="AH88" s="107"/>
      <c r="AI88" s="107"/>
      <c r="AJ88" s="108">
        <f t="shared" si="32"/>
        <v>875.16000000000008</v>
      </c>
      <c r="AK88" s="107"/>
      <c r="AL88" s="107"/>
      <c r="AM88" s="107"/>
      <c r="AN88" s="107"/>
      <c r="AO88" s="107"/>
      <c r="AP88" s="107"/>
      <c r="AQ88" s="107"/>
      <c r="AR88" s="107"/>
      <c r="AS88" s="107"/>
      <c r="AT88" s="107"/>
      <c r="AU88" s="107"/>
      <c r="AV88" s="107"/>
      <c r="AW88" s="107"/>
      <c r="AX88" s="107"/>
      <c r="AY88" s="107"/>
      <c r="AZ88" s="107"/>
    </row>
    <row r="89" spans="1:52" x14ac:dyDescent="0.25">
      <c r="A89" s="92" t="s">
        <v>375</v>
      </c>
      <c r="B89" s="134" t="s">
        <v>481</v>
      </c>
      <c r="C89" s="135"/>
      <c r="D89" s="133"/>
      <c r="E89" s="92" t="s">
        <v>482</v>
      </c>
      <c r="F89" s="92"/>
      <c r="G89" s="93"/>
      <c r="H89" s="93"/>
      <c r="I89" s="136">
        <v>1166.26</v>
      </c>
      <c r="J89" s="93"/>
      <c r="K89" s="95">
        <f t="shared" si="22"/>
        <v>1166.26</v>
      </c>
      <c r="L89" s="95">
        <v>2532.36</v>
      </c>
      <c r="M89" s="96"/>
      <c r="N89" s="96"/>
      <c r="O89" s="97"/>
      <c r="P89" s="98">
        <f t="shared" ref="P89:P90" si="35">SUM(K89:N89)-O89</f>
        <v>3698.62</v>
      </c>
      <c r="Q89" s="99"/>
      <c r="R89" s="100"/>
      <c r="S89" s="100"/>
      <c r="T89" s="100"/>
      <c r="U89" s="100"/>
      <c r="V89" s="101"/>
      <c r="W89" s="101"/>
      <c r="X89" s="102"/>
      <c r="Y89" s="103">
        <v>0</v>
      </c>
      <c r="Z89" s="98">
        <f t="shared" si="34"/>
        <v>3698.62</v>
      </c>
      <c r="AA89" s="104">
        <f t="shared" si="28"/>
        <v>0</v>
      </c>
      <c r="AB89" s="98">
        <f t="shared" si="30"/>
        <v>3698.62</v>
      </c>
      <c r="AC89" s="105">
        <f t="shared" si="23"/>
        <v>369.86200000000002</v>
      </c>
      <c r="AD89" s="104">
        <f t="shared" si="24"/>
        <v>23.325199999999999</v>
      </c>
      <c r="AE89" s="106">
        <f t="shared" si="25"/>
        <v>4091.8072000000002</v>
      </c>
      <c r="AF89" s="107"/>
      <c r="AG89" s="108">
        <f t="shared" si="31"/>
        <v>3698.62</v>
      </c>
      <c r="AH89" s="107"/>
      <c r="AI89" s="107"/>
      <c r="AJ89" s="108">
        <f t="shared" si="32"/>
        <v>3698.62</v>
      </c>
      <c r="AK89" s="107"/>
      <c r="AL89" s="107"/>
      <c r="AM89" s="107"/>
      <c r="AN89" s="107"/>
      <c r="AO89" s="107"/>
      <c r="AP89" s="107"/>
      <c r="AQ89" s="107"/>
      <c r="AR89" s="107"/>
      <c r="AS89" s="107"/>
      <c r="AT89" s="107"/>
      <c r="AU89" s="107"/>
      <c r="AV89" s="107"/>
      <c r="AW89" s="107"/>
      <c r="AX89" s="107"/>
      <c r="AY89" s="107"/>
      <c r="AZ89" s="107"/>
    </row>
    <row r="90" spans="1:52" x14ac:dyDescent="0.25">
      <c r="A90" s="92" t="s">
        <v>377</v>
      </c>
      <c r="B90" s="135" t="s">
        <v>483</v>
      </c>
      <c r="C90" s="92" t="s">
        <v>30</v>
      </c>
      <c r="D90" s="133"/>
      <c r="E90" s="92" t="s">
        <v>189</v>
      </c>
      <c r="F90" s="92"/>
      <c r="G90" s="93"/>
      <c r="H90" s="93"/>
      <c r="I90" s="136">
        <v>1166.26</v>
      </c>
      <c r="J90" s="93"/>
      <c r="K90" s="95">
        <f t="shared" si="22"/>
        <v>1166.26</v>
      </c>
      <c r="L90" s="95"/>
      <c r="M90" s="96"/>
      <c r="N90" s="96"/>
      <c r="O90" s="97"/>
      <c r="P90" s="98">
        <f t="shared" si="35"/>
        <v>1166.26</v>
      </c>
      <c r="Q90" s="99"/>
      <c r="R90" s="100"/>
      <c r="S90" s="100"/>
      <c r="T90" s="100"/>
      <c r="U90" s="100"/>
      <c r="V90" s="101"/>
      <c r="W90" s="101"/>
      <c r="X90" s="102"/>
      <c r="Y90" s="110">
        <v>0</v>
      </c>
      <c r="Z90" s="98">
        <f t="shared" si="34"/>
        <v>1166.26</v>
      </c>
      <c r="AA90" s="104">
        <f t="shared" si="28"/>
        <v>0</v>
      </c>
      <c r="AB90" s="98">
        <f t="shared" si="30"/>
        <v>1166.26</v>
      </c>
      <c r="AC90" s="105">
        <f t="shared" si="23"/>
        <v>116.626</v>
      </c>
      <c r="AD90" s="104">
        <f t="shared" si="24"/>
        <v>23.325199999999999</v>
      </c>
      <c r="AE90" s="106">
        <f t="shared" si="25"/>
        <v>1306.2112</v>
      </c>
      <c r="AF90" s="107"/>
      <c r="AG90" s="108">
        <f t="shared" si="31"/>
        <v>1166.26</v>
      </c>
      <c r="AH90" s="107"/>
      <c r="AI90" s="107"/>
      <c r="AJ90" s="108">
        <f t="shared" si="32"/>
        <v>1166.26</v>
      </c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</row>
    <row r="91" spans="1:52" x14ac:dyDescent="0.25">
      <c r="A91" s="92"/>
      <c r="B91" s="92"/>
      <c r="C91" s="92"/>
      <c r="D91" s="133"/>
      <c r="E91" s="92"/>
      <c r="F91" s="92"/>
      <c r="G91" s="93"/>
      <c r="H91" s="93"/>
      <c r="I91" s="92"/>
      <c r="J91" s="93"/>
      <c r="K91" s="95"/>
      <c r="L91" s="95"/>
      <c r="M91" s="96"/>
      <c r="N91" s="96"/>
      <c r="O91" s="97"/>
      <c r="P91" s="98"/>
      <c r="Q91" s="99"/>
      <c r="R91" s="100"/>
      <c r="S91" s="100"/>
      <c r="T91" s="100"/>
      <c r="U91" s="100"/>
      <c r="V91" s="101"/>
      <c r="W91" s="101"/>
      <c r="X91" s="137"/>
      <c r="Y91" s="138"/>
      <c r="Z91" s="98"/>
      <c r="AA91" s="104"/>
      <c r="AB91" s="98"/>
      <c r="AC91" s="105"/>
      <c r="AD91" s="104"/>
      <c r="AE91" s="106"/>
      <c r="AF91" s="107"/>
      <c r="AG91" s="108">
        <f t="shared" si="31"/>
        <v>0</v>
      </c>
      <c r="AH91" s="107"/>
      <c r="AI91" s="107"/>
      <c r="AJ91" s="107"/>
      <c r="AK91" s="107"/>
      <c r="AL91" s="107"/>
      <c r="AM91" s="107"/>
      <c r="AN91" s="107"/>
      <c r="AO91" s="107"/>
      <c r="AP91" s="107"/>
      <c r="AQ91" s="107"/>
      <c r="AR91" s="107"/>
      <c r="AS91" s="107"/>
      <c r="AT91" s="107"/>
      <c r="AU91" s="107"/>
      <c r="AV91" s="107"/>
      <c r="AW91" s="107"/>
      <c r="AX91" s="107"/>
      <c r="AY91" s="107"/>
      <c r="AZ91" s="107"/>
    </row>
    <row r="92" spans="1:52" x14ac:dyDescent="0.25">
      <c r="A92" s="92"/>
      <c r="B92" s="92"/>
      <c r="C92" s="92"/>
      <c r="D92" s="133"/>
      <c r="E92" s="92"/>
      <c r="F92" s="92"/>
      <c r="G92" s="93"/>
      <c r="H92" s="93"/>
      <c r="I92" s="92"/>
      <c r="J92" s="93"/>
      <c r="K92" s="95"/>
      <c r="L92" s="95"/>
      <c r="M92" s="96"/>
      <c r="N92" s="96"/>
      <c r="O92" s="97"/>
      <c r="P92" s="98"/>
      <c r="Q92" s="99"/>
      <c r="R92" s="100"/>
      <c r="S92" s="100"/>
      <c r="T92" s="100"/>
      <c r="U92" s="100"/>
      <c r="V92" s="101"/>
      <c r="W92" s="101"/>
      <c r="X92" s="137"/>
      <c r="Y92" s="102"/>
      <c r="Z92" s="98"/>
      <c r="AA92" s="104"/>
      <c r="AB92" s="98"/>
      <c r="AC92" s="105"/>
      <c r="AD92" s="104"/>
      <c r="AE92" s="106"/>
      <c r="AF92" s="107"/>
      <c r="AG92" s="108">
        <f t="shared" si="31"/>
        <v>0</v>
      </c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</row>
    <row r="93" spans="1:52" x14ac:dyDescent="0.25">
      <c r="A93" s="139"/>
      <c r="B93" s="92"/>
      <c r="C93" s="92"/>
      <c r="D93" s="93"/>
      <c r="E93" s="92"/>
      <c r="F93" s="92"/>
      <c r="G93" s="92"/>
      <c r="H93" s="92"/>
      <c r="I93" s="92"/>
      <c r="J93" s="92"/>
      <c r="K93" s="95"/>
      <c r="L93" s="95"/>
      <c r="M93" s="95"/>
      <c r="N93" s="95"/>
      <c r="O93" s="97"/>
      <c r="P93" s="98"/>
      <c r="Q93" s="99"/>
      <c r="R93" s="100"/>
      <c r="S93" s="100"/>
      <c r="T93" s="100"/>
      <c r="U93" s="100"/>
      <c r="V93" s="101"/>
      <c r="W93" s="101"/>
      <c r="X93" s="137"/>
      <c r="Y93" s="140"/>
      <c r="Z93" s="98"/>
      <c r="AA93" s="104"/>
      <c r="AB93" s="98"/>
      <c r="AC93" s="105"/>
      <c r="AD93" s="104"/>
      <c r="AE93" s="106"/>
      <c r="AF93" s="107"/>
      <c r="AG93" s="108">
        <f t="shared" si="31"/>
        <v>0</v>
      </c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7"/>
      <c r="AS93" s="107"/>
      <c r="AT93" s="107"/>
      <c r="AU93" s="107"/>
      <c r="AV93" s="107"/>
      <c r="AW93" s="107"/>
      <c r="AX93" s="107"/>
      <c r="AY93" s="107"/>
      <c r="AZ93" s="107"/>
    </row>
    <row r="94" spans="1:52" x14ac:dyDescent="0.25">
      <c r="A94" s="139"/>
      <c r="B94" s="92"/>
      <c r="C94" s="92"/>
      <c r="D94" s="93"/>
      <c r="E94" s="92"/>
      <c r="F94" s="92"/>
      <c r="G94" s="92"/>
      <c r="H94" s="92"/>
      <c r="I94" s="92"/>
      <c r="J94" s="92"/>
      <c r="K94" s="95"/>
      <c r="L94" s="95"/>
      <c r="M94" s="95"/>
      <c r="N94" s="95"/>
      <c r="O94" s="97"/>
      <c r="P94" s="98"/>
      <c r="Q94" s="141"/>
      <c r="R94" s="137"/>
      <c r="S94" s="137"/>
      <c r="T94" s="137"/>
      <c r="U94" s="137"/>
      <c r="V94" s="142"/>
      <c r="W94" s="142"/>
      <c r="X94" s="142"/>
      <c r="Y94" s="142"/>
      <c r="Z94" s="98"/>
      <c r="AA94" s="104"/>
      <c r="AB94" s="98"/>
      <c r="AC94" s="105"/>
      <c r="AD94" s="104"/>
      <c r="AE94" s="106"/>
      <c r="AF94" s="107"/>
      <c r="AG94" s="108">
        <f t="shared" si="31"/>
        <v>0</v>
      </c>
      <c r="AH94" s="107"/>
      <c r="AI94" s="107"/>
      <c r="AJ94" s="107"/>
      <c r="AK94" s="107"/>
      <c r="AL94" s="107"/>
      <c r="AM94" s="107"/>
      <c r="AN94" s="107"/>
      <c r="AO94" s="107"/>
      <c r="AP94" s="107"/>
      <c r="AQ94" s="107"/>
      <c r="AR94" s="107"/>
      <c r="AS94" s="107"/>
      <c r="AT94" s="107"/>
      <c r="AU94" s="107"/>
      <c r="AV94" s="107"/>
      <c r="AW94" s="107"/>
      <c r="AX94" s="107"/>
      <c r="AY94" s="107"/>
      <c r="AZ94" s="107"/>
    </row>
    <row r="95" spans="1:52" s="107" customFormat="1" x14ac:dyDescent="0.25">
      <c r="A95" s="139"/>
      <c r="B95" s="143"/>
      <c r="C95" s="143"/>
      <c r="D95" s="143"/>
      <c r="E95" s="143"/>
      <c r="F95" s="143"/>
      <c r="G95" s="143"/>
      <c r="H95" s="143"/>
      <c r="I95" s="143"/>
      <c r="J95" s="143"/>
      <c r="K95" s="144"/>
      <c r="L95" s="144"/>
      <c r="M95" s="144"/>
      <c r="N95" s="144"/>
      <c r="O95" s="144"/>
      <c r="P95" s="145"/>
      <c r="Q95" s="144"/>
      <c r="R95" s="144"/>
      <c r="S95" s="144"/>
      <c r="T95" s="144"/>
      <c r="U95" s="144"/>
      <c r="V95" s="104"/>
      <c r="W95" s="104"/>
      <c r="X95" s="104"/>
      <c r="Y95" s="104"/>
      <c r="Z95" s="146"/>
      <c r="AA95" s="104"/>
      <c r="AB95" s="145"/>
      <c r="AC95" s="104"/>
      <c r="AD95" s="104"/>
      <c r="AE95" s="145"/>
    </row>
    <row r="96" spans="1:52" ht="15.75" thickBot="1" x14ac:dyDescent="0.3">
      <c r="B96" s="147" t="s">
        <v>484</v>
      </c>
      <c r="C96" s="147"/>
      <c r="D96" s="147"/>
      <c r="E96" s="147"/>
      <c r="F96" s="147"/>
      <c r="G96" s="147"/>
      <c r="H96" s="147"/>
      <c r="I96" s="147"/>
      <c r="J96" s="147"/>
      <c r="K96" s="148">
        <f>SUM(K7:K95)</f>
        <v>75559.020000000077</v>
      </c>
      <c r="L96" s="148">
        <f t="shared" ref="L96:AJ96" si="36">SUM(L7:L95)</f>
        <v>180536.23400000003</v>
      </c>
      <c r="M96" s="148">
        <f t="shared" si="36"/>
        <v>0</v>
      </c>
      <c r="N96" s="148">
        <f t="shared" si="36"/>
        <v>0</v>
      </c>
      <c r="O96" s="148">
        <f t="shared" si="36"/>
        <v>0</v>
      </c>
      <c r="P96" s="148">
        <f t="shared" si="36"/>
        <v>256095.25400000002</v>
      </c>
      <c r="Q96" s="148">
        <f t="shared" si="36"/>
        <v>0</v>
      </c>
      <c r="R96" s="149">
        <f t="shared" si="36"/>
        <v>5300</v>
      </c>
      <c r="S96" s="149">
        <f t="shared" si="36"/>
        <v>431.75540999999998</v>
      </c>
      <c r="T96" s="149">
        <f t="shared" si="36"/>
        <v>2131.3490089999996</v>
      </c>
      <c r="U96" s="149">
        <f t="shared" si="36"/>
        <v>579.38</v>
      </c>
      <c r="V96" s="148">
        <f t="shared" si="36"/>
        <v>0</v>
      </c>
      <c r="W96" s="148">
        <f t="shared" si="36"/>
        <v>0</v>
      </c>
      <c r="X96" s="148">
        <f t="shared" si="36"/>
        <v>735.94</v>
      </c>
      <c r="Y96" s="148">
        <f t="shared" si="36"/>
        <v>10387.279999999999</v>
      </c>
      <c r="Z96" s="148">
        <f t="shared" si="36"/>
        <v>235362.88958100011</v>
      </c>
      <c r="AA96" s="148">
        <f t="shared" si="36"/>
        <v>11559.335000000001</v>
      </c>
      <c r="AB96" s="148">
        <f t="shared" si="36"/>
        <v>223803.55458100015</v>
      </c>
      <c r="AC96" s="148">
        <f t="shared" si="36"/>
        <v>14050.190399999996</v>
      </c>
      <c r="AD96" s="148">
        <f t="shared" si="36"/>
        <v>1367.4477999999992</v>
      </c>
      <c r="AE96" s="148">
        <f>SUM(AE7:AE95)</f>
        <v>271512.8922</v>
      </c>
      <c r="AF96" s="148">
        <f t="shared" si="36"/>
        <v>0</v>
      </c>
      <c r="AG96" s="148">
        <f t="shared" si="36"/>
        <v>214226.68008100012</v>
      </c>
      <c r="AH96" s="148">
        <f t="shared" si="36"/>
        <v>0</v>
      </c>
      <c r="AI96" s="148">
        <f t="shared" si="36"/>
        <v>0</v>
      </c>
      <c r="AJ96" s="148">
        <f t="shared" si="36"/>
        <v>214226.68008100012</v>
      </c>
    </row>
    <row r="97" spans="1:36" ht="15.75" thickTop="1" x14ac:dyDescent="0.25">
      <c r="AE97" s="85">
        <f>AE96*0.16</f>
        <v>43442.062751999998</v>
      </c>
      <c r="AF97" s="85"/>
      <c r="AG97" s="85"/>
      <c r="AH97" s="85"/>
      <c r="AI97" s="85"/>
      <c r="AJ97" s="85"/>
    </row>
    <row r="98" spans="1:36" x14ac:dyDescent="0.25">
      <c r="A98" s="328" t="s">
        <v>485</v>
      </c>
      <c r="B98" s="328"/>
      <c r="C98" s="150"/>
      <c r="AE98" s="85">
        <f>+AE96+AE97</f>
        <v>314954.954952</v>
      </c>
      <c r="AF98" s="85"/>
      <c r="AG98" s="85"/>
      <c r="AH98" s="85"/>
      <c r="AI98" s="85"/>
      <c r="AJ98" s="85"/>
    </row>
    <row r="99" spans="1:36" x14ac:dyDescent="0.25">
      <c r="A99" s="139"/>
      <c r="B99" s="92"/>
      <c r="C99" s="92"/>
      <c r="D99" s="93"/>
      <c r="E99" s="92"/>
      <c r="F99" s="92"/>
      <c r="G99" s="92"/>
      <c r="H99" s="92"/>
      <c r="I99" s="92"/>
      <c r="J99" s="92"/>
      <c r="K99" s="95"/>
      <c r="L99" s="95"/>
      <c r="M99" s="95"/>
      <c r="N99" s="95"/>
      <c r="O99" s="95"/>
      <c r="P99" s="98">
        <f>SUM(K99:O99)</f>
        <v>0</v>
      </c>
      <c r="Q99" s="141"/>
      <c r="R99" s="151"/>
      <c r="S99" s="151"/>
      <c r="T99" s="151"/>
      <c r="U99" s="151"/>
      <c r="V99" s="152"/>
      <c r="W99" s="152"/>
      <c r="X99" s="152"/>
      <c r="Y99" s="152"/>
      <c r="Z99" s="98">
        <f>+P99-Q99</f>
        <v>0</v>
      </c>
      <c r="AA99" s="104">
        <f>+Z99*0.05</f>
        <v>0</v>
      </c>
      <c r="AB99" s="98">
        <f>+Z99-V99-Y99</f>
        <v>0</v>
      </c>
      <c r="AC99" s="105">
        <f>IF(Z99&lt;3000,Z99*0.1,0)</f>
        <v>0</v>
      </c>
      <c r="AD99" s="104">
        <v>0</v>
      </c>
      <c r="AE99" s="98">
        <f>+Z99+AC99+AD99</f>
        <v>0</v>
      </c>
      <c r="AF99" s="98">
        <f t="shared" ref="AF99:AJ100" si="37">+AA99+AD99+AE99</f>
        <v>0</v>
      </c>
      <c r="AG99" s="98">
        <f t="shared" si="37"/>
        <v>0</v>
      </c>
      <c r="AH99" s="98">
        <f t="shared" si="37"/>
        <v>0</v>
      </c>
      <c r="AI99" s="98">
        <f t="shared" si="37"/>
        <v>0</v>
      </c>
      <c r="AJ99" s="98">
        <f t="shared" si="37"/>
        <v>0</v>
      </c>
    </row>
    <row r="100" spans="1:36" x14ac:dyDescent="0.25">
      <c r="A100" s="139"/>
      <c r="B100" s="93"/>
      <c r="C100" s="93"/>
      <c r="D100" s="93"/>
      <c r="E100" s="93"/>
      <c r="F100" s="93"/>
      <c r="G100" s="93"/>
      <c r="H100" s="93"/>
      <c r="I100" s="93"/>
      <c r="J100" s="93"/>
      <c r="K100" s="96"/>
      <c r="L100" s="96"/>
      <c r="M100" s="96"/>
      <c r="N100" s="96"/>
      <c r="O100" s="96"/>
      <c r="P100" s="98">
        <f>SUM(K100:O100)</f>
        <v>0</v>
      </c>
      <c r="Q100" s="141"/>
      <c r="R100" s="151"/>
      <c r="S100" s="151"/>
      <c r="T100" s="151"/>
      <c r="U100" s="151"/>
      <c r="V100" s="152"/>
      <c r="W100" s="152"/>
      <c r="X100" s="152"/>
      <c r="Y100" s="152"/>
      <c r="Z100" s="98">
        <f>+P100-Q100</f>
        <v>0</v>
      </c>
      <c r="AA100" s="104">
        <f>+Z100*0.05</f>
        <v>0</v>
      </c>
      <c r="AB100" s="98">
        <f>+Z100-V100-Y100</f>
        <v>0</v>
      </c>
      <c r="AC100" s="105">
        <f>IF(Z100&lt;3000,Z100*0.1,0)</f>
        <v>0</v>
      </c>
      <c r="AD100" s="104">
        <v>0</v>
      </c>
      <c r="AE100" s="98">
        <f>+Z100+AC100+AD100</f>
        <v>0</v>
      </c>
      <c r="AF100" s="98">
        <f t="shared" si="37"/>
        <v>0</v>
      </c>
      <c r="AG100" s="98">
        <f t="shared" si="37"/>
        <v>0</v>
      </c>
      <c r="AH100" s="98">
        <f t="shared" si="37"/>
        <v>0</v>
      </c>
      <c r="AI100" s="98">
        <f t="shared" si="37"/>
        <v>0</v>
      </c>
      <c r="AJ100" s="98">
        <f t="shared" si="37"/>
        <v>0</v>
      </c>
    </row>
    <row r="101" spans="1:36" x14ac:dyDescent="0.25">
      <c r="AE101" s="85">
        <f>SUM(AE99:AE100)</f>
        <v>0</v>
      </c>
    </row>
    <row r="102" spans="1:36" x14ac:dyDescent="0.25">
      <c r="B102" s="153" t="s">
        <v>486</v>
      </c>
      <c r="C102" s="153"/>
      <c r="D102" s="153"/>
      <c r="AE102" s="85">
        <f>+AE101*0.16</f>
        <v>0</v>
      </c>
    </row>
    <row r="103" spans="1:36" x14ac:dyDescent="0.25">
      <c r="B103" s="153"/>
      <c r="C103" s="153"/>
      <c r="D103" s="153"/>
      <c r="AE103" s="85">
        <f>+AE101+AE102</f>
        <v>0</v>
      </c>
    </row>
    <row r="104" spans="1:36" x14ac:dyDescent="0.25">
      <c r="B104" s="153"/>
      <c r="C104" s="153"/>
      <c r="D104" s="153"/>
    </row>
    <row r="105" spans="1:36" x14ac:dyDescent="0.25">
      <c r="B105" s="153" t="s">
        <v>487</v>
      </c>
      <c r="C105" s="153"/>
      <c r="D105" s="153"/>
      <c r="AE105" s="85">
        <f>+AE98+AE103</f>
        <v>314954.954952</v>
      </c>
    </row>
    <row r="112" spans="1:36" x14ac:dyDescent="0.25">
      <c r="A112" s="111" t="s">
        <v>488</v>
      </c>
      <c r="B112" s="84"/>
      <c r="C112" s="84"/>
    </row>
    <row r="113" spans="1:3" x14ac:dyDescent="0.25">
      <c r="A113" s="111" t="s">
        <v>489</v>
      </c>
      <c r="B113" s="84"/>
      <c r="C113" s="84"/>
    </row>
    <row r="114" spans="1:3" x14ac:dyDescent="0.25">
      <c r="A114" s="111" t="s">
        <v>490</v>
      </c>
      <c r="B114" s="84"/>
      <c r="C114" s="84"/>
    </row>
    <row r="115" spans="1:3" x14ac:dyDescent="0.25">
      <c r="A115" s="111" t="s">
        <v>491</v>
      </c>
      <c r="B115" s="84"/>
      <c r="C115" s="84"/>
    </row>
    <row r="116" spans="1:3" x14ac:dyDescent="0.25">
      <c r="A116" s="111" t="s">
        <v>492</v>
      </c>
      <c r="B116" s="84"/>
      <c r="C116" s="84"/>
    </row>
    <row r="117" spans="1:3" x14ac:dyDescent="0.25">
      <c r="A117" s="111" t="s">
        <v>493</v>
      </c>
      <c r="B117" s="84"/>
      <c r="C117" s="84"/>
    </row>
    <row r="121" spans="1:3" x14ac:dyDescent="0.25">
      <c r="B121" s="92"/>
      <c r="C121" s="154"/>
    </row>
    <row r="122" spans="1:3" x14ac:dyDescent="0.25">
      <c r="B122" s="92"/>
      <c r="C122" s="154"/>
    </row>
    <row r="123" spans="1:3" x14ac:dyDescent="0.25">
      <c r="B123" s="92"/>
      <c r="C123" s="154"/>
    </row>
  </sheetData>
  <mergeCells count="34">
    <mergeCell ref="AG5:AG6"/>
    <mergeCell ref="AH5:AI5"/>
    <mergeCell ref="AJ5:AJ6"/>
    <mergeCell ref="A98:B98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T5:T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H5:H6"/>
    <mergeCell ref="A5:A6"/>
    <mergeCell ref="B5:B6"/>
    <mergeCell ref="D5:D6"/>
    <mergeCell ref="E5:E6"/>
    <mergeCell ref="G5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123"/>
  <sheetViews>
    <sheetView topLeftCell="A10" workbookViewId="0">
      <selection activeCell="H21" sqref="H21"/>
    </sheetView>
  </sheetViews>
  <sheetFormatPr baseColWidth="10" defaultColWidth="11.5703125" defaultRowHeight="15" x14ac:dyDescent="0.25"/>
  <cols>
    <col min="1" max="1" width="28.7109375" style="111" customWidth="1"/>
    <col min="2" max="2" width="39.140625" style="111" customWidth="1"/>
    <col min="3" max="3" width="8.140625" style="111" bestFit="1" customWidth="1"/>
    <col min="4" max="4" width="8.85546875" style="111" customWidth="1"/>
    <col min="5" max="5" width="31.5703125" style="111" customWidth="1"/>
    <col min="6" max="6" width="20.140625" style="111" bestFit="1" customWidth="1"/>
    <col min="7" max="7" width="13" style="111" bestFit="1" customWidth="1"/>
    <col min="8" max="8" width="11.7109375" style="111" customWidth="1"/>
    <col min="9" max="9" width="17.140625" style="84" customWidth="1"/>
    <col min="10" max="10" width="11.7109375" style="111" customWidth="1"/>
    <col min="11" max="12" width="13.85546875" style="84" customWidth="1"/>
    <col min="13" max="15" width="13.5703125" style="84" customWidth="1"/>
    <col min="16" max="16" width="17" style="85" customWidth="1"/>
    <col min="17" max="18" width="13.5703125" style="84" customWidth="1"/>
    <col min="19" max="19" width="13.5703125" style="86" customWidth="1"/>
    <col min="20" max="20" width="19.28515625" style="86" customWidth="1"/>
    <col min="21" max="21" width="16.85546875" style="86" customWidth="1"/>
    <col min="22" max="22" width="16.140625" style="86" customWidth="1"/>
    <col min="23" max="26" width="13.5703125" style="84" customWidth="1"/>
    <col min="27" max="27" width="16.7109375" style="85" customWidth="1"/>
    <col min="28" max="28" width="16.7109375" style="84" customWidth="1"/>
    <col min="29" max="29" width="15.42578125" style="85" customWidth="1"/>
    <col min="30" max="31" width="13.5703125" style="84" customWidth="1"/>
    <col min="32" max="32" width="15.42578125" style="85" customWidth="1"/>
    <col min="33" max="34" width="0" style="111" hidden="1" customWidth="1"/>
    <col min="35" max="35" width="15.28515625" style="111" hidden="1" customWidth="1"/>
    <col min="36" max="37" width="0" style="111" hidden="1" customWidth="1"/>
    <col min="38" max="38" width="13.85546875" style="111" customWidth="1"/>
    <col min="39" max="39" width="34.85546875" style="111" customWidth="1"/>
    <col min="40" max="53" width="11.5703125" style="107"/>
    <col min="54" max="16384" width="11.5703125" style="111"/>
  </cols>
  <sheetData>
    <row r="1" spans="1:53" s="78" customFormat="1" x14ac:dyDescent="0.25">
      <c r="A1" s="73" t="s">
        <v>337</v>
      </c>
      <c r="B1" s="73"/>
      <c r="C1" s="73"/>
      <c r="D1" s="73"/>
      <c r="E1" s="74"/>
      <c r="F1" s="74"/>
      <c r="G1" s="74"/>
      <c r="H1" s="74"/>
      <c r="I1" s="75"/>
      <c r="J1" s="74"/>
      <c r="K1" s="75"/>
      <c r="L1" s="75"/>
      <c r="M1" s="75"/>
      <c r="N1" s="75"/>
      <c r="O1" s="75"/>
      <c r="P1" s="76"/>
      <c r="Q1" s="75"/>
      <c r="R1" s="75"/>
      <c r="S1" s="75"/>
      <c r="T1" s="75"/>
      <c r="U1" s="75"/>
      <c r="V1" s="75"/>
      <c r="W1" s="75"/>
      <c r="X1" s="75"/>
      <c r="Y1" s="75"/>
      <c r="Z1" s="75"/>
      <c r="AA1" s="76"/>
      <c r="AB1" s="75"/>
      <c r="AC1" s="76"/>
      <c r="AD1" s="75"/>
      <c r="AE1" s="75"/>
      <c r="AF1" s="76"/>
      <c r="AG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</row>
    <row r="2" spans="1:53" s="78" customFormat="1" x14ac:dyDescent="0.25">
      <c r="A2" s="79" t="s">
        <v>338</v>
      </c>
      <c r="B2" s="79"/>
      <c r="C2" s="79"/>
      <c r="D2" s="79"/>
      <c r="E2" s="80"/>
      <c r="F2" s="80"/>
      <c r="G2" s="80"/>
      <c r="H2" s="80"/>
      <c r="I2" s="75"/>
      <c r="J2" s="80"/>
      <c r="K2" s="75"/>
      <c r="L2" s="75"/>
      <c r="M2" s="75"/>
      <c r="N2" s="75"/>
      <c r="O2" s="75"/>
      <c r="P2" s="76"/>
      <c r="Q2" s="75"/>
      <c r="R2" s="75"/>
      <c r="S2" s="75"/>
      <c r="T2" s="75"/>
      <c r="U2" s="75"/>
      <c r="V2" s="75"/>
      <c r="W2" s="75"/>
      <c r="X2" s="75"/>
      <c r="Y2" s="75"/>
      <c r="Z2" s="75"/>
      <c r="AA2" s="76"/>
      <c r="AB2" s="75"/>
      <c r="AC2" s="76"/>
      <c r="AD2" s="75"/>
      <c r="AE2" s="75"/>
      <c r="AF2" s="76"/>
      <c r="AG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</row>
    <row r="3" spans="1:53" s="78" customFormat="1" x14ac:dyDescent="0.25">
      <c r="A3" s="81" t="s">
        <v>604</v>
      </c>
      <c r="B3" s="81"/>
      <c r="C3" s="81"/>
      <c r="D3" s="81"/>
      <c r="E3" s="82"/>
      <c r="F3" s="82"/>
      <c r="G3" s="82"/>
      <c r="H3" s="82"/>
      <c r="I3" s="75"/>
      <c r="J3" s="82"/>
      <c r="K3" s="75"/>
      <c r="L3" s="75"/>
      <c r="M3" s="75"/>
      <c r="N3" s="75"/>
      <c r="O3" s="75"/>
      <c r="P3" s="76"/>
      <c r="Q3" s="75"/>
      <c r="R3" s="75"/>
      <c r="S3" s="75"/>
      <c r="T3" s="75"/>
      <c r="U3" s="75"/>
      <c r="V3" s="75"/>
      <c r="W3" s="75"/>
      <c r="X3" s="75"/>
      <c r="Y3" s="75"/>
      <c r="Z3" s="75"/>
      <c r="AA3" s="76"/>
      <c r="AB3" s="75"/>
      <c r="AC3" s="76"/>
      <c r="AD3" s="75"/>
      <c r="AE3" s="75"/>
      <c r="AF3" s="76"/>
      <c r="AG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</row>
    <row r="4" spans="1:53" s="83" customFormat="1" x14ac:dyDescent="0.25">
      <c r="A4" s="83" t="s">
        <v>605</v>
      </c>
      <c r="I4" s="84"/>
      <c r="K4" s="84"/>
      <c r="L4" s="84"/>
      <c r="M4" s="84"/>
      <c r="N4" s="84"/>
      <c r="O4" s="84"/>
      <c r="P4" s="85"/>
      <c r="Q4" s="84"/>
      <c r="R4" s="84"/>
      <c r="S4" s="86"/>
      <c r="T4" s="86"/>
      <c r="U4" s="86"/>
      <c r="V4" s="86"/>
      <c r="W4" s="84"/>
      <c r="X4" s="84"/>
      <c r="Y4" s="84"/>
      <c r="Z4" s="84"/>
      <c r="AA4" s="85"/>
      <c r="AB4" s="84"/>
      <c r="AC4" s="85"/>
      <c r="AD4" s="84"/>
      <c r="AE4" s="84"/>
      <c r="AF4" s="85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</row>
    <row r="5" spans="1:53" s="83" customFormat="1" ht="28.5" customHeight="1" x14ac:dyDescent="0.25">
      <c r="A5" s="336" t="s">
        <v>341</v>
      </c>
      <c r="B5" s="338" t="s">
        <v>342</v>
      </c>
      <c r="C5" s="336"/>
      <c r="D5" s="338" t="s">
        <v>343</v>
      </c>
      <c r="E5" s="338" t="s">
        <v>344</v>
      </c>
      <c r="F5" s="336" t="s">
        <v>345</v>
      </c>
      <c r="G5" s="335" t="s">
        <v>346</v>
      </c>
      <c r="H5" s="335" t="s">
        <v>347</v>
      </c>
      <c r="I5" s="346" t="s">
        <v>348</v>
      </c>
      <c r="J5" s="341" t="s">
        <v>349</v>
      </c>
      <c r="K5" s="335" t="s">
        <v>350</v>
      </c>
      <c r="L5" s="341" t="s">
        <v>351</v>
      </c>
      <c r="M5" s="335" t="s">
        <v>352</v>
      </c>
      <c r="N5" s="335" t="s">
        <v>353</v>
      </c>
      <c r="O5" s="335" t="s">
        <v>354</v>
      </c>
      <c r="P5" s="335" t="s">
        <v>355</v>
      </c>
      <c r="Q5" s="335" t="s">
        <v>356</v>
      </c>
      <c r="R5" s="195"/>
      <c r="S5" s="339" t="s">
        <v>357</v>
      </c>
      <c r="T5" s="339" t="s">
        <v>358</v>
      </c>
      <c r="U5" s="339" t="s">
        <v>359</v>
      </c>
      <c r="V5" s="339" t="s">
        <v>360</v>
      </c>
      <c r="W5" s="335" t="s">
        <v>361</v>
      </c>
      <c r="X5" s="335" t="s">
        <v>362</v>
      </c>
      <c r="Y5" s="335" t="s">
        <v>363</v>
      </c>
      <c r="Z5" s="335" t="s">
        <v>364</v>
      </c>
      <c r="AA5" s="335" t="s">
        <v>365</v>
      </c>
      <c r="AB5" s="335" t="s">
        <v>366</v>
      </c>
      <c r="AC5" s="335" t="s">
        <v>367</v>
      </c>
      <c r="AD5" s="335" t="s">
        <v>368</v>
      </c>
      <c r="AE5" s="335" t="s">
        <v>369</v>
      </c>
      <c r="AF5" s="335" t="s">
        <v>370</v>
      </c>
      <c r="AG5" s="335" t="s">
        <v>371</v>
      </c>
      <c r="AH5" s="335" t="s">
        <v>372</v>
      </c>
      <c r="AI5" s="343" t="s">
        <v>373</v>
      </c>
      <c r="AJ5" s="344"/>
      <c r="AK5" s="345" t="s">
        <v>374</v>
      </c>
      <c r="AL5" s="345" t="s">
        <v>606</v>
      </c>
      <c r="AM5" s="345" t="s">
        <v>607</v>
      </c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</row>
    <row r="6" spans="1:53" s="91" customFormat="1" ht="39" customHeight="1" x14ac:dyDescent="0.25">
      <c r="A6" s="337"/>
      <c r="B6" s="338"/>
      <c r="C6" s="337"/>
      <c r="D6" s="338"/>
      <c r="E6" s="338"/>
      <c r="F6" s="337"/>
      <c r="G6" s="335"/>
      <c r="H6" s="335"/>
      <c r="I6" s="347"/>
      <c r="J6" s="342"/>
      <c r="K6" s="335"/>
      <c r="L6" s="342"/>
      <c r="M6" s="335"/>
      <c r="N6" s="335"/>
      <c r="O6" s="335"/>
      <c r="P6" s="335"/>
      <c r="Q6" s="335"/>
      <c r="R6" s="196" t="s">
        <v>608</v>
      </c>
      <c r="S6" s="340"/>
      <c r="T6" s="340"/>
      <c r="U6" s="340"/>
      <c r="V6" s="340"/>
      <c r="W6" s="335"/>
      <c r="X6" s="335"/>
      <c r="Y6" s="335"/>
      <c r="Z6" s="335"/>
      <c r="AA6" s="335"/>
      <c r="AB6" s="335"/>
      <c r="AC6" s="335"/>
      <c r="AD6" s="335"/>
      <c r="AE6" s="335"/>
      <c r="AF6" s="335"/>
      <c r="AG6" s="335"/>
      <c r="AH6" s="335"/>
      <c r="AI6" s="89" t="s">
        <v>348</v>
      </c>
      <c r="AJ6" s="89" t="s">
        <v>349</v>
      </c>
      <c r="AK6" s="345"/>
      <c r="AL6" s="345"/>
      <c r="AM6" s="345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</row>
    <row r="7" spans="1:53" s="109" customFormat="1" x14ac:dyDescent="0.25">
      <c r="A7" s="92" t="s">
        <v>375</v>
      </c>
      <c r="B7" s="92" t="s">
        <v>376</v>
      </c>
      <c r="C7" s="92"/>
      <c r="D7" s="92" t="s">
        <v>34</v>
      </c>
      <c r="E7" s="92" t="s">
        <v>179</v>
      </c>
      <c r="F7" s="92"/>
      <c r="G7" s="93"/>
      <c r="H7" s="93"/>
      <c r="I7" s="95">
        <v>1166.26</v>
      </c>
      <c r="J7" s="94"/>
      <c r="K7" s="95">
        <f t="shared" ref="K7:K70" si="0">+I7+J7</f>
        <v>1166.26</v>
      </c>
      <c r="L7" s="95">
        <v>3954.17</v>
      </c>
      <c r="M7" s="96"/>
      <c r="N7" s="96"/>
      <c r="O7" s="97"/>
      <c r="P7" s="98">
        <f t="shared" ref="P7:P38" si="1">SUM(K7:N7)-O7</f>
        <v>5120.43</v>
      </c>
      <c r="Q7" s="141"/>
      <c r="R7" s="137"/>
      <c r="S7" s="137">
        <v>0</v>
      </c>
      <c r="T7" s="137"/>
      <c r="U7" s="137"/>
      <c r="V7" s="137"/>
      <c r="W7" s="142"/>
      <c r="X7" s="142"/>
      <c r="Y7" s="102"/>
      <c r="Z7" s="102">
        <v>0</v>
      </c>
      <c r="AA7" s="98">
        <f t="shared" ref="AA7:AA13" si="2">+P7-SUM(Q7:Z7)</f>
        <v>5120.43</v>
      </c>
      <c r="AB7" s="104">
        <f>IF(P7&gt;4500,P7*0.1,0)</f>
        <v>512.04300000000001</v>
      </c>
      <c r="AC7" s="98">
        <f t="shared" ref="AC7:AC70" si="3">+AA7-AB7</f>
        <v>4608.3870000000006</v>
      </c>
      <c r="AD7" s="105">
        <f t="shared" ref="AD7:AD70" si="4">IF(P7&lt;4500,P7*0.1,0)</f>
        <v>0</v>
      </c>
      <c r="AE7" s="104">
        <v>10.23</v>
      </c>
      <c r="AF7" s="106">
        <f t="shared" ref="AF7:AF70" si="5">+P7+AD7+AE7</f>
        <v>5130.66</v>
      </c>
      <c r="AG7" s="107"/>
      <c r="AH7" s="108"/>
      <c r="AI7" s="107"/>
      <c r="AJ7" s="107"/>
      <c r="AK7" s="108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</row>
    <row r="8" spans="1:53" x14ac:dyDescent="0.25">
      <c r="A8" s="92" t="s">
        <v>377</v>
      </c>
      <c r="B8" s="92" t="s">
        <v>378</v>
      </c>
      <c r="C8" s="92" t="s">
        <v>379</v>
      </c>
      <c r="D8" s="92" t="s">
        <v>36</v>
      </c>
      <c r="E8" s="92" t="s">
        <v>380</v>
      </c>
      <c r="F8" s="92"/>
      <c r="G8" s="93"/>
      <c r="H8" s="93"/>
      <c r="I8" s="95">
        <v>1633.33</v>
      </c>
      <c r="J8" s="93"/>
      <c r="K8" s="95">
        <f t="shared" si="0"/>
        <v>1633.33</v>
      </c>
      <c r="L8" s="95">
        <v>60706.45</v>
      </c>
      <c r="M8" s="96"/>
      <c r="N8" s="96"/>
      <c r="O8" s="97"/>
      <c r="P8" s="98">
        <f t="shared" si="1"/>
        <v>62339.78</v>
      </c>
      <c r="Q8" s="141"/>
      <c r="R8" s="137"/>
      <c r="S8" s="137">
        <v>0</v>
      </c>
      <c r="T8" s="137"/>
      <c r="U8" s="137"/>
      <c r="V8" s="137"/>
      <c r="W8" s="142"/>
      <c r="X8" s="142"/>
      <c r="Y8" s="102"/>
      <c r="Z8" s="102">
        <v>0</v>
      </c>
      <c r="AA8" s="98">
        <f t="shared" si="2"/>
        <v>62339.78</v>
      </c>
      <c r="AB8" s="104">
        <f>IF(P8&gt;4500,P8*0.1,0)</f>
        <v>6233.9780000000001</v>
      </c>
      <c r="AC8" s="98">
        <f t="shared" si="3"/>
        <v>56105.801999999996</v>
      </c>
      <c r="AD8" s="105">
        <f t="shared" si="4"/>
        <v>0</v>
      </c>
      <c r="AE8" s="104">
        <v>10.23</v>
      </c>
      <c r="AF8" s="106">
        <f t="shared" si="5"/>
        <v>62350.01</v>
      </c>
      <c r="AG8" s="107"/>
      <c r="AH8" s="108"/>
      <c r="AI8" s="107"/>
      <c r="AJ8" s="107"/>
      <c r="AK8" s="108"/>
      <c r="AL8" s="107"/>
      <c r="AM8" s="107"/>
    </row>
    <row r="9" spans="1:53" x14ac:dyDescent="0.25">
      <c r="A9" s="112" t="s">
        <v>381</v>
      </c>
      <c r="B9" s="92" t="s">
        <v>382</v>
      </c>
      <c r="C9" s="92"/>
      <c r="D9" s="92" t="s">
        <v>38</v>
      </c>
      <c r="E9" s="92" t="s">
        <v>190</v>
      </c>
      <c r="F9" s="92"/>
      <c r="G9" s="93"/>
      <c r="H9" s="93"/>
      <c r="I9" s="95">
        <v>608.16</v>
      </c>
      <c r="J9" s="93"/>
      <c r="K9" s="95">
        <f t="shared" si="0"/>
        <v>608.16</v>
      </c>
      <c r="L9" s="95">
        <v>4993.21</v>
      </c>
      <c r="M9" s="96"/>
      <c r="N9" s="96"/>
      <c r="O9" s="97"/>
      <c r="P9" s="98">
        <f t="shared" si="1"/>
        <v>5601.37</v>
      </c>
      <c r="Q9" s="141"/>
      <c r="R9" s="137"/>
      <c r="S9" s="137"/>
      <c r="T9" s="197">
        <f>P9*4.9%</f>
        <v>274.46713</v>
      </c>
      <c r="U9" s="197">
        <f>P9*1%</f>
        <v>56.0137</v>
      </c>
      <c r="V9" s="137"/>
      <c r="W9" s="142"/>
      <c r="X9" s="142"/>
      <c r="Y9" s="102"/>
      <c r="Z9" s="102">
        <v>0</v>
      </c>
      <c r="AA9" s="98">
        <f t="shared" si="2"/>
        <v>5270.8891700000004</v>
      </c>
      <c r="AB9" s="104">
        <f>IF(P9&gt;4500,P9*0.1,0)</f>
        <v>560.13700000000006</v>
      </c>
      <c r="AC9" s="98">
        <f t="shared" si="3"/>
        <v>4710.7521700000007</v>
      </c>
      <c r="AD9" s="105">
        <f t="shared" si="4"/>
        <v>0</v>
      </c>
      <c r="AE9" s="104">
        <v>10.23</v>
      </c>
      <c r="AF9" s="106">
        <f t="shared" si="5"/>
        <v>5611.5999999999995</v>
      </c>
      <c r="AG9" s="107"/>
      <c r="AH9" s="108"/>
      <c r="AI9" s="107"/>
      <c r="AJ9" s="107"/>
      <c r="AK9" s="108"/>
      <c r="AL9" s="107"/>
      <c r="AM9" s="107"/>
    </row>
    <row r="10" spans="1:53" x14ac:dyDescent="0.25">
      <c r="A10" s="112" t="s">
        <v>383</v>
      </c>
      <c r="B10" s="92" t="s">
        <v>384</v>
      </c>
      <c r="C10" s="92"/>
      <c r="D10" s="92" t="s">
        <v>289</v>
      </c>
      <c r="E10" s="92" t="s">
        <v>385</v>
      </c>
      <c r="F10" s="92"/>
      <c r="G10" s="93"/>
      <c r="H10" s="93"/>
      <c r="I10" s="95">
        <v>739.23</v>
      </c>
      <c r="J10" s="93"/>
      <c r="K10" s="95">
        <f t="shared" si="0"/>
        <v>739.23</v>
      </c>
      <c r="L10" s="95"/>
      <c r="M10" s="96"/>
      <c r="N10" s="96"/>
      <c r="O10" s="97"/>
      <c r="P10" s="98">
        <f t="shared" si="1"/>
        <v>739.23</v>
      </c>
      <c r="Q10" s="141"/>
      <c r="R10" s="137"/>
      <c r="S10" s="137"/>
      <c r="T10" s="137"/>
      <c r="U10" s="137"/>
      <c r="V10" s="137"/>
      <c r="W10" s="142"/>
      <c r="X10" s="142"/>
      <c r="Y10" s="102"/>
      <c r="Z10" s="102"/>
      <c r="AA10" s="98">
        <f t="shared" si="2"/>
        <v>739.23</v>
      </c>
      <c r="AB10" s="104"/>
      <c r="AC10" s="98">
        <f t="shared" si="3"/>
        <v>739.23</v>
      </c>
      <c r="AD10" s="105">
        <f t="shared" si="4"/>
        <v>73.923000000000002</v>
      </c>
      <c r="AE10" s="104">
        <v>10.23</v>
      </c>
      <c r="AF10" s="106">
        <f t="shared" si="5"/>
        <v>823.38300000000004</v>
      </c>
      <c r="AG10" s="107"/>
      <c r="AH10" s="108"/>
      <c r="AI10" s="107"/>
      <c r="AJ10" s="107"/>
      <c r="AK10" s="108"/>
      <c r="AL10" s="107"/>
      <c r="AM10" s="107"/>
    </row>
    <row r="11" spans="1:53" x14ac:dyDescent="0.25">
      <c r="A11" s="92" t="s">
        <v>375</v>
      </c>
      <c r="B11" s="92" t="s">
        <v>386</v>
      </c>
      <c r="C11" s="92"/>
      <c r="D11" s="92" t="s">
        <v>40</v>
      </c>
      <c r="E11" s="92" t="s">
        <v>179</v>
      </c>
      <c r="F11" s="92"/>
      <c r="G11" s="92"/>
      <c r="H11" s="92"/>
      <c r="I11" s="95">
        <v>1166.6600000000001</v>
      </c>
      <c r="J11" s="94"/>
      <c r="K11" s="95">
        <f t="shared" si="0"/>
        <v>1166.6600000000001</v>
      </c>
      <c r="L11" s="95">
        <v>1433.64</v>
      </c>
      <c r="M11" s="95"/>
      <c r="N11" s="95"/>
      <c r="O11" s="97"/>
      <c r="P11" s="98">
        <f t="shared" si="1"/>
        <v>2600.3000000000002</v>
      </c>
      <c r="Q11" s="141"/>
      <c r="R11" s="137"/>
      <c r="S11" s="137">
        <v>0</v>
      </c>
      <c r="T11" s="137"/>
      <c r="U11" s="137"/>
      <c r="V11" s="137"/>
      <c r="W11" s="142"/>
      <c r="X11" s="142"/>
      <c r="Y11" s="102"/>
      <c r="Z11" s="102">
        <v>0</v>
      </c>
      <c r="AA11" s="98">
        <f t="shared" si="2"/>
        <v>2600.3000000000002</v>
      </c>
      <c r="AB11" s="104">
        <f t="shared" ref="AB11:AB74" si="6">IF(P11&gt;4500,P11*0.1,0)</f>
        <v>0</v>
      </c>
      <c r="AC11" s="98">
        <f t="shared" si="3"/>
        <v>2600.3000000000002</v>
      </c>
      <c r="AD11" s="105">
        <f t="shared" si="4"/>
        <v>260.03000000000003</v>
      </c>
      <c r="AE11" s="104">
        <v>10.23</v>
      </c>
      <c r="AF11" s="106">
        <f t="shared" si="5"/>
        <v>2870.5600000000004</v>
      </c>
      <c r="AG11" s="107"/>
      <c r="AH11" s="108"/>
      <c r="AI11" s="107"/>
      <c r="AJ11" s="107"/>
      <c r="AK11" s="108"/>
      <c r="AL11" s="107"/>
      <c r="AM11" s="107"/>
    </row>
    <row r="12" spans="1:53" x14ac:dyDescent="0.25">
      <c r="A12" s="92" t="s">
        <v>377</v>
      </c>
      <c r="B12" s="92" t="s">
        <v>387</v>
      </c>
      <c r="C12" s="92" t="s">
        <v>379</v>
      </c>
      <c r="D12" s="92">
        <v>16</v>
      </c>
      <c r="E12" s="92" t="s">
        <v>388</v>
      </c>
      <c r="F12" s="92"/>
      <c r="G12" s="93"/>
      <c r="H12" s="93"/>
      <c r="I12" s="95">
        <v>1633.33</v>
      </c>
      <c r="J12" s="93"/>
      <c r="K12" s="95">
        <f t="shared" si="0"/>
        <v>1633.33</v>
      </c>
      <c r="L12" s="95">
        <v>13631.88</v>
      </c>
      <c r="M12" s="96"/>
      <c r="N12" s="96"/>
      <c r="O12" s="97"/>
      <c r="P12" s="98">
        <f t="shared" si="1"/>
        <v>15265.21</v>
      </c>
      <c r="Q12" s="141"/>
      <c r="R12" s="137"/>
      <c r="S12" s="137">
        <v>0</v>
      </c>
      <c r="T12" s="137"/>
      <c r="U12" s="137"/>
      <c r="V12" s="137"/>
      <c r="W12" s="142"/>
      <c r="X12" s="142"/>
      <c r="Y12" s="102"/>
      <c r="Z12" s="102">
        <v>0</v>
      </c>
      <c r="AA12" s="98">
        <f t="shared" si="2"/>
        <v>15265.21</v>
      </c>
      <c r="AB12" s="104">
        <f t="shared" si="6"/>
        <v>1526.521</v>
      </c>
      <c r="AC12" s="98">
        <f t="shared" si="3"/>
        <v>13738.688999999998</v>
      </c>
      <c r="AD12" s="105">
        <f t="shared" si="4"/>
        <v>0</v>
      </c>
      <c r="AE12" s="104">
        <v>10.23</v>
      </c>
      <c r="AF12" s="106">
        <f t="shared" si="5"/>
        <v>15275.439999999999</v>
      </c>
      <c r="AG12" s="107"/>
      <c r="AH12" s="108"/>
      <c r="AI12" s="107"/>
      <c r="AJ12" s="107"/>
      <c r="AK12" s="108"/>
      <c r="AL12" s="107"/>
      <c r="AM12" s="107"/>
    </row>
    <row r="13" spans="1:53" s="160" customFormat="1" x14ac:dyDescent="0.25">
      <c r="A13" s="155" t="s">
        <v>375</v>
      </c>
      <c r="B13" s="155" t="s">
        <v>609</v>
      </c>
      <c r="C13" s="155"/>
      <c r="D13" s="155"/>
      <c r="E13" s="155" t="s">
        <v>610</v>
      </c>
      <c r="F13" s="168">
        <v>42422</v>
      </c>
      <c r="G13" s="155"/>
      <c r="H13" s="155"/>
      <c r="I13" s="156">
        <v>0</v>
      </c>
      <c r="J13" s="155">
        <v>483.75</v>
      </c>
      <c r="K13" s="156">
        <f t="shared" si="0"/>
        <v>483.75</v>
      </c>
      <c r="L13" s="156">
        <v>0</v>
      </c>
      <c r="M13" s="156"/>
      <c r="N13" s="156"/>
      <c r="O13" s="157"/>
      <c r="P13" s="158">
        <f t="shared" si="1"/>
        <v>483.75</v>
      </c>
      <c r="Q13" s="156"/>
      <c r="R13" s="137"/>
      <c r="S13" s="156"/>
      <c r="T13" s="156"/>
      <c r="U13" s="156"/>
      <c r="V13" s="156"/>
      <c r="W13" s="159"/>
      <c r="X13" s="159"/>
      <c r="Y13" s="155"/>
      <c r="Z13" s="155"/>
      <c r="AA13" s="158">
        <f t="shared" si="2"/>
        <v>483.75</v>
      </c>
      <c r="AB13" s="159">
        <f t="shared" si="6"/>
        <v>0</v>
      </c>
      <c r="AC13" s="158">
        <f t="shared" si="3"/>
        <v>483.75</v>
      </c>
      <c r="AD13" s="159">
        <f t="shared" si="4"/>
        <v>48.375</v>
      </c>
      <c r="AE13" s="159">
        <v>10.23</v>
      </c>
      <c r="AF13" s="158">
        <f t="shared" si="5"/>
        <v>542.35500000000002</v>
      </c>
      <c r="AH13" s="161"/>
      <c r="AK13" s="161"/>
      <c r="AL13" s="160">
        <v>1456104819</v>
      </c>
      <c r="AM13" s="198" t="s">
        <v>611</v>
      </c>
    </row>
    <row r="14" spans="1:53" s="107" customFormat="1" x14ac:dyDescent="0.25">
      <c r="A14" s="127" t="s">
        <v>389</v>
      </c>
      <c r="B14" s="127" t="s">
        <v>390</v>
      </c>
      <c r="C14" s="127" t="s">
        <v>391</v>
      </c>
      <c r="D14" s="127"/>
      <c r="E14" s="127" t="s">
        <v>392</v>
      </c>
      <c r="F14" s="165">
        <v>42417</v>
      </c>
      <c r="G14" s="127"/>
      <c r="H14" s="127"/>
      <c r="I14" s="151">
        <v>513.33000000000004</v>
      </c>
      <c r="J14" s="127">
        <v>653.33000000000004</v>
      </c>
      <c r="K14" s="151">
        <f t="shared" si="0"/>
        <v>1166.6600000000001</v>
      </c>
      <c r="L14" s="151">
        <v>164</v>
      </c>
      <c r="M14" s="151"/>
      <c r="N14" s="151"/>
      <c r="O14" s="163"/>
      <c r="P14" s="98">
        <f t="shared" si="1"/>
        <v>1330.66</v>
      </c>
      <c r="Q14" s="141"/>
      <c r="R14" s="137"/>
      <c r="S14" s="137">
        <v>0</v>
      </c>
      <c r="T14" s="137"/>
      <c r="U14" s="137"/>
      <c r="V14" s="137"/>
      <c r="W14" s="142"/>
      <c r="X14" s="142"/>
      <c r="Y14" s="102"/>
      <c r="Z14" s="102">
        <v>0</v>
      </c>
      <c r="AA14" s="98">
        <f t="shared" ref="AA14:AA77" si="7">+P14-SUM(Q14:Z14)</f>
        <v>1330.66</v>
      </c>
      <c r="AB14" s="104">
        <f t="shared" si="6"/>
        <v>0</v>
      </c>
      <c r="AC14" s="98">
        <f t="shared" si="3"/>
        <v>1330.66</v>
      </c>
      <c r="AD14" s="105">
        <f t="shared" si="4"/>
        <v>133.066</v>
      </c>
      <c r="AE14" s="104">
        <v>10.23</v>
      </c>
      <c r="AF14" s="106">
        <f t="shared" si="5"/>
        <v>1473.9560000000001</v>
      </c>
      <c r="AH14" s="108"/>
      <c r="AK14" s="108"/>
    </row>
    <row r="15" spans="1:53" x14ac:dyDescent="0.25">
      <c r="A15" s="92" t="s">
        <v>377</v>
      </c>
      <c r="B15" s="92" t="s">
        <v>393</v>
      </c>
      <c r="C15" s="92" t="s">
        <v>30</v>
      </c>
      <c r="D15" s="92" t="s">
        <v>44</v>
      </c>
      <c r="E15" s="92" t="s">
        <v>189</v>
      </c>
      <c r="F15" s="115"/>
      <c r="G15" s="93"/>
      <c r="H15" s="93"/>
      <c r="I15" s="95">
        <v>513.33000000000004</v>
      </c>
      <c r="J15" s="93">
        <v>653.33000000000004</v>
      </c>
      <c r="K15" s="95">
        <f t="shared" si="0"/>
        <v>1166.6600000000001</v>
      </c>
      <c r="L15" s="95">
        <v>1508.49</v>
      </c>
      <c r="M15" s="96"/>
      <c r="N15" s="96"/>
      <c r="O15" s="97"/>
      <c r="P15" s="98">
        <f t="shared" si="1"/>
        <v>2675.15</v>
      </c>
      <c r="Q15" s="141"/>
      <c r="R15" s="137"/>
      <c r="S15" s="137">
        <v>0</v>
      </c>
      <c r="T15" s="137"/>
      <c r="U15" s="137"/>
      <c r="V15" s="137"/>
      <c r="W15" s="142"/>
      <c r="X15" s="142"/>
      <c r="Y15" s="102"/>
      <c r="Z15" s="102">
        <v>368.35</v>
      </c>
      <c r="AA15" s="98">
        <f t="shared" si="7"/>
        <v>2306.8000000000002</v>
      </c>
      <c r="AB15" s="104">
        <f t="shared" si="6"/>
        <v>0</v>
      </c>
      <c r="AC15" s="98">
        <f t="shared" si="3"/>
        <v>2306.8000000000002</v>
      </c>
      <c r="AD15" s="105">
        <f t="shared" si="4"/>
        <v>267.51500000000004</v>
      </c>
      <c r="AE15" s="104">
        <v>10.23</v>
      </c>
      <c r="AF15" s="106">
        <f t="shared" si="5"/>
        <v>2952.895</v>
      </c>
      <c r="AG15" s="107"/>
      <c r="AH15" s="108"/>
      <c r="AI15" s="107"/>
      <c r="AJ15" s="107"/>
      <c r="AK15" s="108"/>
      <c r="AL15" s="107"/>
      <c r="AM15" s="107"/>
    </row>
    <row r="16" spans="1:53" x14ac:dyDescent="0.25">
      <c r="A16" s="112" t="s">
        <v>381</v>
      </c>
      <c r="B16" s="127" t="s">
        <v>394</v>
      </c>
      <c r="C16" s="127"/>
      <c r="D16" s="92" t="s">
        <v>191</v>
      </c>
      <c r="E16" s="92" t="s">
        <v>190</v>
      </c>
      <c r="F16" s="92"/>
      <c r="G16" s="93"/>
      <c r="H16" s="93"/>
      <c r="I16" s="95">
        <v>608.16</v>
      </c>
      <c r="J16" s="93"/>
      <c r="K16" s="95">
        <f t="shared" si="0"/>
        <v>608.16</v>
      </c>
      <c r="L16" s="95"/>
      <c r="M16" s="96"/>
      <c r="N16" s="96"/>
      <c r="O16" s="97"/>
      <c r="P16" s="98">
        <f t="shared" si="1"/>
        <v>608.16</v>
      </c>
      <c r="Q16" s="141"/>
      <c r="R16" s="137"/>
      <c r="S16" s="197">
        <v>150</v>
      </c>
      <c r="T16" s="197">
        <f>P16*4.9%</f>
        <v>29.79984</v>
      </c>
      <c r="U16" s="197">
        <f>P16*1%</f>
        <v>6.0815999999999999</v>
      </c>
      <c r="V16" s="137"/>
      <c r="W16" s="142"/>
      <c r="X16" s="142"/>
      <c r="Y16" s="102"/>
      <c r="Z16" s="102">
        <v>0</v>
      </c>
      <c r="AA16" s="98">
        <f t="shared" si="7"/>
        <v>422.27855999999997</v>
      </c>
      <c r="AB16" s="104">
        <f t="shared" si="6"/>
        <v>0</v>
      </c>
      <c r="AC16" s="98">
        <f t="shared" si="3"/>
        <v>422.27855999999997</v>
      </c>
      <c r="AD16" s="105">
        <f t="shared" si="4"/>
        <v>60.816000000000003</v>
      </c>
      <c r="AE16" s="104">
        <v>10.23</v>
      </c>
      <c r="AF16" s="106">
        <f t="shared" si="5"/>
        <v>679.20600000000002</v>
      </c>
      <c r="AG16" s="107"/>
      <c r="AH16" s="108"/>
      <c r="AI16" s="107"/>
      <c r="AJ16" s="107"/>
      <c r="AK16" s="108"/>
      <c r="AL16" s="107"/>
      <c r="AM16" s="107"/>
    </row>
    <row r="17" spans="1:53" x14ac:dyDescent="0.25">
      <c r="A17" s="92" t="s">
        <v>389</v>
      </c>
      <c r="B17" s="92" t="s">
        <v>395</v>
      </c>
      <c r="C17" s="92" t="s">
        <v>391</v>
      </c>
      <c r="D17" s="92" t="s">
        <v>14</v>
      </c>
      <c r="E17" s="92" t="s">
        <v>189</v>
      </c>
      <c r="F17" s="128">
        <v>42326</v>
      </c>
      <c r="G17" s="93"/>
      <c r="H17" s="93"/>
      <c r="I17" s="95">
        <v>513.33000000000004</v>
      </c>
      <c r="J17" s="93"/>
      <c r="K17" s="95">
        <f t="shared" si="0"/>
        <v>513.33000000000004</v>
      </c>
      <c r="L17" s="95">
        <v>513.33000000000004</v>
      </c>
      <c r="M17" s="96"/>
      <c r="N17" s="96"/>
      <c r="O17" s="97"/>
      <c r="P17" s="98">
        <f t="shared" si="1"/>
        <v>1026.6600000000001</v>
      </c>
      <c r="Q17" s="141"/>
      <c r="R17" s="137"/>
      <c r="S17" s="137">
        <v>0</v>
      </c>
      <c r="T17" s="137"/>
      <c r="U17" s="137"/>
      <c r="V17" s="137"/>
      <c r="W17" s="142"/>
      <c r="X17" s="142"/>
      <c r="Y17" s="102"/>
      <c r="Z17" s="199">
        <f>+P17*0.25+125</f>
        <v>381.66500000000002</v>
      </c>
      <c r="AA17" s="98">
        <f t="shared" si="7"/>
        <v>644.99500000000012</v>
      </c>
      <c r="AB17" s="104">
        <f t="shared" si="6"/>
        <v>0</v>
      </c>
      <c r="AC17" s="98">
        <f t="shared" si="3"/>
        <v>644.99500000000012</v>
      </c>
      <c r="AD17" s="105">
        <f t="shared" si="4"/>
        <v>102.66600000000001</v>
      </c>
      <c r="AE17" s="104">
        <v>10.23</v>
      </c>
      <c r="AF17" s="106">
        <f t="shared" si="5"/>
        <v>1139.556</v>
      </c>
      <c r="AG17" s="107"/>
      <c r="AH17" s="200"/>
      <c r="AI17" s="107"/>
      <c r="AJ17" s="107"/>
      <c r="AK17" s="108"/>
      <c r="AL17" s="107"/>
      <c r="AM17" s="107">
        <f>622.79+125</f>
        <v>747.79</v>
      </c>
      <c r="AN17" s="107" t="s">
        <v>612</v>
      </c>
    </row>
    <row r="18" spans="1:53" x14ac:dyDescent="0.25">
      <c r="A18" s="92" t="s">
        <v>396</v>
      </c>
      <c r="B18" s="92" t="s">
        <v>613</v>
      </c>
      <c r="C18" s="92"/>
      <c r="D18" s="92" t="s">
        <v>48</v>
      </c>
      <c r="E18" s="92" t="s">
        <v>398</v>
      </c>
      <c r="F18" s="92"/>
      <c r="G18" s="93"/>
      <c r="H18" s="93"/>
      <c r="I18" s="95">
        <v>933.33</v>
      </c>
      <c r="J18" s="93"/>
      <c r="K18" s="95">
        <f t="shared" si="0"/>
        <v>933.33</v>
      </c>
      <c r="L18" s="95">
        <v>550</v>
      </c>
      <c r="M18" s="96"/>
      <c r="N18" s="96"/>
      <c r="O18" s="97"/>
      <c r="P18" s="98">
        <f t="shared" si="1"/>
        <v>1483.33</v>
      </c>
      <c r="Q18" s="141"/>
      <c r="R18" s="137">
        <v>58.91</v>
      </c>
      <c r="S18" s="137">
        <v>0</v>
      </c>
      <c r="T18" s="137"/>
      <c r="U18" s="137"/>
      <c r="V18" s="137"/>
      <c r="W18" s="142"/>
      <c r="X18" s="142"/>
      <c r="Y18" s="199"/>
      <c r="Z18" s="102">
        <v>0</v>
      </c>
      <c r="AA18" s="98">
        <f t="shared" si="7"/>
        <v>1424.4199999999998</v>
      </c>
      <c r="AB18" s="104">
        <f t="shared" si="6"/>
        <v>0</v>
      </c>
      <c r="AC18" s="98">
        <f t="shared" si="3"/>
        <v>1424.4199999999998</v>
      </c>
      <c r="AD18" s="105">
        <f t="shared" si="4"/>
        <v>148.333</v>
      </c>
      <c r="AE18" s="104">
        <v>10.23</v>
      </c>
      <c r="AF18" s="106">
        <f t="shared" si="5"/>
        <v>1641.893</v>
      </c>
      <c r="AG18" s="107"/>
      <c r="AH18" s="108"/>
      <c r="AI18" s="107"/>
      <c r="AJ18" s="107"/>
      <c r="AK18" s="108"/>
      <c r="AL18" s="107"/>
      <c r="AM18" s="107" t="s">
        <v>614</v>
      </c>
    </row>
    <row r="19" spans="1:53" x14ac:dyDescent="0.25">
      <c r="A19" s="92" t="s">
        <v>377</v>
      </c>
      <c r="B19" s="92" t="s">
        <v>615</v>
      </c>
      <c r="C19" s="92" t="s">
        <v>32</v>
      </c>
      <c r="D19" s="92" t="s">
        <v>50</v>
      </c>
      <c r="E19" s="92" t="s">
        <v>189</v>
      </c>
      <c r="F19" s="92"/>
      <c r="G19" s="93"/>
      <c r="H19" s="93"/>
      <c r="I19" s="95">
        <v>513.33000000000004</v>
      </c>
      <c r="J19" s="93"/>
      <c r="K19" s="95">
        <f t="shared" si="0"/>
        <v>513.33000000000004</v>
      </c>
      <c r="L19" s="95">
        <f>513.33+10425.49</f>
        <v>10938.82</v>
      </c>
      <c r="M19" s="96"/>
      <c r="N19" s="96"/>
      <c r="O19" s="97"/>
      <c r="P19" s="98">
        <f t="shared" si="1"/>
        <v>11452.15</v>
      </c>
      <c r="Q19" s="141"/>
      <c r="R19" s="137">
        <v>58.91</v>
      </c>
      <c r="S19" s="197">
        <v>500</v>
      </c>
      <c r="T19" s="137"/>
      <c r="U19" s="137"/>
      <c r="V19" s="137"/>
      <c r="W19" s="142"/>
      <c r="X19" s="142"/>
      <c r="Y19" s="102"/>
      <c r="Z19" s="140">
        <v>1697.06</v>
      </c>
      <c r="AA19" s="98">
        <f t="shared" si="7"/>
        <v>9196.18</v>
      </c>
      <c r="AB19" s="104">
        <f t="shared" si="6"/>
        <v>1145.2149999999999</v>
      </c>
      <c r="AC19" s="98">
        <f t="shared" si="3"/>
        <v>8050.9650000000001</v>
      </c>
      <c r="AD19" s="105">
        <f t="shared" si="4"/>
        <v>0</v>
      </c>
      <c r="AE19" s="104">
        <v>10.23</v>
      </c>
      <c r="AF19" s="106">
        <f t="shared" si="5"/>
        <v>11462.38</v>
      </c>
      <c r="AG19" s="107"/>
      <c r="AH19" s="108"/>
      <c r="AI19" s="107"/>
      <c r="AJ19" s="107"/>
      <c r="AK19" s="108"/>
      <c r="AL19" s="107"/>
      <c r="AM19" s="107"/>
    </row>
    <row r="20" spans="1:53" x14ac:dyDescent="0.25">
      <c r="A20" s="92" t="s">
        <v>375</v>
      </c>
      <c r="B20" s="92" t="s">
        <v>400</v>
      </c>
      <c r="C20" s="92"/>
      <c r="D20" s="92" t="s">
        <v>180</v>
      </c>
      <c r="E20" s="92" t="s">
        <v>179</v>
      </c>
      <c r="F20" s="92"/>
      <c r="G20" s="92"/>
      <c r="H20" s="92"/>
      <c r="I20" s="95">
        <v>1166.26</v>
      </c>
      <c r="J20" s="94"/>
      <c r="K20" s="95">
        <f t="shared" si="0"/>
        <v>1166.26</v>
      </c>
      <c r="L20" s="95"/>
      <c r="M20" s="95"/>
      <c r="N20" s="95"/>
      <c r="O20" s="97"/>
      <c r="P20" s="98">
        <f t="shared" si="1"/>
        <v>1166.26</v>
      </c>
      <c r="Q20" s="141"/>
      <c r="R20" s="137"/>
      <c r="S20" s="137">
        <v>0</v>
      </c>
      <c r="T20" s="137"/>
      <c r="U20" s="137"/>
      <c r="V20" s="137"/>
      <c r="W20" s="142"/>
      <c r="X20" s="142"/>
      <c r="Y20" s="102"/>
      <c r="Z20" s="102">
        <v>0</v>
      </c>
      <c r="AA20" s="98">
        <f t="shared" si="7"/>
        <v>1166.26</v>
      </c>
      <c r="AB20" s="104">
        <f t="shared" si="6"/>
        <v>0</v>
      </c>
      <c r="AC20" s="98">
        <f t="shared" si="3"/>
        <v>1166.26</v>
      </c>
      <c r="AD20" s="105">
        <f t="shared" si="4"/>
        <v>116.626</v>
      </c>
      <c r="AE20" s="104">
        <v>10.23</v>
      </c>
      <c r="AF20" s="106">
        <f t="shared" si="5"/>
        <v>1293.116</v>
      </c>
      <c r="AG20" s="107"/>
      <c r="AH20" s="108"/>
      <c r="AI20" s="107"/>
      <c r="AJ20" s="107"/>
      <c r="AK20" s="108"/>
      <c r="AL20" s="107"/>
      <c r="AM20" s="107"/>
    </row>
    <row r="21" spans="1:53" x14ac:dyDescent="0.25">
      <c r="A21" s="112" t="s">
        <v>381</v>
      </c>
      <c r="B21" s="92" t="s">
        <v>401</v>
      </c>
      <c r="C21" s="92"/>
      <c r="D21" s="92" t="s">
        <v>53</v>
      </c>
      <c r="E21" s="92" t="s">
        <v>181</v>
      </c>
      <c r="F21" s="92"/>
      <c r="G21" s="93"/>
      <c r="H21" s="93"/>
      <c r="I21" s="95">
        <v>511.28</v>
      </c>
      <c r="J21" s="93"/>
      <c r="K21" s="95">
        <f t="shared" si="0"/>
        <v>511.28</v>
      </c>
      <c r="L21" s="95">
        <v>2243.33</v>
      </c>
      <c r="M21" s="96"/>
      <c r="N21" s="96"/>
      <c r="O21" s="97"/>
      <c r="P21" s="98">
        <f t="shared" si="1"/>
        <v>2754.6099999999997</v>
      </c>
      <c r="Q21" s="141"/>
      <c r="R21" s="137"/>
      <c r="S21" s="197">
        <v>0</v>
      </c>
      <c r="T21" s="197">
        <f>P21*4.9%</f>
        <v>134.97588999999999</v>
      </c>
      <c r="U21" s="197">
        <f>P21*1%</f>
        <v>27.546099999999996</v>
      </c>
      <c r="V21" s="137"/>
      <c r="W21" s="142"/>
      <c r="X21" s="142"/>
      <c r="Y21" s="102"/>
      <c r="Z21" s="102">
        <v>0</v>
      </c>
      <c r="AA21" s="98">
        <f t="shared" si="7"/>
        <v>2592.0880099999995</v>
      </c>
      <c r="AB21" s="104">
        <f t="shared" si="6"/>
        <v>0</v>
      </c>
      <c r="AC21" s="98">
        <f t="shared" si="3"/>
        <v>2592.0880099999995</v>
      </c>
      <c r="AD21" s="105">
        <f t="shared" si="4"/>
        <v>275.46099999999996</v>
      </c>
      <c r="AE21" s="104">
        <v>10.23</v>
      </c>
      <c r="AF21" s="106">
        <f t="shared" si="5"/>
        <v>3040.3009999999995</v>
      </c>
      <c r="AG21" s="107"/>
      <c r="AH21" s="108"/>
      <c r="AI21" s="107"/>
      <c r="AJ21" s="107"/>
      <c r="AK21" s="108"/>
      <c r="AL21" s="107"/>
      <c r="AM21" s="107"/>
    </row>
    <row r="22" spans="1:53" x14ac:dyDescent="0.25">
      <c r="A22" s="92" t="s">
        <v>377</v>
      </c>
      <c r="B22" s="92" t="s">
        <v>616</v>
      </c>
      <c r="C22" s="92" t="s">
        <v>379</v>
      </c>
      <c r="D22" s="92">
        <v>18</v>
      </c>
      <c r="E22" s="92" t="s">
        <v>403</v>
      </c>
      <c r="F22" s="92"/>
      <c r="G22" s="93"/>
      <c r="H22" s="93"/>
      <c r="I22" s="95">
        <v>1633.33</v>
      </c>
      <c r="J22" s="93"/>
      <c r="K22" s="95">
        <f t="shared" si="0"/>
        <v>1633.33</v>
      </c>
      <c r="L22" s="95">
        <v>13971.02</v>
      </c>
      <c r="M22" s="96"/>
      <c r="N22" s="96"/>
      <c r="O22" s="97"/>
      <c r="P22" s="98">
        <f t="shared" si="1"/>
        <v>15604.35</v>
      </c>
      <c r="Q22" s="141"/>
      <c r="R22" s="137"/>
      <c r="S22" s="197">
        <v>700</v>
      </c>
      <c r="T22" s="137"/>
      <c r="U22" s="137"/>
      <c r="V22" s="137"/>
      <c r="W22" s="142"/>
      <c r="X22" s="142"/>
      <c r="Y22" s="102">
        <v>205.7</v>
      </c>
      <c r="Z22" s="102">
        <v>0</v>
      </c>
      <c r="AA22" s="98">
        <f t="shared" si="7"/>
        <v>14698.65</v>
      </c>
      <c r="AB22" s="104">
        <f t="shared" si="6"/>
        <v>1560.4350000000002</v>
      </c>
      <c r="AC22" s="98">
        <f t="shared" si="3"/>
        <v>13138.215</v>
      </c>
      <c r="AD22" s="105">
        <f t="shared" si="4"/>
        <v>0</v>
      </c>
      <c r="AE22" s="104">
        <v>10.23</v>
      </c>
      <c r="AF22" s="106">
        <f t="shared" si="5"/>
        <v>15614.58</v>
      </c>
      <c r="AG22" s="107"/>
      <c r="AH22" s="108"/>
      <c r="AI22" s="107"/>
      <c r="AJ22" s="107"/>
      <c r="AK22" s="108"/>
      <c r="AL22" s="107"/>
      <c r="AM22" s="107"/>
    </row>
    <row r="23" spans="1:53" x14ac:dyDescent="0.25">
      <c r="A23" s="92" t="s">
        <v>381</v>
      </c>
      <c r="B23" s="92" t="s">
        <v>617</v>
      </c>
      <c r="C23" s="92"/>
      <c r="D23" s="92" t="s">
        <v>56</v>
      </c>
      <c r="E23" s="92" t="s">
        <v>405</v>
      </c>
      <c r="F23" s="92"/>
      <c r="G23" s="93"/>
      <c r="H23" s="93"/>
      <c r="I23" s="95">
        <v>1100</v>
      </c>
      <c r="J23" s="93"/>
      <c r="K23" s="95">
        <f t="shared" si="0"/>
        <v>1100</v>
      </c>
      <c r="L23" s="95">
        <v>314.3</v>
      </c>
      <c r="M23" s="96"/>
      <c r="N23" s="96"/>
      <c r="O23" s="97"/>
      <c r="P23" s="98">
        <f t="shared" si="1"/>
        <v>1414.3</v>
      </c>
      <c r="Q23" s="141"/>
      <c r="R23" s="137"/>
      <c r="S23" s="197">
        <f>+P23*1%</f>
        <v>14.143000000000001</v>
      </c>
      <c r="T23" s="197">
        <f>+P23*4.9%</f>
        <v>69.300700000000006</v>
      </c>
      <c r="U23" s="137"/>
      <c r="V23" s="137"/>
      <c r="W23" s="142"/>
      <c r="X23" s="142"/>
      <c r="Y23" s="102"/>
      <c r="Z23" s="102">
        <v>0</v>
      </c>
      <c r="AA23" s="98">
        <f t="shared" si="7"/>
        <v>1330.8562999999999</v>
      </c>
      <c r="AB23" s="104">
        <f t="shared" si="6"/>
        <v>0</v>
      </c>
      <c r="AC23" s="98">
        <f t="shared" si="3"/>
        <v>1330.8562999999999</v>
      </c>
      <c r="AD23" s="105">
        <f t="shared" si="4"/>
        <v>141.43</v>
      </c>
      <c r="AE23" s="104">
        <v>10.23</v>
      </c>
      <c r="AF23" s="106">
        <f t="shared" si="5"/>
        <v>1565.96</v>
      </c>
      <c r="AG23" s="107"/>
      <c r="AH23" s="108"/>
      <c r="AI23" s="107"/>
      <c r="AJ23" s="107"/>
      <c r="AK23" s="108"/>
      <c r="AL23" s="107"/>
      <c r="AM23" s="107"/>
    </row>
    <row r="24" spans="1:53" x14ac:dyDescent="0.25">
      <c r="A24" s="92" t="s">
        <v>396</v>
      </c>
      <c r="B24" s="92" t="s">
        <v>406</v>
      </c>
      <c r="C24" s="92"/>
      <c r="D24" s="92" t="s">
        <v>58</v>
      </c>
      <c r="E24" s="92" t="s">
        <v>398</v>
      </c>
      <c r="F24" s="92"/>
      <c r="G24" s="93"/>
      <c r="H24" s="93"/>
      <c r="I24" s="95">
        <v>933.33</v>
      </c>
      <c r="J24" s="93"/>
      <c r="K24" s="95">
        <f t="shared" si="0"/>
        <v>933.33</v>
      </c>
      <c r="L24" s="95">
        <v>550</v>
      </c>
      <c r="M24" s="96"/>
      <c r="N24" s="96"/>
      <c r="O24" s="97"/>
      <c r="P24" s="98">
        <f t="shared" si="1"/>
        <v>1483.33</v>
      </c>
      <c r="Q24" s="141"/>
      <c r="R24" s="137">
        <v>38.28</v>
      </c>
      <c r="S24" s="137">
        <v>0</v>
      </c>
      <c r="T24" s="137"/>
      <c r="U24" s="137"/>
      <c r="V24" s="137"/>
      <c r="W24" s="142"/>
      <c r="X24" s="142"/>
      <c r="Y24" s="102"/>
      <c r="Z24" s="102">
        <f>357.73+148.47</f>
        <v>506.20000000000005</v>
      </c>
      <c r="AA24" s="98">
        <f t="shared" si="7"/>
        <v>938.84999999999991</v>
      </c>
      <c r="AB24" s="104">
        <f t="shared" si="6"/>
        <v>0</v>
      </c>
      <c r="AC24" s="98">
        <f t="shared" si="3"/>
        <v>938.84999999999991</v>
      </c>
      <c r="AD24" s="105">
        <f t="shared" si="4"/>
        <v>148.333</v>
      </c>
      <c r="AE24" s="104">
        <v>10.23</v>
      </c>
      <c r="AF24" s="106">
        <f t="shared" si="5"/>
        <v>1641.893</v>
      </c>
      <c r="AG24" s="107"/>
      <c r="AH24" s="108"/>
      <c r="AI24" s="107"/>
      <c r="AJ24" s="107"/>
      <c r="AK24" s="108"/>
      <c r="AL24" s="107"/>
      <c r="AM24" s="107" t="s">
        <v>614</v>
      </c>
    </row>
    <row r="25" spans="1:53" x14ac:dyDescent="0.25">
      <c r="A25" s="92" t="s">
        <v>389</v>
      </c>
      <c r="B25" s="92" t="s">
        <v>407</v>
      </c>
      <c r="C25" s="92" t="s">
        <v>391</v>
      </c>
      <c r="D25" s="92" t="s">
        <v>60</v>
      </c>
      <c r="E25" s="92" t="s">
        <v>189</v>
      </c>
      <c r="F25" s="128">
        <v>42432</v>
      </c>
      <c r="G25" s="93"/>
      <c r="H25" s="93"/>
      <c r="I25" s="95">
        <v>513.33000000000004</v>
      </c>
      <c r="J25" s="93">
        <v>653.33000000000004</v>
      </c>
      <c r="K25" s="95">
        <f t="shared" si="0"/>
        <v>1166.6600000000001</v>
      </c>
      <c r="L25" s="95">
        <f>1792.44+1000+1500</f>
        <v>4292.4400000000005</v>
      </c>
      <c r="M25" s="96"/>
      <c r="N25" s="96"/>
      <c r="O25" s="97"/>
      <c r="P25" s="98">
        <f t="shared" si="1"/>
        <v>5459.1</v>
      </c>
      <c r="Q25" s="141"/>
      <c r="R25" s="137"/>
      <c r="S25" s="137">
        <v>0</v>
      </c>
      <c r="T25" s="137"/>
      <c r="U25" s="137"/>
      <c r="V25" s="137"/>
      <c r="W25" s="142"/>
      <c r="X25" s="142"/>
      <c r="Y25" s="102"/>
      <c r="Z25" s="102">
        <f>797.62</f>
        <v>797.62</v>
      </c>
      <c r="AA25" s="98">
        <f t="shared" si="7"/>
        <v>4661.4800000000005</v>
      </c>
      <c r="AB25" s="104">
        <f t="shared" si="6"/>
        <v>545.91000000000008</v>
      </c>
      <c r="AC25" s="98">
        <f t="shared" si="3"/>
        <v>4115.5700000000006</v>
      </c>
      <c r="AD25" s="105">
        <f t="shared" si="4"/>
        <v>0</v>
      </c>
      <c r="AE25" s="104">
        <v>10.23</v>
      </c>
      <c r="AF25" s="106">
        <f t="shared" si="5"/>
        <v>5469.33</v>
      </c>
      <c r="AG25" s="107"/>
      <c r="AH25" s="108"/>
      <c r="AI25" s="107"/>
      <c r="AJ25" s="107"/>
      <c r="AK25" s="108"/>
      <c r="AL25" s="107"/>
      <c r="AM25" s="107"/>
    </row>
    <row r="26" spans="1:53" x14ac:dyDescent="0.25">
      <c r="A26" s="112" t="s">
        <v>383</v>
      </c>
      <c r="B26" s="92" t="s">
        <v>408</v>
      </c>
      <c r="C26" s="92"/>
      <c r="D26" s="92" t="s">
        <v>62</v>
      </c>
      <c r="E26" s="92" t="s">
        <v>409</v>
      </c>
      <c r="F26" s="92"/>
      <c r="G26" s="92"/>
      <c r="H26" s="92"/>
      <c r="I26" s="201">
        <v>739.23</v>
      </c>
      <c r="J26" s="92"/>
      <c r="K26" s="95">
        <f t="shared" si="0"/>
        <v>739.23</v>
      </c>
      <c r="L26" s="95">
        <v>2507.88</v>
      </c>
      <c r="M26" s="95"/>
      <c r="N26" s="95"/>
      <c r="O26" s="97"/>
      <c r="P26" s="98">
        <f t="shared" si="1"/>
        <v>3247.11</v>
      </c>
      <c r="Q26" s="141"/>
      <c r="R26" s="137"/>
      <c r="S26" s="137">
        <v>0</v>
      </c>
      <c r="T26" s="137"/>
      <c r="U26" s="137"/>
      <c r="V26" s="137"/>
      <c r="W26" s="142"/>
      <c r="X26" s="142"/>
      <c r="Y26" s="102"/>
      <c r="Z26" s="102">
        <v>0</v>
      </c>
      <c r="AA26" s="98">
        <f t="shared" si="7"/>
        <v>3247.11</v>
      </c>
      <c r="AB26" s="104">
        <f t="shared" si="6"/>
        <v>0</v>
      </c>
      <c r="AC26" s="98">
        <f t="shared" si="3"/>
        <v>3247.11</v>
      </c>
      <c r="AD26" s="105">
        <f t="shared" si="4"/>
        <v>324.71100000000001</v>
      </c>
      <c r="AE26" s="104">
        <v>10.23</v>
      </c>
      <c r="AF26" s="106">
        <f t="shared" si="5"/>
        <v>3582.0509999999999</v>
      </c>
      <c r="AG26" s="107"/>
      <c r="AH26" s="108"/>
      <c r="AI26" s="107"/>
      <c r="AJ26" s="107"/>
      <c r="AK26" s="108"/>
      <c r="AL26" s="107"/>
      <c r="AM26" s="107"/>
    </row>
    <row r="27" spans="1:53" x14ac:dyDescent="0.25">
      <c r="A27" s="92" t="s">
        <v>389</v>
      </c>
      <c r="B27" s="92" t="s">
        <v>410</v>
      </c>
      <c r="C27" s="92" t="s">
        <v>391</v>
      </c>
      <c r="D27" s="92" t="s">
        <v>64</v>
      </c>
      <c r="E27" s="92" t="s">
        <v>392</v>
      </c>
      <c r="F27" s="128">
        <v>42304</v>
      </c>
      <c r="G27" s="93"/>
      <c r="H27" s="93"/>
      <c r="I27" s="95">
        <v>513.33000000000004</v>
      </c>
      <c r="J27" s="93"/>
      <c r="K27" s="95">
        <f t="shared" si="0"/>
        <v>513.33000000000004</v>
      </c>
      <c r="L27" s="95">
        <v>513.33000000000004</v>
      </c>
      <c r="M27" s="96"/>
      <c r="N27" s="96"/>
      <c r="O27" s="97"/>
      <c r="P27" s="98">
        <f t="shared" si="1"/>
        <v>1026.6600000000001</v>
      </c>
      <c r="Q27" s="141"/>
      <c r="R27" s="137"/>
      <c r="S27" s="137">
        <v>0</v>
      </c>
      <c r="T27" s="137"/>
      <c r="U27" s="137"/>
      <c r="V27" s="137"/>
      <c r="W27" s="142"/>
      <c r="X27" s="142"/>
      <c r="Y27" s="102"/>
      <c r="Z27" s="102">
        <v>0</v>
      </c>
      <c r="AA27" s="98">
        <f t="shared" si="7"/>
        <v>1026.6600000000001</v>
      </c>
      <c r="AB27" s="104">
        <f t="shared" si="6"/>
        <v>0</v>
      </c>
      <c r="AC27" s="98">
        <f t="shared" si="3"/>
        <v>1026.6600000000001</v>
      </c>
      <c r="AD27" s="105">
        <f t="shared" si="4"/>
        <v>102.66600000000001</v>
      </c>
      <c r="AE27" s="104">
        <v>10.23</v>
      </c>
      <c r="AF27" s="106">
        <f t="shared" si="5"/>
        <v>1139.556</v>
      </c>
      <c r="AG27" s="107"/>
      <c r="AH27" s="108"/>
      <c r="AI27" s="107"/>
      <c r="AJ27" s="107"/>
      <c r="AK27" s="108"/>
      <c r="AL27" s="107"/>
      <c r="AM27" s="107"/>
    </row>
    <row r="28" spans="1:53" s="109" customFormat="1" x14ac:dyDescent="0.25">
      <c r="A28" s="92" t="s">
        <v>383</v>
      </c>
      <c r="B28" s="92" t="s">
        <v>411</v>
      </c>
      <c r="C28" s="92"/>
      <c r="D28" s="92" t="s">
        <v>66</v>
      </c>
      <c r="E28" s="92" t="s">
        <v>385</v>
      </c>
      <c r="F28" s="92"/>
      <c r="G28" s="92"/>
      <c r="H28" s="92"/>
      <c r="I28" s="95">
        <v>1100</v>
      </c>
      <c r="J28" s="92"/>
      <c r="K28" s="95">
        <f t="shared" si="0"/>
        <v>1100</v>
      </c>
      <c r="L28" s="95">
        <v>1052.97</v>
      </c>
      <c r="M28" s="95"/>
      <c r="N28" s="95"/>
      <c r="O28" s="97"/>
      <c r="P28" s="98">
        <f t="shared" si="1"/>
        <v>2152.9700000000003</v>
      </c>
      <c r="Q28" s="141"/>
      <c r="R28" s="137"/>
      <c r="S28" s="137">
        <v>0</v>
      </c>
      <c r="T28" s="137"/>
      <c r="U28" s="137"/>
      <c r="V28" s="137"/>
      <c r="W28" s="142"/>
      <c r="X28" s="142"/>
      <c r="Y28" s="102"/>
      <c r="Z28" s="102">
        <v>0</v>
      </c>
      <c r="AA28" s="98">
        <f t="shared" si="7"/>
        <v>2152.9700000000003</v>
      </c>
      <c r="AB28" s="104">
        <f t="shared" si="6"/>
        <v>0</v>
      </c>
      <c r="AC28" s="98">
        <f t="shared" si="3"/>
        <v>2152.9700000000003</v>
      </c>
      <c r="AD28" s="105">
        <f t="shared" si="4"/>
        <v>215.29700000000003</v>
      </c>
      <c r="AE28" s="104">
        <v>10.23</v>
      </c>
      <c r="AF28" s="106">
        <f t="shared" si="5"/>
        <v>2378.4970000000003</v>
      </c>
      <c r="AG28" s="107"/>
      <c r="AH28" s="108"/>
      <c r="AI28" s="107"/>
      <c r="AJ28" s="107"/>
      <c r="AK28" s="108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</row>
    <row r="29" spans="1:53" x14ac:dyDescent="0.25">
      <c r="A29" s="92" t="s">
        <v>396</v>
      </c>
      <c r="B29" s="92" t="s">
        <v>412</v>
      </c>
      <c r="C29" s="92"/>
      <c r="D29" s="92" t="s">
        <v>68</v>
      </c>
      <c r="E29" s="92" t="s">
        <v>413</v>
      </c>
      <c r="F29" s="92"/>
      <c r="G29" s="92"/>
      <c r="H29" s="92"/>
      <c r="I29" s="95">
        <v>933.33</v>
      </c>
      <c r="J29" s="92"/>
      <c r="K29" s="95">
        <f t="shared" si="0"/>
        <v>933.33</v>
      </c>
      <c r="L29" s="95">
        <v>550</v>
      </c>
      <c r="M29" s="95"/>
      <c r="N29" s="95"/>
      <c r="O29" s="97"/>
      <c r="P29" s="98">
        <f t="shared" si="1"/>
        <v>1483.33</v>
      </c>
      <c r="Q29" s="141"/>
      <c r="R29" s="137">
        <v>58.91</v>
      </c>
      <c r="S29" s="137">
        <v>0</v>
      </c>
      <c r="T29" s="137"/>
      <c r="U29" s="137"/>
      <c r="V29" s="137"/>
      <c r="W29" s="142"/>
      <c r="X29" s="142"/>
      <c r="Y29" s="102"/>
      <c r="Z29" s="102">
        <v>0</v>
      </c>
      <c r="AA29" s="98">
        <f t="shared" si="7"/>
        <v>1424.4199999999998</v>
      </c>
      <c r="AB29" s="104">
        <f t="shared" si="6"/>
        <v>0</v>
      </c>
      <c r="AC29" s="98">
        <f t="shared" si="3"/>
        <v>1424.4199999999998</v>
      </c>
      <c r="AD29" s="105">
        <f t="shared" si="4"/>
        <v>148.333</v>
      </c>
      <c r="AE29" s="104">
        <v>10.23</v>
      </c>
      <c r="AF29" s="106">
        <f t="shared" si="5"/>
        <v>1641.893</v>
      </c>
      <c r="AG29" s="107"/>
      <c r="AH29" s="108"/>
      <c r="AI29" s="107"/>
      <c r="AJ29" s="107"/>
      <c r="AK29" s="108"/>
      <c r="AL29" s="107"/>
      <c r="AM29" s="107" t="s">
        <v>614</v>
      </c>
    </row>
    <row r="30" spans="1:53" x14ac:dyDescent="0.25">
      <c r="A30" s="92" t="s">
        <v>414</v>
      </c>
      <c r="B30" s="92" t="s">
        <v>415</v>
      </c>
      <c r="C30" s="92"/>
      <c r="D30" s="92" t="s">
        <v>70</v>
      </c>
      <c r="E30" s="92" t="s">
        <v>186</v>
      </c>
      <c r="F30" s="92"/>
      <c r="G30" s="92"/>
      <c r="H30" s="92"/>
      <c r="I30" s="95">
        <v>1516.67</v>
      </c>
      <c r="J30" s="92"/>
      <c r="K30" s="95">
        <f t="shared" si="0"/>
        <v>1516.67</v>
      </c>
      <c r="L30" s="95"/>
      <c r="M30" s="95"/>
      <c r="N30" s="95"/>
      <c r="O30" s="97"/>
      <c r="P30" s="98">
        <f t="shared" si="1"/>
        <v>1516.67</v>
      </c>
      <c r="Q30" s="141"/>
      <c r="R30" s="137"/>
      <c r="S30" s="197">
        <v>200</v>
      </c>
      <c r="T30" s="137"/>
      <c r="U30" s="137"/>
      <c r="V30" s="137"/>
      <c r="W30" s="142"/>
      <c r="X30" s="142"/>
      <c r="Y30" s="102"/>
      <c r="Z30" s="102">
        <v>0</v>
      </c>
      <c r="AA30" s="98">
        <f t="shared" si="7"/>
        <v>1316.67</v>
      </c>
      <c r="AB30" s="104">
        <f t="shared" si="6"/>
        <v>0</v>
      </c>
      <c r="AC30" s="98">
        <f t="shared" si="3"/>
        <v>1316.67</v>
      </c>
      <c r="AD30" s="105">
        <f t="shared" si="4"/>
        <v>151.667</v>
      </c>
      <c r="AE30" s="104">
        <v>10.23</v>
      </c>
      <c r="AF30" s="106">
        <f t="shared" si="5"/>
        <v>1678.567</v>
      </c>
      <c r="AG30" s="107"/>
      <c r="AH30" s="108"/>
      <c r="AI30" s="107"/>
      <c r="AJ30" s="107"/>
      <c r="AK30" s="108"/>
      <c r="AL30" s="107"/>
      <c r="AM30" s="107" t="s">
        <v>618</v>
      </c>
    </row>
    <row r="31" spans="1:53" s="109" customFormat="1" x14ac:dyDescent="0.25">
      <c r="A31" s="112" t="s">
        <v>381</v>
      </c>
      <c r="B31" s="92" t="s">
        <v>416</v>
      </c>
      <c r="C31" s="92"/>
      <c r="D31" s="92" t="s">
        <v>72</v>
      </c>
      <c r="E31" s="92" t="s">
        <v>190</v>
      </c>
      <c r="F31" s="92"/>
      <c r="G31" s="93"/>
      <c r="H31" s="93"/>
      <c r="I31" s="95">
        <v>608.16</v>
      </c>
      <c r="J31" s="93"/>
      <c r="K31" s="95">
        <f t="shared" si="0"/>
        <v>608.16</v>
      </c>
      <c r="L31" s="95">
        <v>3595.22</v>
      </c>
      <c r="M31" s="96"/>
      <c r="N31" s="96"/>
      <c r="O31" s="97"/>
      <c r="P31" s="98">
        <f t="shared" si="1"/>
        <v>4203.38</v>
      </c>
      <c r="Q31" s="141"/>
      <c r="R31" s="137"/>
      <c r="S31" s="197">
        <v>500</v>
      </c>
      <c r="T31" s="197">
        <f>P31*4.9%</f>
        <v>205.96562</v>
      </c>
      <c r="U31" s="197">
        <f>P31*1%</f>
        <v>42.033799999999999</v>
      </c>
      <c r="V31" s="137"/>
      <c r="W31" s="142"/>
      <c r="X31" s="142"/>
      <c r="Y31" s="102"/>
      <c r="Z31" s="102">
        <v>0</v>
      </c>
      <c r="AA31" s="98">
        <f t="shared" si="7"/>
        <v>3455.38058</v>
      </c>
      <c r="AB31" s="104">
        <f t="shared" si="6"/>
        <v>0</v>
      </c>
      <c r="AC31" s="98">
        <f t="shared" si="3"/>
        <v>3455.38058</v>
      </c>
      <c r="AD31" s="105">
        <f t="shared" si="4"/>
        <v>420.33800000000002</v>
      </c>
      <c r="AE31" s="104">
        <v>10.23</v>
      </c>
      <c r="AF31" s="106">
        <f t="shared" si="5"/>
        <v>4633.9479999999994</v>
      </c>
      <c r="AG31" s="107"/>
      <c r="AH31" s="108"/>
      <c r="AI31" s="107"/>
      <c r="AJ31" s="107"/>
      <c r="AK31" s="108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</row>
    <row r="32" spans="1:53" s="109" customFormat="1" x14ac:dyDescent="0.25">
      <c r="A32" s="112" t="s">
        <v>381</v>
      </c>
      <c r="B32" s="92" t="s">
        <v>418</v>
      </c>
      <c r="C32" s="92"/>
      <c r="D32" s="92" t="s">
        <v>76</v>
      </c>
      <c r="E32" s="92" t="s">
        <v>419</v>
      </c>
      <c r="F32" s="92"/>
      <c r="G32" s="93"/>
      <c r="H32" s="93"/>
      <c r="I32" s="95">
        <v>608.16</v>
      </c>
      <c r="J32" s="93"/>
      <c r="K32" s="95">
        <f t="shared" si="0"/>
        <v>608.16</v>
      </c>
      <c r="L32" s="95">
        <v>2998.94</v>
      </c>
      <c r="M32" s="96"/>
      <c r="N32" s="96"/>
      <c r="O32" s="97"/>
      <c r="P32" s="98">
        <f t="shared" si="1"/>
        <v>3607.1</v>
      </c>
      <c r="Q32" s="141"/>
      <c r="R32" s="137"/>
      <c r="S32" s="197">
        <v>1000</v>
      </c>
      <c r="T32" s="197">
        <f>P32*4.9%</f>
        <v>176.74790000000002</v>
      </c>
      <c r="U32" s="197">
        <f>P32*1%</f>
        <v>36.070999999999998</v>
      </c>
      <c r="V32" s="137">
        <v>300</v>
      </c>
      <c r="W32" s="142"/>
      <c r="X32" s="142"/>
      <c r="Y32" s="199"/>
      <c r="Z32" s="102">
        <v>0</v>
      </c>
      <c r="AA32" s="98">
        <f t="shared" si="7"/>
        <v>2094.2811000000002</v>
      </c>
      <c r="AB32" s="104">
        <f t="shared" si="6"/>
        <v>0</v>
      </c>
      <c r="AC32" s="98">
        <f t="shared" si="3"/>
        <v>2094.2811000000002</v>
      </c>
      <c r="AD32" s="105">
        <f t="shared" si="4"/>
        <v>360.71000000000004</v>
      </c>
      <c r="AE32" s="104">
        <v>10.23</v>
      </c>
      <c r="AF32" s="106">
        <f t="shared" si="5"/>
        <v>3978.04</v>
      </c>
      <c r="AG32" s="107"/>
      <c r="AH32" s="108"/>
      <c r="AI32" s="107"/>
      <c r="AJ32" s="107"/>
      <c r="AK32" s="108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</row>
    <row r="33" spans="1:53" s="109" customFormat="1" x14ac:dyDescent="0.25">
      <c r="A33" s="92" t="s">
        <v>375</v>
      </c>
      <c r="B33" s="92" t="s">
        <v>420</v>
      </c>
      <c r="C33" s="92"/>
      <c r="D33" s="92" t="s">
        <v>78</v>
      </c>
      <c r="E33" s="92" t="s">
        <v>179</v>
      </c>
      <c r="F33" s="92"/>
      <c r="G33" s="92"/>
      <c r="H33" s="92"/>
      <c r="I33" s="95">
        <v>1166.26</v>
      </c>
      <c r="J33" s="94"/>
      <c r="K33" s="95">
        <f t="shared" si="0"/>
        <v>1166.26</v>
      </c>
      <c r="L33" s="95">
        <v>1218.03</v>
      </c>
      <c r="M33" s="95"/>
      <c r="N33" s="95"/>
      <c r="O33" s="97"/>
      <c r="P33" s="98">
        <f t="shared" si="1"/>
        <v>2384.29</v>
      </c>
      <c r="Q33" s="141"/>
      <c r="R33" s="137"/>
      <c r="S33" s="137">
        <v>0</v>
      </c>
      <c r="T33" s="137"/>
      <c r="U33" s="137"/>
      <c r="V33" s="137"/>
      <c r="W33" s="142"/>
      <c r="X33" s="142"/>
      <c r="Y33" s="102"/>
      <c r="Z33" s="102">
        <v>0</v>
      </c>
      <c r="AA33" s="98">
        <f t="shared" si="7"/>
        <v>2384.29</v>
      </c>
      <c r="AB33" s="104">
        <f t="shared" si="6"/>
        <v>0</v>
      </c>
      <c r="AC33" s="98">
        <f t="shared" si="3"/>
        <v>2384.29</v>
      </c>
      <c r="AD33" s="105">
        <f t="shared" si="4"/>
        <v>238.429</v>
      </c>
      <c r="AE33" s="104">
        <v>10.23</v>
      </c>
      <c r="AF33" s="106">
        <f t="shared" si="5"/>
        <v>2632.9490000000001</v>
      </c>
      <c r="AG33" s="107"/>
      <c r="AH33" s="108"/>
      <c r="AI33" s="107"/>
      <c r="AJ33" s="107"/>
      <c r="AK33" s="108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</row>
    <row r="34" spans="1:53" s="160" customFormat="1" x14ac:dyDescent="0.25">
      <c r="A34" s="155" t="s">
        <v>383</v>
      </c>
      <c r="B34" s="155" t="s">
        <v>619</v>
      </c>
      <c r="C34" s="155"/>
      <c r="D34" s="155"/>
      <c r="E34" s="155" t="s">
        <v>385</v>
      </c>
      <c r="F34" s="168">
        <v>42422</v>
      </c>
      <c r="G34" s="155"/>
      <c r="H34" s="155"/>
      <c r="I34" s="156">
        <v>0</v>
      </c>
      <c r="J34" s="169">
        <v>475.39</v>
      </c>
      <c r="K34" s="156">
        <f t="shared" si="0"/>
        <v>475.39</v>
      </c>
      <c r="L34" s="156">
        <v>0</v>
      </c>
      <c r="M34" s="156"/>
      <c r="N34" s="156"/>
      <c r="O34" s="157"/>
      <c r="P34" s="158">
        <f t="shared" si="1"/>
        <v>475.39</v>
      </c>
      <c r="Q34" s="156"/>
      <c r="R34" s="156"/>
      <c r="S34" s="156"/>
      <c r="T34" s="156"/>
      <c r="U34" s="156"/>
      <c r="V34" s="156"/>
      <c r="W34" s="159"/>
      <c r="X34" s="159"/>
      <c r="Y34" s="155"/>
      <c r="Z34" s="155"/>
      <c r="AA34" s="158">
        <f t="shared" si="7"/>
        <v>475.39</v>
      </c>
      <c r="AB34" s="159">
        <f t="shared" si="6"/>
        <v>0</v>
      </c>
      <c r="AC34" s="158">
        <f t="shared" si="3"/>
        <v>475.39</v>
      </c>
      <c r="AD34" s="159">
        <f t="shared" si="4"/>
        <v>47.539000000000001</v>
      </c>
      <c r="AE34" s="159">
        <v>10.23</v>
      </c>
      <c r="AF34" s="158">
        <f t="shared" si="5"/>
        <v>533.15899999999999</v>
      </c>
      <c r="AH34" s="161"/>
      <c r="AK34" s="161"/>
      <c r="AL34" s="160">
        <v>1182316935</v>
      </c>
      <c r="AM34" s="198" t="s">
        <v>611</v>
      </c>
    </row>
    <row r="35" spans="1:53" s="107" customFormat="1" x14ac:dyDescent="0.25">
      <c r="A35" s="127" t="s">
        <v>377</v>
      </c>
      <c r="B35" s="127" t="s">
        <v>421</v>
      </c>
      <c r="C35" s="127" t="s">
        <v>30</v>
      </c>
      <c r="D35" s="127"/>
      <c r="E35" s="127" t="s">
        <v>189</v>
      </c>
      <c r="F35" s="165">
        <v>42415</v>
      </c>
      <c r="G35" s="127"/>
      <c r="H35" s="127"/>
      <c r="I35" s="151">
        <v>513.33000000000004</v>
      </c>
      <c r="J35" s="162">
        <v>653.33000000000004</v>
      </c>
      <c r="K35" s="151">
        <f t="shared" si="0"/>
        <v>1166.6600000000001</v>
      </c>
      <c r="L35" s="151"/>
      <c r="M35" s="151"/>
      <c r="N35" s="151"/>
      <c r="O35" s="163"/>
      <c r="P35" s="98">
        <f t="shared" ref="P35" si="8">SUM(K35:N35)-O35</f>
        <v>1166.6600000000001</v>
      </c>
      <c r="Q35" s="141"/>
      <c r="R35" s="137"/>
      <c r="S35" s="137">
        <v>0</v>
      </c>
      <c r="T35" s="137"/>
      <c r="U35" s="137"/>
      <c r="V35" s="137"/>
      <c r="W35" s="142"/>
      <c r="X35" s="142"/>
      <c r="Y35" s="102"/>
      <c r="Z35" s="102">
        <v>0</v>
      </c>
      <c r="AA35" s="98">
        <f t="shared" ref="AA35" si="9">+P35-SUM(Q35:Z35)</f>
        <v>1166.6600000000001</v>
      </c>
      <c r="AB35" s="104">
        <f t="shared" si="6"/>
        <v>0</v>
      </c>
      <c r="AC35" s="98">
        <f t="shared" si="3"/>
        <v>1166.6600000000001</v>
      </c>
      <c r="AD35" s="105">
        <f t="shared" si="4"/>
        <v>116.66600000000001</v>
      </c>
      <c r="AE35" s="104">
        <v>10.23</v>
      </c>
      <c r="AF35" s="106">
        <f t="shared" si="5"/>
        <v>1293.556</v>
      </c>
      <c r="AH35" s="108"/>
      <c r="AK35" s="108"/>
    </row>
    <row r="36" spans="1:53" x14ac:dyDescent="0.25">
      <c r="A36" s="92" t="s">
        <v>377</v>
      </c>
      <c r="B36" s="92" t="s">
        <v>422</v>
      </c>
      <c r="C36" s="92" t="s">
        <v>30</v>
      </c>
      <c r="D36" s="92" t="s">
        <v>273</v>
      </c>
      <c r="E36" s="92" t="s">
        <v>189</v>
      </c>
      <c r="F36" s="92"/>
      <c r="G36" s="93"/>
      <c r="H36" s="93"/>
      <c r="I36" s="151">
        <v>513.33000000000004</v>
      </c>
      <c r="J36" s="93"/>
      <c r="K36" s="95">
        <f t="shared" si="0"/>
        <v>513.33000000000004</v>
      </c>
      <c r="L36" s="95">
        <f>479+10921.01</f>
        <v>11400.01</v>
      </c>
      <c r="M36" s="96"/>
      <c r="N36" s="96"/>
      <c r="O36" s="97"/>
      <c r="P36" s="98">
        <f t="shared" si="1"/>
        <v>11913.34</v>
      </c>
      <c r="Q36" s="141"/>
      <c r="R36" s="137">
        <v>58.91</v>
      </c>
      <c r="S36" s="137">
        <v>0</v>
      </c>
      <c r="T36" s="137"/>
      <c r="U36" s="137"/>
      <c r="V36" s="137"/>
      <c r="W36" s="142"/>
      <c r="X36" s="142"/>
      <c r="Y36" s="102"/>
      <c r="Z36" s="102">
        <v>349.07</v>
      </c>
      <c r="AA36" s="98">
        <f t="shared" si="7"/>
        <v>11505.36</v>
      </c>
      <c r="AB36" s="104">
        <f t="shared" si="6"/>
        <v>1191.3340000000001</v>
      </c>
      <c r="AC36" s="98">
        <f t="shared" si="3"/>
        <v>10314.026</v>
      </c>
      <c r="AD36" s="105">
        <f t="shared" si="4"/>
        <v>0</v>
      </c>
      <c r="AE36" s="104">
        <v>10.23</v>
      </c>
      <c r="AF36" s="106">
        <f t="shared" si="5"/>
        <v>11923.57</v>
      </c>
      <c r="AG36" s="107"/>
      <c r="AH36" s="108"/>
      <c r="AI36" s="107"/>
      <c r="AJ36" s="107"/>
      <c r="AK36" s="108"/>
      <c r="AL36" s="107"/>
      <c r="AM36" s="107"/>
    </row>
    <row r="37" spans="1:53" x14ac:dyDescent="0.25">
      <c r="A37" s="92" t="s">
        <v>377</v>
      </c>
      <c r="B37" s="92" t="s">
        <v>423</v>
      </c>
      <c r="C37" s="92" t="s">
        <v>30</v>
      </c>
      <c r="D37" s="92" t="s">
        <v>82</v>
      </c>
      <c r="E37" s="92" t="s">
        <v>189</v>
      </c>
      <c r="F37" s="92"/>
      <c r="G37" s="93"/>
      <c r="H37" s="93"/>
      <c r="I37" s="151">
        <v>513.33000000000004</v>
      </c>
      <c r="J37" s="93"/>
      <c r="K37" s="95">
        <f t="shared" si="0"/>
        <v>513.33000000000004</v>
      </c>
      <c r="L37" s="95">
        <v>782.63</v>
      </c>
      <c r="M37" s="96"/>
      <c r="N37" s="96"/>
      <c r="O37" s="97"/>
      <c r="P37" s="98">
        <f t="shared" si="1"/>
        <v>1295.96</v>
      </c>
      <c r="Q37" s="141"/>
      <c r="R37" s="137">
        <v>58.91</v>
      </c>
      <c r="S37" s="137">
        <v>0</v>
      </c>
      <c r="T37" s="137"/>
      <c r="U37" s="137"/>
      <c r="V37" s="137"/>
      <c r="W37" s="142"/>
      <c r="X37" s="142"/>
      <c r="Y37" s="102"/>
      <c r="Z37" s="102">
        <v>0</v>
      </c>
      <c r="AA37" s="98">
        <f t="shared" si="7"/>
        <v>1237.05</v>
      </c>
      <c r="AB37" s="104">
        <f t="shared" si="6"/>
        <v>0</v>
      </c>
      <c r="AC37" s="98">
        <f t="shared" si="3"/>
        <v>1237.05</v>
      </c>
      <c r="AD37" s="105">
        <f t="shared" si="4"/>
        <v>129.596</v>
      </c>
      <c r="AE37" s="104">
        <v>10.23</v>
      </c>
      <c r="AF37" s="106">
        <f t="shared" si="5"/>
        <v>1435.7860000000001</v>
      </c>
      <c r="AG37" s="107"/>
      <c r="AH37" s="108"/>
      <c r="AI37" s="107"/>
      <c r="AJ37" s="107"/>
      <c r="AK37" s="108"/>
      <c r="AL37" s="107"/>
      <c r="AM37" s="107"/>
    </row>
    <row r="38" spans="1:53" x14ac:dyDescent="0.25">
      <c r="A38" s="112" t="s">
        <v>383</v>
      </c>
      <c r="B38" s="92" t="s">
        <v>425</v>
      </c>
      <c r="C38" s="92"/>
      <c r="D38" s="92" t="s">
        <v>86</v>
      </c>
      <c r="E38" s="92" t="s">
        <v>181</v>
      </c>
      <c r="F38" s="92"/>
      <c r="G38" s="92"/>
      <c r="H38" s="92"/>
      <c r="I38" s="95">
        <v>739.23</v>
      </c>
      <c r="J38" s="92"/>
      <c r="K38" s="95">
        <f t="shared" si="0"/>
        <v>739.23</v>
      </c>
      <c r="L38" s="95">
        <v>1893.56</v>
      </c>
      <c r="M38" s="95"/>
      <c r="N38" s="95"/>
      <c r="O38" s="97"/>
      <c r="P38" s="98">
        <f t="shared" si="1"/>
        <v>2632.79</v>
      </c>
      <c r="Q38" s="141"/>
      <c r="R38" s="137"/>
      <c r="S38" s="137">
        <v>0</v>
      </c>
      <c r="T38" s="137"/>
      <c r="U38" s="137"/>
      <c r="V38" s="137"/>
      <c r="W38" s="142"/>
      <c r="X38" s="142"/>
      <c r="Y38" s="102"/>
      <c r="Z38" s="102">
        <v>0</v>
      </c>
      <c r="AA38" s="98">
        <f t="shared" si="7"/>
        <v>2632.79</v>
      </c>
      <c r="AB38" s="104">
        <f t="shared" si="6"/>
        <v>0</v>
      </c>
      <c r="AC38" s="98">
        <f t="shared" si="3"/>
        <v>2632.79</v>
      </c>
      <c r="AD38" s="105">
        <f t="shared" si="4"/>
        <v>263.279</v>
      </c>
      <c r="AE38" s="104">
        <v>10.23</v>
      </c>
      <c r="AF38" s="106">
        <f t="shared" si="5"/>
        <v>2906.299</v>
      </c>
      <c r="AG38" s="107"/>
      <c r="AH38" s="108"/>
      <c r="AI38" s="107"/>
      <c r="AJ38" s="107"/>
      <c r="AK38" s="108"/>
      <c r="AL38" s="107"/>
      <c r="AM38" s="107"/>
    </row>
    <row r="39" spans="1:53" x14ac:dyDescent="0.25">
      <c r="A39" s="92" t="s">
        <v>377</v>
      </c>
      <c r="B39" s="92" t="s">
        <v>426</v>
      </c>
      <c r="C39" s="92" t="s">
        <v>32</v>
      </c>
      <c r="D39" s="92" t="s">
        <v>88</v>
      </c>
      <c r="E39" s="92" t="s">
        <v>189</v>
      </c>
      <c r="F39" s="92"/>
      <c r="G39" s="93"/>
      <c r="H39" s="93"/>
      <c r="I39" s="151">
        <v>513.33000000000004</v>
      </c>
      <c r="J39" s="93"/>
      <c r="K39" s="95">
        <f t="shared" si="0"/>
        <v>513.33000000000004</v>
      </c>
      <c r="L39" s="95">
        <f>182.34+5581.29</f>
        <v>5763.63</v>
      </c>
      <c r="M39" s="96"/>
      <c r="N39" s="96"/>
      <c r="O39" s="97"/>
      <c r="P39" s="98">
        <f t="shared" ref="P39:P71" si="10">SUM(K39:N39)-O39</f>
        <v>6276.96</v>
      </c>
      <c r="Q39" s="141"/>
      <c r="R39" s="137">
        <v>58.91</v>
      </c>
      <c r="S39" s="137">
        <v>0</v>
      </c>
      <c r="T39" s="137"/>
      <c r="U39" s="137"/>
      <c r="V39" s="137"/>
      <c r="W39" s="142"/>
      <c r="X39" s="142"/>
      <c r="Y39" s="102"/>
      <c r="Z39" s="102">
        <v>0</v>
      </c>
      <c r="AA39" s="98">
        <f t="shared" si="7"/>
        <v>6218.05</v>
      </c>
      <c r="AB39" s="104">
        <f t="shared" si="6"/>
        <v>627.69600000000003</v>
      </c>
      <c r="AC39" s="98">
        <f t="shared" si="3"/>
        <v>5590.3540000000003</v>
      </c>
      <c r="AD39" s="105">
        <f t="shared" si="4"/>
        <v>0</v>
      </c>
      <c r="AE39" s="104">
        <v>10.23</v>
      </c>
      <c r="AF39" s="106">
        <f t="shared" si="5"/>
        <v>6287.19</v>
      </c>
      <c r="AG39" s="107"/>
      <c r="AH39" s="108"/>
      <c r="AI39" s="107"/>
      <c r="AJ39" s="107"/>
      <c r="AK39" s="108"/>
      <c r="AL39" s="107"/>
      <c r="AM39" s="107"/>
    </row>
    <row r="40" spans="1:53" x14ac:dyDescent="0.25">
      <c r="A40" s="92" t="s">
        <v>377</v>
      </c>
      <c r="B40" s="92" t="s">
        <v>427</v>
      </c>
      <c r="C40" s="92" t="s">
        <v>31</v>
      </c>
      <c r="D40" s="92" t="s">
        <v>90</v>
      </c>
      <c r="E40" s="92" t="s">
        <v>189</v>
      </c>
      <c r="F40" s="92"/>
      <c r="G40" s="93"/>
      <c r="H40" s="93"/>
      <c r="I40" s="95">
        <v>513.33000000000004</v>
      </c>
      <c r="J40" s="93"/>
      <c r="K40" s="95">
        <f t="shared" si="0"/>
        <v>513.33000000000004</v>
      </c>
      <c r="L40" s="95">
        <f>513.33+7214.56+1000</f>
        <v>8727.89</v>
      </c>
      <c r="M40" s="96"/>
      <c r="N40" s="96"/>
      <c r="O40" s="97"/>
      <c r="P40" s="98">
        <f t="shared" si="10"/>
        <v>9241.2199999999993</v>
      </c>
      <c r="Q40" s="141"/>
      <c r="R40" s="137"/>
      <c r="S40" s="137">
        <v>0</v>
      </c>
      <c r="T40" s="137"/>
      <c r="U40" s="137"/>
      <c r="V40" s="137"/>
      <c r="W40" s="142"/>
      <c r="X40" s="142"/>
      <c r="Y40" s="102"/>
      <c r="Z40" s="102">
        <v>208.6</v>
      </c>
      <c r="AA40" s="98">
        <f t="shared" si="7"/>
        <v>9032.619999999999</v>
      </c>
      <c r="AB40" s="104">
        <f t="shared" si="6"/>
        <v>924.12199999999996</v>
      </c>
      <c r="AC40" s="98">
        <f t="shared" si="3"/>
        <v>8108.4979999999987</v>
      </c>
      <c r="AD40" s="105">
        <f t="shared" si="4"/>
        <v>0</v>
      </c>
      <c r="AE40" s="104">
        <v>10.23</v>
      </c>
      <c r="AF40" s="106">
        <f t="shared" si="5"/>
        <v>9251.4499999999989</v>
      </c>
      <c r="AG40" s="107"/>
      <c r="AH40" s="108"/>
      <c r="AI40" s="107"/>
      <c r="AJ40" s="107"/>
      <c r="AK40" s="108"/>
      <c r="AL40" s="107"/>
      <c r="AM40" s="107"/>
    </row>
    <row r="41" spans="1:53" x14ac:dyDescent="0.25">
      <c r="A41" s="92" t="s">
        <v>389</v>
      </c>
      <c r="B41" s="92" t="s">
        <v>428</v>
      </c>
      <c r="C41" s="92" t="s">
        <v>391</v>
      </c>
      <c r="D41" s="92" t="s">
        <v>92</v>
      </c>
      <c r="E41" s="92" t="s">
        <v>392</v>
      </c>
      <c r="F41" s="92"/>
      <c r="G41" s="93"/>
      <c r="H41" s="93"/>
      <c r="I41" s="95">
        <v>513.33000000000004</v>
      </c>
      <c r="J41" s="93"/>
      <c r="K41" s="95">
        <f t="shared" si="0"/>
        <v>513.33000000000004</v>
      </c>
      <c r="L41" s="95"/>
      <c r="M41" s="96"/>
      <c r="N41" s="96"/>
      <c r="O41" s="97"/>
      <c r="P41" s="98">
        <f t="shared" si="10"/>
        <v>513.33000000000004</v>
      </c>
      <c r="Q41" s="141"/>
      <c r="R41" s="137">
        <v>58.91</v>
      </c>
      <c r="S41" s="137">
        <v>0</v>
      </c>
      <c r="T41" s="137"/>
      <c r="U41" s="137"/>
      <c r="V41" s="137"/>
      <c r="W41" s="142"/>
      <c r="X41" s="142"/>
      <c r="Y41" s="102"/>
      <c r="Z41" s="102">
        <v>0</v>
      </c>
      <c r="AA41" s="98">
        <f t="shared" si="7"/>
        <v>454.42000000000007</v>
      </c>
      <c r="AB41" s="104">
        <f t="shared" si="6"/>
        <v>0</v>
      </c>
      <c r="AC41" s="98">
        <f t="shared" si="3"/>
        <v>454.42000000000007</v>
      </c>
      <c r="AD41" s="105">
        <f t="shared" si="4"/>
        <v>51.333000000000006</v>
      </c>
      <c r="AE41" s="104">
        <v>10.23</v>
      </c>
      <c r="AF41" s="106">
        <f t="shared" si="5"/>
        <v>574.89300000000003</v>
      </c>
      <c r="AG41" s="107"/>
      <c r="AH41" s="108"/>
      <c r="AI41" s="107"/>
      <c r="AJ41" s="107"/>
      <c r="AK41" s="108"/>
      <c r="AL41" s="107"/>
      <c r="AM41" s="107"/>
    </row>
    <row r="42" spans="1:53" x14ac:dyDescent="0.25">
      <c r="A42" s="92" t="s">
        <v>377</v>
      </c>
      <c r="B42" s="92" t="s">
        <v>429</v>
      </c>
      <c r="C42" s="92" t="s">
        <v>31</v>
      </c>
      <c r="D42" s="92" t="s">
        <v>94</v>
      </c>
      <c r="E42" s="92" t="s">
        <v>189</v>
      </c>
      <c r="F42" s="92"/>
      <c r="G42" s="93"/>
      <c r="H42" s="93"/>
      <c r="I42" s="95">
        <v>513.33000000000004</v>
      </c>
      <c r="J42" s="93"/>
      <c r="K42" s="95">
        <f t="shared" si="0"/>
        <v>513.33000000000004</v>
      </c>
      <c r="L42" s="95">
        <f>513.33+3459.51+1000</f>
        <v>4972.84</v>
      </c>
      <c r="M42" s="96"/>
      <c r="N42" s="96"/>
      <c r="O42" s="97"/>
      <c r="P42" s="98">
        <f t="shared" si="10"/>
        <v>5486.17</v>
      </c>
      <c r="Q42" s="141"/>
      <c r="R42" s="137"/>
      <c r="S42" s="137">
        <v>0</v>
      </c>
      <c r="T42" s="137"/>
      <c r="U42" s="137"/>
      <c r="V42" s="137"/>
      <c r="W42" s="142"/>
      <c r="X42" s="142"/>
      <c r="Y42" s="102"/>
      <c r="Z42" s="102">
        <v>0</v>
      </c>
      <c r="AA42" s="98">
        <f t="shared" si="7"/>
        <v>5486.17</v>
      </c>
      <c r="AB42" s="104">
        <f t="shared" si="6"/>
        <v>548.61700000000008</v>
      </c>
      <c r="AC42" s="98">
        <f t="shared" si="3"/>
        <v>4937.5529999999999</v>
      </c>
      <c r="AD42" s="105">
        <f t="shared" si="4"/>
        <v>0</v>
      </c>
      <c r="AE42" s="104">
        <v>10.23</v>
      </c>
      <c r="AF42" s="106">
        <f t="shared" si="5"/>
        <v>5496.4</v>
      </c>
      <c r="AG42" s="107"/>
      <c r="AH42" s="108"/>
      <c r="AI42" s="107"/>
      <c r="AJ42" s="107"/>
      <c r="AK42" s="108"/>
      <c r="AL42" s="107"/>
      <c r="AM42" s="107"/>
    </row>
    <row r="43" spans="1:53" x14ac:dyDescent="0.25">
      <c r="A43" s="92" t="s">
        <v>375</v>
      </c>
      <c r="B43" s="92" t="s">
        <v>430</v>
      </c>
      <c r="C43" s="92"/>
      <c r="D43" s="92" t="s">
        <v>96</v>
      </c>
      <c r="E43" s="92" t="s">
        <v>187</v>
      </c>
      <c r="F43" s="92"/>
      <c r="G43" s="92"/>
      <c r="H43" s="92"/>
      <c r="I43" s="95">
        <v>1633.33</v>
      </c>
      <c r="J43" s="92"/>
      <c r="K43" s="95">
        <f t="shared" si="0"/>
        <v>1633.33</v>
      </c>
      <c r="L43" s="95"/>
      <c r="M43" s="95"/>
      <c r="N43" s="95"/>
      <c r="O43" s="97"/>
      <c r="P43" s="98">
        <f t="shared" si="10"/>
        <v>1633.33</v>
      </c>
      <c r="Q43" s="141"/>
      <c r="R43" s="137"/>
      <c r="S43" s="137">
        <v>0</v>
      </c>
      <c r="T43" s="137"/>
      <c r="U43" s="137"/>
      <c r="V43" s="137"/>
      <c r="W43" s="142"/>
      <c r="X43" s="142"/>
      <c r="Y43" s="102"/>
      <c r="Z43" s="102">
        <v>0</v>
      </c>
      <c r="AA43" s="98">
        <f t="shared" si="7"/>
        <v>1633.33</v>
      </c>
      <c r="AB43" s="104">
        <f t="shared" si="6"/>
        <v>0</v>
      </c>
      <c r="AC43" s="98">
        <f t="shared" si="3"/>
        <v>1633.33</v>
      </c>
      <c r="AD43" s="105">
        <f t="shared" si="4"/>
        <v>163.333</v>
      </c>
      <c r="AE43" s="104">
        <v>10.23</v>
      </c>
      <c r="AF43" s="106">
        <f t="shared" si="5"/>
        <v>1806.893</v>
      </c>
      <c r="AG43" s="107"/>
      <c r="AH43" s="108"/>
      <c r="AI43" s="107"/>
      <c r="AJ43" s="107"/>
      <c r="AK43" s="108"/>
      <c r="AL43" s="107"/>
      <c r="AM43" s="107"/>
    </row>
    <row r="44" spans="1:53" x14ac:dyDescent="0.25">
      <c r="A44" s="92" t="s">
        <v>377</v>
      </c>
      <c r="B44" s="92" t="s">
        <v>620</v>
      </c>
      <c r="C44" s="92"/>
      <c r="D44" s="92" t="s">
        <v>99</v>
      </c>
      <c r="E44" s="92" t="s">
        <v>189</v>
      </c>
      <c r="F44" s="92"/>
      <c r="G44" s="93"/>
      <c r="H44" s="93"/>
      <c r="I44" s="95">
        <v>513.33000000000004</v>
      </c>
      <c r="J44" s="93"/>
      <c r="K44" s="95">
        <f t="shared" si="0"/>
        <v>513.33000000000004</v>
      </c>
      <c r="L44" s="95">
        <f>513.33+14319.74</f>
        <v>14833.07</v>
      </c>
      <c r="M44" s="96"/>
      <c r="N44" s="96"/>
      <c r="O44" s="97"/>
      <c r="P44" s="98">
        <f t="shared" si="10"/>
        <v>15346.4</v>
      </c>
      <c r="Q44" s="141"/>
      <c r="R44" s="137"/>
      <c r="S44" s="137">
        <v>0</v>
      </c>
      <c r="T44" s="137"/>
      <c r="U44" s="137"/>
      <c r="V44" s="137"/>
      <c r="W44" s="142"/>
      <c r="X44" s="142"/>
      <c r="Y44" s="102"/>
      <c r="Z44" s="102">
        <v>0</v>
      </c>
      <c r="AA44" s="98">
        <f t="shared" si="7"/>
        <v>15346.4</v>
      </c>
      <c r="AB44" s="104">
        <f t="shared" si="6"/>
        <v>1534.64</v>
      </c>
      <c r="AC44" s="98">
        <f t="shared" si="3"/>
        <v>13811.76</v>
      </c>
      <c r="AD44" s="105">
        <f t="shared" si="4"/>
        <v>0</v>
      </c>
      <c r="AE44" s="104">
        <v>10.23</v>
      </c>
      <c r="AF44" s="106">
        <f t="shared" si="5"/>
        <v>15356.63</v>
      </c>
      <c r="AG44" s="107"/>
      <c r="AH44" s="108"/>
      <c r="AI44" s="107"/>
      <c r="AJ44" s="107"/>
      <c r="AK44" s="108"/>
      <c r="AL44" s="107"/>
      <c r="AM44" s="107"/>
    </row>
    <row r="45" spans="1:53" s="125" customFormat="1" x14ac:dyDescent="0.25">
      <c r="A45" s="127" t="s">
        <v>431</v>
      </c>
      <c r="B45" s="127" t="s">
        <v>432</v>
      </c>
      <c r="C45" s="127"/>
      <c r="D45" s="127"/>
      <c r="E45" s="127" t="s">
        <v>186</v>
      </c>
      <c r="F45" s="165">
        <v>42413</v>
      </c>
      <c r="G45" s="127"/>
      <c r="H45" s="127"/>
      <c r="I45" s="151">
        <v>1400</v>
      </c>
      <c r="J45" s="127"/>
      <c r="K45" s="151">
        <f t="shared" si="0"/>
        <v>1400</v>
      </c>
      <c r="L45" s="151"/>
      <c r="M45" s="151"/>
      <c r="N45" s="151"/>
      <c r="O45" s="163"/>
      <c r="P45" s="120">
        <f t="shared" si="10"/>
        <v>1400</v>
      </c>
      <c r="Q45" s="118"/>
      <c r="R45" s="137"/>
      <c r="S45" s="118"/>
      <c r="T45" s="118"/>
      <c r="U45" s="118"/>
      <c r="V45" s="118"/>
      <c r="W45" s="124"/>
      <c r="X45" s="124"/>
      <c r="Y45" s="115"/>
      <c r="Z45" s="115"/>
      <c r="AA45" s="120">
        <f t="shared" si="7"/>
        <v>1400</v>
      </c>
      <c r="AB45" s="124">
        <f t="shared" si="6"/>
        <v>0</v>
      </c>
      <c r="AC45" s="120">
        <f t="shared" si="3"/>
        <v>1400</v>
      </c>
      <c r="AD45" s="124">
        <f t="shared" si="4"/>
        <v>140</v>
      </c>
      <c r="AE45" s="104">
        <v>10.23</v>
      </c>
      <c r="AF45" s="106">
        <f t="shared" si="5"/>
        <v>1550.23</v>
      </c>
      <c r="AG45" s="107"/>
      <c r="AH45" s="108"/>
      <c r="AI45" s="107"/>
      <c r="AJ45" s="107"/>
      <c r="AK45" s="108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</row>
    <row r="46" spans="1:53" x14ac:dyDescent="0.25">
      <c r="A46" s="112" t="s">
        <v>381</v>
      </c>
      <c r="B46" s="92" t="s">
        <v>433</v>
      </c>
      <c r="C46" s="92"/>
      <c r="D46" s="92" t="s">
        <v>101</v>
      </c>
      <c r="E46" s="92" t="s">
        <v>190</v>
      </c>
      <c r="F46" s="92"/>
      <c r="G46" s="93"/>
      <c r="H46" s="93"/>
      <c r="I46" s="95">
        <v>608.16</v>
      </c>
      <c r="J46" s="93"/>
      <c r="K46" s="95">
        <f t="shared" si="0"/>
        <v>608.16</v>
      </c>
      <c r="L46" s="95">
        <v>309.60000000000002</v>
      </c>
      <c r="M46" s="96"/>
      <c r="N46" s="96"/>
      <c r="O46" s="97"/>
      <c r="P46" s="98">
        <f t="shared" si="10"/>
        <v>917.76</v>
      </c>
      <c r="Q46" s="141"/>
      <c r="R46" s="137"/>
      <c r="S46" s="197">
        <v>100</v>
      </c>
      <c r="T46" s="197">
        <f>P46*4.9%</f>
        <v>44.970240000000004</v>
      </c>
      <c r="U46" s="197">
        <f>P46*1%</f>
        <v>9.1776</v>
      </c>
      <c r="V46" s="137"/>
      <c r="W46" s="142"/>
      <c r="X46" s="142"/>
      <c r="Y46" s="102"/>
      <c r="Z46" s="102">
        <v>0</v>
      </c>
      <c r="AA46" s="98">
        <f t="shared" si="7"/>
        <v>763.61216000000002</v>
      </c>
      <c r="AB46" s="104">
        <f t="shared" si="6"/>
        <v>0</v>
      </c>
      <c r="AC46" s="98">
        <f t="shared" si="3"/>
        <v>763.61216000000002</v>
      </c>
      <c r="AD46" s="105">
        <f t="shared" si="4"/>
        <v>91.77600000000001</v>
      </c>
      <c r="AE46" s="104">
        <v>10.23</v>
      </c>
      <c r="AF46" s="106">
        <f t="shared" si="5"/>
        <v>1019.7660000000001</v>
      </c>
      <c r="AG46" s="107"/>
      <c r="AH46" s="108"/>
      <c r="AI46" s="107"/>
      <c r="AJ46" s="107"/>
      <c r="AK46" s="108"/>
      <c r="AL46" s="107"/>
      <c r="AM46" s="107"/>
    </row>
    <row r="47" spans="1:53" s="125" customFormat="1" x14ac:dyDescent="0.25">
      <c r="A47" s="115" t="s">
        <v>375</v>
      </c>
      <c r="B47" s="115" t="s">
        <v>621</v>
      </c>
      <c r="C47" s="115"/>
      <c r="D47" s="115" t="s">
        <v>622</v>
      </c>
      <c r="E47" s="115" t="s">
        <v>190</v>
      </c>
      <c r="F47" s="115"/>
      <c r="G47" s="115"/>
      <c r="H47" s="115"/>
      <c r="I47" s="118">
        <v>608.16</v>
      </c>
      <c r="J47" s="115"/>
      <c r="K47" s="118">
        <f t="shared" si="0"/>
        <v>608.16</v>
      </c>
      <c r="L47" s="118">
        <v>801.03</v>
      </c>
      <c r="M47" s="118"/>
      <c r="N47" s="118"/>
      <c r="O47" s="119"/>
      <c r="P47" s="120">
        <f t="shared" si="10"/>
        <v>1409.19</v>
      </c>
      <c r="Q47" s="118"/>
      <c r="R47" s="118"/>
      <c r="S47" s="118"/>
      <c r="T47" s="118"/>
      <c r="U47" s="118"/>
      <c r="V47" s="118"/>
      <c r="W47" s="124"/>
      <c r="X47" s="124"/>
      <c r="Y47" s="115"/>
      <c r="Z47" s="115"/>
      <c r="AA47" s="120">
        <f t="shared" si="7"/>
        <v>1409.19</v>
      </c>
      <c r="AB47" s="124">
        <f t="shared" si="6"/>
        <v>0</v>
      </c>
      <c r="AC47" s="120">
        <f t="shared" si="3"/>
        <v>1409.19</v>
      </c>
      <c r="AD47" s="124">
        <f t="shared" si="4"/>
        <v>140.91900000000001</v>
      </c>
      <c r="AE47" s="124">
        <v>10.23</v>
      </c>
      <c r="AF47" s="120">
        <f t="shared" si="5"/>
        <v>1560.3390000000002</v>
      </c>
      <c r="AH47" s="126"/>
      <c r="AK47" s="126"/>
      <c r="AL47" s="125">
        <v>2948910731</v>
      </c>
      <c r="AM47" s="202" t="s">
        <v>623</v>
      </c>
    </row>
    <row r="48" spans="1:53" x14ac:dyDescent="0.25">
      <c r="A48" s="112" t="s">
        <v>381</v>
      </c>
      <c r="B48" s="92" t="s">
        <v>434</v>
      </c>
      <c r="C48" s="92"/>
      <c r="D48" s="92" t="s">
        <v>103</v>
      </c>
      <c r="E48" s="92" t="s">
        <v>192</v>
      </c>
      <c r="F48" s="92"/>
      <c r="G48" s="93"/>
      <c r="H48" s="93"/>
      <c r="I48" s="95">
        <v>608.16</v>
      </c>
      <c r="J48" s="93"/>
      <c r="K48" s="95">
        <f t="shared" si="0"/>
        <v>608.16</v>
      </c>
      <c r="L48" s="95">
        <v>1886.62</v>
      </c>
      <c r="M48" s="96"/>
      <c r="N48" s="96"/>
      <c r="O48" s="97"/>
      <c r="P48" s="98">
        <f t="shared" si="10"/>
        <v>2494.7799999999997</v>
      </c>
      <c r="Q48" s="141"/>
      <c r="R48" s="137"/>
      <c r="S48" s="137"/>
      <c r="T48" s="197">
        <f>P48*4.9%</f>
        <v>122.24422</v>
      </c>
      <c r="U48" s="197">
        <f>P48*1%</f>
        <v>24.947799999999997</v>
      </c>
      <c r="V48" s="137"/>
      <c r="W48" s="142"/>
      <c r="X48" s="142"/>
      <c r="Y48" s="102"/>
      <c r="Z48" s="102">
        <v>0</v>
      </c>
      <c r="AA48" s="98">
        <f t="shared" si="7"/>
        <v>2347.5879799999998</v>
      </c>
      <c r="AB48" s="104">
        <f t="shared" si="6"/>
        <v>0</v>
      </c>
      <c r="AC48" s="98">
        <f t="shared" si="3"/>
        <v>2347.5879799999998</v>
      </c>
      <c r="AD48" s="105">
        <f t="shared" si="4"/>
        <v>249.47799999999998</v>
      </c>
      <c r="AE48" s="104">
        <v>10.23</v>
      </c>
      <c r="AF48" s="106">
        <f t="shared" si="5"/>
        <v>2754.4879999999998</v>
      </c>
      <c r="AG48" s="107"/>
      <c r="AH48" s="108"/>
      <c r="AI48" s="107"/>
      <c r="AJ48" s="107"/>
      <c r="AK48" s="108"/>
      <c r="AL48" s="107"/>
      <c r="AM48" s="107"/>
    </row>
    <row r="49" spans="1:53" x14ac:dyDescent="0.25">
      <c r="A49" s="112" t="s">
        <v>383</v>
      </c>
      <c r="B49" s="92" t="s">
        <v>435</v>
      </c>
      <c r="C49" s="92"/>
      <c r="D49" s="92" t="s">
        <v>105</v>
      </c>
      <c r="E49" s="92" t="s">
        <v>177</v>
      </c>
      <c r="F49" s="92"/>
      <c r="G49" s="92"/>
      <c r="H49" s="92"/>
      <c r="I49" s="95">
        <v>739.23</v>
      </c>
      <c r="J49" s="92"/>
      <c r="K49" s="95">
        <f t="shared" si="0"/>
        <v>739.23</v>
      </c>
      <c r="L49" s="95">
        <v>2866.06</v>
      </c>
      <c r="M49" s="95"/>
      <c r="N49" s="95"/>
      <c r="O49" s="97"/>
      <c r="P49" s="98">
        <f t="shared" si="10"/>
        <v>3605.29</v>
      </c>
      <c r="Q49" s="141"/>
      <c r="R49" s="137"/>
      <c r="S49" s="137">
        <v>0</v>
      </c>
      <c r="T49" s="137"/>
      <c r="U49" s="137"/>
      <c r="V49" s="137"/>
      <c r="W49" s="142"/>
      <c r="X49" s="142"/>
      <c r="Y49" s="102"/>
      <c r="Z49" s="102">
        <v>0</v>
      </c>
      <c r="AA49" s="98">
        <f t="shared" si="7"/>
        <v>3605.29</v>
      </c>
      <c r="AB49" s="104">
        <f t="shared" si="6"/>
        <v>0</v>
      </c>
      <c r="AC49" s="98">
        <f t="shared" si="3"/>
        <v>3605.29</v>
      </c>
      <c r="AD49" s="105">
        <f t="shared" si="4"/>
        <v>360.529</v>
      </c>
      <c r="AE49" s="104">
        <v>10.23</v>
      </c>
      <c r="AF49" s="106">
        <f t="shared" si="5"/>
        <v>3976.049</v>
      </c>
      <c r="AG49" s="107"/>
      <c r="AH49" s="108"/>
      <c r="AI49" s="107"/>
      <c r="AJ49" s="107"/>
      <c r="AK49" s="108"/>
      <c r="AL49" s="107"/>
      <c r="AM49" s="107"/>
    </row>
    <row r="50" spans="1:53" s="125" customFormat="1" x14ac:dyDescent="0.25">
      <c r="A50" s="112" t="s">
        <v>381</v>
      </c>
      <c r="B50" s="127" t="s">
        <v>436</v>
      </c>
      <c r="C50" s="127"/>
      <c r="D50" s="127"/>
      <c r="E50" s="127" t="s">
        <v>177</v>
      </c>
      <c r="F50" s="165">
        <v>42416</v>
      </c>
      <c r="G50" s="127"/>
      <c r="H50" s="127"/>
      <c r="I50" s="151">
        <v>739.23</v>
      </c>
      <c r="J50" s="127"/>
      <c r="K50" s="151">
        <f t="shared" si="0"/>
        <v>739.23</v>
      </c>
      <c r="L50" s="151">
        <v>2438.48</v>
      </c>
      <c r="M50" s="151"/>
      <c r="N50" s="151"/>
      <c r="O50" s="163"/>
      <c r="P50" s="120">
        <f t="shared" si="10"/>
        <v>3177.71</v>
      </c>
      <c r="Q50" s="118"/>
      <c r="R50" s="137"/>
      <c r="S50" s="118"/>
      <c r="T50" s="118"/>
      <c r="U50" s="118">
        <f>P50*1%</f>
        <v>31.777100000000001</v>
      </c>
      <c r="V50" s="118"/>
      <c r="W50" s="124"/>
      <c r="X50" s="124"/>
      <c r="Y50" s="115"/>
      <c r="Z50" s="115"/>
      <c r="AA50" s="120">
        <f t="shared" si="7"/>
        <v>3145.9329000000002</v>
      </c>
      <c r="AB50" s="124">
        <f t="shared" si="6"/>
        <v>0</v>
      </c>
      <c r="AC50" s="120">
        <f t="shared" si="3"/>
        <v>3145.9329000000002</v>
      </c>
      <c r="AD50" s="124">
        <f t="shared" si="4"/>
        <v>317.77100000000002</v>
      </c>
      <c r="AE50" s="104">
        <v>10.23</v>
      </c>
      <c r="AF50" s="106">
        <f t="shared" si="5"/>
        <v>3505.7110000000002</v>
      </c>
      <c r="AG50" s="107"/>
      <c r="AH50" s="108"/>
      <c r="AI50" s="107"/>
      <c r="AJ50" s="107"/>
      <c r="AK50" s="108"/>
      <c r="AL50" s="107">
        <v>1296641458</v>
      </c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</row>
    <row r="51" spans="1:53" x14ac:dyDescent="0.25">
      <c r="A51" s="92" t="s">
        <v>377</v>
      </c>
      <c r="B51" s="92" t="s">
        <v>437</v>
      </c>
      <c r="C51" s="92" t="s">
        <v>31</v>
      </c>
      <c r="D51" s="92" t="s">
        <v>107</v>
      </c>
      <c r="E51" s="92" t="s">
        <v>189</v>
      </c>
      <c r="F51" s="92"/>
      <c r="G51" s="93"/>
      <c r="H51" s="93"/>
      <c r="I51" s="95">
        <v>513.33000000000004</v>
      </c>
      <c r="J51" s="93"/>
      <c r="K51" s="95">
        <f t="shared" si="0"/>
        <v>513.33000000000004</v>
      </c>
      <c r="L51" s="95">
        <f>513.33+20087.68</f>
        <v>20601.010000000002</v>
      </c>
      <c r="M51" s="96"/>
      <c r="N51" s="96"/>
      <c r="O51" s="97"/>
      <c r="P51" s="98">
        <f t="shared" si="10"/>
        <v>21114.340000000004</v>
      </c>
      <c r="Q51" s="141"/>
      <c r="R51" s="137">
        <v>58.91</v>
      </c>
      <c r="S51" s="137">
        <v>0</v>
      </c>
      <c r="T51" s="137"/>
      <c r="U51" s="137"/>
      <c r="V51" s="137"/>
      <c r="W51" s="142"/>
      <c r="X51" s="142"/>
      <c r="Y51" s="102"/>
      <c r="Z51" s="102">
        <v>0</v>
      </c>
      <c r="AA51" s="98">
        <f t="shared" si="7"/>
        <v>21055.430000000004</v>
      </c>
      <c r="AB51" s="104">
        <f t="shared" si="6"/>
        <v>2111.4340000000007</v>
      </c>
      <c r="AC51" s="98">
        <f t="shared" si="3"/>
        <v>18943.996000000003</v>
      </c>
      <c r="AD51" s="105">
        <f t="shared" si="4"/>
        <v>0</v>
      </c>
      <c r="AE51" s="104">
        <v>10.23</v>
      </c>
      <c r="AF51" s="106">
        <f t="shared" si="5"/>
        <v>21124.570000000003</v>
      </c>
      <c r="AG51" s="107"/>
      <c r="AH51" s="108"/>
      <c r="AI51" s="107"/>
      <c r="AJ51" s="107"/>
      <c r="AK51" s="108"/>
      <c r="AL51" s="107"/>
      <c r="AM51" s="107"/>
    </row>
    <row r="52" spans="1:53" x14ac:dyDescent="0.25">
      <c r="A52" s="92" t="s">
        <v>377</v>
      </c>
      <c r="B52" s="92" t="s">
        <v>438</v>
      </c>
      <c r="C52" s="92" t="s">
        <v>32</v>
      </c>
      <c r="D52" s="92">
        <v>30</v>
      </c>
      <c r="E52" s="92" t="s">
        <v>189</v>
      </c>
      <c r="F52" s="92"/>
      <c r="G52" s="93"/>
      <c r="H52" s="93"/>
      <c r="I52" s="151">
        <v>513.33000000000004</v>
      </c>
      <c r="J52" s="93"/>
      <c r="K52" s="95">
        <f t="shared" si="0"/>
        <v>513.33000000000004</v>
      </c>
      <c r="L52" s="95">
        <f>148.48+9126.81</f>
        <v>9275.2899999999991</v>
      </c>
      <c r="M52" s="96"/>
      <c r="N52" s="96"/>
      <c r="O52" s="97"/>
      <c r="P52" s="98">
        <f t="shared" si="10"/>
        <v>9788.619999999999</v>
      </c>
      <c r="Q52" s="141"/>
      <c r="R52" s="137"/>
      <c r="S52" s="137">
        <v>0</v>
      </c>
      <c r="T52" s="137"/>
      <c r="U52" s="137"/>
      <c r="V52" s="137"/>
      <c r="W52" s="142"/>
      <c r="X52" s="142"/>
      <c r="Y52" s="102"/>
      <c r="Z52" s="102">
        <v>0</v>
      </c>
      <c r="AA52" s="98">
        <f t="shared" si="7"/>
        <v>9788.619999999999</v>
      </c>
      <c r="AB52" s="104">
        <f t="shared" si="6"/>
        <v>978.86199999999997</v>
      </c>
      <c r="AC52" s="98">
        <f t="shared" si="3"/>
        <v>8809.7579999999998</v>
      </c>
      <c r="AD52" s="105">
        <f t="shared" si="4"/>
        <v>0</v>
      </c>
      <c r="AE52" s="104">
        <v>10.23</v>
      </c>
      <c r="AF52" s="106">
        <f t="shared" si="5"/>
        <v>9798.8499999999985</v>
      </c>
      <c r="AG52" s="107"/>
      <c r="AH52" s="108"/>
      <c r="AI52" s="107"/>
      <c r="AJ52" s="107"/>
      <c r="AK52" s="108"/>
      <c r="AL52" s="107"/>
      <c r="AM52" s="107"/>
    </row>
    <row r="53" spans="1:53" x14ac:dyDescent="0.25">
      <c r="A53" s="92" t="s">
        <v>377</v>
      </c>
      <c r="B53" s="92" t="s">
        <v>439</v>
      </c>
      <c r="C53" s="92" t="s">
        <v>30</v>
      </c>
      <c r="D53" s="92" t="s">
        <v>196</v>
      </c>
      <c r="E53" s="92" t="s">
        <v>189</v>
      </c>
      <c r="F53" s="128">
        <v>42408</v>
      </c>
      <c r="G53" s="93"/>
      <c r="H53" s="93"/>
      <c r="I53" s="95">
        <v>513.33000000000004</v>
      </c>
      <c r="J53" s="93">
        <v>653.33000000000004</v>
      </c>
      <c r="K53" s="95">
        <f t="shared" si="0"/>
        <v>1166.6600000000001</v>
      </c>
      <c r="L53" s="95">
        <v>-653.33000000000004</v>
      </c>
      <c r="M53" s="96"/>
      <c r="N53" s="96"/>
      <c r="O53" s="97"/>
      <c r="P53" s="98">
        <f t="shared" si="10"/>
        <v>513.33000000000004</v>
      </c>
      <c r="Q53" s="141"/>
      <c r="R53" s="137"/>
      <c r="S53" s="137">
        <v>0</v>
      </c>
      <c r="T53" s="137"/>
      <c r="U53" s="137"/>
      <c r="V53" s="137"/>
      <c r="W53" s="142"/>
      <c r="X53" s="142"/>
      <c r="Y53" s="199"/>
      <c r="Z53" s="199">
        <f>+P53*0.25</f>
        <v>128.33250000000001</v>
      </c>
      <c r="AA53" s="98">
        <f t="shared" si="7"/>
        <v>384.99750000000006</v>
      </c>
      <c r="AB53" s="104">
        <f t="shared" si="6"/>
        <v>0</v>
      </c>
      <c r="AC53" s="98">
        <f t="shared" si="3"/>
        <v>384.99750000000006</v>
      </c>
      <c r="AD53" s="105">
        <f t="shared" si="4"/>
        <v>51.333000000000006</v>
      </c>
      <c r="AE53" s="104">
        <v>10.23</v>
      </c>
      <c r="AF53" s="106">
        <f t="shared" si="5"/>
        <v>574.89300000000003</v>
      </c>
      <c r="AG53" s="107"/>
      <c r="AH53" s="108"/>
      <c r="AI53" s="107"/>
      <c r="AJ53" s="107"/>
      <c r="AK53" s="108"/>
      <c r="AL53" s="107"/>
      <c r="AM53" s="107">
        <v>129.37</v>
      </c>
      <c r="AN53" s="107" t="s">
        <v>624</v>
      </c>
    </row>
    <row r="54" spans="1:53" x14ac:dyDescent="0.25">
      <c r="A54" s="92" t="s">
        <v>389</v>
      </c>
      <c r="B54" s="92" t="s">
        <v>440</v>
      </c>
      <c r="C54" s="92" t="s">
        <v>391</v>
      </c>
      <c r="D54" s="92" t="s">
        <v>111</v>
      </c>
      <c r="E54" s="92" t="s">
        <v>392</v>
      </c>
      <c r="F54" s="128">
        <v>42352</v>
      </c>
      <c r="G54" s="93"/>
      <c r="H54" s="93"/>
      <c r="I54" s="95">
        <v>513.33000000000004</v>
      </c>
      <c r="J54" s="93">
        <v>653.33000000000004</v>
      </c>
      <c r="K54" s="95">
        <f t="shared" si="0"/>
        <v>1166.6600000000001</v>
      </c>
      <c r="L54" s="95"/>
      <c r="M54" s="96"/>
      <c r="N54" s="96"/>
      <c r="O54" s="97"/>
      <c r="P54" s="98">
        <f t="shared" si="10"/>
        <v>1166.6600000000001</v>
      </c>
      <c r="Q54" s="141"/>
      <c r="R54" s="137"/>
      <c r="S54" s="137">
        <v>0</v>
      </c>
      <c r="T54" s="137"/>
      <c r="U54" s="137"/>
      <c r="V54" s="137"/>
      <c r="W54" s="142"/>
      <c r="X54" s="142"/>
      <c r="Y54" s="102"/>
      <c r="Z54" s="102">
        <v>0</v>
      </c>
      <c r="AA54" s="98">
        <f t="shared" si="7"/>
        <v>1166.6600000000001</v>
      </c>
      <c r="AB54" s="104">
        <f t="shared" si="6"/>
        <v>0</v>
      </c>
      <c r="AC54" s="98">
        <f t="shared" si="3"/>
        <v>1166.6600000000001</v>
      </c>
      <c r="AD54" s="105">
        <f t="shared" si="4"/>
        <v>116.66600000000001</v>
      </c>
      <c r="AE54" s="104">
        <v>10.23</v>
      </c>
      <c r="AF54" s="106">
        <f t="shared" si="5"/>
        <v>1293.556</v>
      </c>
      <c r="AG54" s="107"/>
      <c r="AH54" s="108"/>
      <c r="AI54" s="107"/>
      <c r="AJ54" s="107"/>
      <c r="AK54" s="108"/>
      <c r="AL54" s="107"/>
      <c r="AM54" s="107"/>
    </row>
    <row r="55" spans="1:53" s="160" customFormat="1" x14ac:dyDescent="0.25">
      <c r="A55" s="155" t="s">
        <v>377</v>
      </c>
      <c r="B55" s="155" t="s">
        <v>625</v>
      </c>
      <c r="C55" s="155"/>
      <c r="D55" s="155"/>
      <c r="E55" s="155" t="s">
        <v>189</v>
      </c>
      <c r="F55" s="168">
        <v>42055</v>
      </c>
      <c r="G55" s="155"/>
      <c r="H55" s="155"/>
      <c r="I55" s="156">
        <v>513.33000000000004</v>
      </c>
      <c r="J55" s="155">
        <v>653.33000000000004</v>
      </c>
      <c r="K55" s="156">
        <f t="shared" si="0"/>
        <v>1166.6600000000001</v>
      </c>
      <c r="L55" s="156"/>
      <c r="M55" s="156"/>
      <c r="N55" s="156"/>
      <c r="O55" s="157"/>
      <c r="P55" s="158">
        <f t="shared" si="10"/>
        <v>1166.6600000000001</v>
      </c>
      <c r="Q55" s="156"/>
      <c r="R55" s="156"/>
      <c r="S55" s="156"/>
      <c r="T55" s="156"/>
      <c r="U55" s="156"/>
      <c r="V55" s="156"/>
      <c r="W55" s="159"/>
      <c r="X55" s="159"/>
      <c r="Y55" s="155"/>
      <c r="Z55" s="155"/>
      <c r="AA55" s="158">
        <f t="shared" si="7"/>
        <v>1166.6600000000001</v>
      </c>
      <c r="AB55" s="159">
        <f t="shared" si="6"/>
        <v>0</v>
      </c>
      <c r="AC55" s="158">
        <f t="shared" si="3"/>
        <v>1166.6600000000001</v>
      </c>
      <c r="AD55" s="159">
        <f t="shared" si="4"/>
        <v>116.66600000000001</v>
      </c>
      <c r="AE55" s="159">
        <v>10.23</v>
      </c>
      <c r="AF55" s="158">
        <f t="shared" si="5"/>
        <v>1293.556</v>
      </c>
      <c r="AH55" s="161"/>
      <c r="AK55" s="161"/>
      <c r="AL55" s="160">
        <v>1905307865</v>
      </c>
      <c r="AM55" s="198" t="s">
        <v>626</v>
      </c>
    </row>
    <row r="56" spans="1:53" x14ac:dyDescent="0.25">
      <c r="A56" s="92" t="s">
        <v>377</v>
      </c>
      <c r="B56" s="92" t="s">
        <v>627</v>
      </c>
      <c r="C56" s="92" t="s">
        <v>32</v>
      </c>
      <c r="D56" s="92" t="s">
        <v>113</v>
      </c>
      <c r="E56" s="92" t="s">
        <v>189</v>
      </c>
      <c r="F56" s="92"/>
      <c r="G56" s="93"/>
      <c r="H56" s="93"/>
      <c r="I56" s="95">
        <v>513.33000000000004</v>
      </c>
      <c r="J56" s="93"/>
      <c r="K56" s="95">
        <f t="shared" si="0"/>
        <v>513.33000000000004</v>
      </c>
      <c r="L56" s="95">
        <v>513.33000000000004</v>
      </c>
      <c r="M56" s="96"/>
      <c r="N56" s="96"/>
      <c r="O56" s="97"/>
      <c r="P56" s="98">
        <f t="shared" si="10"/>
        <v>1026.6600000000001</v>
      </c>
      <c r="Q56" s="141"/>
      <c r="R56" s="137"/>
      <c r="S56" s="137">
        <v>0</v>
      </c>
      <c r="T56" s="137"/>
      <c r="U56" s="137"/>
      <c r="V56" s="137"/>
      <c r="W56" s="142"/>
      <c r="X56" s="142"/>
      <c r="Y56" s="102"/>
      <c r="Z56" s="102">
        <v>86.56</v>
      </c>
      <c r="AA56" s="98">
        <f t="shared" si="7"/>
        <v>940.10000000000014</v>
      </c>
      <c r="AB56" s="104">
        <f t="shared" si="6"/>
        <v>0</v>
      </c>
      <c r="AC56" s="98">
        <f t="shared" si="3"/>
        <v>940.10000000000014</v>
      </c>
      <c r="AD56" s="105">
        <f t="shared" si="4"/>
        <v>102.66600000000001</v>
      </c>
      <c r="AE56" s="104">
        <v>10.23</v>
      </c>
      <c r="AF56" s="106">
        <f t="shared" si="5"/>
        <v>1139.556</v>
      </c>
      <c r="AG56" s="107"/>
      <c r="AH56" s="108"/>
      <c r="AI56" s="107"/>
      <c r="AJ56" s="107"/>
      <c r="AK56" s="108"/>
      <c r="AL56" s="107"/>
      <c r="AM56" s="107"/>
    </row>
    <row r="57" spans="1:53" x14ac:dyDescent="0.25">
      <c r="A57" s="92" t="s">
        <v>381</v>
      </c>
      <c r="B57" s="92" t="s">
        <v>442</v>
      </c>
      <c r="C57" s="92"/>
      <c r="D57" s="92" t="s">
        <v>115</v>
      </c>
      <c r="E57" s="92" t="s">
        <v>443</v>
      </c>
      <c r="F57" s="92"/>
      <c r="G57" s="93"/>
      <c r="H57" s="93"/>
      <c r="I57" s="95">
        <v>1100</v>
      </c>
      <c r="J57" s="93"/>
      <c r="K57" s="95">
        <f t="shared" si="0"/>
        <v>1100</v>
      </c>
      <c r="L57" s="95">
        <v>307.39999999999998</v>
      </c>
      <c r="M57" s="96"/>
      <c r="N57" s="96"/>
      <c r="O57" s="97"/>
      <c r="P57" s="98">
        <f t="shared" si="10"/>
        <v>1407.4</v>
      </c>
      <c r="Q57" s="141"/>
      <c r="R57" s="137"/>
      <c r="S57" s="197">
        <f>+P57*1%</f>
        <v>14.074000000000002</v>
      </c>
      <c r="T57" s="197">
        <f>+P57*4.9%</f>
        <v>68.962600000000009</v>
      </c>
      <c r="U57" s="137"/>
      <c r="V57" s="137"/>
      <c r="W57" s="142"/>
      <c r="X57" s="142"/>
      <c r="Y57" s="102"/>
      <c r="Z57" s="102">
        <v>0</v>
      </c>
      <c r="AA57" s="98">
        <f t="shared" si="7"/>
        <v>1324.3634000000002</v>
      </c>
      <c r="AB57" s="104">
        <f t="shared" si="6"/>
        <v>0</v>
      </c>
      <c r="AC57" s="98">
        <f t="shared" si="3"/>
        <v>1324.3634000000002</v>
      </c>
      <c r="AD57" s="105">
        <f t="shared" si="4"/>
        <v>140.74</v>
      </c>
      <c r="AE57" s="104">
        <v>10.23</v>
      </c>
      <c r="AF57" s="106">
        <f t="shared" si="5"/>
        <v>1558.3700000000001</v>
      </c>
      <c r="AG57" s="107"/>
      <c r="AH57" s="108"/>
      <c r="AI57" s="107"/>
      <c r="AJ57" s="107"/>
      <c r="AK57" s="108"/>
      <c r="AL57" s="107"/>
      <c r="AM57" s="107"/>
    </row>
    <row r="58" spans="1:53" x14ac:dyDescent="0.25">
      <c r="A58" s="112" t="s">
        <v>383</v>
      </c>
      <c r="B58" s="92" t="s">
        <v>444</v>
      </c>
      <c r="C58" s="92"/>
      <c r="D58" s="92" t="s">
        <v>117</v>
      </c>
      <c r="E58" s="92" t="s">
        <v>177</v>
      </c>
      <c r="F58" s="92"/>
      <c r="G58" s="92"/>
      <c r="H58" s="92"/>
      <c r="I58" s="95">
        <v>739.23</v>
      </c>
      <c r="J58" s="92"/>
      <c r="K58" s="95">
        <f t="shared" si="0"/>
        <v>739.23</v>
      </c>
      <c r="L58" s="95"/>
      <c r="M58" s="95"/>
      <c r="N58" s="95"/>
      <c r="O58" s="97"/>
      <c r="P58" s="98">
        <f t="shared" si="10"/>
        <v>739.23</v>
      </c>
      <c r="Q58" s="141"/>
      <c r="R58" s="137"/>
      <c r="S58" s="137">
        <v>0</v>
      </c>
      <c r="T58" s="137"/>
      <c r="U58" s="137"/>
      <c r="V58" s="137"/>
      <c r="W58" s="142"/>
      <c r="X58" s="142"/>
      <c r="Y58" s="102"/>
      <c r="Z58" s="102">
        <v>0</v>
      </c>
      <c r="AA58" s="98">
        <f t="shared" si="7"/>
        <v>739.23</v>
      </c>
      <c r="AB58" s="104">
        <f t="shared" si="6"/>
        <v>0</v>
      </c>
      <c r="AC58" s="98">
        <f t="shared" si="3"/>
        <v>739.23</v>
      </c>
      <c r="AD58" s="105">
        <f t="shared" si="4"/>
        <v>73.923000000000002</v>
      </c>
      <c r="AE58" s="104">
        <v>10.23</v>
      </c>
      <c r="AF58" s="106">
        <f t="shared" si="5"/>
        <v>823.38300000000004</v>
      </c>
      <c r="AG58" s="107"/>
      <c r="AH58" s="108"/>
      <c r="AI58" s="107"/>
      <c r="AJ58" s="107"/>
      <c r="AK58" s="108"/>
      <c r="AL58" s="107"/>
      <c r="AM58" s="107"/>
    </row>
    <row r="59" spans="1:53" x14ac:dyDescent="0.25">
      <c r="A59" s="112" t="s">
        <v>381</v>
      </c>
      <c r="B59" s="92" t="s">
        <v>445</v>
      </c>
      <c r="C59" s="92"/>
      <c r="D59" s="92" t="s">
        <v>119</v>
      </c>
      <c r="E59" s="92" t="s">
        <v>193</v>
      </c>
      <c r="F59" s="92"/>
      <c r="G59" s="93"/>
      <c r="H59" s="93"/>
      <c r="I59" s="95">
        <v>608.16</v>
      </c>
      <c r="J59" s="93"/>
      <c r="K59" s="95">
        <f t="shared" si="0"/>
        <v>608.16</v>
      </c>
      <c r="L59" s="95"/>
      <c r="M59" s="96"/>
      <c r="N59" s="96"/>
      <c r="O59" s="97"/>
      <c r="P59" s="98">
        <f t="shared" si="10"/>
        <v>608.16</v>
      </c>
      <c r="Q59" s="141"/>
      <c r="R59" s="137"/>
      <c r="S59" s="137"/>
      <c r="T59" s="197">
        <f>P59*4.9%</f>
        <v>29.79984</v>
      </c>
      <c r="U59" s="197">
        <f>P59*1%</f>
        <v>6.0815999999999999</v>
      </c>
      <c r="V59" s="137"/>
      <c r="W59" s="142"/>
      <c r="X59" s="142"/>
      <c r="Y59" s="102"/>
      <c r="Z59" s="102">
        <v>0</v>
      </c>
      <c r="AA59" s="98">
        <f t="shared" si="7"/>
        <v>572.27855999999997</v>
      </c>
      <c r="AB59" s="104">
        <f t="shared" si="6"/>
        <v>0</v>
      </c>
      <c r="AC59" s="98">
        <f t="shared" si="3"/>
        <v>572.27855999999997</v>
      </c>
      <c r="AD59" s="105">
        <f t="shared" si="4"/>
        <v>60.816000000000003</v>
      </c>
      <c r="AE59" s="104">
        <v>10.23</v>
      </c>
      <c r="AF59" s="106">
        <f t="shared" si="5"/>
        <v>679.20600000000002</v>
      </c>
      <c r="AG59" s="107"/>
      <c r="AH59" s="108"/>
      <c r="AI59" s="107"/>
      <c r="AJ59" s="107"/>
      <c r="AK59" s="108"/>
      <c r="AL59" s="107"/>
      <c r="AM59" s="107"/>
    </row>
    <row r="60" spans="1:53" x14ac:dyDescent="0.25">
      <c r="A60" s="112" t="s">
        <v>381</v>
      </c>
      <c r="B60" s="92" t="s">
        <v>446</v>
      </c>
      <c r="C60" s="92"/>
      <c r="D60" s="92" t="s">
        <v>121</v>
      </c>
      <c r="E60" s="92" t="s">
        <v>194</v>
      </c>
      <c r="F60" s="92"/>
      <c r="G60" s="93"/>
      <c r="H60" s="93"/>
      <c r="I60" s="95">
        <v>511.28</v>
      </c>
      <c r="J60" s="93"/>
      <c r="K60" s="95">
        <f t="shared" si="0"/>
        <v>511.28</v>
      </c>
      <c r="L60" s="95">
        <v>1441.8</v>
      </c>
      <c r="M60" s="96"/>
      <c r="N60" s="96"/>
      <c r="O60" s="97"/>
      <c r="P60" s="98">
        <f t="shared" si="10"/>
        <v>1953.08</v>
      </c>
      <c r="Q60" s="141"/>
      <c r="R60" s="137"/>
      <c r="S60" s="197">
        <v>100</v>
      </c>
      <c r="T60" s="197">
        <f>P60*4.9%</f>
        <v>95.700919999999996</v>
      </c>
      <c r="U60" s="197">
        <f>P60*1%</f>
        <v>19.530799999999999</v>
      </c>
      <c r="V60" s="137"/>
      <c r="W60" s="142"/>
      <c r="X60" s="142"/>
      <c r="Y60" s="102"/>
      <c r="Z60" s="102">
        <v>0</v>
      </c>
      <c r="AA60" s="98">
        <f t="shared" si="7"/>
        <v>1737.8482799999999</v>
      </c>
      <c r="AB60" s="104">
        <f t="shared" si="6"/>
        <v>0</v>
      </c>
      <c r="AC60" s="98">
        <f t="shared" si="3"/>
        <v>1737.8482799999999</v>
      </c>
      <c r="AD60" s="105">
        <f t="shared" si="4"/>
        <v>195.30799999999999</v>
      </c>
      <c r="AE60" s="104">
        <v>10.23</v>
      </c>
      <c r="AF60" s="106">
        <f t="shared" si="5"/>
        <v>2158.6179999999999</v>
      </c>
      <c r="AG60" s="107"/>
      <c r="AH60" s="108"/>
      <c r="AI60" s="107"/>
      <c r="AJ60" s="107"/>
      <c r="AK60" s="108"/>
      <c r="AL60" s="107"/>
      <c r="AM60" s="107"/>
    </row>
    <row r="61" spans="1:53" x14ac:dyDescent="0.25">
      <c r="A61" s="92" t="s">
        <v>377</v>
      </c>
      <c r="B61" s="92" t="s">
        <v>628</v>
      </c>
      <c r="C61" s="92" t="s">
        <v>31</v>
      </c>
      <c r="D61" s="92" t="s">
        <v>123</v>
      </c>
      <c r="E61" s="92" t="s">
        <v>189</v>
      </c>
      <c r="F61" s="92"/>
      <c r="G61" s="93"/>
      <c r="H61" s="93"/>
      <c r="I61" s="95">
        <v>513.33000000000004</v>
      </c>
      <c r="J61" s="93"/>
      <c r="K61" s="95">
        <f t="shared" si="0"/>
        <v>513.33000000000004</v>
      </c>
      <c r="L61" s="95"/>
      <c r="M61" s="96"/>
      <c r="N61" s="96"/>
      <c r="O61" s="97"/>
      <c r="P61" s="98">
        <f t="shared" si="10"/>
        <v>513.33000000000004</v>
      </c>
      <c r="Q61" s="141"/>
      <c r="R61" s="137"/>
      <c r="S61" s="137">
        <v>0</v>
      </c>
      <c r="T61" s="137"/>
      <c r="U61" s="137"/>
      <c r="V61" s="137"/>
      <c r="W61" s="142"/>
      <c r="X61" s="142"/>
      <c r="Y61" s="102"/>
      <c r="Z61" s="102">
        <v>0</v>
      </c>
      <c r="AA61" s="98">
        <f t="shared" si="7"/>
        <v>513.33000000000004</v>
      </c>
      <c r="AB61" s="104">
        <f t="shared" si="6"/>
        <v>0</v>
      </c>
      <c r="AC61" s="98">
        <f t="shared" si="3"/>
        <v>513.33000000000004</v>
      </c>
      <c r="AD61" s="105">
        <f t="shared" si="4"/>
        <v>51.333000000000006</v>
      </c>
      <c r="AE61" s="104">
        <v>10.23</v>
      </c>
      <c r="AF61" s="106">
        <f t="shared" si="5"/>
        <v>574.89300000000003</v>
      </c>
      <c r="AG61" s="107"/>
      <c r="AH61" s="108"/>
      <c r="AI61" s="107"/>
      <c r="AJ61" s="107"/>
      <c r="AK61" s="108"/>
      <c r="AL61" s="107"/>
      <c r="AM61" s="107"/>
    </row>
    <row r="62" spans="1:53" x14ac:dyDescent="0.25">
      <c r="A62" s="112" t="s">
        <v>383</v>
      </c>
      <c r="B62" s="92" t="s">
        <v>448</v>
      </c>
      <c r="C62" s="92"/>
      <c r="D62" s="92" t="s">
        <v>125</v>
      </c>
      <c r="E62" s="92" t="s">
        <v>449</v>
      </c>
      <c r="F62" s="92"/>
      <c r="G62" s="92"/>
      <c r="H62" s="93"/>
      <c r="I62" s="95">
        <v>739.23</v>
      </c>
      <c r="J62" s="93"/>
      <c r="K62" s="95">
        <f t="shared" si="0"/>
        <v>739.23</v>
      </c>
      <c r="L62" s="95">
        <v>4006.07</v>
      </c>
      <c r="M62" s="132"/>
      <c r="N62" s="96"/>
      <c r="O62" s="97"/>
      <c r="P62" s="98">
        <f t="shared" si="10"/>
        <v>4745.3</v>
      </c>
      <c r="Q62" s="141"/>
      <c r="R62" s="137"/>
      <c r="S62" s="137">
        <v>0</v>
      </c>
      <c r="T62" s="137"/>
      <c r="U62" s="137"/>
      <c r="V62" s="137"/>
      <c r="W62" s="142"/>
      <c r="X62" s="142"/>
      <c r="Y62" s="102"/>
      <c r="Z62" s="102">
        <v>0</v>
      </c>
      <c r="AA62" s="98">
        <f t="shared" si="7"/>
        <v>4745.3</v>
      </c>
      <c r="AB62" s="104">
        <f t="shared" si="6"/>
        <v>474.53000000000003</v>
      </c>
      <c r="AC62" s="98">
        <f t="shared" si="3"/>
        <v>4270.7700000000004</v>
      </c>
      <c r="AD62" s="105">
        <f t="shared" si="4"/>
        <v>0</v>
      </c>
      <c r="AE62" s="104">
        <v>10.23</v>
      </c>
      <c r="AF62" s="106">
        <f t="shared" si="5"/>
        <v>4755.53</v>
      </c>
      <c r="AG62" s="107"/>
      <c r="AH62" s="108"/>
      <c r="AI62" s="107"/>
      <c r="AJ62" s="107"/>
      <c r="AK62" s="108"/>
      <c r="AL62" s="107"/>
      <c r="AM62" s="107"/>
    </row>
    <row r="63" spans="1:53" x14ac:dyDescent="0.25">
      <c r="A63" s="112" t="s">
        <v>383</v>
      </c>
      <c r="B63" s="92" t="s">
        <v>452</v>
      </c>
      <c r="C63" s="92"/>
      <c r="D63" s="92" t="s">
        <v>129</v>
      </c>
      <c r="E63" s="92" t="s">
        <v>177</v>
      </c>
      <c r="F63" s="92"/>
      <c r="G63" s="92"/>
      <c r="H63" s="93"/>
      <c r="I63" s="95">
        <v>739.23</v>
      </c>
      <c r="J63" s="93"/>
      <c r="K63" s="95">
        <f t="shared" si="0"/>
        <v>739.23</v>
      </c>
      <c r="L63" s="95">
        <v>3036.32</v>
      </c>
      <c r="M63" s="96"/>
      <c r="N63" s="96"/>
      <c r="O63" s="97"/>
      <c r="P63" s="98">
        <f t="shared" si="10"/>
        <v>3775.55</v>
      </c>
      <c r="Q63" s="141"/>
      <c r="R63" s="137"/>
      <c r="S63" s="137">
        <v>0</v>
      </c>
      <c r="T63" s="137"/>
      <c r="U63" s="137"/>
      <c r="V63" s="137"/>
      <c r="W63" s="142"/>
      <c r="X63" s="142"/>
      <c r="Y63" s="102"/>
      <c r="Z63" s="102">
        <v>0</v>
      </c>
      <c r="AA63" s="98">
        <f t="shared" si="7"/>
        <v>3775.55</v>
      </c>
      <c r="AB63" s="104">
        <f t="shared" si="6"/>
        <v>0</v>
      </c>
      <c r="AC63" s="98">
        <f t="shared" si="3"/>
        <v>3775.55</v>
      </c>
      <c r="AD63" s="105">
        <f t="shared" si="4"/>
        <v>377.55500000000006</v>
      </c>
      <c r="AE63" s="104">
        <v>10.23</v>
      </c>
      <c r="AF63" s="106">
        <f t="shared" si="5"/>
        <v>4163.335</v>
      </c>
      <c r="AG63" s="107"/>
      <c r="AH63" s="108"/>
      <c r="AI63" s="107"/>
      <c r="AJ63" s="107"/>
      <c r="AK63" s="108"/>
      <c r="AL63" s="107"/>
      <c r="AM63" s="107"/>
    </row>
    <row r="64" spans="1:53" s="160" customFormat="1" x14ac:dyDescent="0.25">
      <c r="A64" s="155" t="s">
        <v>383</v>
      </c>
      <c r="B64" s="155" t="s">
        <v>629</v>
      </c>
      <c r="C64" s="155"/>
      <c r="D64" s="155"/>
      <c r="E64" s="155" t="s">
        <v>177</v>
      </c>
      <c r="F64" s="168">
        <v>42422</v>
      </c>
      <c r="G64" s="155"/>
      <c r="H64" s="155"/>
      <c r="I64" s="156">
        <v>0</v>
      </c>
      <c r="J64" s="155">
        <v>1136.73</v>
      </c>
      <c r="K64" s="156">
        <f t="shared" si="0"/>
        <v>1136.73</v>
      </c>
      <c r="L64" s="156">
        <v>0</v>
      </c>
      <c r="M64" s="156"/>
      <c r="N64" s="156"/>
      <c r="O64" s="156"/>
      <c r="P64" s="158">
        <f t="shared" si="10"/>
        <v>1136.73</v>
      </c>
      <c r="Q64" s="156"/>
      <c r="R64" s="137"/>
      <c r="S64" s="156"/>
      <c r="T64" s="156"/>
      <c r="U64" s="156"/>
      <c r="V64" s="156"/>
      <c r="W64" s="159"/>
      <c r="X64" s="159"/>
      <c r="Y64" s="155"/>
      <c r="Z64" s="155"/>
      <c r="AA64" s="158">
        <f t="shared" si="7"/>
        <v>1136.73</v>
      </c>
      <c r="AB64" s="159">
        <f t="shared" si="6"/>
        <v>0</v>
      </c>
      <c r="AC64" s="158">
        <f t="shared" si="3"/>
        <v>1136.73</v>
      </c>
      <c r="AD64" s="159">
        <f t="shared" si="4"/>
        <v>113.673</v>
      </c>
      <c r="AE64" s="159">
        <v>10.23</v>
      </c>
      <c r="AF64" s="158">
        <f t="shared" si="5"/>
        <v>1260.633</v>
      </c>
      <c r="AH64" s="161"/>
      <c r="AK64" s="161"/>
      <c r="AL64" s="160">
        <v>2857006349</v>
      </c>
      <c r="AM64" s="198" t="s">
        <v>611</v>
      </c>
    </row>
    <row r="65" spans="1:53" x14ac:dyDescent="0.25">
      <c r="A65" s="112" t="s">
        <v>381</v>
      </c>
      <c r="B65" s="92" t="s">
        <v>453</v>
      </c>
      <c r="C65" s="92"/>
      <c r="D65" s="92" t="s">
        <v>131</v>
      </c>
      <c r="E65" s="92" t="s">
        <v>454</v>
      </c>
      <c r="F65" s="92"/>
      <c r="G65" s="93"/>
      <c r="H65" s="93"/>
      <c r="I65" s="95">
        <v>608.16</v>
      </c>
      <c r="J65" s="93"/>
      <c r="K65" s="95">
        <f t="shared" si="0"/>
        <v>608.16</v>
      </c>
      <c r="L65" s="95">
        <v>1276.27</v>
      </c>
      <c r="M65" s="96"/>
      <c r="N65" s="96"/>
      <c r="O65" s="97"/>
      <c r="P65" s="98">
        <f t="shared" si="10"/>
        <v>1884.4299999999998</v>
      </c>
      <c r="Q65" s="141"/>
      <c r="R65" s="137"/>
      <c r="S65" s="137"/>
      <c r="T65" s="197">
        <f>P65*4.9%</f>
        <v>92.337069999999997</v>
      </c>
      <c r="U65" s="197">
        <f>P65*1%</f>
        <v>18.8443</v>
      </c>
      <c r="V65" s="137"/>
      <c r="W65" s="142"/>
      <c r="X65" s="142"/>
      <c r="Y65" s="102"/>
      <c r="Z65" s="102">
        <v>0</v>
      </c>
      <c r="AA65" s="98">
        <f t="shared" si="7"/>
        <v>1773.2486299999998</v>
      </c>
      <c r="AB65" s="104">
        <f t="shared" si="6"/>
        <v>0</v>
      </c>
      <c r="AC65" s="98">
        <f t="shared" si="3"/>
        <v>1773.2486299999998</v>
      </c>
      <c r="AD65" s="105">
        <f t="shared" si="4"/>
        <v>188.44299999999998</v>
      </c>
      <c r="AE65" s="104">
        <v>10.23</v>
      </c>
      <c r="AF65" s="106">
        <f t="shared" si="5"/>
        <v>2083.1029999999996</v>
      </c>
      <c r="AG65" s="107"/>
      <c r="AH65" s="108"/>
      <c r="AI65" s="107"/>
      <c r="AJ65" s="107"/>
      <c r="AK65" s="108"/>
      <c r="AL65" s="107"/>
      <c r="AM65" s="107"/>
    </row>
    <row r="66" spans="1:53" x14ac:dyDescent="0.25">
      <c r="A66" s="112" t="s">
        <v>381</v>
      </c>
      <c r="B66" s="92" t="s">
        <v>455</v>
      </c>
      <c r="C66" s="92"/>
      <c r="D66" s="92" t="s">
        <v>133</v>
      </c>
      <c r="E66" s="92" t="s">
        <v>190</v>
      </c>
      <c r="F66" s="92"/>
      <c r="G66" s="93"/>
      <c r="H66" s="93"/>
      <c r="I66" s="95">
        <v>608.16</v>
      </c>
      <c r="J66" s="93"/>
      <c r="K66" s="95">
        <f t="shared" si="0"/>
        <v>608.16</v>
      </c>
      <c r="L66" s="95">
        <v>3235.87</v>
      </c>
      <c r="M66" s="96"/>
      <c r="N66" s="96"/>
      <c r="O66" s="97"/>
      <c r="P66" s="98">
        <f t="shared" si="10"/>
        <v>3844.0299999999997</v>
      </c>
      <c r="Q66" s="141"/>
      <c r="R66" s="137"/>
      <c r="S66" s="197">
        <v>200</v>
      </c>
      <c r="T66" s="197">
        <f>P66*4.9%</f>
        <v>188.35747000000001</v>
      </c>
      <c r="U66" s="197">
        <f>P66*1%</f>
        <v>38.440300000000001</v>
      </c>
      <c r="V66" s="197">
        <v>321.74</v>
      </c>
      <c r="W66" s="142"/>
      <c r="X66" s="142"/>
      <c r="Y66" s="102"/>
      <c r="Z66" s="102">
        <v>0</v>
      </c>
      <c r="AA66" s="98">
        <f t="shared" si="7"/>
        <v>3095.4922299999998</v>
      </c>
      <c r="AB66" s="104">
        <f t="shared" si="6"/>
        <v>0</v>
      </c>
      <c r="AC66" s="98">
        <f t="shared" si="3"/>
        <v>3095.4922299999998</v>
      </c>
      <c r="AD66" s="105">
        <f t="shared" si="4"/>
        <v>384.40300000000002</v>
      </c>
      <c r="AE66" s="104">
        <v>10.23</v>
      </c>
      <c r="AF66" s="106">
        <f t="shared" si="5"/>
        <v>4238.6629999999996</v>
      </c>
      <c r="AG66" s="107"/>
      <c r="AH66" s="108"/>
      <c r="AI66" s="107"/>
      <c r="AJ66" s="107"/>
      <c r="AK66" s="108"/>
      <c r="AL66" s="107"/>
      <c r="AM66" s="107"/>
    </row>
    <row r="67" spans="1:53" x14ac:dyDescent="0.25">
      <c r="A67" s="92" t="s">
        <v>431</v>
      </c>
      <c r="B67" s="92" t="s">
        <v>456</v>
      </c>
      <c r="C67" s="92"/>
      <c r="D67" s="92" t="s">
        <v>135</v>
      </c>
      <c r="E67" s="92" t="s">
        <v>186</v>
      </c>
      <c r="F67" s="92"/>
      <c r="G67" s="93"/>
      <c r="H67" s="93"/>
      <c r="I67" s="95">
        <v>1400</v>
      </c>
      <c r="J67" s="93"/>
      <c r="K67" s="95">
        <f t="shared" si="0"/>
        <v>1400</v>
      </c>
      <c r="L67" s="95"/>
      <c r="M67" s="96"/>
      <c r="N67" s="96"/>
      <c r="O67" s="97"/>
      <c r="P67" s="98">
        <f t="shared" si="10"/>
        <v>1400</v>
      </c>
      <c r="Q67" s="141"/>
      <c r="R67" s="137"/>
      <c r="S67" s="137">
        <v>0</v>
      </c>
      <c r="T67" s="137"/>
      <c r="U67" s="137"/>
      <c r="V67" s="137"/>
      <c r="W67" s="142"/>
      <c r="X67" s="142"/>
      <c r="Y67" s="102"/>
      <c r="Z67" s="102">
        <v>0</v>
      </c>
      <c r="AA67" s="98">
        <f t="shared" si="7"/>
        <v>1400</v>
      </c>
      <c r="AB67" s="104">
        <f t="shared" si="6"/>
        <v>0</v>
      </c>
      <c r="AC67" s="98">
        <f t="shared" si="3"/>
        <v>1400</v>
      </c>
      <c r="AD67" s="105">
        <f t="shared" si="4"/>
        <v>140</v>
      </c>
      <c r="AE67" s="104">
        <v>10.23</v>
      </c>
      <c r="AF67" s="106">
        <f t="shared" si="5"/>
        <v>1550.23</v>
      </c>
      <c r="AG67" s="107"/>
      <c r="AH67" s="108"/>
      <c r="AI67" s="107"/>
      <c r="AJ67" s="107"/>
      <c r="AK67" s="108"/>
      <c r="AL67" s="107"/>
      <c r="AM67" s="107"/>
    </row>
    <row r="68" spans="1:53" x14ac:dyDescent="0.25">
      <c r="A68" s="112" t="s">
        <v>381</v>
      </c>
      <c r="B68" s="92" t="s">
        <v>457</v>
      </c>
      <c r="C68" s="92"/>
      <c r="D68" s="92" t="s">
        <v>259</v>
      </c>
      <c r="E68" s="92" t="s">
        <v>190</v>
      </c>
      <c r="F68" s="92"/>
      <c r="G68" s="93"/>
      <c r="H68" s="93"/>
      <c r="I68" s="95">
        <v>608.16</v>
      </c>
      <c r="J68" s="93"/>
      <c r="K68" s="95">
        <f t="shared" si="0"/>
        <v>608.16</v>
      </c>
      <c r="L68" s="95">
        <v>527.79999999999995</v>
      </c>
      <c r="M68" s="96"/>
      <c r="N68" s="96"/>
      <c r="O68" s="97"/>
      <c r="P68" s="98">
        <f t="shared" si="10"/>
        <v>1135.96</v>
      </c>
      <c r="Q68" s="141"/>
      <c r="R68" s="137"/>
      <c r="S68" s="137">
        <v>0</v>
      </c>
      <c r="T68" s="197">
        <f>P68*4.9%</f>
        <v>55.662040000000005</v>
      </c>
      <c r="U68" s="197">
        <f>P68*1%</f>
        <v>11.3596</v>
      </c>
      <c r="V68" s="137"/>
      <c r="W68" s="142"/>
      <c r="X68" s="142"/>
      <c r="Y68" s="102"/>
      <c r="Z68" s="102">
        <v>0</v>
      </c>
      <c r="AA68" s="98">
        <f t="shared" si="7"/>
        <v>1068.9383600000001</v>
      </c>
      <c r="AB68" s="104">
        <f t="shared" si="6"/>
        <v>0</v>
      </c>
      <c r="AC68" s="98">
        <f t="shared" si="3"/>
        <v>1068.9383600000001</v>
      </c>
      <c r="AD68" s="105">
        <f t="shared" si="4"/>
        <v>113.596</v>
      </c>
      <c r="AE68" s="104">
        <v>10.23</v>
      </c>
      <c r="AF68" s="106">
        <f t="shared" si="5"/>
        <v>1259.7860000000001</v>
      </c>
      <c r="AG68" s="107"/>
      <c r="AH68" s="108"/>
      <c r="AI68" s="107"/>
      <c r="AJ68" s="107"/>
      <c r="AK68" s="108"/>
      <c r="AL68" s="107"/>
      <c r="AM68" s="107"/>
    </row>
    <row r="69" spans="1:53" x14ac:dyDescent="0.25">
      <c r="A69" s="92" t="s">
        <v>375</v>
      </c>
      <c r="B69" s="92" t="s">
        <v>458</v>
      </c>
      <c r="C69" s="92"/>
      <c r="D69" s="92" t="s">
        <v>139</v>
      </c>
      <c r="E69" s="92" t="s">
        <v>186</v>
      </c>
      <c r="F69" s="92"/>
      <c r="G69" s="92"/>
      <c r="H69" s="92"/>
      <c r="I69" s="95">
        <v>1400</v>
      </c>
      <c r="J69" s="92"/>
      <c r="K69" s="95">
        <f t="shared" si="0"/>
        <v>1400</v>
      </c>
      <c r="L69" s="95"/>
      <c r="M69" s="95"/>
      <c r="N69" s="95"/>
      <c r="O69" s="97"/>
      <c r="P69" s="98">
        <f t="shared" si="10"/>
        <v>1400</v>
      </c>
      <c r="Q69" s="141"/>
      <c r="R69" s="137"/>
      <c r="S69" s="137">
        <v>0</v>
      </c>
      <c r="T69" s="137"/>
      <c r="U69" s="137"/>
      <c r="V69" s="137"/>
      <c r="W69" s="142"/>
      <c r="X69" s="142"/>
      <c r="Y69" s="102"/>
      <c r="Z69" s="102">
        <v>0</v>
      </c>
      <c r="AA69" s="98">
        <f t="shared" si="7"/>
        <v>1400</v>
      </c>
      <c r="AB69" s="104">
        <f t="shared" si="6"/>
        <v>0</v>
      </c>
      <c r="AC69" s="98">
        <f t="shared" si="3"/>
        <v>1400</v>
      </c>
      <c r="AD69" s="105">
        <f t="shared" si="4"/>
        <v>140</v>
      </c>
      <c r="AE69" s="104">
        <v>10.23</v>
      </c>
      <c r="AF69" s="106">
        <f t="shared" si="5"/>
        <v>1550.23</v>
      </c>
      <c r="AG69" s="107"/>
      <c r="AH69" s="108"/>
      <c r="AI69" s="107"/>
      <c r="AJ69" s="107"/>
      <c r="AK69" s="108"/>
      <c r="AL69" s="107"/>
      <c r="AM69" s="107" t="s">
        <v>630</v>
      </c>
    </row>
    <row r="70" spans="1:53" s="125" customFormat="1" x14ac:dyDescent="0.25">
      <c r="A70" s="112" t="s">
        <v>383</v>
      </c>
      <c r="B70" s="127" t="s">
        <v>459</v>
      </c>
      <c r="C70" s="127"/>
      <c r="D70" s="127"/>
      <c r="E70" s="127" t="s">
        <v>177</v>
      </c>
      <c r="F70" s="165">
        <v>42416</v>
      </c>
      <c r="G70" s="127"/>
      <c r="H70" s="127"/>
      <c r="I70" s="151">
        <v>739.23</v>
      </c>
      <c r="J70" s="127"/>
      <c r="K70" s="151">
        <f t="shared" si="0"/>
        <v>739.23</v>
      </c>
      <c r="L70" s="151">
        <v>1692.78</v>
      </c>
      <c r="M70" s="151"/>
      <c r="N70" s="151"/>
      <c r="O70" s="163"/>
      <c r="P70" s="120">
        <f t="shared" si="10"/>
        <v>2432.0100000000002</v>
      </c>
      <c r="Q70" s="118"/>
      <c r="R70" s="137"/>
      <c r="S70" s="118"/>
      <c r="T70" s="118"/>
      <c r="U70" s="118"/>
      <c r="V70" s="118"/>
      <c r="W70" s="124"/>
      <c r="X70" s="124"/>
      <c r="Y70" s="115"/>
      <c r="Z70" s="115"/>
      <c r="AA70" s="120">
        <f t="shared" si="7"/>
        <v>2432.0100000000002</v>
      </c>
      <c r="AB70" s="124">
        <f t="shared" si="6"/>
        <v>0</v>
      </c>
      <c r="AC70" s="120">
        <f t="shared" si="3"/>
        <v>2432.0100000000002</v>
      </c>
      <c r="AD70" s="124">
        <f t="shared" si="4"/>
        <v>243.20100000000002</v>
      </c>
      <c r="AE70" s="104">
        <v>10.23</v>
      </c>
      <c r="AF70" s="106">
        <f t="shared" si="5"/>
        <v>2685.4410000000003</v>
      </c>
      <c r="AG70" s="107"/>
      <c r="AH70" s="108"/>
      <c r="AI70" s="107"/>
      <c r="AJ70" s="107"/>
      <c r="AK70" s="108"/>
      <c r="AL70" s="107"/>
      <c r="AM70" s="107"/>
      <c r="AN70" s="107"/>
      <c r="AO70" s="107"/>
      <c r="AP70" s="107"/>
      <c r="AQ70" s="107"/>
      <c r="AR70" s="107"/>
      <c r="AS70" s="107"/>
      <c r="AT70" s="107"/>
      <c r="AU70" s="107"/>
      <c r="AV70" s="107"/>
      <c r="AW70" s="107"/>
      <c r="AX70" s="107"/>
      <c r="AY70" s="107"/>
      <c r="AZ70" s="107"/>
      <c r="BA70" s="107"/>
    </row>
    <row r="71" spans="1:53" x14ac:dyDescent="0.25">
      <c r="A71" s="112" t="s">
        <v>381</v>
      </c>
      <c r="B71" s="92" t="s">
        <v>460</v>
      </c>
      <c r="C71" s="92"/>
      <c r="D71" s="92" t="s">
        <v>141</v>
      </c>
      <c r="E71" s="92" t="s">
        <v>195</v>
      </c>
      <c r="F71" s="92"/>
      <c r="G71" s="93"/>
      <c r="H71" s="93"/>
      <c r="I71" s="95">
        <v>511.28</v>
      </c>
      <c r="J71" s="93"/>
      <c r="K71" s="95">
        <f t="shared" ref="K71:K90" si="11">+I71+J71</f>
        <v>511.28</v>
      </c>
      <c r="L71" s="95">
        <f>1826.28+250+200</f>
        <v>2276.2799999999997</v>
      </c>
      <c r="M71" s="96"/>
      <c r="N71" s="96"/>
      <c r="O71" s="97"/>
      <c r="P71" s="98">
        <f t="shared" si="10"/>
        <v>2787.5599999999995</v>
      </c>
      <c r="Q71" s="141"/>
      <c r="R71" s="137"/>
      <c r="S71" s="197">
        <v>300</v>
      </c>
      <c r="T71" s="137"/>
      <c r="U71" s="137"/>
      <c r="V71" s="137"/>
      <c r="W71" s="142"/>
      <c r="X71" s="142"/>
      <c r="Y71" s="102"/>
      <c r="Z71" s="102">
        <f>831.77+139.91</f>
        <v>971.68</v>
      </c>
      <c r="AA71" s="98">
        <f t="shared" si="7"/>
        <v>1515.8799999999997</v>
      </c>
      <c r="AB71" s="104">
        <f t="shared" si="6"/>
        <v>0</v>
      </c>
      <c r="AC71" s="98">
        <f t="shared" ref="AC71:AC90" si="12">+AA71-AB71</f>
        <v>1515.8799999999997</v>
      </c>
      <c r="AD71" s="105">
        <f t="shared" ref="AD71:AD90" si="13">IF(P71&lt;4500,P71*0.1,0)</f>
        <v>278.75599999999997</v>
      </c>
      <c r="AE71" s="104">
        <v>10.23</v>
      </c>
      <c r="AF71" s="106">
        <f t="shared" ref="AF71:AF90" si="14">+P71+AD71+AE71</f>
        <v>3076.5459999999994</v>
      </c>
      <c r="AG71" s="107"/>
      <c r="AH71" s="108"/>
      <c r="AI71" s="107"/>
      <c r="AJ71" s="107"/>
      <c r="AK71" s="108"/>
      <c r="AL71" s="107"/>
      <c r="AM71" s="107"/>
    </row>
    <row r="72" spans="1:53" x14ac:dyDescent="0.25">
      <c r="A72" s="92" t="s">
        <v>375</v>
      </c>
      <c r="B72" s="92" t="s">
        <v>461</v>
      </c>
      <c r="C72" s="92"/>
      <c r="D72" s="92" t="s">
        <v>143</v>
      </c>
      <c r="E72" s="92" t="s">
        <v>179</v>
      </c>
      <c r="F72" s="92"/>
      <c r="G72" s="92"/>
      <c r="H72" s="92"/>
      <c r="I72" s="95">
        <v>1166.26</v>
      </c>
      <c r="J72" s="94"/>
      <c r="K72" s="95">
        <f t="shared" si="11"/>
        <v>1166.26</v>
      </c>
      <c r="L72" s="95">
        <v>784.32</v>
      </c>
      <c r="M72" s="95"/>
      <c r="N72" s="95"/>
      <c r="O72" s="97"/>
      <c r="P72" s="98">
        <f t="shared" ref="P72:P87" si="15">SUM(K72:N72)-O72</f>
        <v>1950.58</v>
      </c>
      <c r="Q72" s="141"/>
      <c r="R72" s="137"/>
      <c r="S72" s="137">
        <v>0</v>
      </c>
      <c r="T72" s="137"/>
      <c r="U72" s="137"/>
      <c r="V72" s="137"/>
      <c r="W72" s="142"/>
      <c r="X72" s="142"/>
      <c r="Y72" s="102"/>
      <c r="Z72" s="102">
        <v>0</v>
      </c>
      <c r="AA72" s="98">
        <f t="shared" si="7"/>
        <v>1950.58</v>
      </c>
      <c r="AB72" s="104">
        <f t="shared" si="6"/>
        <v>0</v>
      </c>
      <c r="AC72" s="98">
        <f t="shared" si="12"/>
        <v>1950.58</v>
      </c>
      <c r="AD72" s="105">
        <f t="shared" si="13"/>
        <v>195.05799999999999</v>
      </c>
      <c r="AE72" s="104">
        <v>10.23</v>
      </c>
      <c r="AF72" s="106">
        <f t="shared" si="14"/>
        <v>2155.8679999999999</v>
      </c>
      <c r="AG72" s="107"/>
      <c r="AH72" s="108"/>
      <c r="AI72" s="107"/>
      <c r="AJ72" s="107"/>
      <c r="AK72" s="108"/>
      <c r="AL72" s="107"/>
      <c r="AM72" s="107"/>
    </row>
    <row r="73" spans="1:53" x14ac:dyDescent="0.25">
      <c r="A73" s="92" t="s">
        <v>431</v>
      </c>
      <c r="B73" s="92" t="s">
        <v>631</v>
      </c>
      <c r="C73" s="92"/>
      <c r="D73" s="92" t="s">
        <v>188</v>
      </c>
      <c r="E73" s="92" t="s">
        <v>185</v>
      </c>
      <c r="F73" s="92"/>
      <c r="G73" s="92"/>
      <c r="H73" s="92"/>
      <c r="I73" s="95">
        <v>1100</v>
      </c>
      <c r="J73" s="92"/>
      <c r="K73" s="95">
        <f t="shared" si="11"/>
        <v>1100</v>
      </c>
      <c r="L73" s="95"/>
      <c r="M73" s="95"/>
      <c r="N73" s="95"/>
      <c r="O73" s="97"/>
      <c r="P73" s="98">
        <f t="shared" si="15"/>
        <v>1100</v>
      </c>
      <c r="Q73" s="141"/>
      <c r="R73" s="137"/>
      <c r="S73" s="137">
        <v>0</v>
      </c>
      <c r="T73" s="137"/>
      <c r="U73" s="137"/>
      <c r="V73" s="137"/>
      <c r="W73" s="142"/>
      <c r="X73" s="142"/>
      <c r="Y73" s="102"/>
      <c r="Z73" s="102">
        <v>0</v>
      </c>
      <c r="AA73" s="98">
        <f t="shared" si="7"/>
        <v>1100</v>
      </c>
      <c r="AB73" s="104">
        <f t="shared" si="6"/>
        <v>0</v>
      </c>
      <c r="AC73" s="98">
        <f t="shared" si="12"/>
        <v>1100</v>
      </c>
      <c r="AD73" s="105">
        <f t="shared" si="13"/>
        <v>110</v>
      </c>
      <c r="AE73" s="104">
        <v>10.23</v>
      </c>
      <c r="AF73" s="106">
        <f t="shared" si="14"/>
        <v>1220.23</v>
      </c>
      <c r="AG73" s="107"/>
      <c r="AH73" s="108"/>
      <c r="AI73" s="107"/>
      <c r="AJ73" s="107"/>
      <c r="AK73" s="108"/>
      <c r="AL73" s="107"/>
      <c r="AM73" s="107"/>
    </row>
    <row r="74" spans="1:53" x14ac:dyDescent="0.25">
      <c r="A74" s="92" t="s">
        <v>377</v>
      </c>
      <c r="B74" s="92" t="s">
        <v>464</v>
      </c>
      <c r="C74" s="92" t="s">
        <v>30</v>
      </c>
      <c r="D74" s="92" t="s">
        <v>148</v>
      </c>
      <c r="E74" s="92" t="s">
        <v>189</v>
      </c>
      <c r="F74" s="92"/>
      <c r="G74" s="93"/>
      <c r="H74" s="93"/>
      <c r="I74" s="95">
        <v>513.33000000000004</v>
      </c>
      <c r="J74" s="93"/>
      <c r="K74" s="95">
        <f t="shared" si="11"/>
        <v>513.33000000000004</v>
      </c>
      <c r="L74" s="95">
        <f>513.33+4055.1</f>
        <v>4568.43</v>
      </c>
      <c r="M74" s="96"/>
      <c r="N74" s="96"/>
      <c r="O74" s="97"/>
      <c r="P74" s="98">
        <f t="shared" si="15"/>
        <v>5081.76</v>
      </c>
      <c r="Q74" s="141"/>
      <c r="R74" s="137">
        <v>58.91</v>
      </c>
      <c r="S74" s="137">
        <v>0</v>
      </c>
      <c r="T74" s="137"/>
      <c r="U74" s="137"/>
      <c r="V74" s="137"/>
      <c r="W74" s="142"/>
      <c r="X74" s="142"/>
      <c r="Y74" s="102"/>
      <c r="Z74" s="102">
        <v>0</v>
      </c>
      <c r="AA74" s="98">
        <f t="shared" si="7"/>
        <v>5022.8500000000004</v>
      </c>
      <c r="AB74" s="104">
        <f t="shared" si="6"/>
        <v>508.17600000000004</v>
      </c>
      <c r="AC74" s="98">
        <f t="shared" si="12"/>
        <v>4514.674</v>
      </c>
      <c r="AD74" s="105">
        <f t="shared" si="13"/>
        <v>0</v>
      </c>
      <c r="AE74" s="104">
        <v>10.23</v>
      </c>
      <c r="AF74" s="106">
        <f t="shared" si="14"/>
        <v>5091.99</v>
      </c>
      <c r="AG74" s="107"/>
      <c r="AH74" s="108"/>
      <c r="AI74" s="107"/>
      <c r="AJ74" s="107"/>
      <c r="AK74" s="108"/>
      <c r="AL74" s="107"/>
      <c r="AM74" s="107"/>
    </row>
    <row r="75" spans="1:53" x14ac:dyDescent="0.25">
      <c r="A75" s="112" t="s">
        <v>381</v>
      </c>
      <c r="B75" s="92" t="s">
        <v>465</v>
      </c>
      <c r="C75" s="92"/>
      <c r="D75" s="92" t="s">
        <v>261</v>
      </c>
      <c r="E75" s="92" t="s">
        <v>466</v>
      </c>
      <c r="F75" s="92"/>
      <c r="G75" s="93"/>
      <c r="H75" s="93"/>
      <c r="I75" s="95">
        <v>543.20000000000005</v>
      </c>
      <c r="J75" s="93"/>
      <c r="K75" s="95">
        <f t="shared" si="11"/>
        <v>543.20000000000005</v>
      </c>
      <c r="L75" s="95">
        <v>1059.4000000000001</v>
      </c>
      <c r="M75" s="96"/>
      <c r="N75" s="96"/>
      <c r="O75" s="97"/>
      <c r="P75" s="98">
        <f t="shared" si="15"/>
        <v>1602.6000000000001</v>
      </c>
      <c r="Q75" s="141"/>
      <c r="R75" s="137"/>
      <c r="S75" s="137">
        <v>0</v>
      </c>
      <c r="T75" s="197">
        <f>P75*4.9%</f>
        <v>78.527400000000014</v>
      </c>
      <c r="U75" s="197">
        <f>P75*1%</f>
        <v>16.026000000000003</v>
      </c>
      <c r="V75" s="137"/>
      <c r="W75" s="142"/>
      <c r="X75" s="142"/>
      <c r="Y75" s="102"/>
      <c r="Z75" s="102">
        <v>0</v>
      </c>
      <c r="AA75" s="98">
        <f t="shared" si="7"/>
        <v>1508.0466000000001</v>
      </c>
      <c r="AB75" s="104">
        <f t="shared" ref="AB75:AB90" si="16">IF(P75&gt;4500,P75*0.1,0)</f>
        <v>0</v>
      </c>
      <c r="AC75" s="98">
        <f t="shared" si="12"/>
        <v>1508.0466000000001</v>
      </c>
      <c r="AD75" s="105">
        <f t="shared" si="13"/>
        <v>160.26000000000002</v>
      </c>
      <c r="AE75" s="104">
        <v>10.23</v>
      </c>
      <c r="AF75" s="106">
        <f t="shared" si="14"/>
        <v>1773.0900000000001</v>
      </c>
      <c r="AG75" s="107"/>
      <c r="AH75" s="108"/>
      <c r="AI75" s="107"/>
      <c r="AJ75" s="107"/>
      <c r="AK75" s="108"/>
      <c r="AL75" s="107"/>
      <c r="AM75" s="107"/>
    </row>
    <row r="76" spans="1:53" x14ac:dyDescent="0.25">
      <c r="A76" s="112" t="s">
        <v>381</v>
      </c>
      <c r="B76" s="92" t="s">
        <v>467</v>
      </c>
      <c r="C76" s="92"/>
      <c r="D76" s="92" t="s">
        <v>152</v>
      </c>
      <c r="E76" s="92" t="s">
        <v>190</v>
      </c>
      <c r="F76" s="92"/>
      <c r="G76" s="93"/>
      <c r="H76" s="93"/>
      <c r="I76" s="95">
        <v>608.16</v>
      </c>
      <c r="J76" s="93"/>
      <c r="K76" s="95">
        <f t="shared" si="11"/>
        <v>608.16</v>
      </c>
      <c r="L76" s="95">
        <v>1325.5</v>
      </c>
      <c r="M76" s="96"/>
      <c r="N76" s="96"/>
      <c r="O76" s="97"/>
      <c r="P76" s="98">
        <f t="shared" si="15"/>
        <v>1933.6599999999999</v>
      </c>
      <c r="Q76" s="141"/>
      <c r="R76" s="137"/>
      <c r="S76" s="197">
        <v>200</v>
      </c>
      <c r="T76" s="197">
        <f>P76*4.9%</f>
        <v>94.749339999999989</v>
      </c>
      <c r="U76" s="197">
        <f>P76*1%</f>
        <v>19.336600000000001</v>
      </c>
      <c r="V76" s="197">
        <v>257.64</v>
      </c>
      <c r="W76" s="142"/>
      <c r="X76" s="142"/>
      <c r="Y76" s="102">
        <v>201.24</v>
      </c>
      <c r="Z76" s="102">
        <v>0</v>
      </c>
      <c r="AA76" s="98">
        <f t="shared" si="7"/>
        <v>1160.6940599999998</v>
      </c>
      <c r="AB76" s="104">
        <f t="shared" si="16"/>
        <v>0</v>
      </c>
      <c r="AC76" s="98">
        <f t="shared" si="12"/>
        <v>1160.6940599999998</v>
      </c>
      <c r="AD76" s="105">
        <f t="shared" si="13"/>
        <v>193.36599999999999</v>
      </c>
      <c r="AE76" s="104">
        <v>10.23</v>
      </c>
      <c r="AF76" s="106">
        <f t="shared" si="14"/>
        <v>2137.2559999999999</v>
      </c>
      <c r="AG76" s="107"/>
      <c r="AH76" s="108"/>
      <c r="AI76" s="107"/>
      <c r="AJ76" s="107"/>
      <c r="AK76" s="108"/>
      <c r="AL76" s="107"/>
      <c r="AM76" s="107"/>
    </row>
    <row r="77" spans="1:53" x14ac:dyDescent="0.25">
      <c r="A77" s="112" t="s">
        <v>383</v>
      </c>
      <c r="B77" s="92" t="s">
        <v>468</v>
      </c>
      <c r="C77" s="92"/>
      <c r="D77" s="92" t="s">
        <v>182</v>
      </c>
      <c r="E77" s="92" t="s">
        <v>183</v>
      </c>
      <c r="F77" s="92"/>
      <c r="G77" s="92"/>
      <c r="H77" s="92"/>
      <c r="I77" s="95">
        <v>739.23</v>
      </c>
      <c r="J77" s="92"/>
      <c r="K77" s="95">
        <f t="shared" si="11"/>
        <v>739.23</v>
      </c>
      <c r="L77" s="95">
        <v>1998.23</v>
      </c>
      <c r="M77" s="96"/>
      <c r="N77" s="96"/>
      <c r="O77" s="97"/>
      <c r="P77" s="98">
        <f t="shared" si="15"/>
        <v>2737.46</v>
      </c>
      <c r="Q77" s="141"/>
      <c r="R77" s="137"/>
      <c r="S77" s="197">
        <v>150</v>
      </c>
      <c r="T77" s="137"/>
      <c r="U77" s="137"/>
      <c r="V77" s="137"/>
      <c r="W77" s="142"/>
      <c r="X77" s="142"/>
      <c r="Y77" s="102"/>
      <c r="Z77" s="102">
        <v>0</v>
      </c>
      <c r="AA77" s="98">
        <f t="shared" si="7"/>
        <v>2587.46</v>
      </c>
      <c r="AB77" s="104">
        <f t="shared" si="16"/>
        <v>0</v>
      </c>
      <c r="AC77" s="98">
        <f t="shared" si="12"/>
        <v>2587.46</v>
      </c>
      <c r="AD77" s="105">
        <f t="shared" si="13"/>
        <v>273.74600000000004</v>
      </c>
      <c r="AE77" s="104">
        <v>10.23</v>
      </c>
      <c r="AF77" s="106">
        <f t="shared" si="14"/>
        <v>3021.4360000000001</v>
      </c>
      <c r="AG77" s="107"/>
      <c r="AH77" s="108"/>
      <c r="AI77" s="107"/>
      <c r="AJ77" s="107"/>
      <c r="AK77" s="108"/>
      <c r="AL77" s="107"/>
      <c r="AM77" s="107"/>
    </row>
    <row r="78" spans="1:53" x14ac:dyDescent="0.25">
      <c r="A78" s="92" t="s">
        <v>431</v>
      </c>
      <c r="B78" s="92" t="s">
        <v>469</v>
      </c>
      <c r="C78" s="92"/>
      <c r="D78" s="92" t="s">
        <v>155</v>
      </c>
      <c r="E78" s="92" t="s">
        <v>186</v>
      </c>
      <c r="F78" s="92"/>
      <c r="G78" s="93"/>
      <c r="H78" s="93"/>
      <c r="I78" s="95">
        <v>1400</v>
      </c>
      <c r="J78" s="93"/>
      <c r="K78" s="95">
        <f t="shared" si="11"/>
        <v>1400</v>
      </c>
      <c r="L78" s="95"/>
      <c r="M78" s="96"/>
      <c r="N78" s="96"/>
      <c r="O78" s="97"/>
      <c r="P78" s="98">
        <f t="shared" si="15"/>
        <v>1400</v>
      </c>
      <c r="Q78" s="141"/>
      <c r="R78" s="137"/>
      <c r="S78" s="137">
        <v>0</v>
      </c>
      <c r="T78" s="137"/>
      <c r="U78" s="137"/>
      <c r="V78" s="137"/>
      <c r="W78" s="142"/>
      <c r="X78" s="142"/>
      <c r="Y78" s="102"/>
      <c r="Z78" s="102">
        <f>355.65+71.38</f>
        <v>427.03</v>
      </c>
      <c r="AA78" s="98">
        <f t="shared" ref="AA78:AA87" si="17">+P78-SUM(Q78:Z78)</f>
        <v>972.97</v>
      </c>
      <c r="AB78" s="104">
        <f t="shared" si="16"/>
        <v>0</v>
      </c>
      <c r="AC78" s="98">
        <f t="shared" si="12"/>
        <v>972.97</v>
      </c>
      <c r="AD78" s="105">
        <f t="shared" si="13"/>
        <v>140</v>
      </c>
      <c r="AE78" s="104">
        <v>10.23</v>
      </c>
      <c r="AF78" s="106">
        <f t="shared" si="14"/>
        <v>1550.23</v>
      </c>
      <c r="AG78" s="107"/>
      <c r="AH78" s="108"/>
      <c r="AI78" s="107"/>
      <c r="AJ78" s="107"/>
      <c r="AK78" s="108"/>
      <c r="AL78" s="107"/>
      <c r="AM78" s="107"/>
    </row>
    <row r="79" spans="1:53" s="125" customFormat="1" x14ac:dyDescent="0.25">
      <c r="A79" s="127" t="s">
        <v>431</v>
      </c>
      <c r="B79" s="127" t="s">
        <v>632</v>
      </c>
      <c r="C79" s="127"/>
      <c r="D79" s="127"/>
      <c r="E79" s="127" t="s">
        <v>186</v>
      </c>
      <c r="F79" s="165">
        <v>42410</v>
      </c>
      <c r="G79" s="127"/>
      <c r="H79" s="127"/>
      <c r="I79" s="151">
        <v>1400</v>
      </c>
      <c r="J79" s="127"/>
      <c r="K79" s="151">
        <f t="shared" si="11"/>
        <v>1400</v>
      </c>
      <c r="L79" s="151"/>
      <c r="M79" s="151"/>
      <c r="N79" s="151"/>
      <c r="O79" s="163"/>
      <c r="P79" s="120">
        <f t="shared" si="15"/>
        <v>1400</v>
      </c>
      <c r="Q79" s="118"/>
      <c r="R79" s="137"/>
      <c r="S79" s="118"/>
      <c r="T79" s="118"/>
      <c r="U79" s="118"/>
      <c r="V79" s="118"/>
      <c r="W79" s="124"/>
      <c r="X79" s="124"/>
      <c r="Y79" s="115"/>
      <c r="Z79" s="115"/>
      <c r="AA79" s="120">
        <f t="shared" si="17"/>
        <v>1400</v>
      </c>
      <c r="AB79" s="124">
        <f t="shared" si="16"/>
        <v>0</v>
      </c>
      <c r="AC79" s="120">
        <f t="shared" si="12"/>
        <v>1400</v>
      </c>
      <c r="AD79" s="124">
        <f t="shared" si="13"/>
        <v>140</v>
      </c>
      <c r="AE79" s="104">
        <v>10.23</v>
      </c>
      <c r="AF79" s="106">
        <f t="shared" si="14"/>
        <v>1550.23</v>
      </c>
      <c r="AG79" s="107"/>
      <c r="AH79" s="108"/>
      <c r="AI79" s="107"/>
      <c r="AJ79" s="107"/>
      <c r="AK79" s="108"/>
      <c r="AL79" s="107"/>
      <c r="AM79" s="107"/>
      <c r="AN79" s="107"/>
      <c r="AO79" s="107"/>
      <c r="AP79" s="107"/>
      <c r="AQ79" s="107"/>
      <c r="AR79" s="107"/>
      <c r="AS79" s="107"/>
      <c r="AT79" s="107"/>
      <c r="AU79" s="107"/>
      <c r="AV79" s="107"/>
      <c r="AW79" s="107"/>
      <c r="AX79" s="107"/>
      <c r="AY79" s="107"/>
      <c r="AZ79" s="107"/>
      <c r="BA79" s="107"/>
    </row>
    <row r="80" spans="1:53" x14ac:dyDescent="0.25">
      <c r="A80" s="112" t="s">
        <v>383</v>
      </c>
      <c r="B80" s="92" t="s">
        <v>633</v>
      </c>
      <c r="C80" s="92"/>
      <c r="D80" s="92" t="s">
        <v>157</v>
      </c>
      <c r="E80" s="92" t="s">
        <v>177</v>
      </c>
      <c r="F80" s="92"/>
      <c r="G80" s="92"/>
      <c r="H80" s="92"/>
      <c r="I80" s="95">
        <v>739.23</v>
      </c>
      <c r="J80" s="92"/>
      <c r="K80" s="95">
        <f t="shared" si="11"/>
        <v>739.23</v>
      </c>
      <c r="L80" s="95">
        <v>774.3</v>
      </c>
      <c r="M80" s="96"/>
      <c r="N80" s="96"/>
      <c r="O80" s="97"/>
      <c r="P80" s="98">
        <f t="shared" si="15"/>
        <v>1513.53</v>
      </c>
      <c r="Q80" s="141"/>
      <c r="R80" s="137"/>
      <c r="S80" s="137">
        <v>0</v>
      </c>
      <c r="T80" s="137"/>
      <c r="U80" s="137"/>
      <c r="V80" s="137"/>
      <c r="W80" s="142"/>
      <c r="X80" s="142"/>
      <c r="Y80" s="102"/>
      <c r="Z80" s="102">
        <v>0</v>
      </c>
      <c r="AA80" s="98">
        <f t="shared" si="17"/>
        <v>1513.53</v>
      </c>
      <c r="AB80" s="104">
        <f t="shared" si="16"/>
        <v>0</v>
      </c>
      <c r="AC80" s="98">
        <f t="shared" si="12"/>
        <v>1513.53</v>
      </c>
      <c r="AD80" s="105">
        <f t="shared" si="13"/>
        <v>151.35300000000001</v>
      </c>
      <c r="AE80" s="104">
        <v>10.23</v>
      </c>
      <c r="AF80" s="106">
        <f t="shared" si="14"/>
        <v>1675.1130000000001</v>
      </c>
      <c r="AG80" s="107"/>
      <c r="AH80" s="108"/>
      <c r="AI80" s="107"/>
      <c r="AJ80" s="107"/>
      <c r="AK80" s="108"/>
      <c r="AL80" s="107"/>
      <c r="AM80" s="107"/>
    </row>
    <row r="81" spans="1:39" x14ac:dyDescent="0.25">
      <c r="A81" s="112" t="s">
        <v>383</v>
      </c>
      <c r="B81" s="92" t="s">
        <v>472</v>
      </c>
      <c r="C81" s="92"/>
      <c r="D81" s="92" t="s">
        <v>159</v>
      </c>
      <c r="E81" s="92" t="s">
        <v>184</v>
      </c>
      <c r="F81" s="92"/>
      <c r="G81" s="92"/>
      <c r="H81" s="92"/>
      <c r="I81" s="95">
        <v>739.23</v>
      </c>
      <c r="J81" s="92"/>
      <c r="K81" s="95">
        <f t="shared" si="11"/>
        <v>739.23</v>
      </c>
      <c r="L81" s="95">
        <v>1939.52</v>
      </c>
      <c r="M81" s="95"/>
      <c r="N81" s="95"/>
      <c r="O81" s="97"/>
      <c r="P81" s="98">
        <f t="shared" si="15"/>
        <v>2678.75</v>
      </c>
      <c r="Q81" s="141"/>
      <c r="R81" s="137"/>
      <c r="S81" s="137">
        <v>0</v>
      </c>
      <c r="T81" s="137"/>
      <c r="U81" s="137"/>
      <c r="V81" s="137"/>
      <c r="W81" s="142"/>
      <c r="X81" s="142"/>
      <c r="Y81" s="102"/>
      <c r="Z81" s="102">
        <v>0</v>
      </c>
      <c r="AA81" s="98">
        <f t="shared" si="17"/>
        <v>2678.75</v>
      </c>
      <c r="AB81" s="104">
        <f t="shared" si="16"/>
        <v>0</v>
      </c>
      <c r="AC81" s="98">
        <f t="shared" si="12"/>
        <v>2678.75</v>
      </c>
      <c r="AD81" s="105">
        <f t="shared" si="13"/>
        <v>267.875</v>
      </c>
      <c r="AE81" s="104">
        <v>10.23</v>
      </c>
      <c r="AF81" s="106">
        <f t="shared" si="14"/>
        <v>2956.855</v>
      </c>
      <c r="AG81" s="107"/>
      <c r="AH81" s="108"/>
      <c r="AI81" s="107"/>
      <c r="AJ81" s="107"/>
      <c r="AK81" s="108"/>
      <c r="AL81" s="107"/>
      <c r="AM81" s="107"/>
    </row>
    <row r="82" spans="1:39" x14ac:dyDescent="0.25">
      <c r="A82" s="92" t="s">
        <v>377</v>
      </c>
      <c r="B82" s="92" t="s">
        <v>634</v>
      </c>
      <c r="C82" s="92" t="s">
        <v>32</v>
      </c>
      <c r="D82" s="92" t="s">
        <v>163</v>
      </c>
      <c r="E82" s="92" t="s">
        <v>189</v>
      </c>
      <c r="F82" s="92"/>
      <c r="G82" s="93"/>
      <c r="H82" s="93"/>
      <c r="I82" s="95">
        <v>513.33000000000004</v>
      </c>
      <c r="J82" s="93">
        <v>653.33000000000004</v>
      </c>
      <c r="K82" s="95">
        <f t="shared" si="11"/>
        <v>1166.6600000000001</v>
      </c>
      <c r="L82" s="95">
        <v>639.69000000000005</v>
      </c>
      <c r="M82" s="96"/>
      <c r="N82" s="96"/>
      <c r="O82" s="97"/>
      <c r="P82" s="98">
        <f t="shared" si="15"/>
        <v>1806.3500000000001</v>
      </c>
      <c r="Q82" s="141"/>
      <c r="R82" s="137"/>
      <c r="S82" s="137">
        <v>0</v>
      </c>
      <c r="T82" s="137"/>
      <c r="U82" s="137"/>
      <c r="V82" s="137"/>
      <c r="W82" s="142"/>
      <c r="X82" s="142"/>
      <c r="Y82" s="102"/>
      <c r="Z82" s="102">
        <f>488.83+560.34</f>
        <v>1049.17</v>
      </c>
      <c r="AA82" s="98">
        <f t="shared" si="17"/>
        <v>757.18000000000006</v>
      </c>
      <c r="AB82" s="104">
        <f t="shared" si="16"/>
        <v>0</v>
      </c>
      <c r="AC82" s="98">
        <f t="shared" si="12"/>
        <v>757.18000000000006</v>
      </c>
      <c r="AD82" s="105">
        <f t="shared" si="13"/>
        <v>180.63500000000002</v>
      </c>
      <c r="AE82" s="104">
        <v>10.23</v>
      </c>
      <c r="AF82" s="106">
        <f t="shared" si="14"/>
        <v>1997.2150000000001</v>
      </c>
      <c r="AG82" s="107"/>
      <c r="AH82" s="108"/>
      <c r="AI82" s="107"/>
      <c r="AJ82" s="107"/>
      <c r="AK82" s="108"/>
      <c r="AL82" s="107"/>
      <c r="AM82" s="107"/>
    </row>
    <row r="83" spans="1:39" x14ac:dyDescent="0.25">
      <c r="A83" s="92" t="s">
        <v>389</v>
      </c>
      <c r="B83" s="92" t="s">
        <v>635</v>
      </c>
      <c r="C83" s="92" t="s">
        <v>391</v>
      </c>
      <c r="D83" s="92" t="s">
        <v>165</v>
      </c>
      <c r="E83" s="92" t="s">
        <v>392</v>
      </c>
      <c r="F83" s="92"/>
      <c r="G83" s="93"/>
      <c r="H83" s="93"/>
      <c r="I83" s="95">
        <v>1166.67</v>
      </c>
      <c r="J83" s="93"/>
      <c r="K83" s="95">
        <f t="shared" si="11"/>
        <v>1166.67</v>
      </c>
      <c r="L83" s="95">
        <v>2500</v>
      </c>
      <c r="M83" s="96"/>
      <c r="N83" s="96"/>
      <c r="O83" s="97"/>
      <c r="P83" s="98">
        <f t="shared" si="15"/>
        <v>3666.67</v>
      </c>
      <c r="Q83" s="141"/>
      <c r="R83" s="137">
        <v>58.91</v>
      </c>
      <c r="S83" s="137">
        <v>0</v>
      </c>
      <c r="T83" s="137"/>
      <c r="U83" s="137"/>
      <c r="V83" s="137"/>
      <c r="W83" s="142"/>
      <c r="X83" s="142"/>
      <c r="Y83" s="102"/>
      <c r="Z83" s="102">
        <v>0</v>
      </c>
      <c r="AA83" s="98">
        <f t="shared" si="17"/>
        <v>3607.76</v>
      </c>
      <c r="AB83" s="104">
        <f t="shared" si="16"/>
        <v>0</v>
      </c>
      <c r="AC83" s="98">
        <f t="shared" si="12"/>
        <v>3607.76</v>
      </c>
      <c r="AD83" s="105">
        <f t="shared" si="13"/>
        <v>366.66700000000003</v>
      </c>
      <c r="AE83" s="104">
        <v>10.23</v>
      </c>
      <c r="AF83" s="106">
        <f t="shared" si="14"/>
        <v>4043.567</v>
      </c>
      <c r="AG83" s="107"/>
      <c r="AH83" s="108"/>
      <c r="AI83" s="107"/>
      <c r="AJ83" s="107"/>
      <c r="AK83" s="108"/>
      <c r="AL83" s="107"/>
      <c r="AM83" s="107"/>
    </row>
    <row r="84" spans="1:39" x14ac:dyDescent="0.25">
      <c r="A84" s="112" t="s">
        <v>381</v>
      </c>
      <c r="B84" s="92" t="s">
        <v>475</v>
      </c>
      <c r="C84" s="92"/>
      <c r="D84" s="92" t="s">
        <v>167</v>
      </c>
      <c r="E84" s="92" t="s">
        <v>193</v>
      </c>
      <c r="F84" s="92"/>
      <c r="G84" s="93"/>
      <c r="H84" s="93"/>
      <c r="I84" s="95">
        <v>608.16</v>
      </c>
      <c r="J84" s="93"/>
      <c r="K84" s="95">
        <f t="shared" si="11"/>
        <v>608.16</v>
      </c>
      <c r="L84" s="95">
        <v>3752</v>
      </c>
      <c r="M84" s="96"/>
      <c r="N84" s="96"/>
      <c r="O84" s="97"/>
      <c r="P84" s="98">
        <f t="shared" si="15"/>
        <v>4360.16</v>
      </c>
      <c r="Q84" s="141"/>
      <c r="R84" s="137"/>
      <c r="S84" s="197">
        <v>200</v>
      </c>
      <c r="T84" s="197">
        <f>P84*4.9%</f>
        <v>213.64784</v>
      </c>
      <c r="U84" s="197">
        <f>P84*1%</f>
        <v>43.601599999999998</v>
      </c>
      <c r="V84" s="137"/>
      <c r="W84" s="142"/>
      <c r="X84" s="142"/>
      <c r="Y84" s="102"/>
      <c r="Z84" s="102">
        <v>0</v>
      </c>
      <c r="AA84" s="98">
        <f t="shared" si="17"/>
        <v>3902.9105599999998</v>
      </c>
      <c r="AB84" s="104">
        <f t="shared" si="16"/>
        <v>0</v>
      </c>
      <c r="AC84" s="98">
        <f t="shared" si="12"/>
        <v>3902.9105599999998</v>
      </c>
      <c r="AD84" s="105">
        <f t="shared" si="13"/>
        <v>436.01600000000002</v>
      </c>
      <c r="AE84" s="104">
        <v>10.23</v>
      </c>
      <c r="AF84" s="106">
        <f t="shared" si="14"/>
        <v>4806.405999999999</v>
      </c>
      <c r="AG84" s="107"/>
      <c r="AH84" s="108"/>
      <c r="AI84" s="107"/>
      <c r="AJ84" s="107"/>
      <c r="AK84" s="108"/>
      <c r="AL84" s="107"/>
      <c r="AM84" s="107"/>
    </row>
    <row r="85" spans="1:39" x14ac:dyDescent="0.25">
      <c r="A85" s="92" t="s">
        <v>375</v>
      </c>
      <c r="B85" s="92" t="s">
        <v>476</v>
      </c>
      <c r="C85" s="92"/>
      <c r="D85" s="92" t="s">
        <v>169</v>
      </c>
      <c r="E85" s="92" t="s">
        <v>185</v>
      </c>
      <c r="F85" s="92"/>
      <c r="G85" s="92"/>
      <c r="H85" s="92"/>
      <c r="I85" s="95">
        <v>1100</v>
      </c>
      <c r="J85" s="92"/>
      <c r="K85" s="95">
        <f t="shared" si="11"/>
        <v>1100</v>
      </c>
      <c r="L85" s="95"/>
      <c r="M85" s="95"/>
      <c r="N85" s="95"/>
      <c r="O85" s="97"/>
      <c r="P85" s="98">
        <f t="shared" si="15"/>
        <v>1100</v>
      </c>
      <c r="Q85" s="141"/>
      <c r="R85" s="137"/>
      <c r="S85" s="137">
        <v>0</v>
      </c>
      <c r="T85" s="137"/>
      <c r="U85" s="137"/>
      <c r="V85" s="137"/>
      <c r="W85" s="142"/>
      <c r="X85" s="142"/>
      <c r="Y85" s="102"/>
      <c r="Z85" s="102">
        <v>0</v>
      </c>
      <c r="AA85" s="98">
        <f t="shared" si="17"/>
        <v>1100</v>
      </c>
      <c r="AB85" s="104">
        <f t="shared" si="16"/>
        <v>0</v>
      </c>
      <c r="AC85" s="98">
        <f t="shared" si="12"/>
        <v>1100</v>
      </c>
      <c r="AD85" s="105">
        <f t="shared" si="13"/>
        <v>110</v>
      </c>
      <c r="AE85" s="104">
        <v>10.23</v>
      </c>
      <c r="AF85" s="106">
        <f t="shared" si="14"/>
        <v>1220.23</v>
      </c>
      <c r="AG85" s="107"/>
      <c r="AH85" s="108"/>
      <c r="AI85" s="107"/>
      <c r="AJ85" s="107"/>
      <c r="AK85" s="108"/>
      <c r="AL85" s="107"/>
      <c r="AM85" s="107"/>
    </row>
    <row r="86" spans="1:39" x14ac:dyDescent="0.25">
      <c r="A86" s="92" t="s">
        <v>377</v>
      </c>
      <c r="B86" s="92" t="s">
        <v>477</v>
      </c>
      <c r="C86" s="92" t="s">
        <v>31</v>
      </c>
      <c r="D86" s="92" t="s">
        <v>171</v>
      </c>
      <c r="E86" s="92" t="s">
        <v>189</v>
      </c>
      <c r="F86" s="92"/>
      <c r="G86" s="93"/>
      <c r="H86" s="93"/>
      <c r="I86" s="95">
        <v>513.33000000000004</v>
      </c>
      <c r="J86" s="93">
        <v>653.33000000000004</v>
      </c>
      <c r="K86" s="95">
        <f t="shared" si="11"/>
        <v>1166.6600000000001</v>
      </c>
      <c r="L86" s="95"/>
      <c r="M86" s="96"/>
      <c r="N86" s="96"/>
      <c r="O86" s="97"/>
      <c r="P86" s="98">
        <f t="shared" si="15"/>
        <v>1166.6600000000001</v>
      </c>
      <c r="Q86" s="141"/>
      <c r="R86" s="137"/>
      <c r="S86" s="137">
        <v>0</v>
      </c>
      <c r="T86" s="137"/>
      <c r="U86" s="137"/>
      <c r="V86" s="137"/>
      <c r="W86" s="142"/>
      <c r="X86" s="142"/>
      <c r="Y86" s="102"/>
      <c r="Z86" s="102">
        <v>0</v>
      </c>
      <c r="AA86" s="98">
        <f t="shared" si="17"/>
        <v>1166.6600000000001</v>
      </c>
      <c r="AB86" s="104">
        <f t="shared" si="16"/>
        <v>0</v>
      </c>
      <c r="AC86" s="98">
        <f t="shared" si="12"/>
        <v>1166.6600000000001</v>
      </c>
      <c r="AD86" s="105">
        <f t="shared" si="13"/>
        <v>116.66600000000001</v>
      </c>
      <c r="AE86" s="104">
        <v>10.23</v>
      </c>
      <c r="AF86" s="106">
        <f t="shared" si="14"/>
        <v>1293.556</v>
      </c>
      <c r="AG86" s="107"/>
      <c r="AH86" s="108"/>
      <c r="AI86" s="107"/>
      <c r="AJ86" s="107"/>
      <c r="AK86" s="108"/>
      <c r="AL86" s="107"/>
      <c r="AM86" s="107"/>
    </row>
    <row r="87" spans="1:39" x14ac:dyDescent="0.25">
      <c r="A87" s="112" t="s">
        <v>383</v>
      </c>
      <c r="B87" s="92" t="s">
        <v>478</v>
      </c>
      <c r="C87" s="92"/>
      <c r="D87" s="92" t="s">
        <v>173</v>
      </c>
      <c r="E87" s="92" t="s">
        <v>385</v>
      </c>
      <c r="F87" s="92"/>
      <c r="G87" s="92"/>
      <c r="H87" s="92"/>
      <c r="I87" s="95">
        <v>739.23</v>
      </c>
      <c r="J87" s="92"/>
      <c r="K87" s="95">
        <f t="shared" si="11"/>
        <v>739.23</v>
      </c>
      <c r="L87" s="95">
        <v>2851</v>
      </c>
      <c r="M87" s="95"/>
      <c r="N87" s="95"/>
      <c r="O87" s="97"/>
      <c r="P87" s="98">
        <f t="shared" si="15"/>
        <v>3590.23</v>
      </c>
      <c r="Q87" s="141"/>
      <c r="R87" s="137"/>
      <c r="S87" s="197">
        <v>500</v>
      </c>
      <c r="T87" s="137"/>
      <c r="U87" s="137"/>
      <c r="V87" s="137"/>
      <c r="W87" s="142"/>
      <c r="X87" s="142"/>
      <c r="Y87" s="102"/>
      <c r="Z87" s="102">
        <v>0</v>
      </c>
      <c r="AA87" s="98">
        <f t="shared" si="17"/>
        <v>3090.23</v>
      </c>
      <c r="AB87" s="104">
        <f t="shared" si="16"/>
        <v>0</v>
      </c>
      <c r="AC87" s="98">
        <f t="shared" si="12"/>
        <v>3090.23</v>
      </c>
      <c r="AD87" s="105">
        <f t="shared" si="13"/>
        <v>359.02300000000002</v>
      </c>
      <c r="AE87" s="104">
        <v>10.23</v>
      </c>
      <c r="AF87" s="106">
        <f t="shared" si="14"/>
        <v>3959.4830000000002</v>
      </c>
      <c r="AG87" s="107"/>
      <c r="AH87" s="108"/>
      <c r="AI87" s="107"/>
      <c r="AJ87" s="107"/>
      <c r="AK87" s="108"/>
      <c r="AL87" s="107"/>
      <c r="AM87" s="107"/>
    </row>
    <row r="88" spans="1:39" x14ac:dyDescent="0.25">
      <c r="A88" s="92" t="s">
        <v>377</v>
      </c>
      <c r="B88" s="92" t="s">
        <v>480</v>
      </c>
      <c r="C88" s="92" t="s">
        <v>32</v>
      </c>
      <c r="D88" s="133" t="s">
        <v>199</v>
      </c>
      <c r="E88" s="92" t="s">
        <v>189</v>
      </c>
      <c r="F88" s="92"/>
      <c r="G88" s="93"/>
      <c r="H88" s="93"/>
      <c r="I88" s="95">
        <v>513.33000000000004</v>
      </c>
      <c r="J88" s="93">
        <v>653.33000000000004</v>
      </c>
      <c r="K88" s="95">
        <f t="shared" si="11"/>
        <v>1166.6600000000001</v>
      </c>
      <c r="L88" s="95"/>
      <c r="M88" s="95"/>
      <c r="N88" s="95"/>
      <c r="O88" s="97"/>
      <c r="P88" s="98">
        <f t="shared" ref="P88" si="18">SUM(K88:N88)-O88</f>
        <v>1166.6600000000001</v>
      </c>
      <c r="Q88" s="141"/>
      <c r="R88" s="137"/>
      <c r="S88" s="137"/>
      <c r="T88" s="137"/>
      <c r="U88" s="137"/>
      <c r="V88" s="137"/>
      <c r="W88" s="142"/>
      <c r="X88" s="142"/>
      <c r="Y88" s="102"/>
      <c r="Z88" s="102">
        <v>291.5</v>
      </c>
      <c r="AA88" s="98">
        <f t="shared" ref="AA88:AA90" si="19">+P88-SUM(Q88:Z88)</f>
        <v>875.16000000000008</v>
      </c>
      <c r="AB88" s="104">
        <f t="shared" si="16"/>
        <v>0</v>
      </c>
      <c r="AC88" s="98">
        <f t="shared" si="12"/>
        <v>875.16000000000008</v>
      </c>
      <c r="AD88" s="105">
        <f t="shared" si="13"/>
        <v>116.66600000000001</v>
      </c>
      <c r="AE88" s="104">
        <v>10.23</v>
      </c>
      <c r="AF88" s="106">
        <f t="shared" si="14"/>
        <v>1293.556</v>
      </c>
      <c r="AG88" s="107"/>
      <c r="AH88" s="108"/>
      <c r="AI88" s="107"/>
      <c r="AJ88" s="107"/>
      <c r="AK88" s="108"/>
      <c r="AL88" s="107"/>
      <c r="AM88" s="107"/>
    </row>
    <row r="89" spans="1:39" x14ac:dyDescent="0.25">
      <c r="A89" s="92" t="s">
        <v>375</v>
      </c>
      <c r="B89" s="127" t="s">
        <v>481</v>
      </c>
      <c r="C89" s="127"/>
      <c r="D89" s="133"/>
      <c r="E89" s="92" t="s">
        <v>482</v>
      </c>
      <c r="F89" s="92"/>
      <c r="G89" s="93"/>
      <c r="H89" s="93"/>
      <c r="I89" s="201">
        <v>1166.26</v>
      </c>
      <c r="J89" s="93"/>
      <c r="K89" s="95">
        <f t="shared" si="11"/>
        <v>1166.26</v>
      </c>
      <c r="L89" s="95">
        <v>2280.46</v>
      </c>
      <c r="M89" s="96"/>
      <c r="N89" s="96"/>
      <c r="O89" s="97"/>
      <c r="P89" s="98">
        <f t="shared" ref="P89:P90" si="20">SUM(K89:N89)-O89</f>
        <v>3446.7200000000003</v>
      </c>
      <c r="Q89" s="141"/>
      <c r="R89" s="137"/>
      <c r="S89" s="137"/>
      <c r="T89" s="137"/>
      <c r="U89" s="137"/>
      <c r="V89" s="137"/>
      <c r="W89" s="142"/>
      <c r="X89" s="142"/>
      <c r="Y89" s="102"/>
      <c r="Z89" s="102">
        <v>0</v>
      </c>
      <c r="AA89" s="98">
        <f t="shared" si="19"/>
        <v>3446.7200000000003</v>
      </c>
      <c r="AB89" s="104">
        <f t="shared" si="16"/>
        <v>0</v>
      </c>
      <c r="AC89" s="98">
        <f t="shared" si="12"/>
        <v>3446.7200000000003</v>
      </c>
      <c r="AD89" s="105">
        <f t="shared" si="13"/>
        <v>344.67200000000003</v>
      </c>
      <c r="AE89" s="104">
        <v>10.23</v>
      </c>
      <c r="AF89" s="106">
        <f t="shared" si="14"/>
        <v>3801.6220000000003</v>
      </c>
      <c r="AG89" s="107"/>
      <c r="AH89" s="108"/>
      <c r="AI89" s="107"/>
      <c r="AJ89" s="107"/>
      <c r="AK89" s="108"/>
      <c r="AL89" s="107"/>
      <c r="AM89" s="107"/>
    </row>
    <row r="90" spans="1:39" x14ac:dyDescent="0.25">
      <c r="A90" s="92" t="s">
        <v>377</v>
      </c>
      <c r="B90" s="127" t="s">
        <v>483</v>
      </c>
      <c r="C90" s="92" t="s">
        <v>30</v>
      </c>
      <c r="D90" s="133"/>
      <c r="E90" s="92" t="s">
        <v>189</v>
      </c>
      <c r="F90" s="92"/>
      <c r="G90" s="93"/>
      <c r="H90" s="93"/>
      <c r="I90" s="201">
        <v>1166.26</v>
      </c>
      <c r="J90" s="93"/>
      <c r="K90" s="95">
        <f t="shared" si="11"/>
        <v>1166.26</v>
      </c>
      <c r="L90" s="95"/>
      <c r="M90" s="96"/>
      <c r="N90" s="96"/>
      <c r="O90" s="97"/>
      <c r="P90" s="98">
        <f t="shared" si="20"/>
        <v>1166.26</v>
      </c>
      <c r="Q90" s="141"/>
      <c r="R90" s="137">
        <v>58.91</v>
      </c>
      <c r="S90" s="137"/>
      <c r="T90" s="137"/>
      <c r="U90" s="137"/>
      <c r="V90" s="137"/>
      <c r="W90" s="142"/>
      <c r="X90" s="142"/>
      <c r="Y90" s="102"/>
      <c r="Z90" s="102">
        <v>0</v>
      </c>
      <c r="AA90" s="98">
        <f t="shared" si="19"/>
        <v>1107.3499999999999</v>
      </c>
      <c r="AB90" s="104">
        <f t="shared" si="16"/>
        <v>0</v>
      </c>
      <c r="AC90" s="98">
        <f t="shared" si="12"/>
        <v>1107.3499999999999</v>
      </c>
      <c r="AD90" s="105">
        <f t="shared" si="13"/>
        <v>116.626</v>
      </c>
      <c r="AE90" s="104">
        <v>10.23</v>
      </c>
      <c r="AF90" s="106">
        <f t="shared" si="14"/>
        <v>1293.116</v>
      </c>
      <c r="AG90" s="107"/>
      <c r="AH90" s="108"/>
      <c r="AI90" s="107"/>
      <c r="AJ90" s="107"/>
      <c r="AK90" s="108"/>
      <c r="AL90" s="107"/>
      <c r="AM90" s="107"/>
    </row>
    <row r="91" spans="1:39" x14ac:dyDescent="0.25">
      <c r="A91" s="92"/>
      <c r="B91" s="92"/>
      <c r="C91" s="92"/>
      <c r="D91" s="133"/>
      <c r="E91" s="92"/>
      <c r="F91" s="92"/>
      <c r="G91" s="93"/>
      <c r="H91" s="93"/>
      <c r="I91" s="95"/>
      <c r="J91" s="93"/>
      <c r="K91" s="95"/>
      <c r="L91" s="95"/>
      <c r="M91" s="96"/>
      <c r="N91" s="96"/>
      <c r="O91" s="97"/>
      <c r="P91" s="98"/>
      <c r="Q91" s="141"/>
      <c r="R91" s="137"/>
      <c r="S91" s="137"/>
      <c r="T91" s="137"/>
      <c r="U91" s="137"/>
      <c r="V91" s="137"/>
      <c r="W91" s="142"/>
      <c r="X91" s="142"/>
      <c r="Y91" s="137"/>
      <c r="Z91" s="102"/>
      <c r="AA91" s="98"/>
      <c r="AB91" s="104"/>
      <c r="AC91" s="98"/>
      <c r="AD91" s="105"/>
      <c r="AE91" s="104"/>
      <c r="AF91" s="106"/>
      <c r="AG91" s="107"/>
      <c r="AH91" s="108"/>
      <c r="AI91" s="107"/>
      <c r="AJ91" s="107"/>
      <c r="AK91" s="107"/>
      <c r="AL91" s="107"/>
      <c r="AM91" s="107"/>
    </row>
    <row r="92" spans="1:39" x14ac:dyDescent="0.25">
      <c r="A92" s="92"/>
      <c r="B92" s="92"/>
      <c r="C92" s="92"/>
      <c r="D92" s="133"/>
      <c r="E92" s="92"/>
      <c r="F92" s="92"/>
      <c r="G92" s="93"/>
      <c r="H92" s="93"/>
      <c r="I92" s="95"/>
      <c r="J92" s="93"/>
      <c r="K92" s="95"/>
      <c r="L92" s="95"/>
      <c r="M92" s="96"/>
      <c r="N92" s="96"/>
      <c r="O92" s="97"/>
      <c r="P92" s="98"/>
      <c r="Q92" s="141"/>
      <c r="R92" s="137"/>
      <c r="S92" s="137"/>
      <c r="T92" s="137"/>
      <c r="U92" s="137"/>
      <c r="V92" s="137"/>
      <c r="W92" s="142"/>
      <c r="X92" s="142"/>
      <c r="Y92" s="137"/>
      <c r="Z92" s="102"/>
      <c r="AA92" s="98"/>
      <c r="AB92" s="104"/>
      <c r="AC92" s="98"/>
      <c r="AD92" s="105"/>
      <c r="AE92" s="104"/>
      <c r="AF92" s="106"/>
      <c r="AG92" s="107"/>
      <c r="AH92" s="108">
        <f t="shared" ref="AH92:AH94" si="21">+AC92-AG92</f>
        <v>0</v>
      </c>
      <c r="AI92" s="107"/>
      <c r="AJ92" s="107"/>
      <c r="AK92" s="107"/>
      <c r="AL92" s="107"/>
      <c r="AM92" s="107"/>
    </row>
    <row r="93" spans="1:39" x14ac:dyDescent="0.25">
      <c r="A93" s="139"/>
      <c r="B93" s="92"/>
      <c r="C93" s="92"/>
      <c r="D93" s="93"/>
      <c r="E93" s="92"/>
      <c r="F93" s="92"/>
      <c r="G93" s="92"/>
      <c r="H93" s="92"/>
      <c r="I93" s="95"/>
      <c r="J93" s="92"/>
      <c r="K93" s="95"/>
      <c r="L93" s="95"/>
      <c r="M93" s="95"/>
      <c r="N93" s="95"/>
      <c r="O93" s="97"/>
      <c r="P93" s="98"/>
      <c r="Q93" s="141"/>
      <c r="R93" s="137"/>
      <c r="S93" s="137"/>
      <c r="T93" s="137"/>
      <c r="U93" s="137"/>
      <c r="V93" s="137"/>
      <c r="W93" s="142"/>
      <c r="X93" s="142"/>
      <c r="Y93" s="137"/>
      <c r="Z93" s="140"/>
      <c r="AA93" s="98"/>
      <c r="AB93" s="104"/>
      <c r="AC93" s="98"/>
      <c r="AD93" s="105"/>
      <c r="AE93" s="104"/>
      <c r="AF93" s="106"/>
      <c r="AG93" s="107"/>
      <c r="AH93" s="108">
        <f t="shared" si="21"/>
        <v>0</v>
      </c>
      <c r="AI93" s="107"/>
      <c r="AJ93" s="107"/>
      <c r="AK93" s="107"/>
      <c r="AL93" s="107"/>
      <c r="AM93" s="107"/>
    </row>
    <row r="94" spans="1:39" x14ac:dyDescent="0.25">
      <c r="A94" s="139"/>
      <c r="B94" s="92"/>
      <c r="C94" s="92"/>
      <c r="D94" s="93"/>
      <c r="E94" s="92"/>
      <c r="F94" s="92"/>
      <c r="G94" s="92"/>
      <c r="H94" s="92"/>
      <c r="I94" s="95"/>
      <c r="J94" s="92"/>
      <c r="K94" s="95"/>
      <c r="L94" s="95"/>
      <c r="M94" s="95"/>
      <c r="N94" s="95"/>
      <c r="O94" s="97"/>
      <c r="P94" s="98"/>
      <c r="Q94" s="141"/>
      <c r="R94" s="137"/>
      <c r="S94" s="137"/>
      <c r="T94" s="137"/>
      <c r="U94" s="137"/>
      <c r="V94" s="137"/>
      <c r="W94" s="142"/>
      <c r="X94" s="142"/>
      <c r="Y94" s="142"/>
      <c r="Z94" s="142"/>
      <c r="AA94" s="98"/>
      <c r="AB94" s="104"/>
      <c r="AC94" s="98"/>
      <c r="AD94" s="105"/>
      <c r="AE94" s="104"/>
      <c r="AF94" s="106"/>
      <c r="AG94" s="107"/>
      <c r="AH94" s="108">
        <f t="shared" si="21"/>
        <v>0</v>
      </c>
      <c r="AI94" s="107"/>
      <c r="AJ94" s="107"/>
      <c r="AK94" s="107"/>
      <c r="AL94" s="107"/>
      <c r="AM94" s="107"/>
    </row>
    <row r="95" spans="1:39" s="107" customFormat="1" x14ac:dyDescent="0.25">
      <c r="A95" s="139"/>
      <c r="B95" s="143"/>
      <c r="C95" s="143"/>
      <c r="D95" s="143"/>
      <c r="E95" s="143"/>
      <c r="F95" s="143"/>
      <c r="G95" s="143"/>
      <c r="H95" s="143"/>
      <c r="I95" s="144"/>
      <c r="J95" s="143"/>
      <c r="K95" s="144"/>
      <c r="L95" s="144"/>
      <c r="M95" s="144"/>
      <c r="N95" s="144"/>
      <c r="O95" s="144"/>
      <c r="P95" s="145"/>
      <c r="Q95" s="144"/>
      <c r="R95" s="144"/>
      <c r="S95" s="144"/>
      <c r="T95" s="144"/>
      <c r="U95" s="144"/>
      <c r="V95" s="144"/>
      <c r="W95" s="104"/>
      <c r="X95" s="104"/>
      <c r="Y95" s="104"/>
      <c r="Z95" s="104"/>
      <c r="AA95" s="146"/>
      <c r="AB95" s="104"/>
      <c r="AC95" s="145"/>
      <c r="AD95" s="104"/>
      <c r="AE95" s="104"/>
      <c r="AF95" s="145"/>
    </row>
    <row r="96" spans="1:39" ht="15.75" thickBot="1" x14ac:dyDescent="0.3">
      <c r="B96" s="147" t="s">
        <v>484</v>
      </c>
      <c r="C96" s="147"/>
      <c r="D96" s="147"/>
      <c r="E96" s="147"/>
      <c r="F96" s="147"/>
      <c r="G96" s="147"/>
      <c r="H96" s="147"/>
      <c r="I96" s="203"/>
      <c r="J96" s="147"/>
      <c r="K96" s="148">
        <f t="shared" ref="K96:Q96" si="22">SUM(K7:K95)</f>
        <v>73736.400000000081</v>
      </c>
      <c r="L96" s="148">
        <f t="shared" si="22"/>
        <v>260886.61000000002</v>
      </c>
      <c r="M96" s="148">
        <f t="shared" si="22"/>
        <v>0</v>
      </c>
      <c r="N96" s="148">
        <f t="shared" si="22"/>
        <v>0</v>
      </c>
      <c r="O96" s="148">
        <f t="shared" si="22"/>
        <v>0</v>
      </c>
      <c r="P96" s="148">
        <f t="shared" si="22"/>
        <v>334623.00999999983</v>
      </c>
      <c r="Q96" s="148">
        <f t="shared" si="22"/>
        <v>0</v>
      </c>
      <c r="R96" s="148"/>
      <c r="S96" s="149">
        <f t="shared" ref="S96:AK96" si="23">SUM(S7:S95)</f>
        <v>4828.2170000000006</v>
      </c>
      <c r="T96" s="149">
        <f t="shared" si="23"/>
        <v>1976.21606</v>
      </c>
      <c r="U96" s="149">
        <f t="shared" si="23"/>
        <v>406.86950000000002</v>
      </c>
      <c r="V96" s="149">
        <f t="shared" si="23"/>
        <v>879.38</v>
      </c>
      <c r="W96" s="148">
        <f t="shared" si="23"/>
        <v>0</v>
      </c>
      <c r="X96" s="148">
        <f t="shared" si="23"/>
        <v>0</v>
      </c>
      <c r="Y96" s="148">
        <f t="shared" si="23"/>
        <v>406.94</v>
      </c>
      <c r="Z96" s="148">
        <f t="shared" si="23"/>
        <v>7262.8375000000005</v>
      </c>
      <c r="AA96" s="148">
        <f t="shared" si="23"/>
        <v>318176.25993999984</v>
      </c>
      <c r="AB96" s="148">
        <f t="shared" si="23"/>
        <v>20983.65</v>
      </c>
      <c r="AC96" s="148">
        <f t="shared" si="23"/>
        <v>297192.60993999999</v>
      </c>
      <c r="AD96" s="148">
        <f t="shared" si="23"/>
        <v>12478.650999999994</v>
      </c>
      <c r="AE96" s="148">
        <f t="shared" si="23"/>
        <v>859.32000000000096</v>
      </c>
      <c r="AF96" s="148">
        <f t="shared" si="23"/>
        <v>347960.98099999991</v>
      </c>
      <c r="AG96" s="148">
        <f t="shared" si="23"/>
        <v>0</v>
      </c>
      <c r="AH96" s="148">
        <f t="shared" si="23"/>
        <v>0</v>
      </c>
      <c r="AI96" s="148">
        <f t="shared" si="23"/>
        <v>0</v>
      </c>
      <c r="AJ96" s="148">
        <f t="shared" si="23"/>
        <v>0</v>
      </c>
      <c r="AK96" s="148">
        <f t="shared" si="23"/>
        <v>0</v>
      </c>
    </row>
    <row r="97" spans="1:37" ht="15.75" thickTop="1" x14ac:dyDescent="0.25">
      <c r="AF97" s="85">
        <f>AF96*0.16</f>
        <v>55673.756959999984</v>
      </c>
      <c r="AG97" s="85"/>
      <c r="AH97" s="85"/>
      <c r="AI97" s="85"/>
      <c r="AJ97" s="85"/>
      <c r="AK97" s="85"/>
    </row>
    <row r="98" spans="1:37" x14ac:dyDescent="0.25">
      <c r="A98" s="328" t="s">
        <v>485</v>
      </c>
      <c r="B98" s="328"/>
      <c r="C98" s="150"/>
      <c r="AF98" s="85">
        <f>+AF96+AF97</f>
        <v>403634.73795999988</v>
      </c>
      <c r="AG98" s="85"/>
      <c r="AH98" s="85"/>
      <c r="AI98" s="85"/>
      <c r="AJ98" s="85"/>
      <c r="AK98" s="85"/>
    </row>
    <row r="99" spans="1:37" x14ac:dyDescent="0.25">
      <c r="A99" s="139"/>
      <c r="B99" s="92"/>
      <c r="C99" s="92"/>
      <c r="D99" s="93"/>
      <c r="E99" s="92"/>
      <c r="F99" s="92"/>
      <c r="G99" s="92"/>
      <c r="H99" s="92"/>
      <c r="I99" s="95"/>
      <c r="J99" s="92"/>
      <c r="K99" s="95"/>
      <c r="L99" s="95"/>
      <c r="M99" s="95"/>
      <c r="N99" s="95"/>
      <c r="O99" s="95"/>
      <c r="P99" s="98">
        <f>SUM(K99:O99)</f>
        <v>0</v>
      </c>
      <c r="Q99" s="141"/>
      <c r="R99" s="141"/>
      <c r="S99" s="151"/>
      <c r="T99" s="151"/>
      <c r="U99" s="151"/>
      <c r="V99" s="151"/>
      <c r="W99" s="152"/>
      <c r="X99" s="152"/>
      <c r="Y99" s="152"/>
      <c r="Z99" s="152"/>
      <c r="AA99" s="98">
        <f>+P99-Q99</f>
        <v>0</v>
      </c>
      <c r="AB99" s="104">
        <f>+AA99*0.05</f>
        <v>0</v>
      </c>
      <c r="AC99" s="98">
        <f>+AA99-W99-Z99</f>
        <v>0</v>
      </c>
      <c r="AD99" s="105">
        <f>IF(AA99&lt;3000,AA99*0.1,0)</f>
        <v>0</v>
      </c>
      <c r="AE99" s="104">
        <v>0</v>
      </c>
      <c r="AF99" s="98">
        <f>+AA99+AD99+AE99</f>
        <v>0</v>
      </c>
      <c r="AG99" s="98">
        <f t="shared" ref="AG99:AK100" si="24">+AB99+AE99+AF99</f>
        <v>0</v>
      </c>
      <c r="AH99" s="98">
        <f t="shared" si="24"/>
        <v>0</v>
      </c>
      <c r="AI99" s="98">
        <f t="shared" si="24"/>
        <v>0</v>
      </c>
      <c r="AJ99" s="98">
        <f t="shared" si="24"/>
        <v>0</v>
      </c>
      <c r="AK99" s="98">
        <f t="shared" si="24"/>
        <v>0</v>
      </c>
    </row>
    <row r="100" spans="1:37" x14ac:dyDescent="0.25">
      <c r="A100" s="139"/>
      <c r="B100" s="93"/>
      <c r="C100" s="93"/>
      <c r="D100" s="93"/>
      <c r="E100" s="93"/>
      <c r="F100" s="93"/>
      <c r="G100" s="93"/>
      <c r="H100" s="93"/>
      <c r="I100" s="96"/>
      <c r="J100" s="93"/>
      <c r="K100" s="96"/>
      <c r="L100" s="96"/>
      <c r="M100" s="96"/>
      <c r="N100" s="96"/>
      <c r="O100" s="96"/>
      <c r="P100" s="98">
        <f>SUM(K100:O100)</f>
        <v>0</v>
      </c>
      <c r="Q100" s="141"/>
      <c r="R100" s="141"/>
      <c r="S100" s="151"/>
      <c r="T100" s="151"/>
      <c r="U100" s="151"/>
      <c r="V100" s="151"/>
      <c r="W100" s="152"/>
      <c r="X100" s="152"/>
      <c r="Y100" s="152"/>
      <c r="Z100" s="152"/>
      <c r="AA100" s="98">
        <f>+P100-Q100</f>
        <v>0</v>
      </c>
      <c r="AB100" s="104">
        <f>+AA100*0.05</f>
        <v>0</v>
      </c>
      <c r="AC100" s="98">
        <f>+AA100-W100-Z100</f>
        <v>0</v>
      </c>
      <c r="AD100" s="105">
        <f>IF(AA100&lt;3000,AA100*0.1,0)</f>
        <v>0</v>
      </c>
      <c r="AE100" s="104">
        <v>0</v>
      </c>
      <c r="AF100" s="98">
        <f>+AA100+AD100+AE100</f>
        <v>0</v>
      </c>
      <c r="AG100" s="98">
        <f t="shared" si="24"/>
        <v>0</v>
      </c>
      <c r="AH100" s="98">
        <f t="shared" si="24"/>
        <v>0</v>
      </c>
      <c r="AI100" s="98">
        <f t="shared" si="24"/>
        <v>0</v>
      </c>
      <c r="AJ100" s="98">
        <f t="shared" si="24"/>
        <v>0</v>
      </c>
      <c r="AK100" s="98">
        <f t="shared" si="24"/>
        <v>0</v>
      </c>
    </row>
    <row r="101" spans="1:37" x14ac:dyDescent="0.25">
      <c r="AF101" s="85">
        <f>SUM(AF99:AF100)</f>
        <v>0</v>
      </c>
    </row>
    <row r="102" spans="1:37" x14ac:dyDescent="0.25">
      <c r="B102" s="153" t="s">
        <v>486</v>
      </c>
      <c r="C102" s="153"/>
      <c r="D102" s="153"/>
      <c r="AF102" s="85">
        <f>+AF101*0.16</f>
        <v>0</v>
      </c>
    </row>
    <row r="103" spans="1:37" x14ac:dyDescent="0.25">
      <c r="B103" s="153"/>
      <c r="C103" s="153"/>
      <c r="D103" s="153"/>
      <c r="AF103" s="85">
        <f>+AF101+AF102</f>
        <v>0</v>
      </c>
    </row>
    <row r="104" spans="1:37" x14ac:dyDescent="0.25">
      <c r="B104" s="153"/>
      <c r="C104" s="153"/>
      <c r="D104" s="153"/>
    </row>
    <row r="105" spans="1:37" x14ac:dyDescent="0.25">
      <c r="B105" s="153" t="s">
        <v>487</v>
      </c>
      <c r="C105" s="153"/>
      <c r="D105" s="153"/>
      <c r="AF105" s="85">
        <f>+AF98+AF103</f>
        <v>403634.73795999988</v>
      </c>
    </row>
    <row r="112" spans="1:37" x14ac:dyDescent="0.25">
      <c r="A112" s="111" t="s">
        <v>488</v>
      </c>
      <c r="B112" s="84"/>
      <c r="C112" s="84"/>
    </row>
    <row r="113" spans="1:3" x14ac:dyDescent="0.25">
      <c r="A113" s="111" t="s">
        <v>489</v>
      </c>
      <c r="B113" s="84"/>
      <c r="C113" s="84"/>
    </row>
    <row r="114" spans="1:3" x14ac:dyDescent="0.25">
      <c r="A114" s="111" t="s">
        <v>490</v>
      </c>
      <c r="B114" s="84"/>
      <c r="C114" s="84"/>
    </row>
    <row r="115" spans="1:3" x14ac:dyDescent="0.25">
      <c r="A115" s="111" t="s">
        <v>491</v>
      </c>
      <c r="B115" s="84"/>
      <c r="C115" s="84"/>
    </row>
    <row r="116" spans="1:3" x14ac:dyDescent="0.25">
      <c r="A116" s="111" t="s">
        <v>492</v>
      </c>
      <c r="B116" s="84"/>
      <c r="C116" s="84"/>
    </row>
    <row r="117" spans="1:3" x14ac:dyDescent="0.25">
      <c r="A117" s="111" t="s">
        <v>493</v>
      </c>
      <c r="B117" s="84"/>
      <c r="C117" s="84"/>
    </row>
    <row r="121" spans="1:3" x14ac:dyDescent="0.25">
      <c r="B121" s="92"/>
      <c r="C121" s="154"/>
    </row>
    <row r="122" spans="1:3" x14ac:dyDescent="0.25">
      <c r="B122" s="92"/>
      <c r="C122" s="154"/>
    </row>
    <row r="123" spans="1:3" x14ac:dyDescent="0.25">
      <c r="B123" s="92"/>
      <c r="C123" s="154"/>
    </row>
  </sheetData>
  <mergeCells count="38"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V5:V6"/>
    <mergeCell ref="W5:W6"/>
    <mergeCell ref="X5:X6"/>
    <mergeCell ref="Y5:Y6"/>
    <mergeCell ref="M5:M6"/>
    <mergeCell ref="N5:N6"/>
    <mergeCell ref="O5:O6"/>
    <mergeCell ref="P5:P6"/>
    <mergeCell ref="Q5:Q6"/>
    <mergeCell ref="S5:S6"/>
    <mergeCell ref="AM5:AM6"/>
    <mergeCell ref="A98:B98"/>
    <mergeCell ref="AF5:AF6"/>
    <mergeCell ref="AG5:AG6"/>
    <mergeCell ref="AH5:AH6"/>
    <mergeCell ref="AI5:AJ5"/>
    <mergeCell ref="AK5:AK6"/>
    <mergeCell ref="AL5:AL6"/>
    <mergeCell ref="Z5:Z6"/>
    <mergeCell ref="AA5:AA6"/>
    <mergeCell ref="AB5:AB6"/>
    <mergeCell ref="AC5:AC6"/>
    <mergeCell ref="AD5:AD6"/>
    <mergeCell ref="AE5:AE6"/>
    <mergeCell ref="T5:T6"/>
    <mergeCell ref="U5:U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4</vt:i4>
      </vt:variant>
    </vt:vector>
  </HeadingPairs>
  <TitlesOfParts>
    <vt:vector size="16" baseType="lpstr">
      <vt:lpstr>FACTURACIÓN</vt:lpstr>
      <vt:lpstr>C&amp;A</vt:lpstr>
      <vt:lpstr>SINDICATO</vt:lpstr>
      <vt:lpstr>BANCO C&amp;A (2)</vt:lpstr>
      <vt:lpstr>BANCO  SINDICATO (2)</vt:lpstr>
      <vt:lpstr>INFONAVIT</vt:lpstr>
      <vt:lpstr>Hoja6</vt:lpstr>
      <vt:lpstr>Hoja2</vt:lpstr>
      <vt:lpstr>Hoja4</vt:lpstr>
      <vt:lpstr>Hoja3</vt:lpstr>
      <vt:lpstr>Hoja1</vt:lpstr>
      <vt:lpstr>Hoja5</vt:lpstr>
      <vt:lpstr>'C&amp;A'!Área_de_impresión</vt:lpstr>
      <vt:lpstr>Hoja3!Área_de_impresión</vt:lpstr>
      <vt:lpstr>Hoja6!Área_de_impresión</vt:lpstr>
      <vt:lpstr>SINDICATO!Área_de_impresión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Lizbeth</dc:creator>
  <cp:lastModifiedBy>ljimenez</cp:lastModifiedBy>
  <cp:lastPrinted>2016-03-08T23:43:43Z</cp:lastPrinted>
  <dcterms:created xsi:type="dcterms:W3CDTF">2016-01-16T18:25:25Z</dcterms:created>
  <dcterms:modified xsi:type="dcterms:W3CDTF">2016-03-08T23:43:48Z</dcterms:modified>
</cp:coreProperties>
</file>