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CONSULTORES\SEMANA\"/>
    </mc:Choice>
  </mc:AlternateContent>
  <bookViews>
    <workbookView xWindow="0" yWindow="0" windowWidth="28800" windowHeight="11445"/>
  </bookViews>
  <sheets>
    <sheet name="FACTURACIÓN" sheetId="1" r:id="rId1"/>
    <sheet name="C&amp;A" sheetId="4" r:id="rId2"/>
    <sheet name="SINDICATO" sheetId="2" r:id="rId3"/>
    <sheet name="INFONAVIT" sheetId="5" r:id="rId4"/>
    <sheet name="Hoja2" sheetId="7" r:id="rId5"/>
    <sheet name="Hoja1" sheetId="8" r:id="rId6"/>
    <sheet name="Hoja3" sheetId="9" r:id="rId7"/>
    <sheet name="Hoja4" sheetId="10" r:id="rId8"/>
  </sheets>
  <definedNames>
    <definedName name="_xlnm._FilterDatabase" localSheetId="0" hidden="1">FACTURACIÓN!$A$8:$BZ$92</definedName>
  </definedNames>
  <calcPr calcId="152511"/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" i="1"/>
  <c r="F45" i="4"/>
  <c r="F19" i="4"/>
  <c r="N11" i="2"/>
  <c r="N12" i="2"/>
  <c r="N13" i="2"/>
  <c r="N14" i="2"/>
  <c r="N15" i="2"/>
  <c r="N16" i="2"/>
  <c r="N17" i="2"/>
  <c r="N18" i="2"/>
  <c r="N19" i="2"/>
  <c r="K20" i="2"/>
  <c r="N20" i="2"/>
  <c r="N22" i="2"/>
  <c r="N23" i="2"/>
  <c r="N24" i="2"/>
  <c r="N25" i="2"/>
  <c r="N26" i="2"/>
  <c r="N28" i="2"/>
  <c r="N29" i="2"/>
  <c r="N30" i="2"/>
  <c r="N31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G48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G73" i="2"/>
  <c r="N73" i="2"/>
  <c r="F74" i="2"/>
  <c r="N74" i="2"/>
  <c r="N75" i="2"/>
  <c r="N76" i="2"/>
  <c r="N77" i="2"/>
  <c r="F78" i="2"/>
  <c r="N78" i="2"/>
  <c r="N79" i="2"/>
  <c r="N80" i="2"/>
  <c r="N81" i="2"/>
  <c r="N82" i="2"/>
  <c r="N83" i="2"/>
  <c r="H84" i="2"/>
  <c r="N84" i="2"/>
  <c r="N85" i="2"/>
  <c r="N86" i="2"/>
  <c r="N87" i="2"/>
  <c r="N88" i="2"/>
  <c r="N89" i="2"/>
  <c r="N90" i="2"/>
  <c r="N91" i="2"/>
  <c r="N92" i="2"/>
  <c r="N93" i="2"/>
  <c r="N10" i="2"/>
  <c r="F10" i="2"/>
  <c r="J68" i="4"/>
  <c r="E68" i="4"/>
  <c r="J59" i="4"/>
  <c r="E59" i="4"/>
  <c r="J50" i="4"/>
  <c r="E50" i="4"/>
  <c r="J37" i="4"/>
  <c r="K37" i="4" s="1"/>
  <c r="C95" i="4"/>
  <c r="D95" i="4"/>
  <c r="G95" i="4"/>
  <c r="H95" i="4"/>
  <c r="BH110" i="1"/>
  <c r="M110" i="1"/>
  <c r="J110" i="1"/>
  <c r="V110" i="1" s="1"/>
  <c r="I110" i="1"/>
  <c r="H110" i="1"/>
  <c r="G110" i="1"/>
  <c r="E110" i="1"/>
  <c r="D110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D29" i="1"/>
  <c r="D19" i="1"/>
  <c r="O10" i="1"/>
  <c r="M11" i="2" s="1"/>
  <c r="O11" i="1"/>
  <c r="M12" i="2" s="1"/>
  <c r="O12" i="1"/>
  <c r="M13" i="2" s="1"/>
  <c r="O13" i="1"/>
  <c r="M14" i="2" s="1"/>
  <c r="O14" i="1"/>
  <c r="M15" i="2" s="1"/>
  <c r="O15" i="1"/>
  <c r="M16" i="2" s="1"/>
  <c r="O16" i="1"/>
  <c r="M17" i="2" s="1"/>
  <c r="O17" i="1"/>
  <c r="M18" i="2" s="1"/>
  <c r="O18" i="1"/>
  <c r="M19" i="2" s="1"/>
  <c r="O19" i="1"/>
  <c r="M20" i="2" s="1"/>
  <c r="O20" i="1"/>
  <c r="M21" i="2" s="1"/>
  <c r="O21" i="1"/>
  <c r="M22" i="2" s="1"/>
  <c r="O22" i="1"/>
  <c r="M23" i="2" s="1"/>
  <c r="O23" i="1"/>
  <c r="M24" i="2" s="1"/>
  <c r="O24" i="1"/>
  <c r="M25" i="2" s="1"/>
  <c r="O25" i="1"/>
  <c r="M26" i="2" s="1"/>
  <c r="O26" i="1"/>
  <c r="M27" i="2" s="1"/>
  <c r="O27" i="1"/>
  <c r="M28" i="2" s="1"/>
  <c r="O28" i="1"/>
  <c r="M29" i="2" s="1"/>
  <c r="O29" i="1"/>
  <c r="M30" i="2" s="1"/>
  <c r="O30" i="1"/>
  <c r="M31" i="2" s="1"/>
  <c r="O31" i="1"/>
  <c r="M32" i="2" s="1"/>
  <c r="O32" i="1"/>
  <c r="M33" i="2" s="1"/>
  <c r="O33" i="1"/>
  <c r="M34" i="2" s="1"/>
  <c r="O34" i="1"/>
  <c r="M35" i="2" s="1"/>
  <c r="O35" i="1"/>
  <c r="M36" i="2" s="1"/>
  <c r="O36" i="1"/>
  <c r="M37" i="2" s="1"/>
  <c r="O37" i="1"/>
  <c r="M38" i="2" s="1"/>
  <c r="O38" i="1"/>
  <c r="M39" i="2" s="1"/>
  <c r="O39" i="1"/>
  <c r="M40" i="2" s="1"/>
  <c r="O40" i="1"/>
  <c r="M41" i="2" s="1"/>
  <c r="O41" i="1"/>
  <c r="M42" i="2" s="1"/>
  <c r="O42" i="1"/>
  <c r="M43" i="2" s="1"/>
  <c r="O43" i="1"/>
  <c r="M44" i="2" s="1"/>
  <c r="O44" i="1"/>
  <c r="M45" i="2" s="1"/>
  <c r="O45" i="1"/>
  <c r="M46" i="2" s="1"/>
  <c r="O46" i="1"/>
  <c r="M47" i="2" s="1"/>
  <c r="O47" i="1"/>
  <c r="M48" i="2" s="1"/>
  <c r="O48" i="1"/>
  <c r="M49" i="2" s="1"/>
  <c r="O49" i="1"/>
  <c r="M50" i="2" s="1"/>
  <c r="O50" i="1"/>
  <c r="M51" i="2" s="1"/>
  <c r="O51" i="1"/>
  <c r="M52" i="2" s="1"/>
  <c r="O52" i="1"/>
  <c r="M53" i="2" s="1"/>
  <c r="O53" i="1"/>
  <c r="M54" i="2" s="1"/>
  <c r="O54" i="1"/>
  <c r="M55" i="2" s="1"/>
  <c r="O55" i="1"/>
  <c r="M56" i="2" s="1"/>
  <c r="O56" i="1"/>
  <c r="M57" i="2" s="1"/>
  <c r="O57" i="1"/>
  <c r="M58" i="2" s="1"/>
  <c r="O58" i="1"/>
  <c r="M59" i="2" s="1"/>
  <c r="O59" i="1"/>
  <c r="M60" i="2" s="1"/>
  <c r="O60" i="1"/>
  <c r="M61" i="2" s="1"/>
  <c r="O61" i="1"/>
  <c r="M62" i="2" s="1"/>
  <c r="O62" i="1"/>
  <c r="M63" i="2" s="1"/>
  <c r="O63" i="1"/>
  <c r="M64" i="2" s="1"/>
  <c r="O64" i="1"/>
  <c r="M65" i="2" s="1"/>
  <c r="O65" i="1"/>
  <c r="M66" i="2" s="1"/>
  <c r="O66" i="1"/>
  <c r="M67" i="2" s="1"/>
  <c r="O67" i="1"/>
  <c r="M68" i="2" s="1"/>
  <c r="O68" i="1"/>
  <c r="M69" i="2" s="1"/>
  <c r="O69" i="1"/>
  <c r="M70" i="2" s="1"/>
  <c r="O70" i="1"/>
  <c r="M71" i="2" s="1"/>
  <c r="O71" i="1"/>
  <c r="M72" i="2" s="1"/>
  <c r="O72" i="1"/>
  <c r="M73" i="2" s="1"/>
  <c r="O73" i="1"/>
  <c r="M74" i="2" s="1"/>
  <c r="O74" i="1"/>
  <c r="M75" i="2" s="1"/>
  <c r="O75" i="1"/>
  <c r="M76" i="2" s="1"/>
  <c r="O76" i="1"/>
  <c r="M77" i="2" s="1"/>
  <c r="O77" i="1"/>
  <c r="M78" i="2" s="1"/>
  <c r="O78" i="1"/>
  <c r="M79" i="2" s="1"/>
  <c r="O79" i="1"/>
  <c r="M80" i="2" s="1"/>
  <c r="O80" i="1"/>
  <c r="M81" i="2" s="1"/>
  <c r="O81" i="1"/>
  <c r="M82" i="2" s="1"/>
  <c r="O82" i="1"/>
  <c r="M83" i="2" s="1"/>
  <c r="O83" i="1"/>
  <c r="M84" i="2" s="1"/>
  <c r="O84" i="1"/>
  <c r="M85" i="2" s="1"/>
  <c r="O85" i="1"/>
  <c r="M86" i="2" s="1"/>
  <c r="O86" i="1"/>
  <c r="M87" i="2" s="1"/>
  <c r="O87" i="1"/>
  <c r="M88" i="2" s="1"/>
  <c r="O88" i="1"/>
  <c r="M89" i="2" s="1"/>
  <c r="O89" i="1"/>
  <c r="M90" i="2" s="1"/>
  <c r="O90" i="1"/>
  <c r="M91" i="2" s="1"/>
  <c r="O91" i="1"/>
  <c r="M92" i="2" s="1"/>
  <c r="O92" i="1"/>
  <c r="M93" i="2" s="1"/>
  <c r="O9" i="1"/>
  <c r="M10" i="2" s="1"/>
  <c r="N12" i="1"/>
  <c r="L13" i="2" s="1"/>
  <c r="M10" i="1"/>
  <c r="K11" i="2" s="1"/>
  <c r="M11" i="1"/>
  <c r="K12" i="2" s="1"/>
  <c r="M12" i="1"/>
  <c r="K13" i="2" s="1"/>
  <c r="M13" i="1"/>
  <c r="K14" i="2" s="1"/>
  <c r="M14" i="1"/>
  <c r="K15" i="2" s="1"/>
  <c r="M15" i="1"/>
  <c r="K16" i="2" s="1"/>
  <c r="M16" i="1"/>
  <c r="K17" i="2" s="1"/>
  <c r="M17" i="1"/>
  <c r="K18" i="2" s="1"/>
  <c r="M18" i="1"/>
  <c r="K19" i="2" s="1"/>
  <c r="M20" i="1"/>
  <c r="K21" i="2" s="1"/>
  <c r="M21" i="1"/>
  <c r="K22" i="2" s="1"/>
  <c r="M22" i="1"/>
  <c r="K23" i="2" s="1"/>
  <c r="M23" i="1"/>
  <c r="K24" i="2" s="1"/>
  <c r="M24" i="1"/>
  <c r="K25" i="2" s="1"/>
  <c r="M25" i="1"/>
  <c r="K26" i="2" s="1"/>
  <c r="M28" i="1"/>
  <c r="K29" i="2" s="1"/>
  <c r="M29" i="1"/>
  <c r="K30" i="2" s="1"/>
  <c r="M30" i="1"/>
  <c r="K31" i="2" s="1"/>
  <c r="M31" i="1"/>
  <c r="K32" i="2" s="1"/>
  <c r="M32" i="1"/>
  <c r="K33" i="2" s="1"/>
  <c r="M33" i="1"/>
  <c r="K34" i="2" s="1"/>
  <c r="M34" i="1"/>
  <c r="K35" i="2" s="1"/>
  <c r="M35" i="1"/>
  <c r="K36" i="2" s="1"/>
  <c r="M36" i="1"/>
  <c r="K37" i="2" s="1"/>
  <c r="M37" i="1"/>
  <c r="K38" i="2" s="1"/>
  <c r="M38" i="1"/>
  <c r="K39" i="2" s="1"/>
  <c r="M39" i="1"/>
  <c r="K40" i="2" s="1"/>
  <c r="M40" i="1"/>
  <c r="K41" i="2" s="1"/>
  <c r="M41" i="1"/>
  <c r="K42" i="2" s="1"/>
  <c r="M42" i="1"/>
  <c r="K43" i="2" s="1"/>
  <c r="M43" i="1"/>
  <c r="K44" i="2" s="1"/>
  <c r="M44" i="1"/>
  <c r="K45" i="2" s="1"/>
  <c r="M45" i="1"/>
  <c r="K46" i="2" s="1"/>
  <c r="M46" i="1"/>
  <c r="K47" i="2" s="1"/>
  <c r="M47" i="1"/>
  <c r="K48" i="2" s="1"/>
  <c r="M48" i="1"/>
  <c r="K49" i="2" s="1"/>
  <c r="M49" i="1"/>
  <c r="K50" i="2" s="1"/>
  <c r="M50" i="1"/>
  <c r="K51" i="2" s="1"/>
  <c r="M51" i="1"/>
  <c r="K52" i="2" s="1"/>
  <c r="M52" i="1"/>
  <c r="K53" i="2" s="1"/>
  <c r="M53" i="1"/>
  <c r="K54" i="2" s="1"/>
  <c r="M54" i="1"/>
  <c r="K55" i="2" s="1"/>
  <c r="M55" i="1"/>
  <c r="K56" i="2" s="1"/>
  <c r="M57" i="1"/>
  <c r="K58" i="2" s="1"/>
  <c r="M58" i="1"/>
  <c r="K59" i="2" s="1"/>
  <c r="M59" i="1"/>
  <c r="K60" i="2" s="1"/>
  <c r="M60" i="1"/>
  <c r="K61" i="2" s="1"/>
  <c r="M61" i="1"/>
  <c r="K62" i="2" s="1"/>
  <c r="M62" i="1"/>
  <c r="K63" i="2" s="1"/>
  <c r="M63" i="1"/>
  <c r="K64" i="2" s="1"/>
  <c r="M64" i="1"/>
  <c r="K65" i="2" s="1"/>
  <c r="M65" i="1"/>
  <c r="K66" i="2" s="1"/>
  <c r="M66" i="1"/>
  <c r="K67" i="2" s="1"/>
  <c r="M67" i="1"/>
  <c r="K68" i="2" s="1"/>
  <c r="M68" i="1"/>
  <c r="K69" i="2" s="1"/>
  <c r="M69" i="1"/>
  <c r="K70" i="2" s="1"/>
  <c r="M70" i="1"/>
  <c r="K71" i="2" s="1"/>
  <c r="M71" i="1"/>
  <c r="K72" i="2" s="1"/>
  <c r="M72" i="1"/>
  <c r="K73" i="2" s="1"/>
  <c r="M73" i="1"/>
  <c r="K74" i="2" s="1"/>
  <c r="M74" i="1"/>
  <c r="K75" i="2" s="1"/>
  <c r="M76" i="1"/>
  <c r="K77" i="2" s="1"/>
  <c r="M77" i="1"/>
  <c r="K78" i="2" s="1"/>
  <c r="M78" i="1"/>
  <c r="K79" i="2" s="1"/>
  <c r="M79" i="1"/>
  <c r="K80" i="2" s="1"/>
  <c r="M80" i="1"/>
  <c r="K81" i="2" s="1"/>
  <c r="M81" i="1"/>
  <c r="K82" i="2" s="1"/>
  <c r="M83" i="1"/>
  <c r="K84" i="2" s="1"/>
  <c r="M84" i="1"/>
  <c r="K85" i="2" s="1"/>
  <c r="M85" i="1"/>
  <c r="K86" i="2" s="1"/>
  <c r="M86" i="1"/>
  <c r="K87" i="2" s="1"/>
  <c r="M88" i="1"/>
  <c r="K89" i="2" s="1"/>
  <c r="M89" i="1"/>
  <c r="K90" i="2" s="1"/>
  <c r="M90" i="1"/>
  <c r="K91" i="2" s="1"/>
  <c r="M91" i="1"/>
  <c r="K92" i="2" s="1"/>
  <c r="M92" i="1"/>
  <c r="K93" i="2" s="1"/>
  <c r="M9" i="1"/>
  <c r="K10" i="2" s="1"/>
  <c r="I10" i="1"/>
  <c r="G11" i="2" s="1"/>
  <c r="J10" i="1"/>
  <c r="K10" i="1"/>
  <c r="I11" i="2" s="1"/>
  <c r="L10" i="1"/>
  <c r="J11" i="2" s="1"/>
  <c r="I11" i="1"/>
  <c r="G12" i="2" s="1"/>
  <c r="L11" i="1"/>
  <c r="J12" i="2" s="1"/>
  <c r="I12" i="1"/>
  <c r="G13" i="2" s="1"/>
  <c r="J12" i="1"/>
  <c r="K12" i="1"/>
  <c r="I13" i="2" s="1"/>
  <c r="L12" i="1"/>
  <c r="J13" i="2" s="1"/>
  <c r="I13" i="1"/>
  <c r="G14" i="2" s="1"/>
  <c r="J13" i="1"/>
  <c r="K13" i="1"/>
  <c r="I14" i="2" s="1"/>
  <c r="L13" i="1"/>
  <c r="J14" i="2" s="1"/>
  <c r="I14" i="1"/>
  <c r="G15" i="2" s="1"/>
  <c r="J14" i="1"/>
  <c r="K14" i="1"/>
  <c r="I15" i="2" s="1"/>
  <c r="L14" i="1"/>
  <c r="J15" i="2" s="1"/>
  <c r="I15" i="1"/>
  <c r="G16" i="2" s="1"/>
  <c r="J15" i="1"/>
  <c r="K15" i="1"/>
  <c r="I16" i="2" s="1"/>
  <c r="L15" i="1"/>
  <c r="J16" i="2" s="1"/>
  <c r="I16" i="1"/>
  <c r="G17" i="2" s="1"/>
  <c r="J16" i="1"/>
  <c r="K16" i="1"/>
  <c r="I17" i="2" s="1"/>
  <c r="L16" i="1"/>
  <c r="J17" i="2" s="1"/>
  <c r="I17" i="1"/>
  <c r="G18" i="2" s="1"/>
  <c r="J17" i="1"/>
  <c r="K17" i="1"/>
  <c r="I18" i="2" s="1"/>
  <c r="L17" i="1"/>
  <c r="J18" i="2" s="1"/>
  <c r="I18" i="1"/>
  <c r="G19" i="2" s="1"/>
  <c r="L18" i="1"/>
  <c r="J19" i="2" s="1"/>
  <c r="I19" i="1"/>
  <c r="G20" i="2" s="1"/>
  <c r="J19" i="1"/>
  <c r="K19" i="1"/>
  <c r="I20" i="2" s="1"/>
  <c r="L19" i="1"/>
  <c r="J20" i="2" s="1"/>
  <c r="I20" i="1"/>
  <c r="G21" i="2" s="1"/>
  <c r="J20" i="1"/>
  <c r="K20" i="1"/>
  <c r="I21" i="2" s="1"/>
  <c r="L20" i="1"/>
  <c r="J21" i="2" s="1"/>
  <c r="I21" i="1"/>
  <c r="G22" i="2" s="1"/>
  <c r="J21" i="1"/>
  <c r="K21" i="1"/>
  <c r="I22" i="2" s="1"/>
  <c r="L21" i="1"/>
  <c r="J22" i="2" s="1"/>
  <c r="I22" i="1"/>
  <c r="G23" i="2" s="1"/>
  <c r="J22" i="1"/>
  <c r="K22" i="1"/>
  <c r="I23" i="2" s="1"/>
  <c r="L22" i="1"/>
  <c r="J23" i="2" s="1"/>
  <c r="I23" i="1"/>
  <c r="G24" i="2" s="1"/>
  <c r="L23" i="1"/>
  <c r="J24" i="2" s="1"/>
  <c r="I24" i="1"/>
  <c r="G25" i="2" s="1"/>
  <c r="J24" i="1"/>
  <c r="K24" i="1"/>
  <c r="I25" i="2" s="1"/>
  <c r="L24" i="1"/>
  <c r="J25" i="2" s="1"/>
  <c r="K25" i="1"/>
  <c r="I26" i="2" s="1"/>
  <c r="L25" i="1"/>
  <c r="J26" i="2" s="1"/>
  <c r="I26" i="1"/>
  <c r="G27" i="2" s="1"/>
  <c r="J26" i="1"/>
  <c r="K26" i="1"/>
  <c r="I27" i="2" s="1"/>
  <c r="L26" i="1"/>
  <c r="J27" i="2" s="1"/>
  <c r="I27" i="1"/>
  <c r="G28" i="2" s="1"/>
  <c r="J27" i="1"/>
  <c r="K27" i="1"/>
  <c r="I28" i="2" s="1"/>
  <c r="L27" i="1"/>
  <c r="J28" i="2" s="1"/>
  <c r="I28" i="1"/>
  <c r="G29" i="2" s="1"/>
  <c r="J28" i="1"/>
  <c r="K28" i="1"/>
  <c r="I29" i="2" s="1"/>
  <c r="L28" i="1"/>
  <c r="J29" i="2" s="1"/>
  <c r="I29" i="1"/>
  <c r="G30" i="2" s="1"/>
  <c r="J29" i="1"/>
  <c r="V29" i="1" s="1"/>
  <c r="K29" i="1"/>
  <c r="I30" i="2" s="1"/>
  <c r="L29" i="1"/>
  <c r="J30" i="2" s="1"/>
  <c r="I30" i="1"/>
  <c r="G31" i="2" s="1"/>
  <c r="J30" i="1"/>
  <c r="K30" i="1"/>
  <c r="I31" i="2" s="1"/>
  <c r="L30" i="1"/>
  <c r="J31" i="2" s="1"/>
  <c r="I31" i="1"/>
  <c r="G32" i="2" s="1"/>
  <c r="J31" i="1"/>
  <c r="K31" i="1"/>
  <c r="I32" i="2" s="1"/>
  <c r="L31" i="1"/>
  <c r="J32" i="2" s="1"/>
  <c r="I32" i="1"/>
  <c r="G33" i="2" s="1"/>
  <c r="J32" i="1"/>
  <c r="K32" i="1"/>
  <c r="I33" i="2" s="1"/>
  <c r="L32" i="1"/>
  <c r="J33" i="2" s="1"/>
  <c r="I33" i="1"/>
  <c r="G34" i="2" s="1"/>
  <c r="L33" i="1"/>
  <c r="J34" i="2" s="1"/>
  <c r="I34" i="1"/>
  <c r="G35" i="2" s="1"/>
  <c r="L34" i="1"/>
  <c r="J35" i="2" s="1"/>
  <c r="I35" i="1"/>
  <c r="G36" i="2" s="1"/>
  <c r="J35" i="1"/>
  <c r="K35" i="1"/>
  <c r="I36" i="2" s="1"/>
  <c r="L35" i="1"/>
  <c r="J36" i="2" s="1"/>
  <c r="I36" i="1"/>
  <c r="G37" i="2" s="1"/>
  <c r="J36" i="1"/>
  <c r="K36" i="1"/>
  <c r="I37" i="2" s="1"/>
  <c r="L36" i="1"/>
  <c r="J37" i="2" s="1"/>
  <c r="I37" i="1"/>
  <c r="G38" i="2" s="1"/>
  <c r="J37" i="1"/>
  <c r="K37" i="1"/>
  <c r="I38" i="2" s="1"/>
  <c r="L37" i="1"/>
  <c r="J38" i="2" s="1"/>
  <c r="I38" i="1"/>
  <c r="G39" i="2" s="1"/>
  <c r="J38" i="1"/>
  <c r="K38" i="1"/>
  <c r="I39" i="2" s="1"/>
  <c r="L38" i="1"/>
  <c r="J39" i="2" s="1"/>
  <c r="I39" i="1"/>
  <c r="G40" i="2" s="1"/>
  <c r="J39" i="1"/>
  <c r="K39" i="1"/>
  <c r="I40" i="2" s="1"/>
  <c r="L39" i="1"/>
  <c r="J40" i="2" s="1"/>
  <c r="I40" i="1"/>
  <c r="G41" i="2" s="1"/>
  <c r="J40" i="1"/>
  <c r="K40" i="1"/>
  <c r="I41" i="2" s="1"/>
  <c r="L40" i="1"/>
  <c r="J41" i="2" s="1"/>
  <c r="I41" i="1"/>
  <c r="G42" i="2" s="1"/>
  <c r="J41" i="1"/>
  <c r="V41" i="1" s="1"/>
  <c r="K41" i="1"/>
  <c r="I42" i="2" s="1"/>
  <c r="L41" i="1"/>
  <c r="J42" i="2" s="1"/>
  <c r="I42" i="1"/>
  <c r="G43" i="2" s="1"/>
  <c r="J42" i="1"/>
  <c r="K42" i="1"/>
  <c r="I43" i="2" s="1"/>
  <c r="L42" i="1"/>
  <c r="J43" i="2" s="1"/>
  <c r="I43" i="1"/>
  <c r="G44" i="2" s="1"/>
  <c r="J43" i="1"/>
  <c r="K43" i="1"/>
  <c r="I44" i="2" s="1"/>
  <c r="L43" i="1"/>
  <c r="J44" i="2" s="1"/>
  <c r="I44" i="1"/>
  <c r="G45" i="2" s="1"/>
  <c r="J44" i="1"/>
  <c r="K44" i="1"/>
  <c r="I45" i="2" s="1"/>
  <c r="L44" i="1"/>
  <c r="J45" i="2" s="1"/>
  <c r="I45" i="1"/>
  <c r="G46" i="2" s="1"/>
  <c r="J45" i="1"/>
  <c r="K45" i="1"/>
  <c r="I46" i="2" s="1"/>
  <c r="L45" i="1"/>
  <c r="J46" i="2" s="1"/>
  <c r="I46" i="1"/>
  <c r="G47" i="2" s="1"/>
  <c r="J46" i="1"/>
  <c r="V46" i="1" s="1"/>
  <c r="K46" i="1"/>
  <c r="I47" i="2" s="1"/>
  <c r="L46" i="1"/>
  <c r="J47" i="2" s="1"/>
  <c r="I47" i="1"/>
  <c r="J47" i="1"/>
  <c r="K47" i="1"/>
  <c r="I48" i="2" s="1"/>
  <c r="L47" i="1"/>
  <c r="J48" i="2" s="1"/>
  <c r="I48" i="1"/>
  <c r="G49" i="2" s="1"/>
  <c r="L48" i="1"/>
  <c r="J49" i="2" s="1"/>
  <c r="I49" i="1"/>
  <c r="G50" i="2" s="1"/>
  <c r="J49" i="1"/>
  <c r="K49" i="1"/>
  <c r="I50" i="2" s="1"/>
  <c r="L49" i="1"/>
  <c r="J50" i="2" s="1"/>
  <c r="I50" i="1"/>
  <c r="G51" i="2" s="1"/>
  <c r="L50" i="1"/>
  <c r="J51" i="2" s="1"/>
  <c r="I51" i="1"/>
  <c r="G52" i="2" s="1"/>
  <c r="J51" i="1"/>
  <c r="K51" i="1"/>
  <c r="I52" i="2" s="1"/>
  <c r="L51" i="1"/>
  <c r="J52" i="2" s="1"/>
  <c r="I52" i="1"/>
  <c r="G53" i="2" s="1"/>
  <c r="J52" i="1"/>
  <c r="L52" i="1"/>
  <c r="J53" i="2" s="1"/>
  <c r="I53" i="1"/>
  <c r="G54" i="2" s="1"/>
  <c r="J53" i="1"/>
  <c r="K53" i="1"/>
  <c r="I54" i="2" s="1"/>
  <c r="L53" i="1"/>
  <c r="J54" i="2" s="1"/>
  <c r="I54" i="1"/>
  <c r="G55" i="2" s="1"/>
  <c r="J54" i="1"/>
  <c r="V54" i="1" s="1"/>
  <c r="K54" i="1"/>
  <c r="I55" i="2" s="1"/>
  <c r="L54" i="1"/>
  <c r="J55" i="2" s="1"/>
  <c r="I55" i="1"/>
  <c r="G56" i="2" s="1"/>
  <c r="J55" i="1"/>
  <c r="K55" i="1"/>
  <c r="I56" i="2" s="1"/>
  <c r="L55" i="1"/>
  <c r="J56" i="2" s="1"/>
  <c r="I56" i="1"/>
  <c r="G57" i="2" s="1"/>
  <c r="J56" i="1"/>
  <c r="K56" i="1"/>
  <c r="I57" i="2" s="1"/>
  <c r="L56" i="1"/>
  <c r="J57" i="2" s="1"/>
  <c r="I57" i="1"/>
  <c r="G58" i="2" s="1"/>
  <c r="J57" i="1"/>
  <c r="K57" i="1"/>
  <c r="I58" i="2" s="1"/>
  <c r="L57" i="1"/>
  <c r="J58" i="2" s="1"/>
  <c r="I58" i="1"/>
  <c r="G59" i="2" s="1"/>
  <c r="J58" i="1"/>
  <c r="K58" i="1"/>
  <c r="I59" i="2" s="1"/>
  <c r="L58" i="1"/>
  <c r="J59" i="2" s="1"/>
  <c r="I59" i="1"/>
  <c r="G60" i="2" s="1"/>
  <c r="J59" i="1"/>
  <c r="V59" i="1" s="1"/>
  <c r="K59" i="1"/>
  <c r="I60" i="2" s="1"/>
  <c r="L59" i="1"/>
  <c r="J60" i="2" s="1"/>
  <c r="K60" i="1"/>
  <c r="I61" i="2" s="1"/>
  <c r="L60" i="1"/>
  <c r="J61" i="2" s="1"/>
  <c r="I61" i="1"/>
  <c r="G62" i="2" s="1"/>
  <c r="L61" i="1"/>
  <c r="J62" i="2" s="1"/>
  <c r="I62" i="1"/>
  <c r="G63" i="2" s="1"/>
  <c r="J62" i="1"/>
  <c r="K62" i="1"/>
  <c r="I63" i="2" s="1"/>
  <c r="L62" i="1"/>
  <c r="J63" i="2" s="1"/>
  <c r="I63" i="1"/>
  <c r="G64" i="2" s="1"/>
  <c r="L63" i="1"/>
  <c r="J64" i="2" s="1"/>
  <c r="I64" i="1"/>
  <c r="G65" i="2" s="1"/>
  <c r="J64" i="1"/>
  <c r="V64" i="1" s="1"/>
  <c r="K64" i="1"/>
  <c r="I65" i="2" s="1"/>
  <c r="L64" i="1"/>
  <c r="J65" i="2" s="1"/>
  <c r="I65" i="1"/>
  <c r="G66" i="2" s="1"/>
  <c r="J65" i="1"/>
  <c r="K65" i="1"/>
  <c r="I66" i="2" s="1"/>
  <c r="L65" i="1"/>
  <c r="J66" i="2" s="1"/>
  <c r="I66" i="1"/>
  <c r="G67" i="2" s="1"/>
  <c r="J66" i="1"/>
  <c r="K66" i="1"/>
  <c r="I67" i="2" s="1"/>
  <c r="L66" i="1"/>
  <c r="J67" i="2" s="1"/>
  <c r="I67" i="1"/>
  <c r="G68" i="2" s="1"/>
  <c r="J67" i="1"/>
  <c r="V67" i="1" s="1"/>
  <c r="K67" i="1"/>
  <c r="I68" i="2" s="1"/>
  <c r="L67" i="1"/>
  <c r="J68" i="2" s="1"/>
  <c r="I68" i="1"/>
  <c r="G69" i="2" s="1"/>
  <c r="L68" i="1"/>
  <c r="J69" i="2" s="1"/>
  <c r="I69" i="1"/>
  <c r="G70" i="2" s="1"/>
  <c r="L69" i="1"/>
  <c r="J70" i="2" s="1"/>
  <c r="I70" i="1"/>
  <c r="G71" i="2" s="1"/>
  <c r="J70" i="1"/>
  <c r="V70" i="1" s="1"/>
  <c r="K70" i="1"/>
  <c r="I71" i="2" s="1"/>
  <c r="L70" i="1"/>
  <c r="J71" i="2" s="1"/>
  <c r="I71" i="1"/>
  <c r="G72" i="2" s="1"/>
  <c r="J71" i="1"/>
  <c r="V71" i="1" s="1"/>
  <c r="K71" i="1"/>
  <c r="I72" i="2" s="1"/>
  <c r="L71" i="1"/>
  <c r="J72" i="2" s="1"/>
  <c r="I72" i="1"/>
  <c r="L72" i="1"/>
  <c r="J73" i="2" s="1"/>
  <c r="I73" i="1"/>
  <c r="G74" i="2" s="1"/>
  <c r="J73" i="1"/>
  <c r="V73" i="1" s="1"/>
  <c r="K73" i="1"/>
  <c r="I74" i="2" s="1"/>
  <c r="L73" i="1"/>
  <c r="J74" i="2" s="1"/>
  <c r="I74" i="1"/>
  <c r="G75" i="2" s="1"/>
  <c r="J74" i="1"/>
  <c r="V74" i="1" s="1"/>
  <c r="K74" i="1"/>
  <c r="I75" i="2" s="1"/>
  <c r="L74" i="1"/>
  <c r="J75" i="2" s="1"/>
  <c r="I75" i="1"/>
  <c r="G76" i="2" s="1"/>
  <c r="J75" i="1"/>
  <c r="V75" i="1" s="1"/>
  <c r="K75" i="1"/>
  <c r="I76" i="2" s="1"/>
  <c r="L75" i="1"/>
  <c r="J76" i="2" s="1"/>
  <c r="I76" i="1"/>
  <c r="G77" i="2" s="1"/>
  <c r="J76" i="1"/>
  <c r="V76" i="1" s="1"/>
  <c r="K76" i="1"/>
  <c r="I77" i="2" s="1"/>
  <c r="L76" i="1"/>
  <c r="J77" i="2" s="1"/>
  <c r="I77" i="1"/>
  <c r="G78" i="2" s="1"/>
  <c r="J77" i="1"/>
  <c r="V77" i="1" s="1"/>
  <c r="K77" i="1"/>
  <c r="I78" i="2" s="1"/>
  <c r="L77" i="1"/>
  <c r="J78" i="2" s="1"/>
  <c r="I78" i="1"/>
  <c r="G79" i="2" s="1"/>
  <c r="J78" i="1"/>
  <c r="V78" i="1" s="1"/>
  <c r="K78" i="1"/>
  <c r="I79" i="2" s="1"/>
  <c r="L78" i="1"/>
  <c r="J79" i="2" s="1"/>
  <c r="I79" i="1"/>
  <c r="G80" i="2" s="1"/>
  <c r="L79" i="1"/>
  <c r="J80" i="2" s="1"/>
  <c r="I80" i="1"/>
  <c r="G81" i="2" s="1"/>
  <c r="L80" i="1"/>
  <c r="J81" i="2" s="1"/>
  <c r="I81" i="1"/>
  <c r="G82" i="2" s="1"/>
  <c r="J81" i="1"/>
  <c r="V81" i="1" s="1"/>
  <c r="K81" i="1"/>
  <c r="I82" i="2" s="1"/>
  <c r="L81" i="1"/>
  <c r="J82" i="2" s="1"/>
  <c r="I82" i="1"/>
  <c r="G83" i="2" s="1"/>
  <c r="J82" i="1"/>
  <c r="V82" i="1" s="1"/>
  <c r="K82" i="1"/>
  <c r="I83" i="2" s="1"/>
  <c r="L82" i="1"/>
  <c r="J83" i="2" s="1"/>
  <c r="I83" i="1"/>
  <c r="G84" i="2" s="1"/>
  <c r="J83" i="1"/>
  <c r="V83" i="1" s="1"/>
  <c r="K83" i="1"/>
  <c r="I84" i="2" s="1"/>
  <c r="L83" i="1"/>
  <c r="J84" i="2" s="1"/>
  <c r="I84" i="1"/>
  <c r="G85" i="2" s="1"/>
  <c r="J84" i="1"/>
  <c r="V84" i="1" s="1"/>
  <c r="K84" i="1"/>
  <c r="I85" i="2" s="1"/>
  <c r="L84" i="1"/>
  <c r="J85" i="2" s="1"/>
  <c r="I85" i="1"/>
  <c r="G86" i="2" s="1"/>
  <c r="J85" i="1"/>
  <c r="V85" i="1" s="1"/>
  <c r="K85" i="1"/>
  <c r="I86" i="2" s="1"/>
  <c r="L85" i="1"/>
  <c r="J86" i="2" s="1"/>
  <c r="I86" i="1"/>
  <c r="G87" i="2" s="1"/>
  <c r="J86" i="1"/>
  <c r="V86" i="1" s="1"/>
  <c r="K86" i="1"/>
  <c r="I87" i="2" s="1"/>
  <c r="L86" i="1"/>
  <c r="J87" i="2" s="1"/>
  <c r="I87" i="1"/>
  <c r="G88" i="2" s="1"/>
  <c r="J87" i="1"/>
  <c r="V87" i="1" s="1"/>
  <c r="K87" i="1"/>
  <c r="I88" i="2" s="1"/>
  <c r="L87" i="1"/>
  <c r="J88" i="2" s="1"/>
  <c r="I88" i="1"/>
  <c r="G89" i="2" s="1"/>
  <c r="J88" i="1"/>
  <c r="V88" i="1" s="1"/>
  <c r="K88" i="1"/>
  <c r="I89" i="2" s="1"/>
  <c r="L88" i="1"/>
  <c r="J89" i="2" s="1"/>
  <c r="I89" i="1"/>
  <c r="G90" i="2" s="1"/>
  <c r="L89" i="1"/>
  <c r="J90" i="2" s="1"/>
  <c r="I90" i="1"/>
  <c r="G91" i="2" s="1"/>
  <c r="J90" i="1"/>
  <c r="V90" i="1" s="1"/>
  <c r="K90" i="1"/>
  <c r="I91" i="2" s="1"/>
  <c r="L90" i="1"/>
  <c r="J91" i="2" s="1"/>
  <c r="I91" i="1"/>
  <c r="G92" i="2" s="1"/>
  <c r="J91" i="1"/>
  <c r="V91" i="1" s="1"/>
  <c r="K91" i="1"/>
  <c r="I92" i="2" s="1"/>
  <c r="L91" i="1"/>
  <c r="J92" i="2" s="1"/>
  <c r="I92" i="1"/>
  <c r="G93" i="2" s="1"/>
  <c r="J92" i="1"/>
  <c r="V92" i="1" s="1"/>
  <c r="K92" i="1"/>
  <c r="I93" i="2" s="1"/>
  <c r="L92" i="1"/>
  <c r="J93" i="2" s="1"/>
  <c r="J9" i="1"/>
  <c r="V9" i="1" s="1"/>
  <c r="K9" i="1"/>
  <c r="I10" i="2" s="1"/>
  <c r="L9" i="1"/>
  <c r="I9" i="1"/>
  <c r="G10" i="2" s="1"/>
  <c r="H10" i="1"/>
  <c r="F11" i="2" s="1"/>
  <c r="H11" i="1"/>
  <c r="F12" i="2" s="1"/>
  <c r="H12" i="1"/>
  <c r="F13" i="2" s="1"/>
  <c r="H13" i="1"/>
  <c r="F14" i="2" s="1"/>
  <c r="H14" i="1"/>
  <c r="F15" i="2" s="1"/>
  <c r="H15" i="1"/>
  <c r="F16" i="2" s="1"/>
  <c r="H16" i="1"/>
  <c r="F17" i="2" s="1"/>
  <c r="H17" i="1"/>
  <c r="F18" i="2" s="1"/>
  <c r="H18" i="1"/>
  <c r="F19" i="2" s="1"/>
  <c r="H19" i="1"/>
  <c r="F20" i="2" s="1"/>
  <c r="H20" i="1"/>
  <c r="F21" i="2" s="1"/>
  <c r="H21" i="1"/>
  <c r="F22" i="2" s="1"/>
  <c r="H22" i="1"/>
  <c r="F23" i="2" s="1"/>
  <c r="H23" i="1"/>
  <c r="F24" i="2" s="1"/>
  <c r="H24" i="1"/>
  <c r="F25" i="2" s="1"/>
  <c r="H25" i="1"/>
  <c r="F26" i="2" s="1"/>
  <c r="H26" i="1"/>
  <c r="F27" i="2" s="1"/>
  <c r="H27" i="1"/>
  <c r="F28" i="2" s="1"/>
  <c r="H28" i="1"/>
  <c r="F29" i="2" s="1"/>
  <c r="H29" i="1"/>
  <c r="F30" i="2" s="1"/>
  <c r="H30" i="1"/>
  <c r="F31" i="2" s="1"/>
  <c r="H31" i="1"/>
  <c r="F32" i="2" s="1"/>
  <c r="H32" i="1"/>
  <c r="F33" i="2" s="1"/>
  <c r="H33" i="1"/>
  <c r="F34" i="2" s="1"/>
  <c r="H34" i="1"/>
  <c r="F35" i="2" s="1"/>
  <c r="H35" i="1"/>
  <c r="F36" i="2" s="1"/>
  <c r="H36" i="1"/>
  <c r="F37" i="2" s="1"/>
  <c r="H37" i="1"/>
  <c r="F38" i="2" s="1"/>
  <c r="H38" i="1"/>
  <c r="F39" i="2" s="1"/>
  <c r="H39" i="1"/>
  <c r="F40" i="2" s="1"/>
  <c r="H40" i="1"/>
  <c r="F41" i="2" s="1"/>
  <c r="H41" i="1"/>
  <c r="F42" i="2" s="1"/>
  <c r="H42" i="1"/>
  <c r="F43" i="2" s="1"/>
  <c r="H43" i="1"/>
  <c r="F44" i="2" s="1"/>
  <c r="H44" i="1"/>
  <c r="F45" i="2" s="1"/>
  <c r="H45" i="1"/>
  <c r="F46" i="2" s="1"/>
  <c r="H46" i="1"/>
  <c r="F47" i="2" s="1"/>
  <c r="H47" i="1"/>
  <c r="F48" i="2" s="1"/>
  <c r="H48" i="1"/>
  <c r="F49" i="2" s="1"/>
  <c r="H49" i="1"/>
  <c r="F50" i="2" s="1"/>
  <c r="H50" i="1"/>
  <c r="F51" i="2" s="1"/>
  <c r="H51" i="1"/>
  <c r="F52" i="2" s="1"/>
  <c r="H52" i="1"/>
  <c r="F53" i="2" s="1"/>
  <c r="H53" i="1"/>
  <c r="F54" i="2" s="1"/>
  <c r="H54" i="1"/>
  <c r="F55" i="2" s="1"/>
  <c r="H55" i="1"/>
  <c r="F56" i="2" s="1"/>
  <c r="H56" i="1"/>
  <c r="F57" i="2" s="1"/>
  <c r="H57" i="1"/>
  <c r="F58" i="2" s="1"/>
  <c r="H58" i="1"/>
  <c r="F59" i="2" s="1"/>
  <c r="H59" i="1"/>
  <c r="F60" i="2" s="1"/>
  <c r="H60" i="1"/>
  <c r="F61" i="2" s="1"/>
  <c r="H61" i="1"/>
  <c r="F62" i="2" s="1"/>
  <c r="H62" i="1"/>
  <c r="F63" i="2" s="1"/>
  <c r="H63" i="1"/>
  <c r="F64" i="2" s="1"/>
  <c r="H64" i="1"/>
  <c r="F65" i="2" s="1"/>
  <c r="H65" i="1"/>
  <c r="F66" i="2" s="1"/>
  <c r="H66" i="1"/>
  <c r="F67" i="2" s="1"/>
  <c r="H67" i="1"/>
  <c r="F68" i="2" s="1"/>
  <c r="H68" i="1"/>
  <c r="F69" i="2" s="1"/>
  <c r="H69" i="1"/>
  <c r="F70" i="2" s="1"/>
  <c r="H70" i="1"/>
  <c r="F71" i="2" s="1"/>
  <c r="H71" i="1"/>
  <c r="F72" i="2" s="1"/>
  <c r="H72" i="1"/>
  <c r="F73" i="2" s="1"/>
  <c r="H73" i="1"/>
  <c r="H74" i="1"/>
  <c r="F75" i="2" s="1"/>
  <c r="H75" i="1"/>
  <c r="F76" i="2" s="1"/>
  <c r="H76" i="1"/>
  <c r="F77" i="2" s="1"/>
  <c r="H77" i="1"/>
  <c r="H78" i="1"/>
  <c r="F79" i="2" s="1"/>
  <c r="H79" i="1"/>
  <c r="F80" i="2" s="1"/>
  <c r="H80" i="1"/>
  <c r="F81" i="2" s="1"/>
  <c r="H81" i="1"/>
  <c r="F82" i="2" s="1"/>
  <c r="H82" i="1"/>
  <c r="F83" i="2" s="1"/>
  <c r="H83" i="1"/>
  <c r="F84" i="2" s="1"/>
  <c r="H84" i="1"/>
  <c r="F85" i="2" s="1"/>
  <c r="H85" i="1"/>
  <c r="F86" i="2" s="1"/>
  <c r="H86" i="1"/>
  <c r="F87" i="2" s="1"/>
  <c r="H87" i="1"/>
  <c r="F88" i="2" s="1"/>
  <c r="H88" i="1"/>
  <c r="F89" i="2" s="1"/>
  <c r="H89" i="1"/>
  <c r="F90" i="2" s="1"/>
  <c r="H90" i="1"/>
  <c r="F91" i="2" s="1"/>
  <c r="H91" i="1"/>
  <c r="F92" i="2" s="1"/>
  <c r="H92" i="1"/>
  <c r="F93" i="2" s="1"/>
  <c r="H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" i="1"/>
  <c r="E10" i="1"/>
  <c r="E11" i="1"/>
  <c r="E12" i="1"/>
  <c r="E13" i="1"/>
  <c r="E14" i="1"/>
  <c r="E15" i="1"/>
  <c r="E16" i="1"/>
  <c r="E17" i="1"/>
  <c r="E18" i="1"/>
  <c r="E19" i="1"/>
  <c r="E20" i="1"/>
  <c r="E22" i="1"/>
  <c r="E23" i="1"/>
  <c r="E24" i="1"/>
  <c r="E25" i="1"/>
  <c r="E26" i="1"/>
  <c r="E28" i="1"/>
  <c r="E29" i="1"/>
  <c r="E30" i="1"/>
  <c r="E31" i="1"/>
  <c r="E32" i="1"/>
  <c r="E33" i="1"/>
  <c r="E34" i="1"/>
  <c r="E35" i="1"/>
  <c r="E36" i="1"/>
  <c r="E37" i="1"/>
  <c r="E39" i="1"/>
  <c r="E40" i="1"/>
  <c r="E41" i="1"/>
  <c r="E44" i="1"/>
  <c r="E46" i="1"/>
  <c r="E48" i="1"/>
  <c r="E49" i="1"/>
  <c r="E50" i="1"/>
  <c r="E51" i="1"/>
  <c r="E52" i="1"/>
  <c r="E53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1" i="1"/>
  <c r="E72" i="1"/>
  <c r="E73" i="1"/>
  <c r="E74" i="1"/>
  <c r="E76" i="1"/>
  <c r="E77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" i="1"/>
  <c r="P100" i="10"/>
  <c r="AA100" i="10" s="1"/>
  <c r="P99" i="10"/>
  <c r="AA99" i="10" s="1"/>
  <c r="AK96" i="10"/>
  <c r="AJ96" i="10"/>
  <c r="AI96" i="10"/>
  <c r="AG96" i="10"/>
  <c r="AE96" i="10"/>
  <c r="Y96" i="10"/>
  <c r="X96" i="10"/>
  <c r="W96" i="10"/>
  <c r="V96" i="10"/>
  <c r="Q96" i="10"/>
  <c r="O96" i="10"/>
  <c r="N96" i="10"/>
  <c r="M96" i="10"/>
  <c r="AH94" i="10"/>
  <c r="AH93" i="10"/>
  <c r="AH96" i="10" s="1"/>
  <c r="AH92" i="10"/>
  <c r="K90" i="10"/>
  <c r="P90" i="10" s="1"/>
  <c r="K89" i="10"/>
  <c r="P89" i="10" s="1"/>
  <c r="AD89" i="10" s="1"/>
  <c r="K88" i="10"/>
  <c r="P88" i="10" s="1"/>
  <c r="P87" i="10"/>
  <c r="AD87" i="10" s="1"/>
  <c r="K87" i="10"/>
  <c r="K86" i="10"/>
  <c r="P86" i="10" s="1"/>
  <c r="K85" i="10"/>
  <c r="P85" i="10" s="1"/>
  <c r="AD85" i="10" s="1"/>
  <c r="K84" i="10"/>
  <c r="P84" i="10" s="1"/>
  <c r="P83" i="10"/>
  <c r="AD83" i="10" s="1"/>
  <c r="K83" i="10"/>
  <c r="Z82" i="10"/>
  <c r="K82" i="10"/>
  <c r="P82" i="10" s="1"/>
  <c r="K81" i="10"/>
  <c r="P81" i="10" s="1"/>
  <c r="P80" i="10"/>
  <c r="AD80" i="10" s="1"/>
  <c r="K80" i="10"/>
  <c r="K79" i="10"/>
  <c r="P79" i="10" s="1"/>
  <c r="Z78" i="10"/>
  <c r="K78" i="10"/>
  <c r="P78" i="10" s="1"/>
  <c r="K77" i="10"/>
  <c r="P77" i="10" s="1"/>
  <c r="AD77" i="10" s="1"/>
  <c r="K76" i="10"/>
  <c r="P76" i="10" s="1"/>
  <c r="P75" i="10"/>
  <c r="AD75" i="10" s="1"/>
  <c r="K75" i="10"/>
  <c r="L74" i="10"/>
  <c r="K74" i="10"/>
  <c r="K73" i="10"/>
  <c r="P73" i="10" s="1"/>
  <c r="K72" i="10"/>
  <c r="P72" i="10" s="1"/>
  <c r="AD72" i="10" s="1"/>
  <c r="Z71" i="10"/>
  <c r="L71" i="10"/>
  <c r="K71" i="10"/>
  <c r="P70" i="10"/>
  <c r="AD70" i="10" s="1"/>
  <c r="K70" i="10"/>
  <c r="K69" i="10"/>
  <c r="P69" i="10" s="1"/>
  <c r="K68" i="10"/>
  <c r="P68" i="10" s="1"/>
  <c r="AD68" i="10" s="1"/>
  <c r="K67" i="10"/>
  <c r="P67" i="10" s="1"/>
  <c r="P66" i="10"/>
  <c r="AD66" i="10" s="1"/>
  <c r="K66" i="10"/>
  <c r="K65" i="10"/>
  <c r="P65" i="10" s="1"/>
  <c r="K64" i="10"/>
  <c r="P64" i="10" s="1"/>
  <c r="AD64" i="10" s="1"/>
  <c r="K63" i="10"/>
  <c r="P63" i="10" s="1"/>
  <c r="P62" i="10"/>
  <c r="AD62" i="10" s="1"/>
  <c r="K62" i="10"/>
  <c r="K61" i="10"/>
  <c r="P61" i="10" s="1"/>
  <c r="K60" i="10"/>
  <c r="P60" i="10" s="1"/>
  <c r="AD60" i="10" s="1"/>
  <c r="K59" i="10"/>
  <c r="P59" i="10" s="1"/>
  <c r="P58" i="10"/>
  <c r="AD58" i="10" s="1"/>
  <c r="K58" i="10"/>
  <c r="K57" i="10"/>
  <c r="P57" i="10" s="1"/>
  <c r="K56" i="10"/>
  <c r="P56" i="10" s="1"/>
  <c r="AD56" i="10" s="1"/>
  <c r="K55" i="10"/>
  <c r="P55" i="10" s="1"/>
  <c r="P54" i="10"/>
  <c r="AD54" i="10" s="1"/>
  <c r="K54" i="10"/>
  <c r="P53" i="10"/>
  <c r="K53" i="10"/>
  <c r="L52" i="10"/>
  <c r="K52" i="10"/>
  <c r="L51" i="10"/>
  <c r="K51" i="10"/>
  <c r="P50" i="10"/>
  <c r="K50" i="10"/>
  <c r="K49" i="10"/>
  <c r="P49" i="10" s="1"/>
  <c r="K48" i="10"/>
  <c r="P48" i="10" s="1"/>
  <c r="AD48" i="10" s="1"/>
  <c r="K47" i="10"/>
  <c r="P47" i="10" s="1"/>
  <c r="P46" i="10"/>
  <c r="AD46" i="10" s="1"/>
  <c r="K46" i="10"/>
  <c r="K45" i="10"/>
  <c r="P45" i="10" s="1"/>
  <c r="L44" i="10"/>
  <c r="K44" i="10"/>
  <c r="P44" i="10" s="1"/>
  <c r="K43" i="10"/>
  <c r="P43" i="10" s="1"/>
  <c r="AD43" i="10" s="1"/>
  <c r="L42" i="10"/>
  <c r="K42" i="10"/>
  <c r="P42" i="10" s="1"/>
  <c r="K41" i="10"/>
  <c r="P41" i="10" s="1"/>
  <c r="L40" i="10"/>
  <c r="K40" i="10"/>
  <c r="L39" i="10"/>
  <c r="K39" i="10"/>
  <c r="P38" i="10"/>
  <c r="AD38" i="10" s="1"/>
  <c r="K38" i="10"/>
  <c r="K37" i="10"/>
  <c r="P37" i="10" s="1"/>
  <c r="L36" i="10"/>
  <c r="K36" i="10"/>
  <c r="P36" i="10" s="1"/>
  <c r="K35" i="10"/>
  <c r="P35" i="10" s="1"/>
  <c r="AD35" i="10" s="1"/>
  <c r="K34" i="10"/>
  <c r="P34" i="10" s="1"/>
  <c r="P33" i="10"/>
  <c r="AD33" i="10" s="1"/>
  <c r="K33" i="10"/>
  <c r="K32" i="10"/>
  <c r="P32" i="10" s="1"/>
  <c r="K31" i="10"/>
  <c r="P31" i="10" s="1"/>
  <c r="AD31" i="10" s="1"/>
  <c r="K30" i="10"/>
  <c r="P30" i="10" s="1"/>
  <c r="P29" i="10"/>
  <c r="AD29" i="10" s="1"/>
  <c r="K29" i="10"/>
  <c r="K28" i="10"/>
  <c r="P28" i="10" s="1"/>
  <c r="K27" i="10"/>
  <c r="P27" i="10" s="1"/>
  <c r="AD27" i="10" s="1"/>
  <c r="K26" i="10"/>
  <c r="P26" i="10" s="1"/>
  <c r="Z25" i="10"/>
  <c r="L25" i="10"/>
  <c r="K25" i="10"/>
  <c r="P25" i="10" s="1"/>
  <c r="Z24" i="10"/>
  <c r="P24" i="10"/>
  <c r="K24" i="10"/>
  <c r="K23" i="10"/>
  <c r="P23" i="10" s="1"/>
  <c r="K22" i="10"/>
  <c r="P22" i="10" s="1"/>
  <c r="AD22" i="10" s="1"/>
  <c r="K21" i="10"/>
  <c r="P21" i="10" s="1"/>
  <c r="K20" i="10"/>
  <c r="P20" i="10" s="1"/>
  <c r="L19" i="10"/>
  <c r="K19" i="10"/>
  <c r="P19" i="10" s="1"/>
  <c r="K18" i="10"/>
  <c r="P18" i="10" s="1"/>
  <c r="AM17" i="10"/>
  <c r="K17" i="10"/>
  <c r="P17" i="10" s="1"/>
  <c r="K16" i="10"/>
  <c r="P16" i="10" s="1"/>
  <c r="K15" i="10"/>
  <c r="P15" i="10" s="1"/>
  <c r="P14" i="10"/>
  <c r="K14" i="10"/>
  <c r="K13" i="10"/>
  <c r="P13" i="10" s="1"/>
  <c r="K12" i="10"/>
  <c r="P12" i="10" s="1"/>
  <c r="AD12" i="10" s="1"/>
  <c r="K11" i="10"/>
  <c r="P11" i="10" s="1"/>
  <c r="K10" i="10"/>
  <c r="P10" i="10" s="1"/>
  <c r="K9" i="10"/>
  <c r="P9" i="10" s="1"/>
  <c r="AD9" i="10" s="1"/>
  <c r="K8" i="10"/>
  <c r="P8" i="10" s="1"/>
  <c r="P7" i="10"/>
  <c r="K7" i="10"/>
  <c r="H76" i="2" l="1"/>
  <c r="H42" i="2"/>
  <c r="H88" i="2"/>
  <c r="M100" i="2"/>
  <c r="V66" i="1"/>
  <c r="H67" i="2"/>
  <c r="G95" i="1"/>
  <c r="H95" i="1"/>
  <c r="V62" i="1"/>
  <c r="H63" i="2"/>
  <c r="V58" i="1"/>
  <c r="H59" i="2"/>
  <c r="V57" i="1"/>
  <c r="H58" i="2"/>
  <c r="V56" i="1"/>
  <c r="H57" i="2"/>
  <c r="V55" i="1"/>
  <c r="H56" i="2"/>
  <c r="V53" i="1"/>
  <c r="H54" i="2"/>
  <c r="H86" i="2"/>
  <c r="H82" i="2"/>
  <c r="H78" i="2"/>
  <c r="H74" i="2"/>
  <c r="H68" i="2"/>
  <c r="H92" i="2"/>
  <c r="P40" i="10"/>
  <c r="AA40" i="10" s="1"/>
  <c r="P52" i="10"/>
  <c r="P74" i="10"/>
  <c r="L95" i="1"/>
  <c r="V49" i="1"/>
  <c r="H50" i="2"/>
  <c r="V24" i="1"/>
  <c r="H25" i="2"/>
  <c r="V17" i="1"/>
  <c r="H18" i="2"/>
  <c r="V16" i="1"/>
  <c r="H17" i="2"/>
  <c r="V15" i="1"/>
  <c r="H16" i="2"/>
  <c r="V14" i="1"/>
  <c r="H15" i="2"/>
  <c r="V13" i="1"/>
  <c r="H14" i="2"/>
  <c r="V12" i="1"/>
  <c r="H13" i="2"/>
  <c r="H10" i="2"/>
  <c r="H93" i="2"/>
  <c r="H89" i="2"/>
  <c r="H85" i="2"/>
  <c r="H77" i="2"/>
  <c r="H55" i="2"/>
  <c r="H47" i="2"/>
  <c r="V65" i="1"/>
  <c r="H66" i="2"/>
  <c r="H72" i="2"/>
  <c r="H65" i="2"/>
  <c r="L96" i="10"/>
  <c r="P39" i="10"/>
  <c r="AA39" i="10" s="1"/>
  <c r="P51" i="10"/>
  <c r="P71" i="10"/>
  <c r="V52" i="1"/>
  <c r="H53" i="2"/>
  <c r="V51" i="1"/>
  <c r="H52" i="2"/>
  <c r="V47" i="1"/>
  <c r="H48" i="2"/>
  <c r="V45" i="1"/>
  <c r="H46" i="2"/>
  <c r="V44" i="1"/>
  <c r="H45" i="2"/>
  <c r="V43" i="1"/>
  <c r="H44" i="2"/>
  <c r="V42" i="1"/>
  <c r="H43" i="2"/>
  <c r="V40" i="1"/>
  <c r="H41" i="2"/>
  <c r="V39" i="1"/>
  <c r="H40" i="2"/>
  <c r="V38" i="1"/>
  <c r="H39" i="2"/>
  <c r="V37" i="1"/>
  <c r="H38" i="2"/>
  <c r="V36" i="1"/>
  <c r="H37" i="2"/>
  <c r="V35" i="1"/>
  <c r="H36" i="2"/>
  <c r="V32" i="1"/>
  <c r="H33" i="2"/>
  <c r="V31" i="1"/>
  <c r="H32" i="2"/>
  <c r="V30" i="1"/>
  <c r="H31" i="2"/>
  <c r="V28" i="1"/>
  <c r="H29" i="2"/>
  <c r="V27" i="1"/>
  <c r="H28" i="2"/>
  <c r="V26" i="1"/>
  <c r="H27" i="2"/>
  <c r="V22" i="1"/>
  <c r="H23" i="2"/>
  <c r="V21" i="1"/>
  <c r="H22" i="2"/>
  <c r="V20" i="1"/>
  <c r="H21" i="2"/>
  <c r="V19" i="1"/>
  <c r="H20" i="2"/>
  <c r="V10" i="1"/>
  <c r="H11" i="2"/>
  <c r="J10" i="2"/>
  <c r="H91" i="2"/>
  <c r="H87" i="2"/>
  <c r="H83" i="2"/>
  <c r="H79" i="2"/>
  <c r="H75" i="2"/>
  <c r="H71" i="2"/>
  <c r="H60" i="2"/>
  <c r="H30" i="2"/>
  <c r="J100" i="2"/>
  <c r="O13" i="2"/>
  <c r="F95" i="4"/>
  <c r="D44" i="1"/>
  <c r="K50" i="4"/>
  <c r="K59" i="4"/>
  <c r="K68" i="4"/>
  <c r="O95" i="1"/>
  <c r="AD10" i="10"/>
  <c r="AF10" i="10" s="1"/>
  <c r="AA10" i="10"/>
  <c r="AC10" i="10" s="1"/>
  <c r="AD13" i="10"/>
  <c r="AF13" i="10" s="1"/>
  <c r="AB13" i="10"/>
  <c r="AA13" i="10"/>
  <c r="AD8" i="10"/>
  <c r="AB8" i="10"/>
  <c r="AF8" i="10"/>
  <c r="AA8" i="10"/>
  <c r="AC8" i="10" s="1"/>
  <c r="AD11" i="10"/>
  <c r="AF11" i="10" s="1"/>
  <c r="AB11" i="10"/>
  <c r="AA11" i="10"/>
  <c r="AD15" i="10"/>
  <c r="AF15" i="10" s="1"/>
  <c r="AB15" i="10"/>
  <c r="AA15" i="10"/>
  <c r="T16" i="10"/>
  <c r="AA16" i="10" s="1"/>
  <c r="AC16" i="10" s="1"/>
  <c r="AD16" i="10"/>
  <c r="AF16" i="10" s="1"/>
  <c r="AB16" i="10"/>
  <c r="AD17" i="10"/>
  <c r="AF17" i="10" s="1"/>
  <c r="AB17" i="10"/>
  <c r="Z17" i="10"/>
  <c r="AA17" i="10" s="1"/>
  <c r="AD20" i="10"/>
  <c r="AF20" i="10" s="1"/>
  <c r="AB20" i="10"/>
  <c r="AA20" i="10"/>
  <c r="AC20" i="10" s="1"/>
  <c r="S23" i="10"/>
  <c r="AD23" i="10"/>
  <c r="AF23" i="10" s="1"/>
  <c r="AB23" i="10"/>
  <c r="T23" i="10"/>
  <c r="AD25" i="10"/>
  <c r="AF25" i="10" s="1"/>
  <c r="AB25" i="10"/>
  <c r="AA25" i="10"/>
  <c r="AC25" i="10" s="1"/>
  <c r="AD36" i="10"/>
  <c r="AF36" i="10" s="1"/>
  <c r="AB36" i="10"/>
  <c r="AA36" i="10"/>
  <c r="AC36" i="10" s="1"/>
  <c r="AD44" i="10"/>
  <c r="AF44" i="10" s="1"/>
  <c r="AB44" i="10"/>
  <c r="AA44" i="10"/>
  <c r="AC44" i="10" s="1"/>
  <c r="AA49" i="10"/>
  <c r="AD49" i="10"/>
  <c r="AF49" i="10" s="1"/>
  <c r="AB49" i="10"/>
  <c r="T21" i="10"/>
  <c r="AD21" i="10"/>
  <c r="AF21" i="10" s="1"/>
  <c r="AB21" i="10"/>
  <c r="U21" i="10"/>
  <c r="AA21" i="10" s="1"/>
  <c r="AC21" i="10" s="1"/>
  <c r="AA26" i="10"/>
  <c r="AD26" i="10"/>
  <c r="AF26" i="10" s="1"/>
  <c r="AB26" i="10"/>
  <c r="AA30" i="10"/>
  <c r="AD30" i="10"/>
  <c r="AF30" i="10" s="1"/>
  <c r="AB30" i="10"/>
  <c r="AA34" i="10"/>
  <c r="AD34" i="10"/>
  <c r="AF34" i="10" s="1"/>
  <c r="AB34" i="10"/>
  <c r="AD39" i="10"/>
  <c r="AD40" i="10"/>
  <c r="AA41" i="10"/>
  <c r="AD41" i="10"/>
  <c r="AF41" i="10" s="1"/>
  <c r="AB41" i="10"/>
  <c r="AA47" i="10"/>
  <c r="AD47" i="10"/>
  <c r="AF47" i="10" s="1"/>
  <c r="AB47" i="10"/>
  <c r="AA51" i="10"/>
  <c r="AD51" i="10"/>
  <c r="AF51" i="10" s="1"/>
  <c r="AB51" i="10"/>
  <c r="AA52" i="10"/>
  <c r="AD52" i="10"/>
  <c r="AF52" i="10" s="1"/>
  <c r="AB52" i="10"/>
  <c r="AA55" i="10"/>
  <c r="AD55" i="10"/>
  <c r="AF55" i="10" s="1"/>
  <c r="AB55" i="10"/>
  <c r="T59" i="10"/>
  <c r="AD59" i="10"/>
  <c r="AF59" i="10" s="1"/>
  <c r="AB59" i="10"/>
  <c r="U59" i="10"/>
  <c r="AA59" i="10" s="1"/>
  <c r="AC59" i="10" s="1"/>
  <c r="AA63" i="10"/>
  <c r="AD63" i="10"/>
  <c r="AF63" i="10" s="1"/>
  <c r="AB63" i="10"/>
  <c r="AA67" i="10"/>
  <c r="AD67" i="10"/>
  <c r="AF67" i="10" s="1"/>
  <c r="AB67" i="10"/>
  <c r="AA71" i="10"/>
  <c r="AD71" i="10"/>
  <c r="AF71" i="10" s="1"/>
  <c r="AB71" i="10"/>
  <c r="AA74" i="10"/>
  <c r="AD74" i="10"/>
  <c r="AF74" i="10" s="1"/>
  <c r="AB74" i="10"/>
  <c r="T76" i="10"/>
  <c r="AD76" i="10"/>
  <c r="AF76" i="10" s="1"/>
  <c r="AB76" i="10"/>
  <c r="U76" i="10"/>
  <c r="AA76" i="10" s="1"/>
  <c r="AC76" i="10" s="1"/>
  <c r="AA81" i="10"/>
  <c r="AD81" i="10"/>
  <c r="AF81" i="10" s="1"/>
  <c r="AB81" i="10"/>
  <c r="T84" i="10"/>
  <c r="AD84" i="10"/>
  <c r="AF84" i="10" s="1"/>
  <c r="AB84" i="10"/>
  <c r="U84" i="10"/>
  <c r="AA88" i="10"/>
  <c r="AD88" i="10"/>
  <c r="AF88" i="10" s="1"/>
  <c r="AB88" i="10"/>
  <c r="AD99" i="10"/>
  <c r="AB99" i="10"/>
  <c r="AG99" i="10" s="1"/>
  <c r="AF99" i="10"/>
  <c r="AC99" i="10"/>
  <c r="AH99" i="10" s="1"/>
  <c r="AB7" i="10"/>
  <c r="AD7" i="10"/>
  <c r="U9" i="10"/>
  <c r="AB9" i="10"/>
  <c r="AB12" i="10"/>
  <c r="AB14" i="10"/>
  <c r="AD14" i="10"/>
  <c r="AF14" i="10" s="1"/>
  <c r="K96" i="10"/>
  <c r="AA7" i="10"/>
  <c r="AF7" i="10"/>
  <c r="T9" i="10"/>
  <c r="AA9" i="10" s="1"/>
  <c r="AC9" i="10" s="1"/>
  <c r="AF9" i="10"/>
  <c r="AA12" i="10"/>
  <c r="AF12" i="10"/>
  <c r="AA14" i="10"/>
  <c r="AC14" i="10" s="1"/>
  <c r="U16" i="10"/>
  <c r="AA19" i="10"/>
  <c r="AD19" i="10"/>
  <c r="AF19" i="10" s="1"/>
  <c r="AB19" i="10"/>
  <c r="AA28" i="10"/>
  <c r="AD28" i="10"/>
  <c r="AF28" i="10" s="1"/>
  <c r="AB28" i="10"/>
  <c r="T32" i="10"/>
  <c r="AD32" i="10"/>
  <c r="AF32" i="10" s="1"/>
  <c r="AB32" i="10"/>
  <c r="U32" i="10"/>
  <c r="AA37" i="10"/>
  <c r="AD37" i="10"/>
  <c r="AF37" i="10" s="1"/>
  <c r="AB37" i="10"/>
  <c r="AA42" i="10"/>
  <c r="AC42" i="10" s="1"/>
  <c r="AD42" i="10"/>
  <c r="AF42" i="10" s="1"/>
  <c r="AB42" i="10"/>
  <c r="AA45" i="10"/>
  <c r="AD45" i="10"/>
  <c r="AF45" i="10" s="1"/>
  <c r="AB45" i="10"/>
  <c r="S57" i="10"/>
  <c r="AD57" i="10"/>
  <c r="AF57" i="10" s="1"/>
  <c r="AB57" i="10"/>
  <c r="T57" i="10"/>
  <c r="AA57" i="10" s="1"/>
  <c r="AC57" i="10" s="1"/>
  <c r="AA61" i="10"/>
  <c r="AD61" i="10"/>
  <c r="AF61" i="10" s="1"/>
  <c r="AB61" i="10"/>
  <c r="T65" i="10"/>
  <c r="AD65" i="10"/>
  <c r="AF65" i="10" s="1"/>
  <c r="AB65" i="10"/>
  <c r="U65" i="10"/>
  <c r="AA69" i="10"/>
  <c r="AD69" i="10"/>
  <c r="AF69" i="10" s="1"/>
  <c r="AB69" i="10"/>
  <c r="AA73" i="10"/>
  <c r="AD73" i="10"/>
  <c r="AF73" i="10" s="1"/>
  <c r="AB73" i="10"/>
  <c r="AD78" i="10"/>
  <c r="AF78" i="10" s="1"/>
  <c r="AB78" i="10"/>
  <c r="AA78" i="10"/>
  <c r="AC78" i="10" s="1"/>
  <c r="AA79" i="10"/>
  <c r="AD79" i="10"/>
  <c r="AF79" i="10" s="1"/>
  <c r="AB79" i="10"/>
  <c r="AA86" i="10"/>
  <c r="AD86" i="10"/>
  <c r="AF86" i="10" s="1"/>
  <c r="AB86" i="10"/>
  <c r="AA90" i="10"/>
  <c r="AD90" i="10"/>
  <c r="AF90" i="10" s="1"/>
  <c r="AB90" i="10"/>
  <c r="AB18" i="10"/>
  <c r="AD18" i="10"/>
  <c r="AF18" i="10" s="1"/>
  <c r="AA22" i="10"/>
  <c r="AF22" i="10"/>
  <c r="AB24" i="10"/>
  <c r="AD24" i="10"/>
  <c r="AF24" i="10" s="1"/>
  <c r="AA27" i="10"/>
  <c r="AF27" i="10"/>
  <c r="AA29" i="10"/>
  <c r="AF29" i="10"/>
  <c r="T31" i="10"/>
  <c r="AF31" i="10"/>
  <c r="AA33" i="10"/>
  <c r="AF33" i="10"/>
  <c r="AA35" i="10"/>
  <c r="AF35" i="10"/>
  <c r="AA38" i="10"/>
  <c r="AF38" i="10"/>
  <c r="AA43" i="10"/>
  <c r="AF43" i="10"/>
  <c r="T46" i="10"/>
  <c r="AF46" i="10"/>
  <c r="T48" i="10"/>
  <c r="AA48" i="10" s="1"/>
  <c r="AF48" i="10"/>
  <c r="U50" i="10"/>
  <c r="AA50" i="10" s="1"/>
  <c r="AB50" i="10"/>
  <c r="AD50" i="10"/>
  <c r="AF50" i="10" s="1"/>
  <c r="Z53" i="10"/>
  <c r="AB53" i="10"/>
  <c r="AD53" i="10"/>
  <c r="AF53" i="10" s="1"/>
  <c r="AA54" i="10"/>
  <c r="AF54" i="10"/>
  <c r="AA56" i="10"/>
  <c r="AF56" i="10"/>
  <c r="AA58" i="10"/>
  <c r="AF58" i="10"/>
  <c r="T60" i="10"/>
  <c r="AF60" i="10"/>
  <c r="AA62" i="10"/>
  <c r="AF62" i="10"/>
  <c r="AA64" i="10"/>
  <c r="AF64" i="10"/>
  <c r="T66" i="10"/>
  <c r="AF66" i="10"/>
  <c r="T68" i="10"/>
  <c r="AF68" i="10"/>
  <c r="AA70" i="10"/>
  <c r="AF70" i="10"/>
  <c r="AA72" i="10"/>
  <c r="AF72" i="10"/>
  <c r="T75" i="10"/>
  <c r="AF75" i="10"/>
  <c r="AA77" i="10"/>
  <c r="AF77" i="10"/>
  <c r="AA80" i="10"/>
  <c r="AF80" i="10"/>
  <c r="AB82" i="10"/>
  <c r="AD82" i="10"/>
  <c r="AF82" i="10" s="1"/>
  <c r="AA83" i="10"/>
  <c r="AF83" i="10"/>
  <c r="AA85" i="10"/>
  <c r="AF85" i="10"/>
  <c r="AA87" i="10"/>
  <c r="AF87" i="10"/>
  <c r="AA89" i="10"/>
  <c r="AF89" i="10"/>
  <c r="AB100" i="10"/>
  <c r="AD100" i="10"/>
  <c r="AF100" i="10" s="1"/>
  <c r="AA18" i="10"/>
  <c r="AC18" i="10" s="1"/>
  <c r="AB22" i="10"/>
  <c r="AA24" i="10"/>
  <c r="AC24" i="10" s="1"/>
  <c r="AB27" i="10"/>
  <c r="AB29" i="10"/>
  <c r="U31" i="10"/>
  <c r="AA31" i="10" s="1"/>
  <c r="AB31" i="10"/>
  <c r="AB33" i="10"/>
  <c r="AB35" i="10"/>
  <c r="AB38" i="10"/>
  <c r="AB43" i="10"/>
  <c r="U46" i="10"/>
  <c r="AB46" i="10"/>
  <c r="U48" i="10"/>
  <c r="AB48" i="10"/>
  <c r="AA53" i="10"/>
  <c r="AC53" i="10" s="1"/>
  <c r="AB54" i="10"/>
  <c r="AB56" i="10"/>
  <c r="AB58" i="10"/>
  <c r="U60" i="10"/>
  <c r="AB60" i="10"/>
  <c r="AB62" i="10"/>
  <c r="AB64" i="10"/>
  <c r="U66" i="10"/>
  <c r="AA66" i="10" s="1"/>
  <c r="AC66" i="10" s="1"/>
  <c r="AB66" i="10"/>
  <c r="U68" i="10"/>
  <c r="AB68" i="10"/>
  <c r="AB70" i="10"/>
  <c r="AB72" i="10"/>
  <c r="U75" i="10"/>
  <c r="AA75" i="10" s="1"/>
  <c r="AC75" i="10" s="1"/>
  <c r="AB75" i="10"/>
  <c r="AB77" i="10"/>
  <c r="AB80" i="10"/>
  <c r="AA82" i="10"/>
  <c r="AC82" i="10" s="1"/>
  <c r="AB83" i="10"/>
  <c r="AB85" i="10"/>
  <c r="AB87" i="10"/>
  <c r="AB89" i="10"/>
  <c r="AC100" i="10"/>
  <c r="AR100" i="1"/>
  <c r="BC100" i="1" s="1"/>
  <c r="AR99" i="1"/>
  <c r="BC99" i="1" s="1"/>
  <c r="BM98" i="1"/>
  <c r="BL98" i="1"/>
  <c r="BK98" i="1"/>
  <c r="BI98" i="1"/>
  <c r="BG98" i="1"/>
  <c r="BA98" i="1"/>
  <c r="AZ98" i="1"/>
  <c r="AY98" i="1"/>
  <c r="AX98" i="1"/>
  <c r="AS98" i="1"/>
  <c r="AQ98" i="1"/>
  <c r="AP98" i="1"/>
  <c r="AO98" i="1"/>
  <c r="BJ96" i="1"/>
  <c r="BJ95" i="1"/>
  <c r="BJ94" i="1"/>
  <c r="AM40" i="1"/>
  <c r="AM86" i="1"/>
  <c r="AM71" i="1"/>
  <c r="AM92" i="1"/>
  <c r="AM91" i="1"/>
  <c r="AM90" i="1"/>
  <c r="AM89" i="1"/>
  <c r="AM88" i="1"/>
  <c r="BB87" i="1"/>
  <c r="M87" i="1" s="1"/>
  <c r="K88" i="2" s="1"/>
  <c r="AM87" i="1"/>
  <c r="AM85" i="1"/>
  <c r="AM84" i="1"/>
  <c r="AM83" i="1"/>
  <c r="BB82" i="1"/>
  <c r="M82" i="1" s="1"/>
  <c r="K83" i="2" s="1"/>
  <c r="AM82" i="1"/>
  <c r="AM81" i="1"/>
  <c r="AM80" i="1"/>
  <c r="AM79" i="1"/>
  <c r="AN78" i="1"/>
  <c r="E78" i="1" s="1"/>
  <c r="AM78" i="1"/>
  <c r="C78" i="1" s="1"/>
  <c r="AM77" i="1"/>
  <c r="AM76" i="1"/>
  <c r="BB75" i="1"/>
  <c r="M75" i="1" s="1"/>
  <c r="K76" i="2" s="1"/>
  <c r="AN75" i="1"/>
  <c r="E75" i="1" s="1"/>
  <c r="AM75" i="1"/>
  <c r="C75" i="1" s="1"/>
  <c r="AM74" i="1"/>
  <c r="AM73" i="1"/>
  <c r="AM72" i="1"/>
  <c r="AM70" i="1"/>
  <c r="AM69" i="1"/>
  <c r="AM68" i="1"/>
  <c r="AM67" i="1"/>
  <c r="AM66" i="1"/>
  <c r="AM65" i="1"/>
  <c r="AM64" i="1"/>
  <c r="AM61" i="1"/>
  <c r="AM63" i="1"/>
  <c r="AM62" i="1"/>
  <c r="AM60" i="1"/>
  <c r="AM59" i="1"/>
  <c r="AM58" i="1"/>
  <c r="AM57" i="1"/>
  <c r="AM56" i="1"/>
  <c r="AN55" i="1"/>
  <c r="E55" i="1" s="1"/>
  <c r="AM55" i="1"/>
  <c r="C55" i="1" s="1"/>
  <c r="AN54" i="1"/>
  <c r="E54" i="1" s="1"/>
  <c r="AM54" i="1"/>
  <c r="C54" i="1" s="1"/>
  <c r="S54" i="1" s="1"/>
  <c r="AM52" i="1"/>
  <c r="AM51" i="1"/>
  <c r="AM50" i="1"/>
  <c r="AM49" i="1"/>
  <c r="AM48" i="1"/>
  <c r="C110" i="1" s="1"/>
  <c r="AM53" i="1"/>
  <c r="AN47" i="1"/>
  <c r="E47" i="1" s="1"/>
  <c r="AM47" i="1"/>
  <c r="C47" i="1" s="1"/>
  <c r="S47" i="1" s="1"/>
  <c r="AM46" i="1"/>
  <c r="AN45" i="1"/>
  <c r="E45" i="1" s="1"/>
  <c r="AM45" i="1"/>
  <c r="C45" i="1" s="1"/>
  <c r="AM44" i="1"/>
  <c r="AN43" i="1"/>
  <c r="E43" i="1" s="1"/>
  <c r="AM43" i="1"/>
  <c r="C43" i="1" s="1"/>
  <c r="S43" i="1" s="1"/>
  <c r="AN42" i="1"/>
  <c r="E42" i="1" s="1"/>
  <c r="AM42" i="1"/>
  <c r="C42" i="1" s="1"/>
  <c r="AM41" i="1"/>
  <c r="AM39" i="1"/>
  <c r="AN38" i="1"/>
  <c r="E38" i="1" s="1"/>
  <c r="AM38" i="1"/>
  <c r="C38" i="1" s="1"/>
  <c r="AM37" i="1"/>
  <c r="AM36" i="1"/>
  <c r="AM35" i="1"/>
  <c r="AM34" i="1"/>
  <c r="AM33" i="1"/>
  <c r="AM32" i="1"/>
  <c r="AM31" i="1"/>
  <c r="AM30" i="1"/>
  <c r="AM29" i="1"/>
  <c r="AM28" i="1"/>
  <c r="BB27" i="1"/>
  <c r="M27" i="1" s="1"/>
  <c r="K28" i="2" s="1"/>
  <c r="AN27" i="1"/>
  <c r="E27" i="1" s="1"/>
  <c r="AM27" i="1"/>
  <c r="C27" i="1" s="1"/>
  <c r="BB26" i="1"/>
  <c r="M26" i="1" s="1"/>
  <c r="K27" i="2" s="1"/>
  <c r="AM26" i="1"/>
  <c r="AM25" i="1"/>
  <c r="AM24" i="1"/>
  <c r="AM23" i="1"/>
  <c r="AM22" i="1"/>
  <c r="AN21" i="1"/>
  <c r="E21" i="1" s="1"/>
  <c r="AM21" i="1"/>
  <c r="C21" i="1" s="1"/>
  <c r="AM20" i="1"/>
  <c r="BO19" i="1"/>
  <c r="AM19" i="1"/>
  <c r="AM18" i="1"/>
  <c r="AM16" i="1"/>
  <c r="AM17" i="1"/>
  <c r="AM15" i="1"/>
  <c r="AM14" i="1"/>
  <c r="AM13" i="1"/>
  <c r="AM12" i="1"/>
  <c r="AM11" i="1"/>
  <c r="AM10" i="1"/>
  <c r="AM9" i="1"/>
  <c r="C9" i="1" s="1"/>
  <c r="AC39" i="10" l="1"/>
  <c r="AC40" i="10"/>
  <c r="AA46" i="10"/>
  <c r="AC46" i="10" s="1"/>
  <c r="AC38" i="10"/>
  <c r="AC33" i="10"/>
  <c r="AF40" i="10"/>
  <c r="AF39" i="10"/>
  <c r="S45" i="1"/>
  <c r="AG100" i="10"/>
  <c r="AC87" i="10"/>
  <c r="AC83" i="10"/>
  <c r="AC80" i="10"/>
  <c r="AC58" i="10"/>
  <c r="AC54" i="10"/>
  <c r="AA65" i="10"/>
  <c r="AC65" i="10" s="1"/>
  <c r="AA32" i="10"/>
  <c r="AC32" i="10" s="1"/>
  <c r="P96" i="10"/>
  <c r="AA84" i="10"/>
  <c r="AC84" i="10" s="1"/>
  <c r="AB40" i="10"/>
  <c r="AB39" i="10"/>
  <c r="AA68" i="10"/>
  <c r="AC68" i="10" s="1"/>
  <c r="AA60" i="10"/>
  <c r="AC60" i="10" s="1"/>
  <c r="AC50" i="10"/>
  <c r="AC61" i="10"/>
  <c r="AC12" i="10"/>
  <c r="AA23" i="10"/>
  <c r="AC23" i="10" s="1"/>
  <c r="AC17" i="10"/>
  <c r="E95" i="1"/>
  <c r="AR11" i="1"/>
  <c r="BF11" i="1" s="1"/>
  <c r="C11" i="1"/>
  <c r="AR15" i="1"/>
  <c r="BD15" i="1" s="1"/>
  <c r="N15" i="1" s="1"/>
  <c r="L16" i="2" s="1"/>
  <c r="O16" i="2" s="1"/>
  <c r="C15" i="1"/>
  <c r="AR19" i="1"/>
  <c r="BF19" i="1" s="1"/>
  <c r="C19" i="1"/>
  <c r="AR25" i="1"/>
  <c r="AU25" i="1" s="1"/>
  <c r="I25" i="1" s="1"/>
  <c r="G26" i="2" s="1"/>
  <c r="C25" i="1"/>
  <c r="AR28" i="1"/>
  <c r="BC28" i="1" s="1"/>
  <c r="C28" i="1"/>
  <c r="AR32" i="1"/>
  <c r="BF32" i="1" s="1"/>
  <c r="C32" i="1"/>
  <c r="AR34" i="1"/>
  <c r="AW34" i="1" s="1"/>
  <c r="K34" i="1" s="1"/>
  <c r="I35" i="2" s="1"/>
  <c r="C34" i="1"/>
  <c r="AR39" i="1"/>
  <c r="BD39" i="1" s="1"/>
  <c r="N39" i="1" s="1"/>
  <c r="L40" i="2" s="1"/>
  <c r="O40" i="2" s="1"/>
  <c r="C39" i="1"/>
  <c r="AR49" i="1"/>
  <c r="BC49" i="1" s="1"/>
  <c r="C49" i="1"/>
  <c r="AR60" i="1"/>
  <c r="AU60" i="1" s="1"/>
  <c r="I60" i="1" s="1"/>
  <c r="G61" i="2" s="1"/>
  <c r="C60" i="1"/>
  <c r="AR64" i="1"/>
  <c r="C64" i="1"/>
  <c r="AR68" i="1"/>
  <c r="BF68" i="1" s="1"/>
  <c r="C68" i="1"/>
  <c r="AR77" i="1"/>
  <c r="BD77" i="1" s="1"/>
  <c r="N77" i="1" s="1"/>
  <c r="L78" i="2" s="1"/>
  <c r="O78" i="2" s="1"/>
  <c r="C77" i="1"/>
  <c r="AR82" i="1"/>
  <c r="BC82" i="1" s="1"/>
  <c r="C82" i="1"/>
  <c r="AR83" i="1"/>
  <c r="BD83" i="1" s="1"/>
  <c r="N83" i="1" s="1"/>
  <c r="L84" i="2" s="1"/>
  <c r="O84" i="2" s="1"/>
  <c r="C83" i="1"/>
  <c r="AR85" i="1"/>
  <c r="BC85" i="1" s="1"/>
  <c r="C85" i="1"/>
  <c r="AR89" i="1"/>
  <c r="BF89" i="1" s="1"/>
  <c r="C89" i="1"/>
  <c r="AR91" i="1"/>
  <c r="BC91" i="1" s="1"/>
  <c r="C91" i="1"/>
  <c r="AR40" i="1"/>
  <c r="BF40" i="1" s="1"/>
  <c r="C40" i="1"/>
  <c r="AR10" i="1"/>
  <c r="BF10" i="1" s="1"/>
  <c r="T10" i="1" s="1"/>
  <c r="C10" i="1"/>
  <c r="AR12" i="1"/>
  <c r="BF12" i="1" s="1"/>
  <c r="C12" i="1"/>
  <c r="AR14" i="1"/>
  <c r="BD14" i="1" s="1"/>
  <c r="N14" i="1" s="1"/>
  <c r="L15" i="2" s="1"/>
  <c r="O15" i="2" s="1"/>
  <c r="C14" i="1"/>
  <c r="AR17" i="1"/>
  <c r="BD17" i="1" s="1"/>
  <c r="N17" i="1" s="1"/>
  <c r="L18" i="2" s="1"/>
  <c r="O18" i="2" s="1"/>
  <c r="C17" i="1"/>
  <c r="AR18" i="1"/>
  <c r="BF18" i="1" s="1"/>
  <c r="C18" i="1"/>
  <c r="AR22" i="1"/>
  <c r="BF22" i="1" s="1"/>
  <c r="T22" i="1" s="1"/>
  <c r="C22" i="1"/>
  <c r="AR24" i="1"/>
  <c r="BF24" i="1" s="1"/>
  <c r="T24" i="1" s="1"/>
  <c r="C24" i="1"/>
  <c r="AR26" i="1"/>
  <c r="BC26" i="1" s="1"/>
  <c r="C26" i="1"/>
  <c r="AR29" i="1"/>
  <c r="BF29" i="1" s="1"/>
  <c r="T29" i="1" s="1"/>
  <c r="C29" i="1"/>
  <c r="AR31" i="1"/>
  <c r="BF31" i="1" s="1"/>
  <c r="T31" i="1" s="1"/>
  <c r="C31" i="1"/>
  <c r="AR33" i="1"/>
  <c r="BF33" i="1" s="1"/>
  <c r="T33" i="1" s="1"/>
  <c r="C33" i="1"/>
  <c r="AR35" i="1"/>
  <c r="BF35" i="1" s="1"/>
  <c r="T35" i="1" s="1"/>
  <c r="C35" i="1"/>
  <c r="AR37" i="1"/>
  <c r="BF37" i="1" s="1"/>
  <c r="T37" i="1" s="1"/>
  <c r="C37" i="1"/>
  <c r="AR41" i="1"/>
  <c r="BF41" i="1" s="1"/>
  <c r="T41" i="1" s="1"/>
  <c r="C41" i="1"/>
  <c r="AR46" i="1"/>
  <c r="BF46" i="1" s="1"/>
  <c r="T46" i="1" s="1"/>
  <c r="C46" i="1"/>
  <c r="AR48" i="1"/>
  <c r="BF48" i="1" s="1"/>
  <c r="T48" i="1" s="1"/>
  <c r="C48" i="1"/>
  <c r="AR50" i="1"/>
  <c r="BF50" i="1" s="1"/>
  <c r="T50" i="1" s="1"/>
  <c r="C50" i="1"/>
  <c r="AR52" i="1"/>
  <c r="AW52" i="1" s="1"/>
  <c r="C52" i="1"/>
  <c r="AR57" i="1"/>
  <c r="BF57" i="1" s="1"/>
  <c r="T57" i="1" s="1"/>
  <c r="C57" i="1"/>
  <c r="AR59" i="1"/>
  <c r="BF59" i="1" s="1"/>
  <c r="T59" i="1" s="1"/>
  <c r="C59" i="1"/>
  <c r="AR62" i="1"/>
  <c r="BF62" i="1" s="1"/>
  <c r="T62" i="1" s="1"/>
  <c r="C62" i="1"/>
  <c r="AR61" i="1"/>
  <c r="BF61" i="1" s="1"/>
  <c r="T61" i="1" s="1"/>
  <c r="C61" i="1"/>
  <c r="AR65" i="1"/>
  <c r="BF65" i="1" s="1"/>
  <c r="T65" i="1" s="1"/>
  <c r="C65" i="1"/>
  <c r="AR67" i="1"/>
  <c r="BF67" i="1" s="1"/>
  <c r="T67" i="1" s="1"/>
  <c r="C67" i="1"/>
  <c r="AR69" i="1"/>
  <c r="BF69" i="1" s="1"/>
  <c r="T69" i="1" s="1"/>
  <c r="C69" i="1"/>
  <c r="AR72" i="1"/>
  <c r="BF72" i="1" s="1"/>
  <c r="T72" i="1" s="1"/>
  <c r="C72" i="1"/>
  <c r="AR74" i="1"/>
  <c r="BF74" i="1" s="1"/>
  <c r="T74" i="1" s="1"/>
  <c r="C74" i="1"/>
  <c r="AR76" i="1"/>
  <c r="BF76" i="1" s="1"/>
  <c r="T76" i="1" s="1"/>
  <c r="C76" i="1"/>
  <c r="AR79" i="1"/>
  <c r="BF79" i="1" s="1"/>
  <c r="T79" i="1" s="1"/>
  <c r="C79" i="1"/>
  <c r="AR81" i="1"/>
  <c r="BF81" i="1" s="1"/>
  <c r="T81" i="1" s="1"/>
  <c r="C81" i="1"/>
  <c r="AR84" i="1"/>
  <c r="BF84" i="1" s="1"/>
  <c r="T84" i="1" s="1"/>
  <c r="C84" i="1"/>
  <c r="AR87" i="1"/>
  <c r="BD87" i="1" s="1"/>
  <c r="N87" i="1" s="1"/>
  <c r="L88" i="2" s="1"/>
  <c r="O88" i="2" s="1"/>
  <c r="C87" i="1"/>
  <c r="AR88" i="1"/>
  <c r="BF88" i="1" s="1"/>
  <c r="T88" i="1" s="1"/>
  <c r="C88" i="1"/>
  <c r="AR90" i="1"/>
  <c r="BF90" i="1" s="1"/>
  <c r="T90" i="1" s="1"/>
  <c r="C90" i="1"/>
  <c r="AR92" i="1"/>
  <c r="BF92" i="1" s="1"/>
  <c r="T92" i="1" s="1"/>
  <c r="C92" i="1"/>
  <c r="AR86" i="1"/>
  <c r="BF86" i="1" s="1"/>
  <c r="T86" i="1" s="1"/>
  <c r="C86" i="1"/>
  <c r="AR13" i="1"/>
  <c r="BD13" i="1" s="1"/>
  <c r="N13" i="1" s="1"/>
  <c r="L14" i="2" s="1"/>
  <c r="O14" i="2" s="1"/>
  <c r="C13" i="1"/>
  <c r="AR16" i="1"/>
  <c r="BD16" i="1" s="1"/>
  <c r="N16" i="1" s="1"/>
  <c r="L17" i="2" s="1"/>
  <c r="O17" i="2" s="1"/>
  <c r="C16" i="1"/>
  <c r="AR20" i="1"/>
  <c r="BC20" i="1" s="1"/>
  <c r="C20" i="1"/>
  <c r="AR23" i="1"/>
  <c r="BF23" i="1" s="1"/>
  <c r="C23" i="1"/>
  <c r="AR30" i="1"/>
  <c r="BF30" i="1" s="1"/>
  <c r="C30" i="1"/>
  <c r="AR36" i="1"/>
  <c r="BF36" i="1" s="1"/>
  <c r="C36" i="1"/>
  <c r="AR44" i="1"/>
  <c r="BF44" i="1" s="1"/>
  <c r="C44" i="1"/>
  <c r="S44" i="1" s="1"/>
  <c r="AR53" i="1"/>
  <c r="BF53" i="1" s="1"/>
  <c r="C53" i="1"/>
  <c r="AR51" i="1"/>
  <c r="BC51" i="1" s="1"/>
  <c r="C51" i="1"/>
  <c r="AR56" i="1"/>
  <c r="BD56" i="1" s="1"/>
  <c r="N56" i="1" s="1"/>
  <c r="L57" i="2" s="1"/>
  <c r="C56" i="1"/>
  <c r="AR58" i="1"/>
  <c r="BC58" i="1" s="1"/>
  <c r="C58" i="1"/>
  <c r="C59" i="2" s="1"/>
  <c r="E59" i="2" s="1"/>
  <c r="AR63" i="1"/>
  <c r="BF63" i="1" s="1"/>
  <c r="C63" i="1"/>
  <c r="AR66" i="1"/>
  <c r="BF66" i="1" s="1"/>
  <c r="C66" i="1"/>
  <c r="AR70" i="1"/>
  <c r="BC70" i="1" s="1"/>
  <c r="C70" i="1"/>
  <c r="AR73" i="1"/>
  <c r="BC73" i="1" s="1"/>
  <c r="C73" i="1"/>
  <c r="AR80" i="1"/>
  <c r="AV80" i="1" s="1"/>
  <c r="J80" i="1" s="1"/>
  <c r="C80" i="1"/>
  <c r="AR71" i="1"/>
  <c r="BF71" i="1" s="1"/>
  <c r="C71" i="1"/>
  <c r="AC7" i="10"/>
  <c r="AF101" i="10"/>
  <c r="AC89" i="10"/>
  <c r="AC48" i="10"/>
  <c r="AC43" i="10"/>
  <c r="AC35" i="10"/>
  <c r="AC31" i="10"/>
  <c r="AC90" i="10"/>
  <c r="AC79" i="10"/>
  <c r="AC73" i="10"/>
  <c r="AC69" i="10"/>
  <c r="AC37" i="10"/>
  <c r="AF96" i="10"/>
  <c r="AH100" i="10"/>
  <c r="AI100" i="10" s="1"/>
  <c r="AC72" i="10"/>
  <c r="AC70" i="10"/>
  <c r="AC64" i="10"/>
  <c r="AC62" i="10"/>
  <c r="AC29" i="10"/>
  <c r="AC27" i="10"/>
  <c r="AC22" i="10"/>
  <c r="T96" i="10"/>
  <c r="AD96" i="10"/>
  <c r="AI99" i="10"/>
  <c r="AJ99" i="10" s="1"/>
  <c r="S96" i="10"/>
  <c r="AC15" i="10"/>
  <c r="AC11" i="10"/>
  <c r="AC13" i="10"/>
  <c r="AC85" i="10"/>
  <c r="AC77" i="10"/>
  <c r="AC56" i="10"/>
  <c r="AC86" i="10"/>
  <c r="AC45" i="10"/>
  <c r="AC28" i="10"/>
  <c r="AC19" i="10"/>
  <c r="U96" i="10"/>
  <c r="AB96" i="10"/>
  <c r="AC88" i="10"/>
  <c r="AC81" i="10"/>
  <c r="AC74" i="10"/>
  <c r="AC71" i="10"/>
  <c r="AC67" i="10"/>
  <c r="AC63" i="10"/>
  <c r="AC55" i="10"/>
  <c r="AC52" i="10"/>
  <c r="AC51" i="10"/>
  <c r="AC47" i="10"/>
  <c r="AC41" i="10"/>
  <c r="AC34" i="10"/>
  <c r="AC30" i="10"/>
  <c r="AC26" i="10"/>
  <c r="AC49" i="10"/>
  <c r="Z96" i="10"/>
  <c r="AN98" i="1"/>
  <c r="AR38" i="1"/>
  <c r="BF38" i="1" s="1"/>
  <c r="T38" i="1" s="1"/>
  <c r="AR45" i="1"/>
  <c r="BC45" i="1" s="1"/>
  <c r="AR27" i="1"/>
  <c r="BD27" i="1" s="1"/>
  <c r="N27" i="1" s="1"/>
  <c r="L28" i="2" s="1"/>
  <c r="O28" i="2" s="1"/>
  <c r="AR47" i="1"/>
  <c r="BD47" i="1" s="1"/>
  <c r="N47" i="1" s="1"/>
  <c r="L48" i="2" s="1"/>
  <c r="O48" i="2" s="1"/>
  <c r="AM98" i="1"/>
  <c r="AR21" i="1"/>
  <c r="BC21" i="1" s="1"/>
  <c r="AR42" i="1"/>
  <c r="BF42" i="1" s="1"/>
  <c r="T42" i="1" s="1"/>
  <c r="AR43" i="1"/>
  <c r="BF43" i="1" s="1"/>
  <c r="T43" i="1" s="1"/>
  <c r="AR54" i="1"/>
  <c r="BF54" i="1" s="1"/>
  <c r="AR55" i="1"/>
  <c r="BF55" i="1" s="1"/>
  <c r="AR75" i="1"/>
  <c r="BC75" i="1" s="1"/>
  <c r="AR78" i="1"/>
  <c r="BF78" i="1" s="1"/>
  <c r="BJ98" i="1"/>
  <c r="BD11" i="1"/>
  <c r="N11" i="1" s="1"/>
  <c r="L12" i="2" s="1"/>
  <c r="BF17" i="1"/>
  <c r="T17" i="1" s="1"/>
  <c r="BH17" i="1"/>
  <c r="BD19" i="1"/>
  <c r="N19" i="1" s="1"/>
  <c r="L20" i="2" s="1"/>
  <c r="O20" i="2" s="1"/>
  <c r="AV25" i="1"/>
  <c r="J25" i="1" s="1"/>
  <c r="BD23" i="1"/>
  <c r="N23" i="1" s="1"/>
  <c r="L24" i="2" s="1"/>
  <c r="BF28" i="1"/>
  <c r="BC32" i="1"/>
  <c r="BF49" i="1"/>
  <c r="BD89" i="1"/>
  <c r="N89" i="1" s="1"/>
  <c r="L90" i="2" s="1"/>
  <c r="BF99" i="1"/>
  <c r="BH99" i="1" s="1"/>
  <c r="BD99" i="1"/>
  <c r="BE99" i="1"/>
  <c r="BF15" i="1"/>
  <c r="AR9" i="1"/>
  <c r="BC12" i="1"/>
  <c r="BE12" i="1" s="1"/>
  <c r="BC13" i="1"/>
  <c r="AV34" i="1"/>
  <c r="J34" i="1" s="1"/>
  <c r="BF34" i="1"/>
  <c r="BD34" i="1"/>
  <c r="N34" i="1" s="1"/>
  <c r="L35" i="2" s="1"/>
  <c r="BF60" i="1"/>
  <c r="BC64" i="1"/>
  <c r="BF64" i="1"/>
  <c r="BD64" i="1"/>
  <c r="N64" i="1" s="1"/>
  <c r="L65" i="2" s="1"/>
  <c r="O65" i="2" s="1"/>
  <c r="BC77" i="1"/>
  <c r="BF77" i="1"/>
  <c r="BC83" i="1"/>
  <c r="BF83" i="1"/>
  <c r="BC40" i="1"/>
  <c r="BD40" i="1"/>
  <c r="N40" i="1" s="1"/>
  <c r="L41" i="2" s="1"/>
  <c r="O41" i="2" s="1"/>
  <c r="BC22" i="1"/>
  <c r="BH22" i="1"/>
  <c r="BD26" i="1"/>
  <c r="N26" i="1" s="1"/>
  <c r="L27" i="2" s="1"/>
  <c r="BF26" i="1"/>
  <c r="BH29" i="1"/>
  <c r="BH31" i="1"/>
  <c r="BC35" i="1"/>
  <c r="BC41" i="1"/>
  <c r="BH41" i="1"/>
  <c r="AV48" i="1"/>
  <c r="BH48" i="1"/>
  <c r="BH50" i="1"/>
  <c r="BD52" i="1"/>
  <c r="N52" i="1" s="1"/>
  <c r="L53" i="2" s="1"/>
  <c r="BF52" i="1"/>
  <c r="BB56" i="1"/>
  <c r="BC59" i="1"/>
  <c r="BH59" i="1"/>
  <c r="AV61" i="1"/>
  <c r="J61" i="1" s="1"/>
  <c r="BC67" i="1"/>
  <c r="BH67" i="1"/>
  <c r="AV72" i="1"/>
  <c r="J72" i="1" s="1"/>
  <c r="BH76" i="1"/>
  <c r="BH81" i="1"/>
  <c r="BH90" i="1"/>
  <c r="BH86" i="1"/>
  <c r="BD100" i="1"/>
  <c r="BF100" i="1"/>
  <c r="BH100" i="1" s="1"/>
  <c r="BD22" i="1"/>
  <c r="N22" i="1" s="1"/>
  <c r="L23" i="2" s="1"/>
  <c r="O23" i="2" s="1"/>
  <c r="BD24" i="1"/>
  <c r="N24" i="1" s="1"/>
  <c r="L25" i="2" s="1"/>
  <c r="O25" i="2" s="1"/>
  <c r="BD31" i="1"/>
  <c r="N31" i="1" s="1"/>
  <c r="L32" i="2" s="1"/>
  <c r="BD33" i="1"/>
  <c r="N33" i="1" s="1"/>
  <c r="L34" i="2" s="1"/>
  <c r="BD41" i="1"/>
  <c r="N41" i="1" s="1"/>
  <c r="L42" i="2" s="1"/>
  <c r="O42" i="2" s="1"/>
  <c r="AW48" i="1"/>
  <c r="BD59" i="1"/>
  <c r="N59" i="1" s="1"/>
  <c r="L60" i="2" s="1"/>
  <c r="O60" i="2" s="1"/>
  <c r="AW61" i="1"/>
  <c r="K61" i="1" s="1"/>
  <c r="I62" i="2" s="1"/>
  <c r="BD61" i="1"/>
  <c r="N61" i="1" s="1"/>
  <c r="L62" i="2" s="1"/>
  <c r="BD67" i="1"/>
  <c r="N67" i="1" s="1"/>
  <c r="L68" i="2" s="1"/>
  <c r="O68" i="2" s="1"/>
  <c r="AW72" i="1"/>
  <c r="K72" i="1" s="1"/>
  <c r="I73" i="2" s="1"/>
  <c r="BD72" i="1"/>
  <c r="N72" i="1" s="1"/>
  <c r="L73" i="2" s="1"/>
  <c r="BD74" i="1"/>
  <c r="N74" i="1" s="1"/>
  <c r="L75" i="2" s="1"/>
  <c r="O75" i="2" s="1"/>
  <c r="BD81" i="1"/>
  <c r="N81" i="1" s="1"/>
  <c r="L82" i="2" s="1"/>
  <c r="O82" i="2" s="1"/>
  <c r="BC87" i="1"/>
  <c r="BD90" i="1"/>
  <c r="N90" i="1" s="1"/>
  <c r="L91" i="2" s="1"/>
  <c r="O91" i="2" s="1"/>
  <c r="BD86" i="1"/>
  <c r="N86" i="1" s="1"/>
  <c r="L87" i="2" s="1"/>
  <c r="O87" i="2" s="1"/>
  <c r="BE100" i="1"/>
  <c r="BD66" i="1" l="1"/>
  <c r="N66" i="1" s="1"/>
  <c r="L67" i="2" s="1"/>
  <c r="O67" i="2" s="1"/>
  <c r="BD50" i="1"/>
  <c r="N50" i="1" s="1"/>
  <c r="L51" i="2" s="1"/>
  <c r="BD46" i="1"/>
  <c r="N46" i="1" s="1"/>
  <c r="L47" i="2" s="1"/>
  <c r="O47" i="2" s="1"/>
  <c r="AW33" i="1"/>
  <c r="K33" i="1" s="1"/>
  <c r="I34" i="2" s="1"/>
  <c r="BH79" i="1"/>
  <c r="BH33" i="1"/>
  <c r="BD91" i="1"/>
  <c r="N91" i="1" s="1"/>
  <c r="L92" i="2" s="1"/>
  <c r="O92" i="2" s="1"/>
  <c r="BF39" i="1"/>
  <c r="T39" i="1" s="1"/>
  <c r="BD10" i="1"/>
  <c r="N10" i="1" s="1"/>
  <c r="L11" i="2" s="1"/>
  <c r="O11" i="2" s="1"/>
  <c r="BC71" i="1"/>
  <c r="BF58" i="1"/>
  <c r="BH58" i="1" s="1"/>
  <c r="BD79" i="1"/>
  <c r="N79" i="1" s="1"/>
  <c r="L80" i="2" s="1"/>
  <c r="AW50" i="1"/>
  <c r="K50" i="1" s="1"/>
  <c r="I51" i="2" s="1"/>
  <c r="BH88" i="1"/>
  <c r="BH37" i="1"/>
  <c r="BF91" i="1"/>
  <c r="BH91" i="1" s="1"/>
  <c r="BF82" i="1"/>
  <c r="T82" i="1" s="1"/>
  <c r="AW68" i="1"/>
  <c r="K68" i="1" s="1"/>
  <c r="I69" i="2" s="1"/>
  <c r="BC39" i="1"/>
  <c r="AV18" i="1"/>
  <c r="J18" i="1" s="1"/>
  <c r="V18" i="1" s="1"/>
  <c r="BD88" i="1"/>
  <c r="N88" i="1" s="1"/>
  <c r="L89" i="2" s="1"/>
  <c r="O89" i="2" s="1"/>
  <c r="BD76" i="1"/>
  <c r="N76" i="1" s="1"/>
  <c r="L77" i="2" s="1"/>
  <c r="O77" i="2" s="1"/>
  <c r="AW69" i="1"/>
  <c r="K69" i="1" s="1"/>
  <c r="I70" i="2" s="1"/>
  <c r="BD62" i="1"/>
  <c r="N62" i="1" s="1"/>
  <c r="L63" i="2" s="1"/>
  <c r="O63" i="2" s="1"/>
  <c r="BD48" i="1"/>
  <c r="N48" i="1" s="1"/>
  <c r="L49" i="2" s="1"/>
  <c r="BD35" i="1"/>
  <c r="N35" i="1" s="1"/>
  <c r="L36" i="2" s="1"/>
  <c r="O36" i="2" s="1"/>
  <c r="BF87" i="1"/>
  <c r="BH87" i="1" s="1"/>
  <c r="BH72" i="1"/>
  <c r="BH61" i="1"/>
  <c r="BF56" i="1"/>
  <c r="BH46" i="1"/>
  <c r="BH35" i="1"/>
  <c r="BC31" i="1"/>
  <c r="BH24" i="1"/>
  <c r="BD68" i="1"/>
  <c r="N68" i="1" s="1"/>
  <c r="L69" i="2" s="1"/>
  <c r="BD60" i="1"/>
  <c r="N60" i="1" s="1"/>
  <c r="L61" i="2" s="1"/>
  <c r="BC16" i="1"/>
  <c r="BF16" i="1"/>
  <c r="AV89" i="1"/>
  <c r="J89" i="1" s="1"/>
  <c r="BD32" i="1"/>
  <c r="N32" i="1" s="1"/>
  <c r="L33" i="2" s="1"/>
  <c r="O33" i="2" s="1"/>
  <c r="BC53" i="1"/>
  <c r="BF14" i="1"/>
  <c r="AV11" i="1"/>
  <c r="J11" i="1" s="1"/>
  <c r="H12" i="2" s="1"/>
  <c r="BD92" i="1"/>
  <c r="N92" i="1" s="1"/>
  <c r="L93" i="2" s="1"/>
  <c r="O93" i="2" s="1"/>
  <c r="BD84" i="1"/>
  <c r="N84" i="1" s="1"/>
  <c r="L85" i="2" s="1"/>
  <c r="O85" i="2" s="1"/>
  <c r="BD69" i="1"/>
  <c r="N69" i="1" s="1"/>
  <c r="L70" i="2" s="1"/>
  <c r="BD57" i="1"/>
  <c r="N57" i="1" s="1"/>
  <c r="L58" i="2" s="1"/>
  <c r="BD29" i="1"/>
  <c r="N29" i="1" s="1"/>
  <c r="L30" i="2" s="1"/>
  <c r="O30" i="2" s="1"/>
  <c r="BC74" i="1"/>
  <c r="BE74" i="1" s="1"/>
  <c r="AV69" i="1"/>
  <c r="J69" i="1" s="1"/>
  <c r="H70" i="2" s="1"/>
  <c r="BC65" i="1"/>
  <c r="BC62" i="1"/>
  <c r="BE62" i="1" s="1"/>
  <c r="BC57" i="1"/>
  <c r="BD82" i="1"/>
  <c r="N82" i="1" s="1"/>
  <c r="L83" i="2" s="1"/>
  <c r="O83" i="2" s="1"/>
  <c r="AV68" i="1"/>
  <c r="J68" i="1" s="1"/>
  <c r="V68" i="1" s="1"/>
  <c r="AV60" i="1"/>
  <c r="J60" i="1" s="1"/>
  <c r="H61" i="2" s="1"/>
  <c r="O61" i="2" s="1"/>
  <c r="BC15" i="1"/>
  <c r="BE15" i="1" s="1"/>
  <c r="BF13" i="1"/>
  <c r="BH13" i="1" s="1"/>
  <c r="BF85" i="1"/>
  <c r="BC44" i="1"/>
  <c r="BF20" i="1"/>
  <c r="T20" i="1" s="1"/>
  <c r="BC14" i="1"/>
  <c r="BE14" i="1" s="1"/>
  <c r="AW79" i="1"/>
  <c r="K79" i="1" s="1"/>
  <c r="I80" i="2" s="1"/>
  <c r="BD65" i="1"/>
  <c r="N65" i="1" s="1"/>
  <c r="L66" i="2" s="1"/>
  <c r="O66" i="2" s="1"/>
  <c r="BD37" i="1"/>
  <c r="N37" i="1" s="1"/>
  <c r="L38" i="2" s="1"/>
  <c r="O38" i="2" s="1"/>
  <c r="BH92" i="1"/>
  <c r="BH84" i="1"/>
  <c r="BH74" i="1"/>
  <c r="BH69" i="1"/>
  <c r="BH65" i="1"/>
  <c r="BH62" i="1"/>
  <c r="BH57" i="1"/>
  <c r="AV50" i="1"/>
  <c r="J50" i="1" s="1"/>
  <c r="H51" i="2" s="1"/>
  <c r="O51" i="2" s="1"/>
  <c r="BC46" i="1"/>
  <c r="BC37" i="1"/>
  <c r="AV33" i="1"/>
  <c r="J33" i="1" s="1"/>
  <c r="V33" i="1" s="1"/>
  <c r="BC29" i="1"/>
  <c r="BC24" i="1"/>
  <c r="BE24" i="1" s="1"/>
  <c r="BC10" i="1"/>
  <c r="BE10" i="1" s="1"/>
  <c r="BF25" i="1"/>
  <c r="T25" i="1" s="1"/>
  <c r="BD18" i="1"/>
  <c r="N18" i="1" s="1"/>
  <c r="L19" i="2" s="1"/>
  <c r="S67" i="1"/>
  <c r="W67" i="1" s="1"/>
  <c r="X67" i="1" s="1"/>
  <c r="Y67" i="1" s="1"/>
  <c r="R67" i="1"/>
  <c r="S19" i="1"/>
  <c r="R19" i="1"/>
  <c r="AA58" i="1"/>
  <c r="AW80" i="1"/>
  <c r="K80" i="1" s="1"/>
  <c r="I81" i="2" s="1"/>
  <c r="S58" i="1"/>
  <c r="S29" i="1"/>
  <c r="R29" i="1"/>
  <c r="S15" i="1"/>
  <c r="R15" i="1"/>
  <c r="C16" i="2"/>
  <c r="E16" i="2" s="1"/>
  <c r="C68" i="2"/>
  <c r="E68" i="2" s="1"/>
  <c r="V50" i="1"/>
  <c r="V25" i="1"/>
  <c r="H26" i="2"/>
  <c r="AK99" i="10"/>
  <c r="S36" i="1"/>
  <c r="C37" i="2"/>
  <c r="E37" i="2" s="1"/>
  <c r="S49" i="1"/>
  <c r="V72" i="1"/>
  <c r="H73" i="2"/>
  <c r="O73" i="2" s="1"/>
  <c r="V61" i="1"/>
  <c r="H62" i="2"/>
  <c r="O62" i="2" s="1"/>
  <c r="V34" i="1"/>
  <c r="H35" i="2"/>
  <c r="O35" i="2" s="1"/>
  <c r="V89" i="1"/>
  <c r="H90" i="2"/>
  <c r="S59" i="1"/>
  <c r="R59" i="1"/>
  <c r="S64" i="1"/>
  <c r="R64" i="1"/>
  <c r="H69" i="2"/>
  <c r="O69" i="2" s="1"/>
  <c r="V60" i="1"/>
  <c r="AA96" i="10"/>
  <c r="V80" i="1"/>
  <c r="H81" i="2"/>
  <c r="R47" i="1"/>
  <c r="C50" i="2"/>
  <c r="E50" i="2" s="1"/>
  <c r="O58" i="2"/>
  <c r="K48" i="1"/>
  <c r="I49" i="2" s="1"/>
  <c r="L110" i="1"/>
  <c r="J48" i="1"/>
  <c r="K110" i="1"/>
  <c r="BC86" i="1"/>
  <c r="BE86" i="1" s="1"/>
  <c r="BC92" i="1"/>
  <c r="BC90" i="1"/>
  <c r="BE90" i="1" s="1"/>
  <c r="BC88" i="1"/>
  <c r="BE88" i="1" s="1"/>
  <c r="BC84" i="1"/>
  <c r="BC81" i="1"/>
  <c r="AV79" i="1"/>
  <c r="J79" i="1" s="1"/>
  <c r="BC76" i="1"/>
  <c r="BE76" i="1" s="1"/>
  <c r="BF73" i="1"/>
  <c r="BH73" i="1" s="1"/>
  <c r="BH10" i="1"/>
  <c r="AW89" i="1"/>
  <c r="K89" i="1" s="1"/>
  <c r="I90" i="2" s="1"/>
  <c r="BD85" i="1"/>
  <c r="N85" i="1" s="1"/>
  <c r="L86" i="2" s="1"/>
  <c r="O86" i="2" s="1"/>
  <c r="BD78" i="1"/>
  <c r="N78" i="1" s="1"/>
  <c r="L79" i="2" s="1"/>
  <c r="O79" i="2" s="1"/>
  <c r="BD63" i="1"/>
  <c r="N63" i="1" s="1"/>
  <c r="L64" i="2" s="1"/>
  <c r="BD49" i="1"/>
  <c r="N49" i="1" s="1"/>
  <c r="L50" i="2" s="1"/>
  <c r="O50" i="2" s="1"/>
  <c r="BD36" i="1"/>
  <c r="N36" i="1" s="1"/>
  <c r="L37" i="2" s="1"/>
  <c r="O37" i="2" s="1"/>
  <c r="BD28" i="1"/>
  <c r="N28" i="1" s="1"/>
  <c r="L29" i="2" s="1"/>
  <c r="O29" i="2" s="1"/>
  <c r="BF51" i="1"/>
  <c r="BD30" i="1"/>
  <c r="N30" i="1" s="1"/>
  <c r="L31" i="2" s="1"/>
  <c r="O31" i="2" s="1"/>
  <c r="BD25" i="1"/>
  <c r="N25" i="1" s="1"/>
  <c r="L26" i="2" s="1"/>
  <c r="BB19" i="1"/>
  <c r="BC19" i="1" s="1"/>
  <c r="BE19" i="1" s="1"/>
  <c r="AW18" i="1"/>
  <c r="K18" i="1" s="1"/>
  <c r="I19" i="2" s="1"/>
  <c r="BC17" i="1"/>
  <c r="BE17" i="1" s="1"/>
  <c r="AW11" i="1"/>
  <c r="K11" i="1" s="1"/>
  <c r="I12" i="2" s="1"/>
  <c r="O12" i="2" s="1"/>
  <c r="F73" i="1"/>
  <c r="P20" i="1"/>
  <c r="P31" i="1"/>
  <c r="N32" i="2" s="1"/>
  <c r="O32" i="2" s="1"/>
  <c r="P26" i="1"/>
  <c r="N27" i="2" s="1"/>
  <c r="O27" i="2" s="1"/>
  <c r="F32" i="1"/>
  <c r="F95" i="1" s="1"/>
  <c r="BD73" i="1"/>
  <c r="N73" i="1" s="1"/>
  <c r="L74" i="2" s="1"/>
  <c r="O74" i="2" s="1"/>
  <c r="BF45" i="1"/>
  <c r="T45" i="1" s="1"/>
  <c r="BD71" i="1"/>
  <c r="N71" i="1" s="1"/>
  <c r="L72" i="2" s="1"/>
  <c r="O72" i="2" s="1"/>
  <c r="BF80" i="1"/>
  <c r="T80" i="1" s="1"/>
  <c r="BF70" i="1"/>
  <c r="BC66" i="1"/>
  <c r="BE66" i="1" s="1"/>
  <c r="AV63" i="1"/>
  <c r="J63" i="1" s="1"/>
  <c r="BD55" i="1"/>
  <c r="N55" i="1" s="1"/>
  <c r="L56" i="2" s="1"/>
  <c r="O56" i="2" s="1"/>
  <c r="BD44" i="1"/>
  <c r="N44" i="1" s="1"/>
  <c r="L45" i="2" s="1"/>
  <c r="O45" i="2" s="1"/>
  <c r="BD43" i="1"/>
  <c r="N43" i="1" s="1"/>
  <c r="BC36" i="1"/>
  <c r="BE36" i="1" s="1"/>
  <c r="AV23" i="1"/>
  <c r="J23" i="1" s="1"/>
  <c r="BD53" i="1"/>
  <c r="N53" i="1" s="1"/>
  <c r="L54" i="2" s="1"/>
  <c r="O54" i="2" s="1"/>
  <c r="BF47" i="1"/>
  <c r="T47" i="1" s="1"/>
  <c r="BC30" i="1"/>
  <c r="I95" i="1"/>
  <c r="C95" i="1"/>
  <c r="BH71" i="1"/>
  <c r="T71" i="1"/>
  <c r="BH66" i="1"/>
  <c r="T66" i="1"/>
  <c r="BH63" i="1"/>
  <c r="T63" i="1"/>
  <c r="BH53" i="1"/>
  <c r="T53" i="1"/>
  <c r="BH44" i="1"/>
  <c r="T44" i="1"/>
  <c r="BH36" i="1"/>
  <c r="T36" i="1"/>
  <c r="BH30" i="1"/>
  <c r="T30" i="1"/>
  <c r="BH23" i="1"/>
  <c r="T23" i="1"/>
  <c r="BH52" i="1"/>
  <c r="T52" i="1"/>
  <c r="BC52" i="1"/>
  <c r="BE52" i="1" s="1"/>
  <c r="K52" i="1"/>
  <c r="I53" i="2" s="1"/>
  <c r="O53" i="2" s="1"/>
  <c r="BH83" i="1"/>
  <c r="T83" i="1"/>
  <c r="BH82" i="1"/>
  <c r="BH45" i="1"/>
  <c r="BH34" i="1"/>
  <c r="T34" i="1"/>
  <c r="BH15" i="1"/>
  <c r="T15" i="1"/>
  <c r="BH70" i="1"/>
  <c r="T70" i="1"/>
  <c r="T87" i="1"/>
  <c r="BH56" i="1"/>
  <c r="T56" i="1"/>
  <c r="BC56" i="1"/>
  <c r="BE56" i="1" s="1"/>
  <c r="M56" i="1"/>
  <c r="K57" i="2" s="1"/>
  <c r="BH26" i="1"/>
  <c r="T26" i="1"/>
  <c r="BH68" i="1"/>
  <c r="T68" i="1"/>
  <c r="BH12" i="1"/>
  <c r="T12" i="1"/>
  <c r="BH89" i="1"/>
  <c r="T89" i="1"/>
  <c r="BH28" i="1"/>
  <c r="T28" i="1"/>
  <c r="BH25" i="1"/>
  <c r="BH14" i="1"/>
  <c r="T14" i="1"/>
  <c r="V11" i="1"/>
  <c r="BH78" i="1"/>
  <c r="T78" i="1"/>
  <c r="BH55" i="1"/>
  <c r="T55" i="1"/>
  <c r="BD80" i="1"/>
  <c r="N80" i="1" s="1"/>
  <c r="L81" i="2" s="1"/>
  <c r="BD70" i="1"/>
  <c r="N70" i="1" s="1"/>
  <c r="L71" i="2" s="1"/>
  <c r="O71" i="2" s="1"/>
  <c r="AW63" i="1"/>
  <c r="K63" i="1" s="1"/>
  <c r="I64" i="2" s="1"/>
  <c r="BD58" i="1"/>
  <c r="N58" i="1" s="1"/>
  <c r="L59" i="2" s="1"/>
  <c r="O59" i="2" s="1"/>
  <c r="P59" i="2" s="1"/>
  <c r="AW23" i="1"/>
  <c r="K23" i="1" s="1"/>
  <c r="BD51" i="1"/>
  <c r="N51" i="1" s="1"/>
  <c r="L52" i="2" s="1"/>
  <c r="O52" i="2" s="1"/>
  <c r="BD20" i="1"/>
  <c r="N20" i="1" s="1"/>
  <c r="L21" i="2" s="1"/>
  <c r="BH40" i="1"/>
  <c r="T40" i="1"/>
  <c r="BH77" i="1"/>
  <c r="T77" i="1"/>
  <c r="BH64" i="1"/>
  <c r="T64" i="1"/>
  <c r="BH60" i="1"/>
  <c r="T60" i="1"/>
  <c r="BH39" i="1"/>
  <c r="BH16" i="1"/>
  <c r="T16" i="1"/>
  <c r="BH85" i="1"/>
  <c r="T85" i="1"/>
  <c r="T58" i="1"/>
  <c r="BH49" i="1"/>
  <c r="T49" i="1"/>
  <c r="BH32" i="1"/>
  <c r="T32" i="1"/>
  <c r="BH51" i="1"/>
  <c r="T51" i="1"/>
  <c r="BH19" i="1"/>
  <c r="T19" i="1"/>
  <c r="BH18" i="1"/>
  <c r="T18" i="1"/>
  <c r="BH11" i="1"/>
  <c r="T11" i="1"/>
  <c r="BH54" i="1"/>
  <c r="T54" i="1"/>
  <c r="AF102" i="10"/>
  <c r="AF103" i="10" s="1"/>
  <c r="AJ100" i="10"/>
  <c r="AK100" i="10" s="1"/>
  <c r="AF97" i="10"/>
  <c r="AF98" i="10" s="1"/>
  <c r="AF105" i="10" s="1"/>
  <c r="AC96" i="10"/>
  <c r="BC27" i="1"/>
  <c r="BE27" i="1" s="1"/>
  <c r="BC54" i="1"/>
  <c r="BC42" i="1"/>
  <c r="BD45" i="1"/>
  <c r="N45" i="1" s="1"/>
  <c r="BF21" i="1"/>
  <c r="BF27" i="1"/>
  <c r="BF75" i="1"/>
  <c r="BC38" i="1"/>
  <c r="BD54" i="1"/>
  <c r="N54" i="1" s="1"/>
  <c r="BD42" i="1"/>
  <c r="N42" i="1" s="1"/>
  <c r="L43" i="2" s="1"/>
  <c r="O43" i="2" s="1"/>
  <c r="BD38" i="1"/>
  <c r="N38" i="1" s="1"/>
  <c r="L39" i="2" s="1"/>
  <c r="O39" i="2" s="1"/>
  <c r="BC72" i="1"/>
  <c r="BE72" i="1" s="1"/>
  <c r="BC61" i="1"/>
  <c r="BE61" i="1" s="1"/>
  <c r="BC68" i="1"/>
  <c r="BE68" i="1" s="1"/>
  <c r="BD75" i="1"/>
  <c r="BH42" i="1"/>
  <c r="BH38" i="1"/>
  <c r="BC79" i="1"/>
  <c r="BE79" i="1" s="1"/>
  <c r="BC78" i="1"/>
  <c r="BC55" i="1"/>
  <c r="BC43" i="1"/>
  <c r="BC47" i="1"/>
  <c r="BE47" i="1" s="1"/>
  <c r="BC50" i="1"/>
  <c r="BE50" i="1" s="1"/>
  <c r="BE31" i="1"/>
  <c r="BE22" i="1"/>
  <c r="BE77" i="1"/>
  <c r="AU98" i="1"/>
  <c r="BE87" i="1"/>
  <c r="BC48" i="1"/>
  <c r="BE40" i="1"/>
  <c r="BC34" i="1"/>
  <c r="BE34" i="1" s="1"/>
  <c r="BE16" i="1"/>
  <c r="BE13" i="1"/>
  <c r="BH43" i="1"/>
  <c r="BD21" i="1"/>
  <c r="AR98" i="1"/>
  <c r="BF9" i="1"/>
  <c r="T9" i="1" s="1"/>
  <c r="BD9" i="1"/>
  <c r="N9" i="1" s="1"/>
  <c r="L10" i="2" s="1"/>
  <c r="O10" i="2" s="1"/>
  <c r="BC9" i="1"/>
  <c r="BE91" i="1"/>
  <c r="BE83" i="1"/>
  <c r="BE73" i="1"/>
  <c r="BE64" i="1"/>
  <c r="BE39" i="1"/>
  <c r="BE26" i="1"/>
  <c r="BI100" i="1"/>
  <c r="BJ100" i="1" s="1"/>
  <c r="BE81" i="1"/>
  <c r="BE59" i="1"/>
  <c r="BE57" i="1"/>
  <c r="BE46" i="1"/>
  <c r="BE41" i="1"/>
  <c r="BE35" i="1"/>
  <c r="BI99" i="1"/>
  <c r="BE71" i="1"/>
  <c r="BE32" i="1"/>
  <c r="BE28" i="1"/>
  <c r="BC25" i="1"/>
  <c r="BE20" i="1"/>
  <c r="BH101" i="1"/>
  <c r="BE67" i="1"/>
  <c r="BE29" i="1" l="1"/>
  <c r="BC63" i="1"/>
  <c r="BC60" i="1"/>
  <c r="BE60" i="1" s="1"/>
  <c r="BC11" i="1"/>
  <c r="BE11" i="1" s="1"/>
  <c r="T91" i="1"/>
  <c r="H34" i="2"/>
  <c r="O34" i="2" s="1"/>
  <c r="H19" i="2"/>
  <c r="O19" i="2" s="1"/>
  <c r="BE25" i="1"/>
  <c r="BE49" i="1"/>
  <c r="BC33" i="1"/>
  <c r="BE33" i="1" s="1"/>
  <c r="BE92" i="1"/>
  <c r="O70" i="2"/>
  <c r="BE85" i="1"/>
  <c r="BE65" i="1"/>
  <c r="W15" i="1"/>
  <c r="X15" i="1" s="1"/>
  <c r="Y15" i="1" s="1"/>
  <c r="BE30" i="1"/>
  <c r="BE37" i="1"/>
  <c r="BC80" i="1"/>
  <c r="BE80" i="1" s="1"/>
  <c r="BE82" i="1"/>
  <c r="T13" i="1"/>
  <c r="AW98" i="1"/>
  <c r="BE53" i="1"/>
  <c r="BE44" i="1"/>
  <c r="BC18" i="1"/>
  <c r="BE18" i="1" s="1"/>
  <c r="BH20" i="1"/>
  <c r="O26" i="2"/>
  <c r="V69" i="1"/>
  <c r="BC69" i="1"/>
  <c r="BE69" i="1" s="1"/>
  <c r="BE63" i="1"/>
  <c r="BC89" i="1"/>
  <c r="BE89" i="1" s="1"/>
  <c r="BE84" i="1"/>
  <c r="W36" i="1"/>
  <c r="X36" i="1" s="1"/>
  <c r="Y36" i="1" s="1"/>
  <c r="K100" i="2"/>
  <c r="O57" i="2"/>
  <c r="AV98" i="1"/>
  <c r="BE55" i="1"/>
  <c r="M95" i="1"/>
  <c r="BH80" i="1"/>
  <c r="T73" i="1"/>
  <c r="L44" i="2"/>
  <c r="O44" i="2" s="1"/>
  <c r="R43" i="1"/>
  <c r="V79" i="1"/>
  <c r="H80" i="2"/>
  <c r="O80" i="2" s="1"/>
  <c r="V48" i="1"/>
  <c r="H49" i="2"/>
  <c r="O49" i="2" s="1"/>
  <c r="R49" i="1"/>
  <c r="R36" i="1"/>
  <c r="P16" i="2"/>
  <c r="Z15" i="1" s="1"/>
  <c r="AA15" i="1"/>
  <c r="AB15" i="1" s="1"/>
  <c r="W58" i="1"/>
  <c r="X58" i="1" s="1"/>
  <c r="Y58" i="1" s="1"/>
  <c r="AB58" i="1"/>
  <c r="V23" i="1"/>
  <c r="H24" i="2"/>
  <c r="BB98" i="1"/>
  <c r="BE78" i="1"/>
  <c r="L55" i="2"/>
  <c r="O55" i="2" s="1"/>
  <c r="R54" i="1"/>
  <c r="L46" i="2"/>
  <c r="O46" i="2" s="1"/>
  <c r="R45" i="1"/>
  <c r="K95" i="1"/>
  <c r="I24" i="2"/>
  <c r="I100" i="2" s="1"/>
  <c r="N21" i="2"/>
  <c r="O21" i="2" s="1"/>
  <c r="P95" i="1"/>
  <c r="AA49" i="1"/>
  <c r="AB49" i="1" s="1"/>
  <c r="P50" i="2"/>
  <c r="Z49" i="1" s="1"/>
  <c r="O90" i="2"/>
  <c r="W49" i="1"/>
  <c r="X49" i="1" s="1"/>
  <c r="Y49" i="1" s="1"/>
  <c r="AA36" i="1"/>
  <c r="AB36" i="1" s="1"/>
  <c r="P37" i="2"/>
  <c r="P68" i="2"/>
  <c r="Z67" i="1" s="1"/>
  <c r="AA67" i="1"/>
  <c r="AB67" i="1" s="1"/>
  <c r="BH47" i="1"/>
  <c r="V63" i="1"/>
  <c r="V95" i="1" s="1"/>
  <c r="H64" i="2"/>
  <c r="O64" i="2" s="1"/>
  <c r="O81" i="2"/>
  <c r="R44" i="1"/>
  <c r="R58" i="1"/>
  <c r="Z58" i="1" s="1"/>
  <c r="N100" i="2"/>
  <c r="BE42" i="1"/>
  <c r="BE48" i="1"/>
  <c r="T110" i="1" s="1"/>
  <c r="N110" i="1"/>
  <c r="R110" i="1" s="1"/>
  <c r="BE51" i="1"/>
  <c r="BE58" i="1"/>
  <c r="BE70" i="1"/>
  <c r="BC23" i="1"/>
  <c r="BE23" i="1" s="1"/>
  <c r="BE43" i="1"/>
  <c r="J95" i="1"/>
  <c r="BE21" i="1"/>
  <c r="N21" i="1"/>
  <c r="L22" i="2" s="1"/>
  <c r="O22" i="2" s="1"/>
  <c r="BH75" i="1"/>
  <c r="T75" i="1"/>
  <c r="BH21" i="1"/>
  <c r="T21" i="1"/>
  <c r="BE45" i="1"/>
  <c r="BE75" i="1"/>
  <c r="N75" i="1"/>
  <c r="L76" i="2" s="1"/>
  <c r="O76" i="2" s="1"/>
  <c r="BH27" i="1"/>
  <c r="T27" i="1"/>
  <c r="BE54" i="1"/>
  <c r="BF98" i="1"/>
  <c r="BE38" i="1"/>
  <c r="BH9" i="1"/>
  <c r="BK100" i="1"/>
  <c r="BL100" i="1" s="1"/>
  <c r="BM100" i="1" s="1"/>
  <c r="BD98" i="1"/>
  <c r="BE9" i="1"/>
  <c r="BH102" i="1"/>
  <c r="BH103" i="1" s="1"/>
  <c r="BJ99" i="1"/>
  <c r="O24" i="2" l="1"/>
  <c r="O100" i="2" s="1"/>
  <c r="BC98" i="1"/>
  <c r="T95" i="1"/>
  <c r="Z36" i="1"/>
  <c r="BH98" i="1"/>
  <c r="L100" i="2"/>
  <c r="N95" i="1"/>
  <c r="BE98" i="1"/>
  <c r="BH106" i="1"/>
  <c r="BK99" i="1"/>
  <c r="BL99" i="1" l="1"/>
  <c r="BM99" i="1" s="1"/>
  <c r="D9" i="1" l="1"/>
  <c r="D10" i="1"/>
  <c r="D11" i="1"/>
  <c r="D12" i="1"/>
  <c r="D13" i="1"/>
  <c r="D14" i="1"/>
  <c r="D16" i="1"/>
  <c r="D17" i="1"/>
  <c r="D18" i="1"/>
  <c r="D20" i="1"/>
  <c r="D21" i="1"/>
  <c r="D22" i="1"/>
  <c r="D23" i="1"/>
  <c r="D24" i="1"/>
  <c r="D25" i="1"/>
  <c r="D26" i="1"/>
  <c r="D27" i="1"/>
  <c r="D28" i="1"/>
  <c r="D30" i="1"/>
  <c r="D31" i="1"/>
  <c r="D32" i="1"/>
  <c r="S32" i="1" s="1"/>
  <c r="D33" i="1"/>
  <c r="D34" i="1"/>
  <c r="D35" i="1"/>
  <c r="D37" i="1"/>
  <c r="D38" i="1"/>
  <c r="D39" i="1"/>
  <c r="D40" i="1"/>
  <c r="D106" i="1"/>
  <c r="D41" i="1"/>
  <c r="D42" i="1"/>
  <c r="D46" i="1"/>
  <c r="D48" i="1"/>
  <c r="D50" i="1"/>
  <c r="D51" i="1"/>
  <c r="D52" i="1"/>
  <c r="D53" i="1"/>
  <c r="D55" i="1"/>
  <c r="D56" i="1"/>
  <c r="D57" i="1"/>
  <c r="D60" i="1"/>
  <c r="D61" i="1"/>
  <c r="D62" i="1"/>
  <c r="D63" i="1"/>
  <c r="D65" i="1"/>
  <c r="M4" i="8"/>
  <c r="M5" i="8"/>
  <c r="M6" i="8"/>
  <c r="M7" i="8"/>
  <c r="M8" i="8"/>
  <c r="M9" i="8"/>
  <c r="M10" i="8"/>
  <c r="M11" i="8"/>
  <c r="M12" i="8"/>
  <c r="M13" i="8"/>
  <c r="M14" i="8"/>
  <c r="M15" i="8"/>
  <c r="M3" i="8"/>
  <c r="M2" i="8"/>
  <c r="M1" i="8"/>
  <c r="R63" i="1" l="1"/>
  <c r="S63" i="1"/>
  <c r="S57" i="1"/>
  <c r="R57" i="1"/>
  <c r="S52" i="1"/>
  <c r="R52" i="1"/>
  <c r="S46" i="1"/>
  <c r="R46" i="1"/>
  <c r="R40" i="1"/>
  <c r="S40" i="1"/>
  <c r="R35" i="1"/>
  <c r="S35" i="1"/>
  <c r="S31" i="1"/>
  <c r="R31" i="1"/>
  <c r="S26" i="1"/>
  <c r="R26" i="1"/>
  <c r="R22" i="1"/>
  <c r="S22" i="1"/>
  <c r="S17" i="1"/>
  <c r="W17" i="1" s="1"/>
  <c r="X17" i="1" s="1"/>
  <c r="Y17" i="1" s="1"/>
  <c r="R17" i="1"/>
  <c r="S12" i="1"/>
  <c r="R12" i="1"/>
  <c r="S62" i="1"/>
  <c r="R62" i="1"/>
  <c r="R56" i="1"/>
  <c r="S56" i="1"/>
  <c r="S51" i="1"/>
  <c r="R51" i="1"/>
  <c r="R42" i="1"/>
  <c r="S42" i="1"/>
  <c r="S39" i="1"/>
  <c r="R39" i="1"/>
  <c r="R34" i="1"/>
  <c r="S34" i="1"/>
  <c r="S30" i="1"/>
  <c r="R30" i="1"/>
  <c r="R25" i="1"/>
  <c r="S25" i="1"/>
  <c r="R21" i="1"/>
  <c r="S21" i="1"/>
  <c r="S16" i="1"/>
  <c r="R16" i="1"/>
  <c r="S11" i="1"/>
  <c r="R11" i="1"/>
  <c r="S61" i="1"/>
  <c r="R61" i="1"/>
  <c r="S55" i="1"/>
  <c r="R55" i="1"/>
  <c r="S50" i="1"/>
  <c r="R50" i="1"/>
  <c r="R41" i="1"/>
  <c r="S41" i="1"/>
  <c r="R38" i="1"/>
  <c r="S38" i="1"/>
  <c r="S33" i="1"/>
  <c r="R33" i="1"/>
  <c r="S28" i="1"/>
  <c r="R28" i="1"/>
  <c r="S24" i="1"/>
  <c r="R24" i="1"/>
  <c r="S20" i="1"/>
  <c r="R20" i="1"/>
  <c r="S14" i="1"/>
  <c r="R14" i="1"/>
  <c r="S10" i="1"/>
  <c r="R10" i="1"/>
  <c r="S65" i="1"/>
  <c r="R65" i="1"/>
  <c r="S60" i="1"/>
  <c r="R60" i="1"/>
  <c r="S53" i="1"/>
  <c r="R53" i="1"/>
  <c r="S48" i="1"/>
  <c r="R48" i="1"/>
  <c r="S37" i="1"/>
  <c r="R37" i="1"/>
  <c r="R27" i="1"/>
  <c r="S27" i="1"/>
  <c r="R23" i="1"/>
  <c r="S23" i="1"/>
  <c r="S18" i="1"/>
  <c r="R18" i="1"/>
  <c r="S13" i="1"/>
  <c r="R13" i="1"/>
  <c r="S9" i="1"/>
  <c r="R9" i="1"/>
  <c r="C98" i="2"/>
  <c r="D100" i="2"/>
  <c r="T106" i="1"/>
  <c r="T107" i="1"/>
  <c r="T108" i="1"/>
  <c r="T109" i="1"/>
  <c r="W13" i="1" l="1"/>
  <c r="W30" i="1"/>
  <c r="W52" i="1"/>
  <c r="N106" i="1"/>
  <c r="N107" i="1"/>
  <c r="N108" i="1"/>
  <c r="N109" i="1"/>
  <c r="H106" i="1"/>
  <c r="H107" i="1"/>
  <c r="H108" i="1"/>
  <c r="H109" i="1"/>
  <c r="I106" i="1"/>
  <c r="J106" i="1"/>
  <c r="V106" i="1" s="1"/>
  <c r="K106" i="1"/>
  <c r="L106" i="1"/>
  <c r="I107" i="1"/>
  <c r="J107" i="1"/>
  <c r="V107" i="1" s="1"/>
  <c r="K107" i="1"/>
  <c r="L107" i="1"/>
  <c r="I108" i="1"/>
  <c r="J108" i="1"/>
  <c r="V108" i="1" s="1"/>
  <c r="K108" i="1"/>
  <c r="L108" i="1"/>
  <c r="I109" i="1"/>
  <c r="J109" i="1"/>
  <c r="V109" i="1" s="1"/>
  <c r="K109" i="1"/>
  <c r="L109" i="1"/>
  <c r="M106" i="1"/>
  <c r="M107" i="1"/>
  <c r="M108" i="1"/>
  <c r="M109" i="1"/>
  <c r="G106" i="1"/>
  <c r="G107" i="1"/>
  <c r="G108" i="1"/>
  <c r="G109" i="1"/>
  <c r="E106" i="1"/>
  <c r="E107" i="1"/>
  <c r="E108" i="1"/>
  <c r="E109" i="1"/>
  <c r="C106" i="1"/>
  <c r="C107" i="1"/>
  <c r="C108" i="1"/>
  <c r="C109" i="1"/>
  <c r="D107" i="1"/>
  <c r="D66" i="1"/>
  <c r="D68" i="1"/>
  <c r="D69" i="1"/>
  <c r="D70" i="1"/>
  <c r="D71" i="1"/>
  <c r="D72" i="1"/>
  <c r="D73" i="1"/>
  <c r="D74" i="1"/>
  <c r="D75" i="1"/>
  <c r="D76" i="1"/>
  <c r="D77" i="1"/>
  <c r="D108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109" i="1"/>
  <c r="E11" i="4"/>
  <c r="U10" i="1" s="1"/>
  <c r="W10" i="1" s="1"/>
  <c r="E12" i="4"/>
  <c r="U11" i="1" s="1"/>
  <c r="E13" i="4"/>
  <c r="U12" i="1" s="1"/>
  <c r="E14" i="4"/>
  <c r="U13" i="1" s="1"/>
  <c r="E15" i="4"/>
  <c r="U14" i="1" s="1"/>
  <c r="E17" i="4"/>
  <c r="U16" i="1" s="1"/>
  <c r="E18" i="4"/>
  <c r="E19" i="4"/>
  <c r="E20" i="4"/>
  <c r="U19" i="1" s="1"/>
  <c r="E21" i="4"/>
  <c r="U20" i="1" s="1"/>
  <c r="W20" i="1" s="1"/>
  <c r="E22" i="4"/>
  <c r="U21" i="1" s="1"/>
  <c r="E23" i="4"/>
  <c r="U22" i="1" s="1"/>
  <c r="E24" i="4"/>
  <c r="U23" i="1" s="1"/>
  <c r="W23" i="1" s="1"/>
  <c r="E25" i="4"/>
  <c r="U24" i="1" s="1"/>
  <c r="E26" i="4"/>
  <c r="U25" i="1" s="1"/>
  <c r="E27" i="4"/>
  <c r="U26" i="1" s="1"/>
  <c r="E28" i="4"/>
  <c r="U27" i="1" s="1"/>
  <c r="W27" i="1" s="1"/>
  <c r="E29" i="4"/>
  <c r="U28" i="1" s="1"/>
  <c r="E30" i="4"/>
  <c r="U29" i="1" s="1"/>
  <c r="E31" i="4"/>
  <c r="U30" i="1" s="1"/>
  <c r="E32" i="4"/>
  <c r="U31" i="1" s="1"/>
  <c r="W31" i="1" s="1"/>
  <c r="E33" i="4"/>
  <c r="U32" i="1" s="1"/>
  <c r="E34" i="4"/>
  <c r="U33" i="1" s="1"/>
  <c r="E106" i="4"/>
  <c r="E35" i="4"/>
  <c r="U34" i="1" s="1"/>
  <c r="E36" i="4"/>
  <c r="U35" i="1" s="1"/>
  <c r="E38" i="4"/>
  <c r="U37" i="1" s="1"/>
  <c r="E39" i="4"/>
  <c r="U38" i="1" s="1"/>
  <c r="E40" i="4"/>
  <c r="U39" i="1" s="1"/>
  <c r="W39" i="1" s="1"/>
  <c r="E41" i="4"/>
  <c r="U40" i="1" s="1"/>
  <c r="W40" i="1" s="1"/>
  <c r="E107" i="4"/>
  <c r="U106" i="1" s="1"/>
  <c r="E42" i="4"/>
  <c r="U41" i="1" s="1"/>
  <c r="E43" i="4"/>
  <c r="U42" i="1" s="1"/>
  <c r="W42" i="1" s="1"/>
  <c r="E44" i="4"/>
  <c r="U43" i="1" s="1"/>
  <c r="E45" i="4"/>
  <c r="U44" i="1" s="1"/>
  <c r="E46" i="4"/>
  <c r="E47" i="4"/>
  <c r="U46" i="1" s="1"/>
  <c r="E48" i="4"/>
  <c r="U47" i="1" s="1"/>
  <c r="E49" i="4"/>
  <c r="U48" i="1" s="1"/>
  <c r="E51" i="4"/>
  <c r="U50" i="1" s="1"/>
  <c r="W50" i="1" s="1"/>
  <c r="E52" i="4"/>
  <c r="U51" i="1" s="1"/>
  <c r="W51" i="1" s="1"/>
  <c r="E53" i="4"/>
  <c r="U52" i="1" s="1"/>
  <c r="E54" i="4"/>
  <c r="U53" i="1" s="1"/>
  <c r="E55" i="4"/>
  <c r="U54" i="1" s="1"/>
  <c r="E56" i="4"/>
  <c r="U55" i="1" s="1"/>
  <c r="W55" i="1" s="1"/>
  <c r="E57" i="4"/>
  <c r="U56" i="1" s="1"/>
  <c r="E58" i="4"/>
  <c r="U57" i="1" s="1"/>
  <c r="E60" i="4"/>
  <c r="U59" i="1" s="1"/>
  <c r="E61" i="4"/>
  <c r="U60" i="1" s="1"/>
  <c r="E62" i="4"/>
  <c r="U61" i="1" s="1"/>
  <c r="W61" i="1" s="1"/>
  <c r="E63" i="4"/>
  <c r="U62" i="1" s="1"/>
  <c r="E64" i="4"/>
  <c r="U63" i="1" s="1"/>
  <c r="W63" i="1" s="1"/>
  <c r="E65" i="4"/>
  <c r="U64" i="1" s="1"/>
  <c r="E66" i="4"/>
  <c r="U65" i="1" s="1"/>
  <c r="W65" i="1" s="1"/>
  <c r="E108" i="4"/>
  <c r="U107" i="1" s="1"/>
  <c r="E67" i="4"/>
  <c r="U66" i="1" s="1"/>
  <c r="E69" i="4"/>
  <c r="U68" i="1" s="1"/>
  <c r="E70" i="4"/>
  <c r="U69" i="1" s="1"/>
  <c r="E71" i="4"/>
  <c r="U70" i="1" s="1"/>
  <c r="E72" i="4"/>
  <c r="U71" i="1" s="1"/>
  <c r="E73" i="4"/>
  <c r="U72" i="1" s="1"/>
  <c r="E74" i="4"/>
  <c r="U73" i="1" s="1"/>
  <c r="E75" i="4"/>
  <c r="U74" i="1" s="1"/>
  <c r="E76" i="4"/>
  <c r="U75" i="1" s="1"/>
  <c r="E77" i="4"/>
  <c r="U76" i="1" s="1"/>
  <c r="E78" i="4"/>
  <c r="U77" i="1" s="1"/>
  <c r="E109" i="4"/>
  <c r="U108" i="1" s="1"/>
  <c r="E79" i="4"/>
  <c r="U78" i="1" s="1"/>
  <c r="E80" i="4"/>
  <c r="U79" i="1" s="1"/>
  <c r="E81" i="4"/>
  <c r="U80" i="1" s="1"/>
  <c r="E82" i="4"/>
  <c r="U81" i="1" s="1"/>
  <c r="E83" i="4"/>
  <c r="U82" i="1" s="1"/>
  <c r="E84" i="4"/>
  <c r="U83" i="1" s="1"/>
  <c r="E85" i="4"/>
  <c r="U84" i="1" s="1"/>
  <c r="E86" i="4"/>
  <c r="U85" i="1" s="1"/>
  <c r="E87" i="4"/>
  <c r="U86" i="1" s="1"/>
  <c r="E88" i="4"/>
  <c r="U87" i="1" s="1"/>
  <c r="E89" i="4"/>
  <c r="U88" i="1" s="1"/>
  <c r="E90" i="4"/>
  <c r="U89" i="1" s="1"/>
  <c r="E91" i="4"/>
  <c r="U90" i="1" s="1"/>
  <c r="E92" i="4"/>
  <c r="U91" i="1" s="1"/>
  <c r="E93" i="4"/>
  <c r="U92" i="1" s="1"/>
  <c r="E110" i="4"/>
  <c r="U109" i="1" s="1"/>
  <c r="J110" i="4"/>
  <c r="J11" i="4"/>
  <c r="J12" i="4"/>
  <c r="J13" i="4"/>
  <c r="J14" i="4"/>
  <c r="J15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4" i="4"/>
  <c r="J106" i="4"/>
  <c r="J35" i="4"/>
  <c r="J36" i="4"/>
  <c r="J38" i="4"/>
  <c r="J39" i="4"/>
  <c r="J40" i="4"/>
  <c r="J41" i="4"/>
  <c r="J107" i="4"/>
  <c r="J42" i="4"/>
  <c r="J43" i="4"/>
  <c r="J44" i="4"/>
  <c r="J45" i="4"/>
  <c r="J46" i="4"/>
  <c r="J47" i="4"/>
  <c r="J48" i="4"/>
  <c r="J49" i="4"/>
  <c r="J51" i="4"/>
  <c r="J52" i="4"/>
  <c r="J53" i="4"/>
  <c r="J54" i="4"/>
  <c r="J55" i="4"/>
  <c r="J56" i="4"/>
  <c r="J57" i="4"/>
  <c r="J58" i="4"/>
  <c r="J60" i="4"/>
  <c r="J61" i="4"/>
  <c r="J62" i="4"/>
  <c r="J63" i="4"/>
  <c r="J64" i="4"/>
  <c r="J65" i="4"/>
  <c r="J66" i="4"/>
  <c r="J108" i="4"/>
  <c r="J67" i="4"/>
  <c r="J69" i="4"/>
  <c r="J70" i="4"/>
  <c r="J71" i="4"/>
  <c r="J72" i="4"/>
  <c r="J73" i="4"/>
  <c r="J74" i="4"/>
  <c r="J75" i="4"/>
  <c r="J76" i="4"/>
  <c r="J77" i="4"/>
  <c r="J78" i="4"/>
  <c r="J109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E10" i="4"/>
  <c r="U9" i="1" s="1"/>
  <c r="W9" i="1" s="1"/>
  <c r="BW54" i="1"/>
  <c r="BX54" i="1" s="1"/>
  <c r="BW19" i="1"/>
  <c r="BX19" i="1" s="1"/>
  <c r="W44" i="1" l="1"/>
  <c r="X44" i="1" s="1"/>
  <c r="Y44" i="1" s="1"/>
  <c r="W29" i="1"/>
  <c r="X29" i="1" s="1"/>
  <c r="Y29" i="1" s="1"/>
  <c r="S92" i="1"/>
  <c r="W92" i="1" s="1"/>
  <c r="R92" i="1"/>
  <c r="S88" i="1"/>
  <c r="W88" i="1" s="1"/>
  <c r="X88" i="1" s="1"/>
  <c r="Y88" i="1" s="1"/>
  <c r="R88" i="1"/>
  <c r="S84" i="1"/>
  <c r="W84" i="1" s="1"/>
  <c r="R84" i="1"/>
  <c r="S80" i="1"/>
  <c r="W80" i="1" s="1"/>
  <c r="R80" i="1"/>
  <c r="S77" i="1"/>
  <c r="W77" i="1" s="1"/>
  <c r="X77" i="1" s="1"/>
  <c r="Y77" i="1" s="1"/>
  <c r="R77" i="1"/>
  <c r="R73" i="1"/>
  <c r="S73" i="1"/>
  <c r="W73" i="1" s="1"/>
  <c r="X73" i="1" s="1"/>
  <c r="Y73" i="1" s="1"/>
  <c r="S69" i="1"/>
  <c r="W69" i="1" s="1"/>
  <c r="X69" i="1" s="1"/>
  <c r="Y69" i="1" s="1"/>
  <c r="R69" i="1"/>
  <c r="W62" i="1"/>
  <c r="X62" i="1" s="1"/>
  <c r="Y62" i="1" s="1"/>
  <c r="K54" i="4"/>
  <c r="C54" i="2" s="1"/>
  <c r="E54" i="2" s="1"/>
  <c r="P54" i="2" s="1"/>
  <c r="Z53" i="1" s="1"/>
  <c r="X92" i="1"/>
  <c r="Y92" i="1" s="1"/>
  <c r="X84" i="1"/>
  <c r="Y84" i="1" s="1"/>
  <c r="X80" i="1"/>
  <c r="Y80" i="1" s="1"/>
  <c r="X65" i="1"/>
  <c r="Y65" i="1" s="1"/>
  <c r="X61" i="1"/>
  <c r="Y61" i="1" s="1"/>
  <c r="X52" i="1"/>
  <c r="Y52" i="1" s="1"/>
  <c r="W47" i="1"/>
  <c r="X47" i="1" s="1"/>
  <c r="Y47" i="1" s="1"/>
  <c r="W43" i="1"/>
  <c r="X43" i="1" s="1"/>
  <c r="Y43" i="1" s="1"/>
  <c r="X40" i="1"/>
  <c r="Y40" i="1" s="1"/>
  <c r="W32" i="1"/>
  <c r="X32" i="1" s="1"/>
  <c r="Y32" i="1" s="1"/>
  <c r="X20" i="1"/>
  <c r="Y20" i="1" s="1"/>
  <c r="S91" i="1"/>
  <c r="W91" i="1" s="1"/>
  <c r="X91" i="1" s="1"/>
  <c r="Y91" i="1" s="1"/>
  <c r="R91" i="1"/>
  <c r="S87" i="1"/>
  <c r="W87" i="1" s="1"/>
  <c r="X87" i="1" s="1"/>
  <c r="Y87" i="1" s="1"/>
  <c r="R87" i="1"/>
  <c r="S83" i="1"/>
  <c r="W83" i="1" s="1"/>
  <c r="R83" i="1"/>
  <c r="S79" i="1"/>
  <c r="W79" i="1" s="1"/>
  <c r="X79" i="1" s="1"/>
  <c r="Y79" i="1" s="1"/>
  <c r="R79" i="1"/>
  <c r="S76" i="1"/>
  <c r="W76" i="1" s="1"/>
  <c r="R76" i="1"/>
  <c r="R72" i="1"/>
  <c r="S72" i="1"/>
  <c r="W72" i="1" s="1"/>
  <c r="X72" i="1" s="1"/>
  <c r="Y72" i="1" s="1"/>
  <c r="S68" i="1"/>
  <c r="W68" i="1" s="1"/>
  <c r="X68" i="1" s="1"/>
  <c r="Y68" i="1" s="1"/>
  <c r="R68" i="1"/>
  <c r="W25" i="1"/>
  <c r="X25" i="1" s="1"/>
  <c r="Y25" i="1" s="1"/>
  <c r="W33" i="1"/>
  <c r="X33" i="1" s="1"/>
  <c r="Y33" i="1" s="1"/>
  <c r="W35" i="1"/>
  <c r="X35" i="1" s="1"/>
  <c r="Y35" i="1" s="1"/>
  <c r="W56" i="1"/>
  <c r="X56" i="1" s="1"/>
  <c r="Y56" i="1" s="1"/>
  <c r="W24" i="1"/>
  <c r="X24" i="1" s="1"/>
  <c r="Y24" i="1" s="1"/>
  <c r="X83" i="1"/>
  <c r="Y83" i="1" s="1"/>
  <c r="X76" i="1"/>
  <c r="Y76" i="1" s="1"/>
  <c r="W64" i="1"/>
  <c r="X64" i="1" s="1"/>
  <c r="Y64" i="1" s="1"/>
  <c r="X55" i="1"/>
  <c r="Y55" i="1" s="1"/>
  <c r="X51" i="1"/>
  <c r="Y51" i="1" s="1"/>
  <c r="X42" i="1"/>
  <c r="Y42" i="1" s="1"/>
  <c r="X39" i="1"/>
  <c r="Y39" i="1" s="1"/>
  <c r="X31" i="1"/>
  <c r="Y31" i="1" s="1"/>
  <c r="X27" i="1"/>
  <c r="Y27" i="1" s="1"/>
  <c r="X23" i="1"/>
  <c r="Y23" i="1" s="1"/>
  <c r="W19" i="1"/>
  <c r="X19" i="1" s="1"/>
  <c r="Y19" i="1" s="1"/>
  <c r="X10" i="1"/>
  <c r="Y10" i="1" s="1"/>
  <c r="R90" i="1"/>
  <c r="S90" i="1"/>
  <c r="W90" i="1" s="1"/>
  <c r="R86" i="1"/>
  <c r="S86" i="1"/>
  <c r="W86" i="1" s="1"/>
  <c r="X86" i="1" s="1"/>
  <c r="Y86" i="1" s="1"/>
  <c r="S82" i="1"/>
  <c r="W82" i="1" s="1"/>
  <c r="X82" i="1" s="1"/>
  <c r="Y82" i="1" s="1"/>
  <c r="R82" i="1"/>
  <c r="R78" i="1"/>
  <c r="S78" i="1"/>
  <c r="W78" i="1" s="1"/>
  <c r="X78" i="1" s="1"/>
  <c r="Y78" i="1" s="1"/>
  <c r="S75" i="1"/>
  <c r="W75" i="1" s="1"/>
  <c r="X75" i="1" s="1"/>
  <c r="Y75" i="1" s="1"/>
  <c r="R75" i="1"/>
  <c r="S71" i="1"/>
  <c r="W71" i="1" s="1"/>
  <c r="X71" i="1" s="1"/>
  <c r="Y71" i="1" s="1"/>
  <c r="R71" i="1"/>
  <c r="S66" i="1"/>
  <c r="R66" i="1"/>
  <c r="W12" i="1"/>
  <c r="X12" i="1" s="1"/>
  <c r="Y12" i="1" s="1"/>
  <c r="W60" i="1"/>
  <c r="X60" i="1" s="1"/>
  <c r="Y60" i="1" s="1"/>
  <c r="W14" i="1"/>
  <c r="X14" i="1" s="1"/>
  <c r="Y14" i="1" s="1"/>
  <c r="W21" i="1"/>
  <c r="X21" i="1" s="1"/>
  <c r="Y21" i="1" s="1"/>
  <c r="W34" i="1"/>
  <c r="X34" i="1" s="1"/>
  <c r="Y34" i="1" s="1"/>
  <c r="W46" i="1"/>
  <c r="X46" i="1" s="1"/>
  <c r="Y46" i="1" s="1"/>
  <c r="K56" i="4"/>
  <c r="C56" i="2" s="1"/>
  <c r="E56" i="2" s="1"/>
  <c r="P56" i="2" s="1"/>
  <c r="Z55" i="1" s="1"/>
  <c r="X90" i="1"/>
  <c r="Y90" i="1" s="1"/>
  <c r="X63" i="1"/>
  <c r="Y63" i="1" s="1"/>
  <c r="W59" i="1"/>
  <c r="X59" i="1" s="1"/>
  <c r="Y59" i="1" s="1"/>
  <c r="W54" i="1"/>
  <c r="X54" i="1" s="1"/>
  <c r="Y54" i="1" s="1"/>
  <c r="X50" i="1"/>
  <c r="Y50" i="1" s="1"/>
  <c r="X38" i="1"/>
  <c r="Y38" i="1" s="1"/>
  <c r="X30" i="1"/>
  <c r="Y30" i="1" s="1"/>
  <c r="X13" i="1"/>
  <c r="Y13" i="1" s="1"/>
  <c r="R89" i="1"/>
  <c r="S89" i="1"/>
  <c r="W89" i="1" s="1"/>
  <c r="X89" i="1" s="1"/>
  <c r="Y89" i="1" s="1"/>
  <c r="S85" i="1"/>
  <c r="W85" i="1" s="1"/>
  <c r="X85" i="1" s="1"/>
  <c r="Y85" i="1" s="1"/>
  <c r="R85" i="1"/>
  <c r="R81" i="1"/>
  <c r="S81" i="1"/>
  <c r="W81" i="1" s="1"/>
  <c r="X81" i="1" s="1"/>
  <c r="Y81" i="1" s="1"/>
  <c r="S74" i="1"/>
  <c r="W74" i="1" s="1"/>
  <c r="X74" i="1" s="1"/>
  <c r="Y74" i="1" s="1"/>
  <c r="R74" i="1"/>
  <c r="R70" i="1"/>
  <c r="S70" i="1"/>
  <c r="W70" i="1" s="1"/>
  <c r="X70" i="1" s="1"/>
  <c r="Y70" i="1" s="1"/>
  <c r="W16" i="1"/>
  <c r="X16" i="1" s="1"/>
  <c r="Y16" i="1" s="1"/>
  <c r="W28" i="1"/>
  <c r="X28" i="1" s="1"/>
  <c r="Y28" i="1" s="1"/>
  <c r="W48" i="1"/>
  <c r="X48" i="1" s="1"/>
  <c r="Y48" i="1" s="1"/>
  <c r="W22" i="1"/>
  <c r="X22" i="1" s="1"/>
  <c r="Y22" i="1" s="1"/>
  <c r="W57" i="1"/>
  <c r="X57" i="1" s="1"/>
  <c r="Y57" i="1" s="1"/>
  <c r="W11" i="1"/>
  <c r="X11" i="1" s="1"/>
  <c r="Y11" i="1" s="1"/>
  <c r="W53" i="1"/>
  <c r="X53" i="1" s="1"/>
  <c r="Y53" i="1" s="1"/>
  <c r="W41" i="1"/>
  <c r="X41" i="1" s="1"/>
  <c r="Y41" i="1" s="1"/>
  <c r="W38" i="1"/>
  <c r="W26" i="1"/>
  <c r="X26" i="1" s="1"/>
  <c r="Y26" i="1" s="1"/>
  <c r="W37" i="1"/>
  <c r="X37" i="1" s="1"/>
  <c r="Y37" i="1" s="1"/>
  <c r="X9" i="1"/>
  <c r="Y9" i="1" s="1"/>
  <c r="K79" i="4"/>
  <c r="C79" i="2" s="1"/>
  <c r="E79" i="2" s="1"/>
  <c r="K78" i="4"/>
  <c r="C78" i="2" s="1"/>
  <c r="E78" i="2" s="1"/>
  <c r="K76" i="4"/>
  <c r="C76" i="2" s="1"/>
  <c r="E76" i="2" s="1"/>
  <c r="K74" i="4"/>
  <c r="K72" i="4"/>
  <c r="C72" i="2" s="1"/>
  <c r="E72" i="2" s="1"/>
  <c r="K70" i="4"/>
  <c r="C70" i="2" s="1"/>
  <c r="E70" i="2" s="1"/>
  <c r="K67" i="4"/>
  <c r="C67" i="2" s="1"/>
  <c r="E67" i="2" s="1"/>
  <c r="K66" i="4"/>
  <c r="C66" i="2" s="1"/>
  <c r="E66" i="2" s="1"/>
  <c r="K64" i="4"/>
  <c r="C64" i="2" s="1"/>
  <c r="E64" i="2" s="1"/>
  <c r="K62" i="4"/>
  <c r="C62" i="2" s="1"/>
  <c r="E62" i="2" s="1"/>
  <c r="K60" i="4"/>
  <c r="C60" i="2" s="1"/>
  <c r="E60" i="2" s="1"/>
  <c r="K57" i="4"/>
  <c r="C57" i="2" s="1"/>
  <c r="E57" i="2" s="1"/>
  <c r="K55" i="4"/>
  <c r="C55" i="2" s="1"/>
  <c r="E55" i="2" s="1"/>
  <c r="K53" i="4"/>
  <c r="C53" i="2" s="1"/>
  <c r="E53" i="2" s="1"/>
  <c r="K51" i="4"/>
  <c r="C51" i="2" s="1"/>
  <c r="E51" i="2" s="1"/>
  <c r="K48" i="4"/>
  <c r="C48" i="2" s="1"/>
  <c r="E48" i="2" s="1"/>
  <c r="K46" i="4"/>
  <c r="C46" i="2" s="1"/>
  <c r="E46" i="2" s="1"/>
  <c r="K44" i="4"/>
  <c r="C44" i="2" s="1"/>
  <c r="E44" i="2" s="1"/>
  <c r="K42" i="4"/>
  <c r="C42" i="2" s="1"/>
  <c r="E42" i="2" s="1"/>
  <c r="K41" i="4"/>
  <c r="C41" i="2" s="1"/>
  <c r="E41" i="2" s="1"/>
  <c r="K39" i="4"/>
  <c r="K36" i="4"/>
  <c r="C36" i="2" s="1"/>
  <c r="E36" i="2" s="1"/>
  <c r="K106" i="4"/>
  <c r="C74" i="2"/>
  <c r="E74" i="2" s="1"/>
  <c r="U18" i="1"/>
  <c r="E95" i="4"/>
  <c r="U45" i="1"/>
  <c r="U110" i="1"/>
  <c r="W110" i="1" s="1"/>
  <c r="X110" i="1" s="1"/>
  <c r="Y110" i="1" s="1"/>
  <c r="K31" i="4"/>
  <c r="C31" i="2" s="1"/>
  <c r="E31" i="2" s="1"/>
  <c r="K29" i="4"/>
  <c r="C29" i="2" s="1"/>
  <c r="E29" i="2" s="1"/>
  <c r="K27" i="4"/>
  <c r="C27" i="2" s="1"/>
  <c r="E27" i="2" s="1"/>
  <c r="K25" i="4"/>
  <c r="C25" i="2" s="1"/>
  <c r="E25" i="2" s="1"/>
  <c r="K23" i="4"/>
  <c r="C23" i="2" s="1"/>
  <c r="E23" i="2" s="1"/>
  <c r="K21" i="4"/>
  <c r="C21" i="2" s="1"/>
  <c r="E21" i="2" s="1"/>
  <c r="K19" i="4"/>
  <c r="K17" i="4"/>
  <c r="C17" i="2" s="1"/>
  <c r="E17" i="2" s="1"/>
  <c r="K14" i="4"/>
  <c r="C14" i="2" s="1"/>
  <c r="E14" i="2" s="1"/>
  <c r="K12" i="4"/>
  <c r="C12" i="2" s="1"/>
  <c r="E12" i="2" s="1"/>
  <c r="U95" i="1"/>
  <c r="D95" i="1"/>
  <c r="W109" i="1"/>
  <c r="X109" i="1" s="1"/>
  <c r="Y109" i="1" s="1"/>
  <c r="W108" i="1"/>
  <c r="X108" i="1" s="1"/>
  <c r="Y108" i="1" s="1"/>
  <c r="W107" i="1"/>
  <c r="X107" i="1" s="1"/>
  <c r="Y107" i="1" s="1"/>
  <c r="W106" i="1"/>
  <c r="X106" i="1" s="1"/>
  <c r="Y106" i="1" s="1"/>
  <c r="G100" i="2"/>
  <c r="R109" i="1"/>
  <c r="K18" i="4"/>
  <c r="C18" i="2" s="1"/>
  <c r="E18" i="2" s="1"/>
  <c r="K15" i="4"/>
  <c r="C15" i="2" s="1"/>
  <c r="E15" i="2" s="1"/>
  <c r="K13" i="4"/>
  <c r="C13" i="2" s="1"/>
  <c r="E13" i="2" s="1"/>
  <c r="K11" i="4"/>
  <c r="C11" i="2" s="1"/>
  <c r="E11" i="2" s="1"/>
  <c r="K89" i="4"/>
  <c r="C89" i="2" s="1"/>
  <c r="E89" i="2" s="1"/>
  <c r="K87" i="4"/>
  <c r="C87" i="2" s="1"/>
  <c r="E87" i="2" s="1"/>
  <c r="K85" i="4"/>
  <c r="C85" i="2" s="1"/>
  <c r="E85" i="2" s="1"/>
  <c r="K83" i="4"/>
  <c r="C83" i="2" s="1"/>
  <c r="E83" i="2" s="1"/>
  <c r="K81" i="4"/>
  <c r="C81" i="2" s="1"/>
  <c r="E81" i="2" s="1"/>
  <c r="K93" i="4"/>
  <c r="C93" i="2" s="1"/>
  <c r="E93" i="2" s="1"/>
  <c r="K91" i="4"/>
  <c r="C91" i="2" s="1"/>
  <c r="E91" i="2" s="1"/>
  <c r="K45" i="4"/>
  <c r="C45" i="2" s="1"/>
  <c r="E45" i="2" s="1"/>
  <c r="K35" i="4"/>
  <c r="C35" i="2" s="1"/>
  <c r="E35" i="2" s="1"/>
  <c r="K34" i="4"/>
  <c r="C34" i="2" s="1"/>
  <c r="E34" i="2" s="1"/>
  <c r="K32" i="4"/>
  <c r="C32" i="2" s="1"/>
  <c r="E32" i="2" s="1"/>
  <c r="K30" i="4"/>
  <c r="C30" i="2" s="1"/>
  <c r="E30" i="2" s="1"/>
  <c r="K28" i="4"/>
  <c r="C28" i="2" s="1"/>
  <c r="E28" i="2" s="1"/>
  <c r="K26" i="4"/>
  <c r="C26" i="2" s="1"/>
  <c r="E26" i="2" s="1"/>
  <c r="K24" i="4"/>
  <c r="C24" i="2" s="1"/>
  <c r="E24" i="2" s="1"/>
  <c r="K22" i="4"/>
  <c r="C22" i="2" s="1"/>
  <c r="E22" i="2" s="1"/>
  <c r="K20" i="4"/>
  <c r="C20" i="2" s="1"/>
  <c r="E20" i="2" s="1"/>
  <c r="K110" i="4"/>
  <c r="K92" i="4"/>
  <c r="C92" i="2" s="1"/>
  <c r="E92" i="2" s="1"/>
  <c r="K90" i="4"/>
  <c r="C90" i="2" s="1"/>
  <c r="E90" i="2" s="1"/>
  <c r="K88" i="4"/>
  <c r="C88" i="2" s="1"/>
  <c r="E88" i="2" s="1"/>
  <c r="K86" i="4"/>
  <c r="C86" i="2" s="1"/>
  <c r="E86" i="2" s="1"/>
  <c r="K84" i="4"/>
  <c r="C84" i="2" s="1"/>
  <c r="E84" i="2" s="1"/>
  <c r="K82" i="4"/>
  <c r="C82" i="2" s="1"/>
  <c r="E82" i="2" s="1"/>
  <c r="K80" i="4"/>
  <c r="C80" i="2" s="1"/>
  <c r="E80" i="2" s="1"/>
  <c r="K109" i="4"/>
  <c r="K77" i="4"/>
  <c r="C77" i="2" s="1"/>
  <c r="E77" i="2" s="1"/>
  <c r="K75" i="4"/>
  <c r="C75" i="2" s="1"/>
  <c r="E75" i="2" s="1"/>
  <c r="K73" i="4"/>
  <c r="C73" i="2" s="1"/>
  <c r="E73" i="2" s="1"/>
  <c r="K71" i="4"/>
  <c r="C71" i="2" s="1"/>
  <c r="E71" i="2" s="1"/>
  <c r="K69" i="4"/>
  <c r="C69" i="2" s="1"/>
  <c r="E69" i="2" s="1"/>
  <c r="K108" i="4"/>
  <c r="K65" i="4"/>
  <c r="C65" i="2" s="1"/>
  <c r="E65" i="2" s="1"/>
  <c r="K63" i="4"/>
  <c r="C63" i="2" s="1"/>
  <c r="E63" i="2" s="1"/>
  <c r="K61" i="4"/>
  <c r="C61" i="2" s="1"/>
  <c r="E61" i="2" s="1"/>
  <c r="K58" i="4"/>
  <c r="C58" i="2" s="1"/>
  <c r="E58" i="2" s="1"/>
  <c r="K52" i="4"/>
  <c r="C52" i="2" s="1"/>
  <c r="E52" i="2" s="1"/>
  <c r="K49" i="4"/>
  <c r="C49" i="2" s="1"/>
  <c r="E49" i="2" s="1"/>
  <c r="K47" i="4"/>
  <c r="C47" i="2" s="1"/>
  <c r="E47" i="2" s="1"/>
  <c r="K43" i="4"/>
  <c r="C43" i="2" s="1"/>
  <c r="E43" i="2" s="1"/>
  <c r="K107" i="4"/>
  <c r="K40" i="4"/>
  <c r="C40" i="2" s="1"/>
  <c r="E40" i="2" s="1"/>
  <c r="K38" i="4"/>
  <c r="C38" i="2" s="1"/>
  <c r="E38" i="2" s="1"/>
  <c r="R108" i="1"/>
  <c r="R107" i="1"/>
  <c r="R106" i="1"/>
  <c r="AA55" i="1" l="1"/>
  <c r="AB55" i="1" s="1"/>
  <c r="W18" i="1"/>
  <c r="X18" i="1" s="1"/>
  <c r="Y18" i="1" s="1"/>
  <c r="C39" i="2"/>
  <c r="E39" i="2" s="1"/>
  <c r="AA38" i="1" s="1"/>
  <c r="AB38" i="1" s="1"/>
  <c r="AA53" i="1"/>
  <c r="AB53" i="1" s="1"/>
  <c r="W45" i="1"/>
  <c r="X45" i="1" s="1"/>
  <c r="Y45" i="1" s="1"/>
  <c r="W66" i="1"/>
  <c r="X66" i="1" s="1"/>
  <c r="Y66" i="1" s="1"/>
  <c r="S95" i="1"/>
  <c r="P38" i="2"/>
  <c r="Z37" i="1" s="1"/>
  <c r="AA37" i="1"/>
  <c r="AB37" i="1" s="1"/>
  <c r="P47" i="2"/>
  <c r="Z46" i="1" s="1"/>
  <c r="AA46" i="1"/>
  <c r="AB46" i="1" s="1"/>
  <c r="P52" i="2"/>
  <c r="Z51" i="1" s="1"/>
  <c r="AA51" i="1"/>
  <c r="AB51" i="1" s="1"/>
  <c r="P61" i="2"/>
  <c r="Z60" i="1" s="1"/>
  <c r="AA60" i="1"/>
  <c r="AB60" i="1" s="1"/>
  <c r="P65" i="2"/>
  <c r="Z64" i="1" s="1"/>
  <c r="AA64" i="1"/>
  <c r="AB64" i="1" s="1"/>
  <c r="P69" i="2"/>
  <c r="Z68" i="1" s="1"/>
  <c r="AA68" i="1"/>
  <c r="AB68" i="1" s="1"/>
  <c r="P73" i="2"/>
  <c r="Z72" i="1" s="1"/>
  <c r="AA72" i="1"/>
  <c r="AB72" i="1" s="1"/>
  <c r="P77" i="2"/>
  <c r="Z76" i="1" s="1"/>
  <c r="AA76" i="1"/>
  <c r="AB76" i="1" s="1"/>
  <c r="P80" i="2"/>
  <c r="Z79" i="1" s="1"/>
  <c r="AA79" i="1"/>
  <c r="AB79" i="1" s="1"/>
  <c r="P84" i="2"/>
  <c r="Z83" i="1" s="1"/>
  <c r="AA83" i="1"/>
  <c r="AB83" i="1" s="1"/>
  <c r="P88" i="2"/>
  <c r="Z87" i="1" s="1"/>
  <c r="AA87" i="1"/>
  <c r="AB87" i="1" s="1"/>
  <c r="P92" i="2"/>
  <c r="Z91" i="1" s="1"/>
  <c r="AA91" i="1"/>
  <c r="AB91" i="1" s="1"/>
  <c r="P20" i="2"/>
  <c r="Z19" i="1" s="1"/>
  <c r="AA19" i="1"/>
  <c r="AB19" i="1" s="1"/>
  <c r="P24" i="2"/>
  <c r="Z23" i="1" s="1"/>
  <c r="AA23" i="1"/>
  <c r="AB23" i="1" s="1"/>
  <c r="P28" i="2"/>
  <c r="Z27" i="1" s="1"/>
  <c r="AA27" i="1"/>
  <c r="AB27" i="1" s="1"/>
  <c r="P32" i="2"/>
  <c r="Z31" i="1" s="1"/>
  <c r="AA31" i="1"/>
  <c r="AB31" i="1" s="1"/>
  <c r="P35" i="2"/>
  <c r="Z34" i="1" s="1"/>
  <c r="AA34" i="1"/>
  <c r="AB34" i="1" s="1"/>
  <c r="P91" i="2"/>
  <c r="Z90" i="1" s="1"/>
  <c r="AA90" i="1"/>
  <c r="AB90" i="1" s="1"/>
  <c r="P81" i="2"/>
  <c r="Z80" i="1" s="1"/>
  <c r="AA80" i="1"/>
  <c r="AB80" i="1" s="1"/>
  <c r="P85" i="2"/>
  <c r="Z84" i="1" s="1"/>
  <c r="AA84" i="1"/>
  <c r="AB84" i="1" s="1"/>
  <c r="P89" i="2"/>
  <c r="Z88" i="1" s="1"/>
  <c r="AA88" i="1"/>
  <c r="AB88" i="1" s="1"/>
  <c r="P13" i="2"/>
  <c r="Z12" i="1" s="1"/>
  <c r="AA12" i="1"/>
  <c r="AB12" i="1" s="1"/>
  <c r="P18" i="2"/>
  <c r="Z17" i="1" s="1"/>
  <c r="AA17" i="1"/>
  <c r="AB17" i="1" s="1"/>
  <c r="P14" i="2"/>
  <c r="Z13" i="1" s="1"/>
  <c r="AA13" i="1"/>
  <c r="AB13" i="1" s="1"/>
  <c r="P23" i="2"/>
  <c r="Z22" i="1" s="1"/>
  <c r="AA22" i="1"/>
  <c r="AB22" i="1" s="1"/>
  <c r="P27" i="2"/>
  <c r="Z26" i="1" s="1"/>
  <c r="AA26" i="1"/>
  <c r="AB26" i="1" s="1"/>
  <c r="P31" i="2"/>
  <c r="Z30" i="1" s="1"/>
  <c r="AA30" i="1"/>
  <c r="AB30" i="1" s="1"/>
  <c r="P42" i="2"/>
  <c r="Z41" i="1" s="1"/>
  <c r="AA41" i="1"/>
  <c r="AB41" i="1" s="1"/>
  <c r="P46" i="2"/>
  <c r="Z45" i="1" s="1"/>
  <c r="AA45" i="1"/>
  <c r="P51" i="2"/>
  <c r="Z50" i="1" s="1"/>
  <c r="AA50" i="1"/>
  <c r="AB50" i="1" s="1"/>
  <c r="P55" i="2"/>
  <c r="Z54" i="1" s="1"/>
  <c r="AA54" i="1"/>
  <c r="AB54" i="1" s="1"/>
  <c r="P60" i="2"/>
  <c r="Z59" i="1" s="1"/>
  <c r="AA59" i="1"/>
  <c r="AB59" i="1" s="1"/>
  <c r="P64" i="2"/>
  <c r="Z63" i="1" s="1"/>
  <c r="AA63" i="1"/>
  <c r="AB63" i="1" s="1"/>
  <c r="P67" i="2"/>
  <c r="Z66" i="1" s="1"/>
  <c r="AA66" i="1"/>
  <c r="P72" i="2"/>
  <c r="Z71" i="1" s="1"/>
  <c r="AA71" i="1"/>
  <c r="AB71" i="1" s="1"/>
  <c r="P76" i="2"/>
  <c r="Z75" i="1" s="1"/>
  <c r="AA75" i="1"/>
  <c r="AB75" i="1" s="1"/>
  <c r="P79" i="2"/>
  <c r="Z78" i="1" s="1"/>
  <c r="AA78" i="1"/>
  <c r="AB78" i="1" s="1"/>
  <c r="P40" i="2"/>
  <c r="Z39" i="1" s="1"/>
  <c r="AA39" i="1"/>
  <c r="AB39" i="1" s="1"/>
  <c r="P43" i="2"/>
  <c r="Z42" i="1" s="1"/>
  <c r="AA42" i="1"/>
  <c r="AB42" i="1" s="1"/>
  <c r="P49" i="2"/>
  <c r="Z48" i="1" s="1"/>
  <c r="AA48" i="1"/>
  <c r="AB48" i="1" s="1"/>
  <c r="P58" i="2"/>
  <c r="Z57" i="1" s="1"/>
  <c r="AA57" i="1"/>
  <c r="AB57" i="1" s="1"/>
  <c r="P63" i="2"/>
  <c r="Z62" i="1" s="1"/>
  <c r="AA62" i="1"/>
  <c r="AB62" i="1" s="1"/>
  <c r="P71" i="2"/>
  <c r="Z70" i="1" s="1"/>
  <c r="AA70" i="1"/>
  <c r="AB70" i="1" s="1"/>
  <c r="P75" i="2"/>
  <c r="Z74" i="1" s="1"/>
  <c r="AA74" i="1"/>
  <c r="AB74" i="1" s="1"/>
  <c r="P82" i="2"/>
  <c r="Z81" i="1" s="1"/>
  <c r="AA81" i="1"/>
  <c r="AB81" i="1" s="1"/>
  <c r="P86" i="2"/>
  <c r="Z85" i="1" s="1"/>
  <c r="AA85" i="1"/>
  <c r="AB85" i="1" s="1"/>
  <c r="P90" i="2"/>
  <c r="Z89" i="1" s="1"/>
  <c r="AA89" i="1"/>
  <c r="AB89" i="1" s="1"/>
  <c r="P22" i="2"/>
  <c r="Z21" i="1" s="1"/>
  <c r="AA21" i="1"/>
  <c r="AB21" i="1" s="1"/>
  <c r="P26" i="2"/>
  <c r="Z25" i="1" s="1"/>
  <c r="AA25" i="1"/>
  <c r="AB25" i="1" s="1"/>
  <c r="P30" i="2"/>
  <c r="Z29" i="1" s="1"/>
  <c r="AA29" i="1"/>
  <c r="AB29" i="1" s="1"/>
  <c r="P34" i="2"/>
  <c r="Z33" i="1" s="1"/>
  <c r="AA33" i="1"/>
  <c r="AB33" i="1" s="1"/>
  <c r="P45" i="2"/>
  <c r="Z44" i="1" s="1"/>
  <c r="AA44" i="1"/>
  <c r="AB44" i="1" s="1"/>
  <c r="P93" i="2"/>
  <c r="Z92" i="1" s="1"/>
  <c r="AA92" i="1"/>
  <c r="AB92" i="1" s="1"/>
  <c r="P83" i="2"/>
  <c r="Z82" i="1" s="1"/>
  <c r="AA82" i="1"/>
  <c r="AB82" i="1" s="1"/>
  <c r="P87" i="2"/>
  <c r="Z86" i="1" s="1"/>
  <c r="AA86" i="1"/>
  <c r="AB86" i="1" s="1"/>
  <c r="P11" i="2"/>
  <c r="Z10" i="1" s="1"/>
  <c r="AA10" i="1"/>
  <c r="AB10" i="1" s="1"/>
  <c r="P15" i="2"/>
  <c r="Z14" i="1" s="1"/>
  <c r="AA14" i="1"/>
  <c r="AB14" i="1" s="1"/>
  <c r="P12" i="2"/>
  <c r="Z11" i="1" s="1"/>
  <c r="AA11" i="1"/>
  <c r="AB11" i="1" s="1"/>
  <c r="P17" i="2"/>
  <c r="Z16" i="1" s="1"/>
  <c r="AA16" i="1"/>
  <c r="AB16" i="1" s="1"/>
  <c r="P21" i="2"/>
  <c r="Z20" i="1" s="1"/>
  <c r="AA20" i="1"/>
  <c r="AB20" i="1" s="1"/>
  <c r="P25" i="2"/>
  <c r="Z24" i="1" s="1"/>
  <c r="AA24" i="1"/>
  <c r="AB24" i="1" s="1"/>
  <c r="P29" i="2"/>
  <c r="Z28" i="1" s="1"/>
  <c r="AA28" i="1"/>
  <c r="AB28" i="1" s="1"/>
  <c r="P74" i="2"/>
  <c r="Z73" i="1" s="1"/>
  <c r="AA73" i="1"/>
  <c r="AB73" i="1" s="1"/>
  <c r="P36" i="2"/>
  <c r="Z35" i="1" s="1"/>
  <c r="AA35" i="1"/>
  <c r="AB35" i="1" s="1"/>
  <c r="P41" i="2"/>
  <c r="Z40" i="1" s="1"/>
  <c r="AA40" i="1"/>
  <c r="AB40" i="1" s="1"/>
  <c r="P44" i="2"/>
  <c r="Z43" i="1" s="1"/>
  <c r="AA43" i="1"/>
  <c r="AB43" i="1" s="1"/>
  <c r="P48" i="2"/>
  <c r="Z47" i="1" s="1"/>
  <c r="AA47" i="1"/>
  <c r="AB47" i="1" s="1"/>
  <c r="P53" i="2"/>
  <c r="Z52" i="1" s="1"/>
  <c r="AA52" i="1"/>
  <c r="AB52" i="1" s="1"/>
  <c r="P57" i="2"/>
  <c r="Z56" i="1" s="1"/>
  <c r="AA56" i="1"/>
  <c r="AB56" i="1" s="1"/>
  <c r="P62" i="2"/>
  <c r="Z61" i="1" s="1"/>
  <c r="AA61" i="1"/>
  <c r="AB61" i="1" s="1"/>
  <c r="P66" i="2"/>
  <c r="Z65" i="1" s="1"/>
  <c r="AA65" i="1"/>
  <c r="AB65" i="1" s="1"/>
  <c r="P70" i="2"/>
  <c r="Z69" i="1" s="1"/>
  <c r="AA69" i="1"/>
  <c r="AB69" i="1" s="1"/>
  <c r="P78" i="2"/>
  <c r="Z77" i="1" s="1"/>
  <c r="AA77" i="1"/>
  <c r="AB77" i="1" s="1"/>
  <c r="C19" i="2"/>
  <c r="E19" i="2" s="1"/>
  <c r="F100" i="2"/>
  <c r="H100" i="2"/>
  <c r="AB66" i="1" l="1"/>
  <c r="P39" i="2"/>
  <c r="Z38" i="1" s="1"/>
  <c r="W95" i="1"/>
  <c r="AB45" i="1"/>
  <c r="P19" i="2"/>
  <c r="Z18" i="1" s="1"/>
  <c r="AA18" i="1"/>
  <c r="AB18" i="1" s="1"/>
  <c r="Z100" i="7"/>
  <c r="P100" i="7"/>
  <c r="P99" i="7"/>
  <c r="Z99" i="7" s="1"/>
  <c r="AI96" i="7"/>
  <c r="AH96" i="7"/>
  <c r="AF96" i="7"/>
  <c r="X96" i="7"/>
  <c r="W96" i="7"/>
  <c r="V96" i="7"/>
  <c r="U96" i="7"/>
  <c r="R96" i="7"/>
  <c r="Q96" i="7"/>
  <c r="O96" i="7"/>
  <c r="N96" i="7"/>
  <c r="M96" i="7"/>
  <c r="AG94" i="7"/>
  <c r="AG93" i="7"/>
  <c r="AG92" i="7"/>
  <c r="AG91" i="7"/>
  <c r="AD90" i="7"/>
  <c r="K90" i="7"/>
  <c r="P90" i="7" s="1"/>
  <c r="AD89" i="7"/>
  <c r="K89" i="7"/>
  <c r="P89" i="7" s="1"/>
  <c r="AD88" i="7"/>
  <c r="K88" i="7"/>
  <c r="P88" i="7" s="1"/>
  <c r="AD87" i="7"/>
  <c r="L87" i="7"/>
  <c r="K87" i="7"/>
  <c r="AD86" i="7"/>
  <c r="K86" i="7"/>
  <c r="P86" i="7" s="1"/>
  <c r="AD85" i="7"/>
  <c r="P85" i="7"/>
  <c r="K85" i="7"/>
  <c r="AD84" i="7"/>
  <c r="K84" i="7"/>
  <c r="P84" i="7" s="1"/>
  <c r="AD83" i="7"/>
  <c r="P83" i="7"/>
  <c r="K83" i="7"/>
  <c r="AD82" i="7"/>
  <c r="K82" i="7"/>
  <c r="P82" i="7" s="1"/>
  <c r="AD81" i="7"/>
  <c r="P81" i="7"/>
  <c r="K81" i="7"/>
  <c r="AD80" i="7"/>
  <c r="K80" i="7"/>
  <c r="P80" i="7" s="1"/>
  <c r="AD79" i="7"/>
  <c r="P79" i="7"/>
  <c r="K79" i="7"/>
  <c r="AD78" i="7"/>
  <c r="K78" i="7"/>
  <c r="P78" i="7" s="1"/>
  <c r="AD77" i="7"/>
  <c r="P77" i="7"/>
  <c r="K77" i="7"/>
  <c r="AD76" i="7"/>
  <c r="K76" i="7"/>
  <c r="P76" i="7" s="1"/>
  <c r="AD75" i="7"/>
  <c r="L75" i="7"/>
  <c r="K75" i="7"/>
  <c r="AD74" i="7"/>
  <c r="K74" i="7"/>
  <c r="P74" i="7" s="1"/>
  <c r="AD73" i="7"/>
  <c r="K73" i="7"/>
  <c r="P73" i="7" s="1"/>
  <c r="AD72" i="7"/>
  <c r="K72" i="7"/>
  <c r="P72" i="7" s="1"/>
  <c r="AD71" i="7"/>
  <c r="K71" i="7"/>
  <c r="P71" i="7" s="1"/>
  <c r="AD70" i="7"/>
  <c r="K70" i="7"/>
  <c r="P70" i="7" s="1"/>
  <c r="AD69" i="7"/>
  <c r="K69" i="7"/>
  <c r="P69" i="7" s="1"/>
  <c r="AD68" i="7"/>
  <c r="K68" i="7"/>
  <c r="P68" i="7" s="1"/>
  <c r="AD67" i="7"/>
  <c r="K67" i="7"/>
  <c r="P67" i="7" s="1"/>
  <c r="AD66" i="7"/>
  <c r="K66" i="7"/>
  <c r="P66" i="7" s="1"/>
  <c r="AD65" i="7"/>
  <c r="K65" i="7"/>
  <c r="P65" i="7" s="1"/>
  <c r="AD64" i="7"/>
  <c r="K64" i="7"/>
  <c r="P64" i="7" s="1"/>
  <c r="AD63" i="7"/>
  <c r="K63" i="7"/>
  <c r="P63" i="7" s="1"/>
  <c r="AD62" i="7"/>
  <c r="K62" i="7"/>
  <c r="P62" i="7" s="1"/>
  <c r="AD61" i="7"/>
  <c r="K61" i="7"/>
  <c r="P61" i="7" s="1"/>
  <c r="AD60" i="7"/>
  <c r="K60" i="7"/>
  <c r="P60" i="7" s="1"/>
  <c r="AD59" i="7"/>
  <c r="K59" i="7"/>
  <c r="P59" i="7" s="1"/>
  <c r="AD58" i="7"/>
  <c r="K58" i="7"/>
  <c r="P58" i="7" s="1"/>
  <c r="AD57" i="7"/>
  <c r="K57" i="7"/>
  <c r="P57" i="7" s="1"/>
  <c r="AD56" i="7"/>
  <c r="K56" i="7"/>
  <c r="P56" i="7" s="1"/>
  <c r="AD55" i="7"/>
  <c r="K55" i="7"/>
  <c r="P55" i="7" s="1"/>
  <c r="AD54" i="7"/>
  <c r="K54" i="7"/>
  <c r="P54" i="7" s="1"/>
  <c r="AD53" i="7"/>
  <c r="L53" i="7"/>
  <c r="K53" i="7"/>
  <c r="P53" i="7" s="1"/>
  <c r="AD52" i="7"/>
  <c r="P52" i="7"/>
  <c r="K52" i="7"/>
  <c r="AD51" i="7"/>
  <c r="K51" i="7"/>
  <c r="P51" i="7" s="1"/>
  <c r="AD50" i="7"/>
  <c r="P50" i="7"/>
  <c r="K50" i="7"/>
  <c r="AD49" i="7"/>
  <c r="K49" i="7"/>
  <c r="P49" i="7" s="1"/>
  <c r="AD48" i="7"/>
  <c r="K48" i="7"/>
  <c r="P48" i="7" s="1"/>
  <c r="AD47" i="7"/>
  <c r="L47" i="7"/>
  <c r="K47" i="7"/>
  <c r="P47" i="7" s="1"/>
  <c r="AD46" i="7"/>
  <c r="P46" i="7"/>
  <c r="K46" i="7"/>
  <c r="AD45" i="7"/>
  <c r="K45" i="7"/>
  <c r="P45" i="7" s="1"/>
  <c r="AD44" i="7"/>
  <c r="P44" i="7"/>
  <c r="K44" i="7"/>
  <c r="AD43" i="7"/>
  <c r="K43" i="7"/>
  <c r="P43" i="7" s="1"/>
  <c r="AD42" i="7"/>
  <c r="P42" i="7"/>
  <c r="K42" i="7"/>
  <c r="AD41" i="7"/>
  <c r="K41" i="7"/>
  <c r="P41" i="7" s="1"/>
  <c r="AD40" i="7"/>
  <c r="P40" i="7"/>
  <c r="K40" i="7"/>
  <c r="AD39" i="7"/>
  <c r="K39" i="7"/>
  <c r="P39" i="7" s="1"/>
  <c r="AD38" i="7"/>
  <c r="P38" i="7"/>
  <c r="K38" i="7"/>
  <c r="AD37" i="7"/>
  <c r="K37" i="7"/>
  <c r="P37" i="7" s="1"/>
  <c r="AD36" i="7"/>
  <c r="P36" i="7"/>
  <c r="K36" i="7"/>
  <c r="AD35" i="7"/>
  <c r="K35" i="7"/>
  <c r="P35" i="7" s="1"/>
  <c r="AD34" i="7"/>
  <c r="P34" i="7"/>
  <c r="K34" i="7"/>
  <c r="AD33" i="7"/>
  <c r="K33" i="7"/>
  <c r="P33" i="7" s="1"/>
  <c r="AD32" i="7"/>
  <c r="P32" i="7"/>
  <c r="K32" i="7"/>
  <c r="AD31" i="7"/>
  <c r="K31" i="7"/>
  <c r="P31" i="7" s="1"/>
  <c r="AD30" i="7"/>
  <c r="P30" i="7"/>
  <c r="K30" i="7"/>
  <c r="AD29" i="7"/>
  <c r="K29" i="7"/>
  <c r="P29" i="7" s="1"/>
  <c r="AD28" i="7"/>
  <c r="P28" i="7"/>
  <c r="K28" i="7"/>
  <c r="AD27" i="7"/>
  <c r="K27" i="7"/>
  <c r="P27" i="7" s="1"/>
  <c r="AD26" i="7"/>
  <c r="P26" i="7"/>
  <c r="K26" i="7"/>
  <c r="AD25" i="7"/>
  <c r="K25" i="7"/>
  <c r="P25" i="7" s="1"/>
  <c r="AD24" i="7"/>
  <c r="Y24" i="7"/>
  <c r="L24" i="7"/>
  <c r="K24" i="7"/>
  <c r="P24" i="7" s="1"/>
  <c r="AD23" i="7"/>
  <c r="P23" i="7"/>
  <c r="K23" i="7"/>
  <c r="AD22" i="7"/>
  <c r="K22" i="7"/>
  <c r="P22" i="7" s="1"/>
  <c r="AD21" i="7"/>
  <c r="P21" i="7"/>
  <c r="K21" i="7"/>
  <c r="AD20" i="7"/>
  <c r="K20" i="7"/>
  <c r="P20" i="7" s="1"/>
  <c r="AD19" i="7"/>
  <c r="P19" i="7"/>
  <c r="K19" i="7"/>
  <c r="AD18" i="7"/>
  <c r="K18" i="7"/>
  <c r="P18" i="7" s="1"/>
  <c r="AD17" i="7"/>
  <c r="P17" i="7"/>
  <c r="K17" i="7"/>
  <c r="AD16" i="7"/>
  <c r="Y16" i="7"/>
  <c r="L16" i="7"/>
  <c r="K16" i="7"/>
  <c r="AD15" i="7"/>
  <c r="K15" i="7"/>
  <c r="P15" i="7" s="1"/>
  <c r="AD14" i="7"/>
  <c r="P14" i="7"/>
  <c r="AC14" i="7" s="1"/>
  <c r="L14" i="7"/>
  <c r="K14" i="7"/>
  <c r="AD13" i="7"/>
  <c r="K13" i="7"/>
  <c r="P13" i="7" s="1"/>
  <c r="AD12" i="7"/>
  <c r="K12" i="7"/>
  <c r="P12" i="7" s="1"/>
  <c r="AD11" i="7"/>
  <c r="K11" i="7"/>
  <c r="P11" i="7" s="1"/>
  <c r="AD10" i="7"/>
  <c r="P10" i="7"/>
  <c r="K10" i="7"/>
  <c r="AD9" i="7"/>
  <c r="K9" i="7"/>
  <c r="P9" i="7" s="1"/>
  <c r="T9" i="7" s="1"/>
  <c r="AD8" i="7"/>
  <c r="P8" i="7"/>
  <c r="Z8" i="7" s="1"/>
  <c r="K8" i="7"/>
  <c r="AD7" i="7"/>
  <c r="K7" i="7"/>
  <c r="P7" i="7" s="1"/>
  <c r="Y96" i="7" l="1"/>
  <c r="P16" i="7"/>
  <c r="P75" i="7"/>
  <c r="AC75" i="7" s="1"/>
  <c r="P87" i="7"/>
  <c r="AA16" i="7"/>
  <c r="Z16" i="7"/>
  <c r="AC16" i="7"/>
  <c r="AE16" i="7" s="1"/>
  <c r="AC11" i="7"/>
  <c r="AE11" i="7" s="1"/>
  <c r="AA11" i="7"/>
  <c r="Z11" i="7"/>
  <c r="Z12" i="7"/>
  <c r="AC12" i="7"/>
  <c r="AE12" i="7" s="1"/>
  <c r="AA12" i="7"/>
  <c r="AA13" i="7"/>
  <c r="AC13" i="7"/>
  <c r="AE13" i="7" s="1"/>
  <c r="AC24" i="7"/>
  <c r="AE24" i="7" s="1"/>
  <c r="AA24" i="7"/>
  <c r="Z24" i="7"/>
  <c r="S47" i="7"/>
  <c r="AC47" i="7"/>
  <c r="AE47" i="7" s="1"/>
  <c r="AA47" i="7"/>
  <c r="T47" i="7"/>
  <c r="Z53" i="7"/>
  <c r="AE53" i="7"/>
  <c r="AC53" i="7"/>
  <c r="AA53" i="7"/>
  <c r="Z88" i="7"/>
  <c r="AE88" i="7"/>
  <c r="AC88" i="7"/>
  <c r="AA88" i="7"/>
  <c r="Z89" i="7"/>
  <c r="AE89" i="7"/>
  <c r="AC89" i="7"/>
  <c r="AA89" i="7"/>
  <c r="Z90" i="7"/>
  <c r="AE90" i="7"/>
  <c r="AC90" i="7"/>
  <c r="AA90" i="7"/>
  <c r="AC99" i="7"/>
  <c r="AA99" i="7"/>
  <c r="AF99" i="7" s="1"/>
  <c r="AE99" i="7"/>
  <c r="AB99" i="7"/>
  <c r="AC7" i="7"/>
  <c r="AE7" i="7" s="1"/>
  <c r="AA8" i="7"/>
  <c r="AB8" i="7" s="1"/>
  <c r="AG8" i="7" s="1"/>
  <c r="AJ8" i="7" s="1"/>
  <c r="AC8" i="7"/>
  <c r="AE8" i="7"/>
  <c r="AA9" i="7"/>
  <c r="AC9" i="7"/>
  <c r="AE9" i="7" s="1"/>
  <c r="AA14" i="7"/>
  <c r="AE14" i="7"/>
  <c r="AC17" i="7"/>
  <c r="AE17" i="7" s="1"/>
  <c r="K96" i="7"/>
  <c r="Z7" i="7"/>
  <c r="AD96" i="7"/>
  <c r="S9" i="7"/>
  <c r="Z9" i="7" s="1"/>
  <c r="AB9" i="7" s="1"/>
  <c r="AG9" i="7" s="1"/>
  <c r="AJ9" i="7" s="1"/>
  <c r="Z10" i="7"/>
  <c r="AB10" i="7" s="1"/>
  <c r="AC10" i="7"/>
  <c r="AE10" i="7" s="1"/>
  <c r="L96" i="7"/>
  <c r="Z14" i="7"/>
  <c r="S15" i="7"/>
  <c r="Z17" i="7"/>
  <c r="Z18" i="7"/>
  <c r="Z19" i="7"/>
  <c r="AB19" i="7" s="1"/>
  <c r="AG19" i="7" s="1"/>
  <c r="AJ19" i="7" s="1"/>
  <c r="S20" i="7"/>
  <c r="Z20" i="7" s="1"/>
  <c r="Z21" i="7"/>
  <c r="Z22" i="7"/>
  <c r="Z23" i="7"/>
  <c r="Z25" i="7"/>
  <c r="Z26" i="7"/>
  <c r="Z27" i="7"/>
  <c r="Z28" i="7"/>
  <c r="Z29" i="7"/>
  <c r="S30" i="7"/>
  <c r="Z31" i="7"/>
  <c r="S32" i="7"/>
  <c r="AC33" i="7"/>
  <c r="AE33" i="7" s="1"/>
  <c r="AA33" i="7"/>
  <c r="Z33" i="7"/>
  <c r="AB33" i="7" s="1"/>
  <c r="AG33" i="7" s="1"/>
  <c r="AJ33" i="7" s="1"/>
  <c r="Z48" i="7"/>
  <c r="AC48" i="7"/>
  <c r="AE48" i="7" s="1"/>
  <c r="AA48" i="7"/>
  <c r="AC49" i="7"/>
  <c r="AE49" i="7" s="1"/>
  <c r="AA49" i="7"/>
  <c r="T49" i="7"/>
  <c r="Z49" i="7" s="1"/>
  <c r="AB49" i="7" s="1"/>
  <c r="Z54" i="7"/>
  <c r="AB54" i="7" s="1"/>
  <c r="AG54" i="7" s="1"/>
  <c r="AJ54" i="7" s="1"/>
  <c r="AC54" i="7"/>
  <c r="AE54" i="7" s="1"/>
  <c r="AA54" i="7"/>
  <c r="Z55" i="7"/>
  <c r="AC55" i="7"/>
  <c r="AE55" i="7" s="1"/>
  <c r="AA55" i="7"/>
  <c r="Z56" i="7"/>
  <c r="AC56" i="7"/>
  <c r="AE56" i="7" s="1"/>
  <c r="AA56" i="7"/>
  <c r="Z57" i="7"/>
  <c r="S57" i="7"/>
  <c r="AC57" i="7"/>
  <c r="AE57" i="7" s="1"/>
  <c r="AA57" i="7"/>
  <c r="T57" i="7"/>
  <c r="S58" i="7"/>
  <c r="Z58" i="7" s="1"/>
  <c r="AE58" i="7"/>
  <c r="AC58" i="7"/>
  <c r="AA58" i="7"/>
  <c r="T58" i="7"/>
  <c r="Z59" i="7"/>
  <c r="AB59" i="7" s="1"/>
  <c r="AG59" i="7" s="1"/>
  <c r="AJ59" i="7" s="1"/>
  <c r="AC59" i="7"/>
  <c r="AE59" i="7" s="1"/>
  <c r="AA59" i="7"/>
  <c r="Z60" i="7"/>
  <c r="AB60" i="7" s="1"/>
  <c r="AG60" i="7" s="1"/>
  <c r="AJ60" i="7" s="1"/>
  <c r="AC60" i="7"/>
  <c r="AE60" i="7" s="1"/>
  <c r="AA60" i="7"/>
  <c r="Z61" i="7"/>
  <c r="AC61" i="7"/>
  <c r="AE61" i="7" s="1"/>
  <c r="AA61" i="7"/>
  <c r="Z62" i="7"/>
  <c r="AC62" i="7"/>
  <c r="AE62" i="7" s="1"/>
  <c r="AA62" i="7"/>
  <c r="Z63" i="7"/>
  <c r="S63" i="7"/>
  <c r="AC63" i="7"/>
  <c r="AE63" i="7" s="1"/>
  <c r="AA63" i="7"/>
  <c r="T63" i="7"/>
  <c r="S64" i="7"/>
  <c r="Z64" i="7" s="1"/>
  <c r="AE64" i="7"/>
  <c r="AC64" i="7"/>
  <c r="AA64" i="7"/>
  <c r="T64" i="7"/>
  <c r="Z65" i="7"/>
  <c r="AB65" i="7" s="1"/>
  <c r="AG65" i="7" s="1"/>
  <c r="AJ65" i="7" s="1"/>
  <c r="AC65" i="7"/>
  <c r="AE65" i="7" s="1"/>
  <c r="AA65" i="7"/>
  <c r="Z66" i="7"/>
  <c r="S66" i="7"/>
  <c r="AC66" i="7"/>
  <c r="AE66" i="7" s="1"/>
  <c r="AA66" i="7"/>
  <c r="T66" i="7"/>
  <c r="Z67" i="7"/>
  <c r="AC67" i="7"/>
  <c r="AE67" i="7" s="1"/>
  <c r="AA67" i="7"/>
  <c r="Z68" i="7"/>
  <c r="AB68" i="7" s="1"/>
  <c r="AC68" i="7"/>
  <c r="AE68" i="7" s="1"/>
  <c r="AA68" i="7"/>
  <c r="Z69" i="7"/>
  <c r="AB69" i="7" s="1"/>
  <c r="AG69" i="7" s="1"/>
  <c r="AJ69" i="7" s="1"/>
  <c r="AC69" i="7"/>
  <c r="AE69" i="7" s="1"/>
  <c r="AA69" i="7"/>
  <c r="Z70" i="7"/>
  <c r="AC70" i="7"/>
  <c r="AE70" i="7" s="1"/>
  <c r="AA70" i="7"/>
  <c r="Z71" i="7"/>
  <c r="AC71" i="7"/>
  <c r="AE71" i="7" s="1"/>
  <c r="AA71" i="7"/>
  <c r="Z72" i="7"/>
  <c r="AB72" i="7" s="1"/>
  <c r="AG72" i="7" s="1"/>
  <c r="AJ72" i="7" s="1"/>
  <c r="AC72" i="7"/>
  <c r="AE72" i="7" s="1"/>
  <c r="AA72" i="7"/>
  <c r="Z73" i="7"/>
  <c r="AB73" i="7" s="1"/>
  <c r="AG73" i="7" s="1"/>
  <c r="AJ73" i="7" s="1"/>
  <c r="AC73" i="7"/>
  <c r="AE73" i="7" s="1"/>
  <c r="AA73" i="7"/>
  <c r="S74" i="7"/>
  <c r="Z74" i="7" s="1"/>
  <c r="AE74" i="7"/>
  <c r="AC74" i="7"/>
  <c r="AA74" i="7"/>
  <c r="T74" i="7"/>
  <c r="T75" i="7"/>
  <c r="Z87" i="7"/>
  <c r="AC87" i="7"/>
  <c r="AE87" i="7" s="1"/>
  <c r="AA87" i="7"/>
  <c r="AA7" i="7"/>
  <c r="T15" i="7"/>
  <c r="AA15" i="7"/>
  <c r="AC15" i="7"/>
  <c r="AE15" i="7" s="1"/>
  <c r="AA17" i="7"/>
  <c r="AA18" i="7"/>
  <c r="AC18" i="7"/>
  <c r="AE18" i="7" s="1"/>
  <c r="AA19" i="7"/>
  <c r="AC19" i="7"/>
  <c r="AE19" i="7" s="1"/>
  <c r="T20" i="7"/>
  <c r="AA20" i="7"/>
  <c r="AC20" i="7"/>
  <c r="AE20" i="7" s="1"/>
  <c r="AA21" i="7"/>
  <c r="AC21" i="7"/>
  <c r="AE21" i="7" s="1"/>
  <c r="AA22" i="7"/>
  <c r="AC22" i="7"/>
  <c r="AE22" i="7" s="1"/>
  <c r="AA23" i="7"/>
  <c r="AC23" i="7"/>
  <c r="AE23" i="7" s="1"/>
  <c r="AA25" i="7"/>
  <c r="AC25" i="7"/>
  <c r="AE25" i="7" s="1"/>
  <c r="AA26" i="7"/>
  <c r="AC26" i="7"/>
  <c r="AE26" i="7" s="1"/>
  <c r="AA27" i="7"/>
  <c r="AC27" i="7"/>
  <c r="AE27" i="7" s="1"/>
  <c r="AA28" i="7"/>
  <c r="AC28" i="7"/>
  <c r="AE28" i="7" s="1"/>
  <c r="AA29" i="7"/>
  <c r="AC29" i="7"/>
  <c r="AE29" i="7" s="1"/>
  <c r="T30" i="7"/>
  <c r="Z30" i="7" s="1"/>
  <c r="AA30" i="7"/>
  <c r="AC30" i="7"/>
  <c r="AE30" i="7" s="1"/>
  <c r="AA31" i="7"/>
  <c r="AC31" i="7"/>
  <c r="AE31" i="7" s="1"/>
  <c r="T32" i="7"/>
  <c r="AA32" i="7"/>
  <c r="AC32" i="7"/>
  <c r="AE32" i="7" s="1"/>
  <c r="AE43" i="7"/>
  <c r="Z34" i="7"/>
  <c r="Z35" i="7"/>
  <c r="Z36" i="7"/>
  <c r="Z37" i="7"/>
  <c r="Z38" i="7"/>
  <c r="Z39" i="7"/>
  <c r="Z40" i="7"/>
  <c r="Z41" i="7"/>
  <c r="Z42" i="7"/>
  <c r="Z43" i="7"/>
  <c r="Z44" i="7"/>
  <c r="Z45" i="7"/>
  <c r="S46" i="7"/>
  <c r="Z50" i="7"/>
  <c r="Z51" i="7"/>
  <c r="AB51" i="7" s="1"/>
  <c r="AG51" i="7" s="1"/>
  <c r="AJ51" i="7" s="1"/>
  <c r="Z52" i="7"/>
  <c r="Z76" i="7"/>
  <c r="Z77" i="7"/>
  <c r="Z78" i="7"/>
  <c r="AB78" i="7" s="1"/>
  <c r="Z79" i="7"/>
  <c r="Z80" i="7"/>
  <c r="Z81" i="7"/>
  <c r="Z82" i="7"/>
  <c r="AB82" i="7" s="1"/>
  <c r="AG82" i="7" s="1"/>
  <c r="AJ82" i="7" s="1"/>
  <c r="S83" i="7"/>
  <c r="Z83" i="7" s="1"/>
  <c r="Z84" i="7"/>
  <c r="Z85" i="7"/>
  <c r="Z86" i="7"/>
  <c r="AA100" i="7"/>
  <c r="AC100" i="7"/>
  <c r="AA34" i="7"/>
  <c r="AC34" i="7"/>
  <c r="AE34" i="7" s="1"/>
  <c r="AA35" i="7"/>
  <c r="AC35" i="7"/>
  <c r="AE35" i="7" s="1"/>
  <c r="AA36" i="7"/>
  <c r="AC36" i="7"/>
  <c r="AE36" i="7" s="1"/>
  <c r="AA37" i="7"/>
  <c r="AC37" i="7"/>
  <c r="AE37" i="7" s="1"/>
  <c r="AA38" i="7"/>
  <c r="AC38" i="7"/>
  <c r="AE38" i="7" s="1"/>
  <c r="AA39" i="7"/>
  <c r="AC39" i="7"/>
  <c r="AE39" i="7" s="1"/>
  <c r="AA40" i="7"/>
  <c r="AC40" i="7"/>
  <c r="AE40" i="7" s="1"/>
  <c r="AA41" i="7"/>
  <c r="AC41" i="7"/>
  <c r="AE41" i="7" s="1"/>
  <c r="AA42" i="7"/>
  <c r="AC42" i="7"/>
  <c r="AE42" i="7" s="1"/>
  <c r="AA43" i="7"/>
  <c r="AC43" i="7"/>
  <c r="AA44" i="7"/>
  <c r="AC44" i="7"/>
  <c r="AE44" i="7" s="1"/>
  <c r="AA45" i="7"/>
  <c r="AC45" i="7"/>
  <c r="AE45" i="7" s="1"/>
  <c r="T46" i="7"/>
  <c r="Z46" i="7" s="1"/>
  <c r="AB46" i="7" s="1"/>
  <c r="AG46" i="7" s="1"/>
  <c r="AJ46" i="7" s="1"/>
  <c r="AA46" i="7"/>
  <c r="AC46" i="7"/>
  <c r="AE46" i="7" s="1"/>
  <c r="AA50" i="7"/>
  <c r="AC50" i="7"/>
  <c r="AE50" i="7" s="1"/>
  <c r="AA51" i="7"/>
  <c r="AC51" i="7"/>
  <c r="AE51" i="7" s="1"/>
  <c r="AA52" i="7"/>
  <c r="AC52" i="7"/>
  <c r="AE52" i="7" s="1"/>
  <c r="AA76" i="7"/>
  <c r="AC76" i="7"/>
  <c r="AE76" i="7" s="1"/>
  <c r="AA77" i="7"/>
  <c r="AC77" i="7"/>
  <c r="AE77" i="7" s="1"/>
  <c r="AA78" i="7"/>
  <c r="AC78" i="7"/>
  <c r="AE78" i="7" s="1"/>
  <c r="AA79" i="7"/>
  <c r="AC79" i="7"/>
  <c r="AE79" i="7" s="1"/>
  <c r="AA80" i="7"/>
  <c r="AC80" i="7"/>
  <c r="AE80" i="7" s="1"/>
  <c r="AA81" i="7"/>
  <c r="AC81" i="7"/>
  <c r="AE81" i="7" s="1"/>
  <c r="AA82" i="7"/>
  <c r="AC82" i="7"/>
  <c r="AE82" i="7" s="1"/>
  <c r="T83" i="7"/>
  <c r="AA83" i="7"/>
  <c r="AC83" i="7"/>
  <c r="AE83" i="7" s="1"/>
  <c r="AA84" i="7"/>
  <c r="AC84" i="7"/>
  <c r="AE84" i="7" s="1"/>
  <c r="AA85" i="7"/>
  <c r="AC85" i="7"/>
  <c r="AE85" i="7" s="1"/>
  <c r="AA86" i="7"/>
  <c r="AC86" i="7"/>
  <c r="AE86" i="7" s="1"/>
  <c r="AB100" i="7"/>
  <c r="AE75" i="7" l="1"/>
  <c r="AE96" i="7" s="1"/>
  <c r="Z32" i="7"/>
  <c r="AB32" i="7" s="1"/>
  <c r="AG32" i="7" s="1"/>
  <c r="AJ32" i="7" s="1"/>
  <c r="Z15" i="7"/>
  <c r="AB15" i="7" s="1"/>
  <c r="AG15" i="7" s="1"/>
  <c r="AJ15" i="7" s="1"/>
  <c r="T96" i="7"/>
  <c r="AB87" i="7"/>
  <c r="AG87" i="7" s="1"/>
  <c r="AJ87" i="7" s="1"/>
  <c r="AA75" i="7"/>
  <c r="AB70" i="7"/>
  <c r="AG70" i="7" s="1"/>
  <c r="AJ70" i="7" s="1"/>
  <c r="AB61" i="7"/>
  <c r="AG61" i="7" s="1"/>
  <c r="AJ61" i="7" s="1"/>
  <c r="AB55" i="7"/>
  <c r="AG55" i="7" s="1"/>
  <c r="AJ55" i="7" s="1"/>
  <c r="P96" i="7"/>
  <c r="Z47" i="7"/>
  <c r="AB47" i="7" s="1"/>
  <c r="AG47" i="7" s="1"/>
  <c r="AJ47" i="7" s="1"/>
  <c r="AB11" i="7"/>
  <c r="AG11" i="7" s="1"/>
  <c r="AJ11" i="7" s="1"/>
  <c r="AB80" i="7"/>
  <c r="AG80" i="7" s="1"/>
  <c r="AJ80" i="7" s="1"/>
  <c r="AB76" i="7"/>
  <c r="AG76" i="7" s="1"/>
  <c r="AJ76" i="7" s="1"/>
  <c r="AB30" i="7"/>
  <c r="AG30" i="7" s="1"/>
  <c r="AJ30" i="7" s="1"/>
  <c r="S75" i="7"/>
  <c r="Z75" i="7" s="1"/>
  <c r="AB71" i="7"/>
  <c r="AG71" i="7" s="1"/>
  <c r="AJ71" i="7" s="1"/>
  <c r="AB67" i="7"/>
  <c r="AG67" i="7" s="1"/>
  <c r="AJ67" i="7" s="1"/>
  <c r="AB62" i="7"/>
  <c r="AG62" i="7" s="1"/>
  <c r="AJ62" i="7" s="1"/>
  <c r="AB56" i="7"/>
  <c r="AG56" i="7" s="1"/>
  <c r="AJ56" i="7" s="1"/>
  <c r="AG99" i="7"/>
  <c r="AE101" i="7"/>
  <c r="AB85" i="7"/>
  <c r="AG85" i="7" s="1"/>
  <c r="AJ85" i="7" s="1"/>
  <c r="AB45" i="7"/>
  <c r="AB43" i="7"/>
  <c r="AG43" i="7" s="1"/>
  <c r="AJ43" i="7" s="1"/>
  <c r="AB39" i="7"/>
  <c r="AG39" i="7" s="1"/>
  <c r="AJ39" i="7" s="1"/>
  <c r="AB35" i="7"/>
  <c r="AG35" i="7" s="1"/>
  <c r="AJ35" i="7" s="1"/>
  <c r="AB74" i="7"/>
  <c r="AG74" i="7" s="1"/>
  <c r="AJ74" i="7" s="1"/>
  <c r="AB86" i="7"/>
  <c r="AG86" i="7" s="1"/>
  <c r="AJ86" i="7" s="1"/>
  <c r="AB84" i="7"/>
  <c r="AG84" i="7" s="1"/>
  <c r="AJ84" i="7" s="1"/>
  <c r="AB81" i="7"/>
  <c r="AG81" i="7" s="1"/>
  <c r="AJ81" i="7" s="1"/>
  <c r="AB79" i="7"/>
  <c r="AG79" i="7" s="1"/>
  <c r="AJ79" i="7" s="1"/>
  <c r="AB77" i="7"/>
  <c r="AG77" i="7" s="1"/>
  <c r="AJ77" i="7" s="1"/>
  <c r="AB52" i="7"/>
  <c r="AG52" i="7" s="1"/>
  <c r="AJ52" i="7" s="1"/>
  <c r="AB50" i="7"/>
  <c r="AG50" i="7" s="1"/>
  <c r="AJ50" i="7" s="1"/>
  <c r="AB44" i="7"/>
  <c r="AG44" i="7" s="1"/>
  <c r="AJ44" i="7" s="1"/>
  <c r="AB42" i="7"/>
  <c r="AG42" i="7" s="1"/>
  <c r="AJ42" i="7" s="1"/>
  <c r="AB40" i="7"/>
  <c r="AG40" i="7" s="1"/>
  <c r="AJ40" i="7" s="1"/>
  <c r="AB38" i="7"/>
  <c r="AG38" i="7" s="1"/>
  <c r="AJ38" i="7" s="1"/>
  <c r="AB36" i="7"/>
  <c r="AG36" i="7" s="1"/>
  <c r="AJ36" i="7" s="1"/>
  <c r="AB34" i="7"/>
  <c r="AB48" i="7"/>
  <c r="AG48" i="7" s="1"/>
  <c r="AJ48" i="7" s="1"/>
  <c r="AB31" i="7"/>
  <c r="AG31" i="7" s="1"/>
  <c r="AJ31" i="7" s="1"/>
  <c r="AB28" i="7"/>
  <c r="AG28" i="7" s="1"/>
  <c r="AJ28" i="7" s="1"/>
  <c r="AB26" i="7"/>
  <c r="AG26" i="7" s="1"/>
  <c r="AJ26" i="7" s="1"/>
  <c r="AB23" i="7"/>
  <c r="AG23" i="7" s="1"/>
  <c r="AJ23" i="7" s="1"/>
  <c r="AB21" i="7"/>
  <c r="AG21" i="7" s="1"/>
  <c r="AJ21" i="7" s="1"/>
  <c r="AB18" i="7"/>
  <c r="AG18" i="7" s="1"/>
  <c r="AJ18" i="7" s="1"/>
  <c r="AB14" i="7"/>
  <c r="AG14" i="7" s="1"/>
  <c r="AJ14" i="7" s="1"/>
  <c r="AH99" i="7"/>
  <c r="AB90" i="7"/>
  <c r="AG90" i="7" s="1"/>
  <c r="AJ90" i="7" s="1"/>
  <c r="AB89" i="7"/>
  <c r="AG89" i="7" s="1"/>
  <c r="AJ89" i="7" s="1"/>
  <c r="AB88" i="7"/>
  <c r="AG88" i="7" s="1"/>
  <c r="AJ88" i="7" s="1"/>
  <c r="AB53" i="7"/>
  <c r="AG53" i="7" s="1"/>
  <c r="AJ53" i="7" s="1"/>
  <c r="AB24" i="7"/>
  <c r="AG24" i="7" s="1"/>
  <c r="AJ24" i="7" s="1"/>
  <c r="AB12" i="7"/>
  <c r="AG12" i="7" s="1"/>
  <c r="AJ12" i="7" s="1"/>
  <c r="AB16" i="7"/>
  <c r="AG16" i="7" s="1"/>
  <c r="AJ16" i="7" s="1"/>
  <c r="AB7" i="7"/>
  <c r="AB83" i="7"/>
  <c r="AG83" i="7" s="1"/>
  <c r="AJ83" i="7" s="1"/>
  <c r="AB41" i="7"/>
  <c r="AG41" i="7" s="1"/>
  <c r="AJ41" i="7" s="1"/>
  <c r="AB37" i="7"/>
  <c r="AG37" i="7" s="1"/>
  <c r="AJ37" i="7" s="1"/>
  <c r="AA96" i="7"/>
  <c r="AB66" i="7"/>
  <c r="AG66" i="7" s="1"/>
  <c r="AJ66" i="7" s="1"/>
  <c r="AB64" i="7"/>
  <c r="AG64" i="7" s="1"/>
  <c r="AJ64" i="7" s="1"/>
  <c r="AB63" i="7"/>
  <c r="AG63" i="7" s="1"/>
  <c r="AJ63" i="7" s="1"/>
  <c r="AB58" i="7"/>
  <c r="AG58" i="7" s="1"/>
  <c r="AJ58" i="7" s="1"/>
  <c r="AB57" i="7"/>
  <c r="AG57" i="7" s="1"/>
  <c r="AJ57" i="7" s="1"/>
  <c r="AE100" i="7"/>
  <c r="AB29" i="7"/>
  <c r="AG29" i="7" s="1"/>
  <c r="AJ29" i="7" s="1"/>
  <c r="AB27" i="7"/>
  <c r="AG27" i="7" s="1"/>
  <c r="AJ27" i="7" s="1"/>
  <c r="AB25" i="7"/>
  <c r="AG25" i="7" s="1"/>
  <c r="AJ25" i="7" s="1"/>
  <c r="AB22" i="7"/>
  <c r="AG22" i="7" s="1"/>
  <c r="AJ22" i="7" s="1"/>
  <c r="AB20" i="7"/>
  <c r="AG20" i="7" s="1"/>
  <c r="AJ20" i="7" s="1"/>
  <c r="AB17" i="7"/>
  <c r="AG17" i="7" s="1"/>
  <c r="AJ17" i="7" s="1"/>
  <c r="S96" i="7"/>
  <c r="AC96" i="7"/>
  <c r="AI99" i="7"/>
  <c r="I33" i="4"/>
  <c r="J10" i="4"/>
  <c r="AB75" i="7" l="1"/>
  <c r="AG75" i="7" s="1"/>
  <c r="AJ75" i="7" s="1"/>
  <c r="Z96" i="7"/>
  <c r="AJ99" i="7"/>
  <c r="I95" i="4"/>
  <c r="Q32" i="1"/>
  <c r="J33" i="4"/>
  <c r="K33" i="4" s="1"/>
  <c r="C33" i="2" s="1"/>
  <c r="E33" i="2" s="1"/>
  <c r="K10" i="4"/>
  <c r="AB96" i="7"/>
  <c r="AG7" i="7"/>
  <c r="AE97" i="7"/>
  <c r="AE98" i="7" s="1"/>
  <c r="AF100" i="7"/>
  <c r="AE102" i="7"/>
  <c r="AE103" i="7" s="1"/>
  <c r="R32" i="1" l="1"/>
  <c r="R95" i="1" s="1"/>
  <c r="Q95" i="1"/>
  <c r="S98" i="1" s="1"/>
  <c r="P33" i="2"/>
  <c r="AA32" i="1"/>
  <c r="AB32" i="1" s="1"/>
  <c r="J95" i="4"/>
  <c r="C10" i="2"/>
  <c r="E10" i="2" s="1"/>
  <c r="K95" i="4"/>
  <c r="AG100" i="7"/>
  <c r="AG96" i="7"/>
  <c r="AJ7" i="7"/>
  <c r="AJ96" i="7" s="1"/>
  <c r="AE105" i="7"/>
  <c r="Z32" i="1" l="1"/>
  <c r="P10" i="2"/>
  <c r="AA9" i="1"/>
  <c r="AB9" i="1" s="1"/>
  <c r="C100" i="2"/>
  <c r="AH100" i="7"/>
  <c r="P100" i="2" l="1"/>
  <c r="R96" i="1" s="1"/>
  <c r="Z9" i="1"/>
  <c r="AI100" i="7"/>
  <c r="AJ100" i="7" s="1"/>
  <c r="R97" i="1" l="1"/>
  <c r="C97" i="2" s="1"/>
  <c r="C96" i="2"/>
  <c r="G103" i="1"/>
  <c r="R103" i="1" s="1"/>
  <c r="U103" i="1" s="1"/>
  <c r="B4" i="2" l="1"/>
  <c r="X95" i="1" l="1"/>
  <c r="Y95" i="1" l="1"/>
  <c r="C95" i="2" l="1"/>
  <c r="E100" i="2"/>
  <c r="S96" i="1" s="1"/>
  <c r="S97" i="1" s="1"/>
  <c r="C94" i="2"/>
</calcChain>
</file>

<file path=xl/comments1.xml><?xml version="1.0" encoding="utf-8"?>
<comments xmlns="http://schemas.openxmlformats.org/spreadsheetml/2006/main">
  <authors>
    <author>contabilidad qm</author>
    <author>ljimenez</author>
  </authors>
  <commentList>
    <comment ref="AD17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AX34" authorId="1" shapeId="0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$300 durante 36 sem 2/36</t>
        </r>
      </text>
    </comment>
    <comment ref="AD37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AD52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AD53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13 FEB</t>
        </r>
      </text>
    </comment>
    <comment ref="AD74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AD83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ENTRO EL DIA 10 FEB
</t>
        </r>
      </text>
    </comment>
  </commentList>
</comments>
</file>

<file path=xl/comments2.xml><?xml version="1.0" encoding="utf-8"?>
<comments xmlns="http://schemas.openxmlformats.org/spreadsheetml/2006/main">
  <authors>
    <author>contabilidad qm</author>
    <author>ljimenez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V32" authorId="1" shapeId="0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$300 durante 36 sem 2/36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B45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13 FEB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ENTRO EL DIA 10 FEB
</t>
        </r>
      </text>
    </comment>
  </commentList>
</comments>
</file>

<file path=xl/sharedStrings.xml><?xml version="1.0" encoding="utf-8"?>
<sst xmlns="http://schemas.openxmlformats.org/spreadsheetml/2006/main" count="2646" uniqueCount="649">
  <si>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</si>
  <si>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</si>
  <si>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</si>
  <si>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</si>
  <si>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</si>
  <si>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</si>
  <si>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</si>
  <si>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</si>
  <si>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</si>
  <si>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</si>
  <si>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</si>
  <si>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</si>
  <si>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</si>
  <si>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</si>
  <si>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 xml:space="preserve">    Reg. Pat. IMSS:  B4251548102</t>
  </si>
  <si>
    <t>AC19</t>
  </si>
  <si>
    <t>0018</t>
  </si>
  <si>
    <t xml:space="preserve">  =============</t>
  </si>
  <si>
    <t>Total Gral.</t>
  </si>
  <si>
    <t xml:space="preserve"> </t>
  </si>
  <si>
    <t>TOTAL</t>
  </si>
  <si>
    <t>IVA</t>
  </si>
  <si>
    <t>SUELDO BASE</t>
  </si>
  <si>
    <t>COMISIONES</t>
  </si>
  <si>
    <t>Comision 10%</t>
  </si>
  <si>
    <t>2% S/N</t>
  </si>
  <si>
    <t>SUBTOTAL</t>
  </si>
  <si>
    <t>SUBSIDO ENTREGADO</t>
  </si>
  <si>
    <t>Apoyo Sindicato Apoyo 23 c.c.</t>
  </si>
  <si>
    <t>Apoyo Extra</t>
  </si>
  <si>
    <t>SGV</t>
  </si>
  <si>
    <t>ANAEL</t>
  </si>
  <si>
    <t>MOISES</t>
  </si>
  <si>
    <t>ARTURO</t>
  </si>
  <si>
    <t>MALDONADO HERNANDEZ</t>
  </si>
  <si>
    <t>AB27</t>
  </si>
  <si>
    <t>Aguilar Bravo Cristian Saul</t>
  </si>
  <si>
    <t>AG07</t>
  </si>
  <si>
    <t>Aguilar Gonzalez Anael</t>
  </si>
  <si>
    <t>AL17</t>
  </si>
  <si>
    <t>Alavez Lopez Inocencio</t>
  </si>
  <si>
    <t>AOR15</t>
  </si>
  <si>
    <t>Alvarez Ortiz Ricardo</t>
  </si>
  <si>
    <t>00016</t>
  </si>
  <si>
    <t>Arenas Vargas Moises</t>
  </si>
  <si>
    <t>AZ14</t>
  </si>
  <si>
    <t>Arroyo Zarazua Gilberto</t>
  </si>
  <si>
    <t>Arvizu Rodriguez Alejandro Uriel</t>
  </si>
  <si>
    <t>Ayala Contreras Hector Manuel</t>
  </si>
  <si>
    <t>BC22</t>
  </si>
  <si>
    <t>Barcenas Comenero Jorge Alejandro</t>
  </si>
  <si>
    <t>BL011</t>
  </si>
  <si>
    <t>Berdeja Leon Francisco Gerardo</t>
  </si>
  <si>
    <t>Calderon Martinez Mario Raul</t>
  </si>
  <si>
    <t>CR14</t>
  </si>
  <si>
    <t>Cancino Rodriguez Gregorio</t>
  </si>
  <si>
    <t>Carrasco Tovar Arturo</t>
  </si>
  <si>
    <t>CT26</t>
  </si>
  <si>
    <t>Castañon Tavares Manuel</t>
  </si>
  <si>
    <t>CR06</t>
  </si>
  <si>
    <t>Castellanos Rocha Lucia Marcela</t>
  </si>
  <si>
    <t>CO24</t>
  </si>
  <si>
    <t>Castillo Ordoñez Jorge</t>
  </si>
  <si>
    <t>CHG</t>
  </si>
  <si>
    <t>Cortes Hernandez German</t>
  </si>
  <si>
    <t>CM22</t>
  </si>
  <si>
    <t>Cortes Miranda Carlos Armando</t>
  </si>
  <si>
    <t>CO02</t>
  </si>
  <si>
    <t>Cortez Ovando Faustino Ali</t>
  </si>
  <si>
    <t>CO16</t>
  </si>
  <si>
    <t>Cruz Ortiz Juan Antonio</t>
  </si>
  <si>
    <t>DC20</t>
  </si>
  <si>
    <t>De Jesus Cruz Juan Carlos</t>
  </si>
  <si>
    <t>ER14</t>
  </si>
  <si>
    <t>Enriquez Rubio Fernando</t>
  </si>
  <si>
    <t>EB11</t>
  </si>
  <si>
    <t>Escarcega Bustamante  Jorge</t>
  </si>
  <si>
    <t>FG14</t>
  </si>
  <si>
    <t>Fonseca Gillen Jose Felipe</t>
  </si>
  <si>
    <t>GZ20</t>
  </si>
  <si>
    <t>Galicia Zarate Sergio</t>
  </si>
  <si>
    <t>GO001</t>
  </si>
  <si>
    <t>Gutierrez Olvera Marihuri</t>
  </si>
  <si>
    <t>HCG28</t>
  </si>
  <si>
    <t>Hernandez Carreon Gregorio</t>
  </si>
  <si>
    <t>HG04</t>
  </si>
  <si>
    <t>Hernandez Gomez Mario Alberto</t>
  </si>
  <si>
    <t>HS11</t>
  </si>
  <si>
    <t>Hernandez Silva Edgar Samuel</t>
  </si>
  <si>
    <t>HS08</t>
  </si>
  <si>
    <t>Hernandez Solis Gumecindo</t>
  </si>
  <si>
    <t>JH19</t>
  </si>
  <si>
    <t>Jimenez Hernandez Julio Cesar</t>
  </si>
  <si>
    <t>LO14</t>
  </si>
  <si>
    <t>Lara Oviedo Soraya</t>
  </si>
  <si>
    <t>LR05</t>
  </si>
  <si>
    <t>Lobato Recamier Rosselin Catalina</t>
  </si>
  <si>
    <t>LL19</t>
  </si>
  <si>
    <t>Lopez De Leon Daniel</t>
  </si>
  <si>
    <t>LR09</t>
  </si>
  <si>
    <t>MH09</t>
  </si>
  <si>
    <t>Maldonado Hernandez Erick</t>
  </si>
  <si>
    <t>MA08</t>
  </si>
  <si>
    <t>Martinez Alvarado  Adrian</t>
  </si>
  <si>
    <t>MG14</t>
  </si>
  <si>
    <t>Martinez Guerrero Leonel</t>
  </si>
  <si>
    <t>ML23</t>
  </si>
  <si>
    <t>Martinez Lorenzo Luis Alejandro</t>
  </si>
  <si>
    <t>MC14</t>
  </si>
  <si>
    <t>Medina Castro Carlos Manuel</t>
  </si>
  <si>
    <t>0030</t>
  </si>
  <si>
    <t>Melendez Padilla Claudia Cristina</t>
  </si>
  <si>
    <t>MPJ04</t>
  </si>
  <si>
    <t>Miranda Peon Julio Cesar</t>
  </si>
  <si>
    <t>NB02</t>
  </si>
  <si>
    <t>Noria Badillo Juan Jose</t>
  </si>
  <si>
    <t>NS26</t>
  </si>
  <si>
    <t>Nuñez De Jesus Jose Daniel</t>
  </si>
  <si>
    <t>OB15</t>
  </si>
  <si>
    <t>Olvera Bautista J. Dolores  Gilberto</t>
  </si>
  <si>
    <t>OH11</t>
  </si>
  <si>
    <t>Olvera Hernandez Jose Tomas</t>
  </si>
  <si>
    <t>OS06</t>
  </si>
  <si>
    <t>Olvera  Soto Luis Angel</t>
  </si>
  <si>
    <t>PG04</t>
  </si>
  <si>
    <t>Paleta Guadarrama Ricardo</t>
  </si>
  <si>
    <t>PP05</t>
  </si>
  <si>
    <t>Perez Perez Ismael</t>
  </si>
  <si>
    <t>PJ03</t>
  </si>
  <si>
    <t>Piña Juarez Jose Martin</t>
  </si>
  <si>
    <t>RB08</t>
  </si>
  <si>
    <t>Ramirez Bautista Marcos Samuel</t>
  </si>
  <si>
    <t>RCJ07</t>
  </si>
  <si>
    <t>Resendiz Crespo Jose David</t>
  </si>
  <si>
    <t>RE14</t>
  </si>
  <si>
    <t>Resendiz Echeverria Mario Alberto</t>
  </si>
  <si>
    <t>RS03</t>
  </si>
  <si>
    <t>Resendiz Soto Emilio</t>
  </si>
  <si>
    <t>RZ014</t>
  </si>
  <si>
    <t>Reyes Hurtado Guillermo</t>
  </si>
  <si>
    <t>RA13</t>
  </si>
  <si>
    <t>Rivera Aguilar Gabriel</t>
  </si>
  <si>
    <t>RG12</t>
  </si>
  <si>
    <t>Rivera Gonzalez Jose Adan</t>
  </si>
  <si>
    <t>RR02</t>
  </si>
  <si>
    <t>Rodriguez Rodriguez Rodolfo Anuar</t>
  </si>
  <si>
    <t>RO21</t>
  </si>
  <si>
    <t>0021</t>
  </si>
  <si>
    <t>Romo Parga Alejandro</t>
  </si>
  <si>
    <t>RR05</t>
  </si>
  <si>
    <t>Ruiz Rodriguez Omar</t>
  </si>
  <si>
    <t>SG005</t>
  </si>
  <si>
    <t>Saldaña Garcia Marco Antonio</t>
  </si>
  <si>
    <t>SH17</t>
  </si>
  <si>
    <t>Sanchez Hurtado Carlos</t>
  </si>
  <si>
    <t>Sanchez Rodriguez Fredy</t>
  </si>
  <si>
    <t>SC25</t>
  </si>
  <si>
    <t>Sereno Cuellar Juvenal</t>
  </si>
  <si>
    <t>SL08</t>
  </si>
  <si>
    <t>Suarez Luna Efren Agustin</t>
  </si>
  <si>
    <t>TG06</t>
  </si>
  <si>
    <t>Tellez Gaytan Daniel</t>
  </si>
  <si>
    <t>TL20</t>
  </si>
  <si>
    <t>Tinoco Lopez Alfredo</t>
  </si>
  <si>
    <t>TS31</t>
  </si>
  <si>
    <t>Tirado Saavedra Carlos Alejandro</t>
  </si>
  <si>
    <t>TDA18</t>
  </si>
  <si>
    <t>Toribio Del Angel Oscar</t>
  </si>
  <si>
    <t>VM14</t>
  </si>
  <si>
    <t>Valdez Martinez Jose Martin</t>
  </si>
  <si>
    <t>VR23</t>
  </si>
  <si>
    <t>Vega Rivera Ismael</t>
  </si>
  <si>
    <t>VG25</t>
  </si>
  <si>
    <t>Vera Garcia Gerardo</t>
  </si>
  <si>
    <t>VM21</t>
  </si>
  <si>
    <t>Vigueras Martinez Juan Carlos</t>
  </si>
  <si>
    <t>ZM22</t>
  </si>
  <si>
    <t>Zamorano Mendoza Elias David</t>
  </si>
  <si>
    <t>HOJALATERO</t>
  </si>
  <si>
    <t>Alfaro Lazaro Isaac</t>
  </si>
  <si>
    <t>ASESOR DE SERVICIO</t>
  </si>
  <si>
    <t>CMM24</t>
  </si>
  <si>
    <t>PREPARADOR</t>
  </si>
  <si>
    <t>SR27</t>
  </si>
  <si>
    <t>ARMADOR</t>
  </si>
  <si>
    <t>PINTOR</t>
  </si>
  <si>
    <t>AYUDANTE GENERAL</t>
  </si>
  <si>
    <t>VIGILANTE</t>
  </si>
  <si>
    <t>MANTENIMIENTO</t>
  </si>
  <si>
    <t>RV23</t>
  </si>
  <si>
    <t>Rodriguez Ventura Ca</t>
  </si>
  <si>
    <t>ASESOR DE VENTAS</t>
  </si>
  <si>
    <t>AYUDANTE DE MECANICO</t>
  </si>
  <si>
    <t>AR01</t>
  </si>
  <si>
    <t>OPERARIO B</t>
  </si>
  <si>
    <t>OPERARIO A</t>
  </si>
  <si>
    <t>AYUDANTE DE PREVIAS</t>
  </si>
  <si>
    <t>ESTETICAS</t>
  </si>
  <si>
    <t>MH25</t>
  </si>
  <si>
    <t>Mijangos Hernandez J</t>
  </si>
  <si>
    <t>HC24</t>
  </si>
  <si>
    <t>Hernandez Chavez Pedro</t>
  </si>
  <si>
    <t>RF27</t>
  </si>
  <si>
    <t>Reyes Flores Alan</t>
  </si>
  <si>
    <t>S10-01/2016</t>
  </si>
  <si>
    <t xml:space="preserve">         An</t>
  </si>
  <si>
    <t>Clave</t>
  </si>
  <si>
    <t xml:space="preserve"> Nombre</t>
  </si>
  <si>
    <t>nfonavit  p</t>
  </si>
  <si>
    <t xml:space="preserve"> AGUILAR BRAVO CRISTI</t>
  </si>
  <si>
    <t xml:space="preserve"> ALVAREZ ORTIZ RICARD</t>
  </si>
  <si>
    <t xml:space="preserve"> CALDERON MARTINEZ MA</t>
  </si>
  <si>
    <t xml:space="preserve"> GALICIA ZARATE SERGI</t>
  </si>
  <si>
    <t>MR27</t>
  </si>
  <si>
    <t xml:space="preserve"> MOLINA RAMIREZ JESUS</t>
  </si>
  <si>
    <t xml:space="preserve"> RODRIGUEZ RODRIGUEZ</t>
  </si>
  <si>
    <t xml:space="preserve"> TINOCO LOPEZ ALFREDO</t>
  </si>
  <si>
    <t xml:space="preserve"> CORTES HERNANDEZ GER</t>
  </si>
  <si>
    <t xml:space="preserve"> HERNANDEZ SILVA EDGA</t>
  </si>
  <si>
    <t xml:space="preserve"> MARTINEZ LORENZO LUI</t>
  </si>
  <si>
    <t>NL23</t>
  </si>
  <si>
    <t xml:space="preserve"> NUÑEZ LUJAN ANGEL DA</t>
  </si>
  <si>
    <t xml:space="preserve"> OLVERA BAUTISTA J. D</t>
  </si>
  <si>
    <t xml:space="preserve"> PEREZ PEREZ ISMAEL</t>
  </si>
  <si>
    <t xml:space="preserve"> RAMIREZ BAUTISTA MAR</t>
  </si>
  <si>
    <t xml:space="preserve"> ROMERO OLVERA MIGUEL</t>
  </si>
  <si>
    <t xml:space="preserve"> SUAREZ LUNA EFREN AG</t>
  </si>
  <si>
    <t xml:space="preserve"> SANCHEZ RODRIGUEZ FR</t>
  </si>
  <si>
    <t xml:space="preserve"> TELLEZ GAYTAN DANIEL</t>
  </si>
  <si>
    <t xml:space="preserve"> VIGUERAS MARTINEZ JU</t>
  </si>
  <si>
    <t xml:space="preserve"> VEGA RIVERA ISMAEL</t>
  </si>
  <si>
    <t xml:space="preserve"> BARCENAS COMENERO JO</t>
  </si>
  <si>
    <t xml:space="preserve"> CRUZ ORTIZ JUAN ANTO</t>
  </si>
  <si>
    <t xml:space="preserve"> CASTELLANOS ROCHA LU</t>
  </si>
  <si>
    <t xml:space="preserve"> CORTEZ OVANDO FAUSTI</t>
  </si>
  <si>
    <t xml:space="preserve"> DE JESUS CRUZ JUAN C</t>
  </si>
  <si>
    <t xml:space="preserve"> LOPEZ DE LEON DANIEL</t>
  </si>
  <si>
    <t xml:space="preserve"> RIVERA AGUILAR GABRI</t>
  </si>
  <si>
    <t xml:space="preserve"> RESENDIZ SOTO EMILIO</t>
  </si>
  <si>
    <t xml:space="preserve"> SERENO CUELLAR JUVEN</t>
  </si>
  <si>
    <t>AC14</t>
  </si>
  <si>
    <t xml:space="preserve"> AVILA CASTELLANOS JE</t>
  </si>
  <si>
    <t xml:space="preserve"> CORTES MIRANDA CARLO</t>
  </si>
  <si>
    <t xml:space="preserve"> CASTILLO ORDOÑEZ JOR</t>
  </si>
  <si>
    <t xml:space="preserve"> HERNANDEZ GOMEZ MARI</t>
  </si>
  <si>
    <t xml:space="preserve"> LARA OVIEDO SORAYA</t>
  </si>
  <si>
    <t xml:space="preserve"> MIRANDA PEON JULIO C</t>
  </si>
  <si>
    <t xml:space="preserve"> PIÑA JUAREZ JOSE MAR</t>
  </si>
  <si>
    <t xml:space="preserve"> TORIBIO DEL ANGEL OS</t>
  </si>
  <si>
    <t xml:space="preserve"> ALAVEZ LOPEZ INOCENC</t>
  </si>
  <si>
    <t xml:space="preserve"> ARVIZU RODRIGUEZ  AL</t>
  </si>
  <si>
    <t xml:space="preserve"> CANCINO RODRIGUEZ GR</t>
  </si>
  <si>
    <t xml:space="preserve"> CASTAÑON TAVARES MAN</t>
  </si>
  <si>
    <t xml:space="preserve"> ENRIQUEZ RUBIO FERNA</t>
  </si>
  <si>
    <t xml:space="preserve"> FONSECA GUILLEN JOSE</t>
  </si>
  <si>
    <t xml:space="preserve"> MARTINEZ ALVARADO AD</t>
  </si>
  <si>
    <t xml:space="preserve"> MARTINEZ GUERRERO LE</t>
  </si>
  <si>
    <t xml:space="preserve"> NUÑEZ DE JESUS JOSE</t>
  </si>
  <si>
    <t xml:space="preserve"> OLVERA HERNANDEZ JOS</t>
  </si>
  <si>
    <t xml:space="preserve"> OLVERA SOTO LUIS ANG</t>
  </si>
  <si>
    <t xml:space="preserve"> RESENDIZ CRESPO JOSE</t>
  </si>
  <si>
    <t xml:space="preserve"> RESENDIZ ECHEVERRIA</t>
  </si>
  <si>
    <t xml:space="preserve"> RIVERA GONZALEZ JOSE</t>
  </si>
  <si>
    <t>RH14</t>
  </si>
  <si>
    <t xml:space="preserve"> REYES HURTADO GUILLE</t>
  </si>
  <si>
    <t>SG05</t>
  </si>
  <si>
    <t xml:space="preserve"> SALDAñA GARCIA MARCO</t>
  </si>
  <si>
    <t xml:space="preserve"> SANCHEZ HURTADO CARL</t>
  </si>
  <si>
    <t xml:space="preserve"> VALDEZ MARTINEZ MART</t>
  </si>
  <si>
    <t xml:space="preserve"> ARENAS VARGAS MOISES</t>
  </si>
  <si>
    <t xml:space="preserve"> CARRASCO TOVAR ARTUR</t>
  </si>
  <si>
    <t xml:space="preserve"> ROMO PARGA ALEJANDRO</t>
  </si>
  <si>
    <t xml:space="preserve"> MELENDEZ PADILLA CLA</t>
  </si>
  <si>
    <t xml:space="preserve"> AYALA CONTRERAS HECT</t>
  </si>
  <si>
    <t xml:space="preserve"> AGUILAR GONZALEZ ANA</t>
  </si>
  <si>
    <t xml:space="preserve"> BERDEJA LEON FRANCIS</t>
  </si>
  <si>
    <t xml:space="preserve"> ESCARCEGA BUSTAMANTE</t>
  </si>
  <si>
    <t>GO01</t>
  </si>
  <si>
    <t xml:space="preserve"> GUTIERREZ OLVERA MAR</t>
  </si>
  <si>
    <t xml:space="preserve"> HERNANDEZ CHAVEZ PED</t>
  </si>
  <si>
    <t xml:space="preserve"> HERNANDEZ CARREON GR</t>
  </si>
  <si>
    <t xml:space="preserve"> HERNANDEZ SOLIS GUME</t>
  </si>
  <si>
    <t xml:space="preserve"> JIMENEZ HERNANDEZ JU</t>
  </si>
  <si>
    <t xml:space="preserve"> LOBATO RECAMIER ROSS</t>
  </si>
  <si>
    <t xml:space="preserve"> LOPEZ ROSETE VICTOR</t>
  </si>
  <si>
    <t xml:space="preserve"> MEDINA CASTRO CARLOS</t>
  </si>
  <si>
    <t xml:space="preserve"> MALDONADO HERNANDEZ</t>
  </si>
  <si>
    <t xml:space="preserve"> NORIA BADILLO JUAN J</t>
  </si>
  <si>
    <t xml:space="preserve"> PALETA GUADARRAMA RI</t>
  </si>
  <si>
    <t xml:space="preserve"> RUIZ RODRIGUEZ OMAR</t>
  </si>
  <si>
    <t xml:space="preserve"> TIRADO SAAVEDRA CARL</t>
  </si>
  <si>
    <t xml:space="preserve"> VERA GARCIA GERARDO</t>
  </si>
  <si>
    <t xml:space="preserve"> ZAMORANO MENDOZA ELI</t>
  </si>
  <si>
    <t>AL26</t>
  </si>
  <si>
    <t>AR001</t>
  </si>
  <si>
    <t>CM024</t>
  </si>
  <si>
    <t>HMP14</t>
  </si>
  <si>
    <t>Hernandez Martinez Paulino</t>
  </si>
  <si>
    <t>HM17</t>
  </si>
  <si>
    <t>Hernandez Medina Diego Omar</t>
  </si>
  <si>
    <t>Mijangos Hernandez Julio Cesar</t>
  </si>
  <si>
    <t>OS05</t>
  </si>
  <si>
    <t>Orozco Sandoval Luis Enrique</t>
  </si>
  <si>
    <t>PR05</t>
  </si>
  <si>
    <t>Parra Rodriguez Javier Sebastian</t>
  </si>
  <si>
    <t>PB05</t>
  </si>
  <si>
    <t>Pino Blanco Gustavo</t>
  </si>
  <si>
    <t>RHO14</t>
  </si>
  <si>
    <t>Resendiz Huerta Oscar</t>
  </si>
  <si>
    <t>RA22</t>
  </si>
  <si>
    <t>Reyes Alcala Luz</t>
  </si>
  <si>
    <t>RA06</t>
  </si>
  <si>
    <t>Reyes Armadillo Jorge Andres</t>
  </si>
  <si>
    <t>Reyes Flores Alan Ricardo</t>
  </si>
  <si>
    <t>RP19</t>
  </si>
  <si>
    <t>Rios Perales David</t>
  </si>
  <si>
    <t>RF22</t>
  </si>
  <si>
    <t>Rodriguez Fernandez De Jauregui Mauricio</t>
  </si>
  <si>
    <t>Rodriguez Ventura Carlos Javier</t>
  </si>
  <si>
    <t>RGG01</t>
  </si>
  <si>
    <t>Rosas Guillen Gina Elizabeth</t>
  </si>
  <si>
    <t>SR027</t>
  </si>
  <si>
    <t>SP14</t>
  </si>
  <si>
    <t>Sierra Polina Cesar Alan</t>
  </si>
  <si>
    <t>TN15</t>
  </si>
  <si>
    <t>Tirado Navarrete Edgar</t>
  </si>
  <si>
    <t>VZ31</t>
  </si>
  <si>
    <t>Valdelamar Zuñiga Jose Sixto Carl</t>
  </si>
  <si>
    <t>VZ23</t>
  </si>
  <si>
    <t>Vega Zuñiga Joel Omar</t>
  </si>
  <si>
    <t>VC30</t>
  </si>
  <si>
    <t>Velazquez Calva Humberto Carlos</t>
  </si>
  <si>
    <t>11 CONSULTORES &amp; ASESORES INTEGRALES SC</t>
  </si>
  <si>
    <t>Reg Pat IMSS: E2375841103</t>
  </si>
  <si>
    <t>Séptimo día</t>
  </si>
  <si>
    <t>Préstamo Infonavit</t>
  </si>
  <si>
    <t>Pension Alimenticia</t>
  </si>
  <si>
    <t>INFONAVIT</t>
  </si>
  <si>
    <t>FACTURACIÓN</t>
  </si>
  <si>
    <t>Rangel Zuñiga Hugo</t>
  </si>
  <si>
    <t>ESPECIAL</t>
  </si>
  <si>
    <t>Escarcega Bustamante Jorge</t>
  </si>
  <si>
    <t>Consultores &amp; Asesores Integrales S.C.</t>
  </si>
  <si>
    <t>Servicios Prestados a : QUERETARO MOTORS, SA</t>
  </si>
  <si>
    <t>Periodo Semana 07</t>
  </si>
  <si>
    <t>10/02/2016 AL 16/02/2016</t>
  </si>
  <si>
    <t>Area</t>
  </si>
  <si>
    <t>Nombre</t>
  </si>
  <si>
    <t>Suc</t>
  </si>
  <si>
    <t>Puesto</t>
  </si>
  <si>
    <t>FECHA DE INICIO</t>
  </si>
  <si>
    <t>FIJO / VARIABLE</t>
  </si>
  <si>
    <t>sub   S/N</t>
  </si>
  <si>
    <t>CONSULTORES</t>
  </si>
  <si>
    <t>SINDICATO</t>
  </si>
  <si>
    <t>Sueldo Quincenal</t>
  </si>
  <si>
    <t>COMISION</t>
  </si>
  <si>
    <t>Prima Vacacional</t>
  </si>
  <si>
    <t>Dias de Vacaciones</t>
  </si>
  <si>
    <t>SEGURO DE VIDA (-)</t>
  </si>
  <si>
    <t>Total Percepciones</t>
  </si>
  <si>
    <t>Descuentos Cta 254</t>
  </si>
  <si>
    <t>AHORRO CTM</t>
  </si>
  <si>
    <t>FONDO DE AHORRO 4.9%</t>
  </si>
  <si>
    <t>CUOTA SINDICAL 1%</t>
  </si>
  <si>
    <t>PRESTAMO CTM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</si>
  <si>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</si>
  <si>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</si>
  <si>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</si>
  <si>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</si>
  <si>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</si>
  <si>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</si>
  <si>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</si>
  <si>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</si>
  <si>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</si>
  <si>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</si>
  <si>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PAGADO</t>
  </si>
  <si>
    <t>DIF</t>
  </si>
  <si>
    <t>DISPERCION</t>
  </si>
  <si>
    <t>DIFERENCIA</t>
  </si>
  <si>
    <t>SERVICIO</t>
  </si>
  <si>
    <t>AGUILAR BRAVO CRISTIAN SAUL</t>
  </si>
  <si>
    <t>VENTAS</t>
  </si>
  <si>
    <t>AGUILAR GONZALEZ ANAEL</t>
  </si>
  <si>
    <t>COACH</t>
  </si>
  <si>
    <t>COACH DE VENTAS</t>
  </si>
  <si>
    <t>COSTO</t>
  </si>
  <si>
    <t>ALAVEZ LOPEZ INOCENCIO</t>
  </si>
  <si>
    <t>HOJALATERIA</t>
  </si>
  <si>
    <t>ALFARO LAZARO ISAAC</t>
  </si>
  <si>
    <t>AYUDANTE DE HOJALATE</t>
  </si>
  <si>
    <t>ALVAREZ ORTIZ RICARDO</t>
  </si>
  <si>
    <t>ARENAS VARGAS MOISES</t>
  </si>
  <si>
    <t>ASISTENTE F&amp;I</t>
  </si>
  <si>
    <t>SEMINUEVOS</t>
  </si>
  <si>
    <t>ARTEAGA SILVA ALFREDO</t>
  </si>
  <si>
    <t>MARTIN</t>
  </si>
  <si>
    <t>ASESOR DE VENTAS SEM</t>
  </si>
  <si>
    <t>ARROYO ZARAZUA GILBERTO</t>
  </si>
  <si>
    <t>ARVIZU RODRIGUEZ  ALEJANDRO</t>
  </si>
  <si>
    <t>AYALA CONTRERAS HECTOR</t>
  </si>
  <si>
    <t>ADMON SERVICIO</t>
  </si>
  <si>
    <t>BARCENAS COMENERO JO</t>
  </si>
  <si>
    <t>TELEMARKETING</t>
  </si>
  <si>
    <t>BERDEJA LEON FRANCIS</t>
  </si>
  <si>
    <t>CALDERON MARTINEZ MARIO</t>
  </si>
  <si>
    <t>CANCINO RODRIGUEZ GREGORIO</t>
  </si>
  <si>
    <t>CARRASCO TOVAR ARTUR</t>
  </si>
  <si>
    <t>COACH DE PISO</t>
  </si>
  <si>
    <t>CASTAÑON TAVARES MAN</t>
  </si>
  <si>
    <t>AYUDANTE DE GENERAL</t>
  </si>
  <si>
    <t>CASTELLANOS ROCHA LUCIA</t>
  </si>
  <si>
    <t>CASTILLO ORDOÑEZ JORGE</t>
  </si>
  <si>
    <t>CORTES HERNANDEZ GERMAN</t>
  </si>
  <si>
    <t>HOJALATERO Y PINTOR</t>
  </si>
  <si>
    <t>CORTES MIRANDA CARLOS</t>
  </si>
  <si>
    <t>CORTEZ OVANDO FAUSTINO</t>
  </si>
  <si>
    <t>CRUZ ORTIZ JUAN ANTONIO</t>
  </si>
  <si>
    <t>CONTACT CENTER</t>
  </si>
  <si>
    <t>ADMON VENTAS</t>
  </si>
  <si>
    <t>DE JESUS CRUZ JUAN CARLOS</t>
  </si>
  <si>
    <t>ENRIQUEZ RUBIO FERNADO</t>
  </si>
  <si>
    <t>ESCARCEGA BUSTAMANTE JORGE</t>
  </si>
  <si>
    <t>FONSECA GUILLEN JOSE FELIPE</t>
  </si>
  <si>
    <t>OPARARIO C</t>
  </si>
  <si>
    <t>GALICIA ZARATE SERGIO</t>
  </si>
  <si>
    <t>GRANADOS PEREZ BRENDA</t>
  </si>
  <si>
    <t>GUTIERREZ OLVERA MARIURI</t>
  </si>
  <si>
    <t>HERNANDEZ CARREON GREGORIO</t>
  </si>
  <si>
    <t>HERNANDEZ GOMEZ MARIO ALBERTO</t>
  </si>
  <si>
    <t>HERNANDEZ SILVA EDGAR SAMUEL</t>
  </si>
  <si>
    <t>HERNANDEZ SOLIS GUMERCINDO</t>
  </si>
  <si>
    <t>JIMENEZ HERNANDEZ JULIO</t>
  </si>
  <si>
    <t>LARA OVIEDO SORAYA</t>
  </si>
  <si>
    <t>LOBATO RECAMIER ROSELLIN</t>
  </si>
  <si>
    <t>LOPEZ DE LEON DANIEL</t>
  </si>
  <si>
    <t>ADMINISTRACION</t>
  </si>
  <si>
    <t>MATA GONZALEZ ALEJANDRO</t>
  </si>
  <si>
    <t>MARTINEZ ALVARADO ADRIAN</t>
  </si>
  <si>
    <t>MARTINEZ GUERRERO LEONEL</t>
  </si>
  <si>
    <t>MARTINEZ LORENZO LUIS ALEJANDRO</t>
  </si>
  <si>
    <t xml:space="preserve">MARTINEZ MONTOYA EFRAIN </t>
  </si>
  <si>
    <t>MEDINA CASTRO CARLOS</t>
  </si>
  <si>
    <t>MELENDEZ PADILLA CLAUDIA</t>
  </si>
  <si>
    <t>MIJANGOS HERNANDEZ JULIO CESAR</t>
  </si>
  <si>
    <t>MIRANDA PEON JULIO CESAR</t>
  </si>
  <si>
    <t>NORIA BADILLO JUAN J</t>
  </si>
  <si>
    <t>NUÑEZ DE JESUS JOSE DANIEL</t>
  </si>
  <si>
    <t>AYUDANTE GENERAL DE</t>
  </si>
  <si>
    <t>OLVERA BAUTISTA J. D</t>
  </si>
  <si>
    <t>OLVERA HERNANDEZ JOSE TOMAS</t>
  </si>
  <si>
    <t>OLVERA SOTO LUIS ANGEL</t>
  </si>
  <si>
    <t>PALETA GUADARRAMA RI</t>
  </si>
  <si>
    <t>PEREZ PEREZ ISMAEL</t>
  </si>
  <si>
    <t>HOJALATERO PINTOR</t>
  </si>
  <si>
    <t>PIÑA JUAREZ JOSE MAR</t>
  </si>
  <si>
    <t>GERENTE DE SEMINUEVO</t>
  </si>
  <si>
    <t>RAMIREZ BAUTISTA MARCOS SAMUEL</t>
  </si>
  <si>
    <t>RESENDIZ CRESPO JOSE</t>
  </si>
  <si>
    <t>TECNICO C</t>
  </si>
  <si>
    <t>RESENDIZ ECHEVERRIA MARIO</t>
  </si>
  <si>
    <t>RESENDIZ SOTO EMILIO</t>
  </si>
  <si>
    <t>REYES HURTADO GUILLERMO</t>
  </si>
  <si>
    <t>RIVERA AGUILAR GABRIEL</t>
  </si>
  <si>
    <t>RIVERA GALLEGOS FRANCISCO</t>
  </si>
  <si>
    <t>RIVERA GONZALEZ JOSE ADAN</t>
  </si>
  <si>
    <t>RODRIGUEZ RODRIGUEZ ANUAR</t>
  </si>
  <si>
    <t>RODRIGUEZ VENTURA CA</t>
  </si>
  <si>
    <t>ROMO PARGA ALEJANDRO</t>
  </si>
  <si>
    <t>RUIZ RODRIGUEZ OMAR</t>
  </si>
  <si>
    <t>SALDAñA GARCIA MARCO</t>
  </si>
  <si>
    <t>OPERARIO</t>
  </si>
  <si>
    <t>SANCHEZ HURTADO CARLOS</t>
  </si>
  <si>
    <t>SANCHEZ RODRIGUEZ FREDY</t>
  </si>
  <si>
    <t>SERENO CUELLAR JUVEN</t>
  </si>
  <si>
    <t>SERVIN CHAVEZ OSCAR ERIC</t>
  </si>
  <si>
    <t>SUAREZ LUNA EFREN AG</t>
  </si>
  <si>
    <t>TELLEZ GAYTAN DANIEL</t>
  </si>
  <si>
    <t>TIRADO SAAVEDRA CARL</t>
  </si>
  <si>
    <t>TORIBIO DEL ANGEL OS</t>
  </si>
  <si>
    <t>VALDEZ MARTINEZ MARTIN</t>
  </si>
  <si>
    <t>VEGA RIVERA ISMAEL</t>
  </si>
  <si>
    <t>VERA GARCIA GERARDO</t>
  </si>
  <si>
    <t>VIGUERAS MARTINEZ JUAN CARLOS</t>
  </si>
  <si>
    <t>ZAMORANO MENDOZA ELIAS</t>
  </si>
  <si>
    <t>REYES FLORES ALAN RICARDO</t>
  </si>
  <si>
    <t>TINOCO LOPEZ ALFREDO</t>
  </si>
  <si>
    <t>ASESOR SERVICIO</t>
  </si>
  <si>
    <t xml:space="preserve">HERNANDEZ CHAVEZ PEDRO 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</si>
  <si>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</si>
  <si>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</si>
  <si>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</si>
  <si>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</si>
  <si>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</si>
  <si>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</si>
  <si>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</si>
  <si>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</si>
  <si>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</si>
  <si>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</si>
  <si>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Periodo 7 al 7 Semanal del 10/02/2016 al 16/02/2016</t>
  </si>
  <si>
    <t>0AG07</t>
  </si>
  <si>
    <t>0AL17</t>
  </si>
  <si>
    <t>0AZ14</t>
  </si>
  <si>
    <t>00018</t>
  </si>
  <si>
    <t>0ER14</t>
  </si>
  <si>
    <t>0EB11</t>
  </si>
  <si>
    <t>GPB13</t>
  </si>
  <si>
    <t>Granados Perez Brenda Laura</t>
  </si>
  <si>
    <t>0HG04</t>
  </si>
  <si>
    <t>0HS08</t>
  </si>
  <si>
    <t>MGA13</t>
  </si>
  <si>
    <t>Mata Gonzalez Alejandro</t>
  </si>
  <si>
    <t xml:space="preserve"> 0030</t>
  </si>
  <si>
    <t xml:space="preserve"> OH11</t>
  </si>
  <si>
    <t>0PP05</t>
  </si>
  <si>
    <t>RGF13</t>
  </si>
  <si>
    <t>Rivera Gallegos Francisco Alejandro</t>
  </si>
  <si>
    <t>SCO10</t>
  </si>
  <si>
    <t>Servin Chavez Oscar Eric</t>
  </si>
  <si>
    <t>0TS31</t>
  </si>
  <si>
    <t>0ZM22</t>
  </si>
  <si>
    <t>Martinez Montoya Efrain Esaul</t>
  </si>
  <si>
    <t>MME16</t>
  </si>
  <si>
    <t>Arteaga Silva Alfredo</t>
  </si>
  <si>
    <t>ASA16</t>
  </si>
  <si>
    <t>NETO A RECIBIR EMPLEADO</t>
  </si>
  <si>
    <t>COMISION EMPLEADO</t>
  </si>
  <si>
    <t>DEVOLUCIÓN EN CH.</t>
  </si>
  <si>
    <t>NOTA: ESTE TE LO FACTURO Y SE TE ENVIA CHEQUE JUNTO CON EL DESCONTADO AL COLABORADOR.</t>
  </si>
  <si>
    <t>DEVOL</t>
  </si>
  <si>
    <t>CHEQUES</t>
  </si>
  <si>
    <t>BBVA BANCOMER</t>
  </si>
  <si>
    <t>OP</t>
  </si>
  <si>
    <t xml:space="preserve">OPERACION EXITOSA </t>
  </si>
  <si>
    <t xml:space="preserve">De Jesus Cruz Juan Carlos </t>
  </si>
  <si>
    <t xml:space="preserve">Olvera Bautista J Dolores Gilberto </t>
  </si>
  <si>
    <t xml:space="preserve">Toribio Del Angel Oscar </t>
  </si>
  <si>
    <t xml:space="preserve">Castanon Tavares Manuel </t>
  </si>
  <si>
    <t xml:space="preserve">Carrasco Tovar Arturo </t>
  </si>
  <si>
    <t xml:space="preserve">Melendez Padilla Claudia Cristina </t>
  </si>
  <si>
    <t xml:space="preserve">Martinez Guerrero Leonel </t>
  </si>
  <si>
    <t xml:space="preserve">Lara Oviedo Soraya </t>
  </si>
  <si>
    <t xml:space="preserve">Cortes Hernandez German </t>
  </si>
  <si>
    <t xml:space="preserve">Medina Castro Carlos Manuel </t>
  </si>
  <si>
    <t xml:space="preserve">Enriquez Rubio Fernando </t>
  </si>
  <si>
    <t xml:space="preserve">Castellanos Rocha Lucia Marcela </t>
  </si>
  <si>
    <t xml:space="preserve">Sanchez Hurtado Carlos </t>
  </si>
  <si>
    <t xml:space="preserve">Vega Rivera Ismael </t>
  </si>
  <si>
    <t xml:space="preserve">Resendiz Soto Emilio </t>
  </si>
  <si>
    <t xml:space="preserve">Reyes Hurtado Guillermo </t>
  </si>
  <si>
    <t xml:space="preserve">Arvizu Rodriguez Alejandro Uriel </t>
  </si>
  <si>
    <t xml:space="preserve">Zamorano Mendoza Elias David </t>
  </si>
  <si>
    <t xml:space="preserve">Paleta Guadarrama Ricardo </t>
  </si>
  <si>
    <t xml:space="preserve">Escarcega Bustamante Jorge </t>
  </si>
  <si>
    <t xml:space="preserve">Cruz Ortiz Juan Antonio </t>
  </si>
  <si>
    <t xml:space="preserve">Lopez De Leon Daniel </t>
  </si>
  <si>
    <t xml:space="preserve">Cortes Miranda Carlos Armando </t>
  </si>
  <si>
    <t xml:space="preserve">Galicia Zarate Sergio </t>
  </si>
  <si>
    <t xml:space="preserve">Arroyo Zarazua Gilberto </t>
  </si>
  <si>
    <t xml:space="preserve">Miranda Peon Julio Cesar </t>
  </si>
  <si>
    <t xml:space="preserve">Martinez Lorenzo Luis Alejandro </t>
  </si>
  <si>
    <t xml:space="preserve">Sereno Cuellar Juvenal </t>
  </si>
  <si>
    <t xml:space="preserve">Tinoco Lopez Alfredo </t>
  </si>
  <si>
    <t xml:space="preserve">Ruiz Rodriguez Omar </t>
  </si>
  <si>
    <t xml:space="preserve">Maldonado Hernandez Erick </t>
  </si>
  <si>
    <t xml:space="preserve">Hernandez Silva Edgar Samuel </t>
  </si>
  <si>
    <t xml:space="preserve">Rivera Aguilar Gabriel </t>
  </si>
  <si>
    <t xml:space="preserve">Resendiz Crespo Jose David </t>
  </si>
  <si>
    <t xml:space="preserve">Tirado Saavedra Carlos Alejandro </t>
  </si>
  <si>
    <t xml:space="preserve">Vigueras Martinez Juan Carlos </t>
  </si>
  <si>
    <t xml:space="preserve">Vera Garcia Gerardo </t>
  </si>
  <si>
    <t xml:space="preserve">Ramirez Bautista Marcos Samuel </t>
  </si>
  <si>
    <t xml:space="preserve">Alvarez Ortiz Ricardo </t>
  </si>
  <si>
    <t xml:space="preserve">Alfaro Lazaro Isaac </t>
  </si>
  <si>
    <t xml:space="preserve">Granados Perez Brenda Laura </t>
  </si>
  <si>
    <t xml:space="preserve">Rivera Gallegos Francisco Alejandro </t>
  </si>
  <si>
    <t xml:space="preserve">Mata Gonzalez Alejandro </t>
  </si>
  <si>
    <t xml:space="preserve">Servin Chavez Oscar Eric </t>
  </si>
  <si>
    <t xml:space="preserve">Mijangos Hernandez Julio Cesar </t>
  </si>
  <si>
    <t xml:space="preserve">Rodriguez Ventura Carlos Javier </t>
  </si>
  <si>
    <t xml:space="preserve">Reyes Flores Alan Ricardo </t>
  </si>
  <si>
    <t xml:space="preserve">Hernandez Carreon Gregorio </t>
  </si>
  <si>
    <t xml:space="preserve">Rivera Gonzalez Jose Adan </t>
  </si>
  <si>
    <t xml:space="preserve">Nunez De Jesus Jose Daniel </t>
  </si>
  <si>
    <t xml:space="preserve">Arenas Vargas Moises </t>
  </si>
  <si>
    <t xml:space="preserve">Olvera Hernandez Jose Tomas </t>
  </si>
  <si>
    <t xml:space="preserve">Valdez Martinez Jose Martin </t>
  </si>
  <si>
    <t xml:space="preserve">Cancino Rodriguez Gregorio </t>
  </si>
  <si>
    <t xml:space="preserve">Fonseca Gillen Jose Felipe </t>
  </si>
  <si>
    <t xml:space="preserve">Resendiz Echeverria Mario Alberto </t>
  </si>
  <si>
    <t xml:space="preserve">Saldana Garcia Marco Antonio </t>
  </si>
  <si>
    <t xml:space="preserve">Aguilar Gonzalez Anael </t>
  </si>
  <si>
    <t xml:space="preserve">Berdeja Leon Francisco Gerardo </t>
  </si>
  <si>
    <t xml:space="preserve">Pina Juarez Jose Martin </t>
  </si>
  <si>
    <t xml:space="preserve">Gutierrez Olvera Marihuri </t>
  </si>
  <si>
    <t xml:space="preserve">Martinez Alvarado Adrian </t>
  </si>
  <si>
    <t xml:space="preserve">Olvera Soto Luis Angel </t>
  </si>
  <si>
    <t xml:space="preserve">Rodriguez Rodriguez Rodolfo Anuar </t>
  </si>
  <si>
    <t xml:space="preserve">Aguilar Bravo Cristian Saul </t>
  </si>
  <si>
    <t xml:space="preserve">Jimenez Hernandez Julio Cesar </t>
  </si>
  <si>
    <t xml:space="preserve">Tellez Gaytan Daniel </t>
  </si>
  <si>
    <t xml:space="preserve">Barcenas Comenero Jorge Alejandro </t>
  </si>
  <si>
    <t xml:space="preserve">Perez Perez Ismael </t>
  </si>
  <si>
    <t xml:space="preserve">Suarez Luna Efren Agustin </t>
  </si>
  <si>
    <t xml:space="preserve">Cortez Ovando Faustino Ali </t>
  </si>
  <si>
    <t xml:space="preserve">Castillo Ordonez Jorge </t>
  </si>
  <si>
    <t xml:space="preserve">Noria Badillo Juan Jose </t>
  </si>
  <si>
    <t xml:space="preserve">Alavez Lopez Inocencio </t>
  </si>
  <si>
    <t xml:space="preserve">Hernandez Solis Gumecindo </t>
  </si>
  <si>
    <t xml:space="preserve">Calderon Martinez Mario Raul </t>
  </si>
  <si>
    <t xml:space="preserve">Hernandez Chavez Pedro </t>
  </si>
  <si>
    <t xml:space="preserve">Sanchez Rodriguez Fredy </t>
  </si>
  <si>
    <t>Periodo Semana 08</t>
  </si>
  <si>
    <t>17/02/2016 AL 23/02/2016</t>
  </si>
  <si>
    <t>CUENTA</t>
  </si>
  <si>
    <t>OBSERVACIONES</t>
  </si>
  <si>
    <t>UNIFORMES</t>
  </si>
  <si>
    <t>ARMENTA LUJANO CARLOS</t>
  </si>
  <si>
    <t>LAVADOR</t>
  </si>
  <si>
    <t>NUEVO INGRESO 22 FEB; SOLO PAGAR COMISIONES POR SINDICATO</t>
  </si>
  <si>
    <t>DIFERENCIA EN INFONAVIT QUE QUEDA A DEBER</t>
  </si>
  <si>
    <t>BARCENAS COMENERO JORGE</t>
  </si>
  <si>
    <t>1 FALTA</t>
  </si>
  <si>
    <t>BERDEJA LEON FRANCISCO</t>
  </si>
  <si>
    <t>CARRASCO TOVAR ARTURO</t>
  </si>
  <si>
    <t>CASTAÑON TAVARES MANUEL</t>
  </si>
  <si>
    <t>24 HORAS EXTRAS</t>
  </si>
  <si>
    <t>GONZALEZ AGUILLON HUMBERTO</t>
  </si>
  <si>
    <t>MALDONADO HERNANDEZ ERICK</t>
  </si>
  <si>
    <t>MARTINEZ GALLEGOS LUIS FERNANDO</t>
  </si>
  <si>
    <t>MG</t>
  </si>
  <si>
    <t>REGRESO DE INCAPACIDAD</t>
  </si>
  <si>
    <t>DE INFONAVIT QUE QUEDA A DEBER</t>
  </si>
  <si>
    <t>MONROY HERRERA VICTOR JAVIER</t>
  </si>
  <si>
    <t>NUEVO INGRESO</t>
  </si>
  <si>
    <t>NORIA BADILLO JUAN JOSE</t>
  </si>
  <si>
    <t>PALETA GUADARRAMA RICARDO</t>
  </si>
  <si>
    <t>RESENDIZ CAMPUZANO ISRAEL</t>
  </si>
  <si>
    <t>14 HORAS EXTRA</t>
  </si>
  <si>
    <t>RODRIGUEZ VENTURA CALOS</t>
  </si>
  <si>
    <t>SERVIN CHAVEZ OSCAR ERICK</t>
  </si>
  <si>
    <t>SUAREZ LUNA EFREN AGUSTIN</t>
  </si>
  <si>
    <t>TIRADO SAAVEDRA CARLOS</t>
  </si>
  <si>
    <t>TORIBIO DEL ANGEL OSCAR</t>
  </si>
  <si>
    <t>FALTAS</t>
  </si>
  <si>
    <t>HORAS EXTRA</t>
  </si>
  <si>
    <t>BAJAS</t>
  </si>
  <si>
    <t>PENSIÓN ALIM DCTO EN FISCAL</t>
  </si>
  <si>
    <t>TOTAL 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</si>
</sst>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0_ ;[Red]\-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charset val="1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Verdana"/>
      <family val="2"/>
    </font>
    <font>
      <b/>
      <sz val="11"/>
      <color indexed="6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00B0F0"/>
      <name val="Calibri"/>
      <family val="2"/>
      <scheme val="minor"/>
    </font>
    <font>
      <b/>
      <sz val="8"/>
      <color indexed="10"/>
      <name val="Arial"/>
      <family val="2"/>
    </font>
    <font>
      <sz val="7.5"/>
      <color rgb="FF000000"/>
      <name val="Verdana"/>
      <family val="2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F3F7FA"/>
        <bgColor indexed="64"/>
      </patternFill>
    </fill>
  </fills>
  <borders count="1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22" fillId="0" borderId="0"/>
    <xf numFmtId="0" fontId="26" fillId="0" borderId="0"/>
  </cellStyleXfs>
  <cellXfs count="277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 applyAlignment="1"/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Continuous"/>
    </xf>
    <xf numFmtId="0" fontId="17" fillId="0" borderId="0" xfId="0" applyFont="1" applyAlignment="1"/>
    <xf numFmtId="0" fontId="16" fillId="0" borderId="0" xfId="0" applyFont="1"/>
    <xf numFmtId="49" fontId="18" fillId="0" borderId="0" xfId="0" applyNumberFormat="1" applyFont="1" applyAlignment="1">
      <alignment horizontal="centerContinuous" vertical="top"/>
    </xf>
    <xf numFmtId="49" fontId="16" fillId="0" borderId="0" xfId="0" applyNumberFormat="1" applyFont="1"/>
    <xf numFmtId="0" fontId="19" fillId="2" borderId="1" xfId="0" applyFont="1" applyFill="1" applyBorder="1" applyAlignment="1">
      <alignment horizontal="center" vertical="center" wrapText="1"/>
    </xf>
    <xf numFmtId="49" fontId="16" fillId="0" borderId="0" xfId="0" applyNumberFormat="1" applyFont="1" applyFill="1"/>
    <xf numFmtId="0" fontId="16" fillId="0" borderId="0" xfId="0" applyFont="1" applyFill="1"/>
    <xf numFmtId="44" fontId="16" fillId="0" borderId="0" xfId="2" applyFont="1" applyFill="1"/>
    <xf numFmtId="0" fontId="16" fillId="0" borderId="0" xfId="0" applyFont="1" applyFill="1" applyAlignment="1">
      <alignment horizontal="right"/>
    </xf>
    <xf numFmtId="0" fontId="20" fillId="0" borderId="0" xfId="0" applyFont="1" applyFill="1"/>
    <xf numFmtId="49" fontId="21" fillId="0" borderId="0" xfId="0" applyNumberFormat="1" applyFont="1" applyFill="1" applyAlignment="1">
      <alignment horizontal="left"/>
    </xf>
    <xf numFmtId="164" fontId="21" fillId="0" borderId="3" xfId="0" applyNumberFormat="1" applyFont="1" applyFill="1" applyBorder="1"/>
    <xf numFmtId="0" fontId="19" fillId="0" borderId="0" xfId="0" applyFont="1" applyFill="1"/>
    <xf numFmtId="165" fontId="11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Alignment="1"/>
    <xf numFmtId="49" fontId="16" fillId="4" borderId="0" xfId="0" applyNumberFormat="1" applyFont="1" applyFill="1"/>
    <xf numFmtId="0" fontId="2" fillId="0" borderId="0" xfId="0" applyFont="1"/>
    <xf numFmtId="49" fontId="2" fillId="0" borderId="0" xfId="0" applyNumberFormat="1" applyFont="1"/>
    <xf numFmtId="0" fontId="16" fillId="4" borderId="0" xfId="0" applyFont="1" applyFill="1"/>
    <xf numFmtId="44" fontId="16" fillId="4" borderId="0" xfId="2" applyFont="1" applyFill="1"/>
    <xf numFmtId="49" fontId="2" fillId="4" borderId="0" xfId="0" applyNumberFormat="1" applyFont="1" applyFill="1"/>
    <xf numFmtId="0" fontId="2" fillId="4" borderId="0" xfId="0" applyFont="1" applyFill="1"/>
    <xf numFmtId="0" fontId="16" fillId="4" borderId="0" xfId="0" applyFont="1" applyFill="1" applyAlignment="1">
      <alignment horizontal="right"/>
    </xf>
    <xf numFmtId="0" fontId="20" fillId="4" borderId="0" xfId="0" applyFont="1" applyFill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12" fillId="0" borderId="0" xfId="0" applyNumberFormat="1" applyFont="1"/>
    <xf numFmtId="0" fontId="0" fillId="0" borderId="0" xfId="0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4" borderId="0" xfId="0" applyNumberFormat="1" applyFont="1" applyFill="1"/>
    <xf numFmtId="164" fontId="12" fillId="4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/>
    <xf numFmtId="164" fontId="16" fillId="0" borderId="0" xfId="0" applyNumberFormat="1" applyFont="1"/>
    <xf numFmtId="44" fontId="2" fillId="0" borderId="0" xfId="0" applyNumberFormat="1" applyFont="1" applyFill="1"/>
    <xf numFmtId="164" fontId="2" fillId="0" borderId="0" xfId="0" applyNumberFormat="1" applyFont="1" applyFill="1"/>
    <xf numFmtId="164" fontId="16" fillId="0" borderId="0" xfId="0" applyNumberFormat="1" applyFont="1" applyFill="1"/>
    <xf numFmtId="0" fontId="2" fillId="0" borderId="0" xfId="0" applyFont="1" applyFill="1" applyAlignment="1">
      <alignment horizontal="right"/>
    </xf>
    <xf numFmtId="164" fontId="13" fillId="0" borderId="0" xfId="0" applyNumberFormat="1" applyFont="1" applyFill="1"/>
    <xf numFmtId="0" fontId="1" fillId="0" borderId="0" xfId="0" applyFont="1" applyFill="1"/>
    <xf numFmtId="8" fontId="2" fillId="0" borderId="0" xfId="0" applyNumberFormat="1" applyFont="1" applyFill="1"/>
    <xf numFmtId="8" fontId="16" fillId="0" borderId="0" xfId="0" applyNumberFormat="1" applyFont="1" applyFill="1"/>
    <xf numFmtId="44" fontId="16" fillId="0" borderId="0" xfId="0" applyNumberFormat="1" applyFont="1"/>
    <xf numFmtId="0" fontId="19" fillId="2" borderId="4" xfId="0" applyFont="1" applyFill="1" applyBorder="1" applyAlignment="1">
      <alignment horizontal="center" vertical="center" wrapText="1"/>
    </xf>
    <xf numFmtId="44" fontId="16" fillId="0" borderId="0" xfId="0" applyNumberFormat="1" applyFont="1" applyFill="1"/>
    <xf numFmtId="16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44" fontId="0" fillId="0" borderId="0" xfId="0" applyNumberFormat="1"/>
    <xf numFmtId="49" fontId="2" fillId="5" borderId="0" xfId="0" applyNumberFormat="1" applyFont="1" applyFill="1"/>
    <xf numFmtId="0" fontId="2" fillId="5" borderId="0" xfId="0" applyFont="1" applyFill="1"/>
    <xf numFmtId="0" fontId="17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/>
    <xf numFmtId="0" fontId="27" fillId="0" borderId="0" xfId="5" applyFont="1" applyFill="1" applyAlignment="1" applyProtection="1">
      <alignment horizontal="left"/>
    </xf>
    <xf numFmtId="0" fontId="27" fillId="0" borderId="0" xfId="5" applyFont="1" applyFill="1" applyAlignment="1" applyProtection="1">
      <alignment horizontal="center"/>
    </xf>
    <xf numFmtId="43" fontId="17" fillId="0" borderId="0" xfId="1" applyFont="1" applyFill="1" applyAlignment="1" applyProtection="1">
      <alignment horizontal="center"/>
    </xf>
    <xf numFmtId="43" fontId="28" fillId="0" borderId="0" xfId="1" applyFont="1" applyFill="1" applyAlignment="1" applyProtection="1">
      <alignment horizontal="center"/>
    </xf>
    <xf numFmtId="0" fontId="17" fillId="0" borderId="0" xfId="0" applyFont="1" applyFill="1" applyProtection="1"/>
    <xf numFmtId="0" fontId="17" fillId="0" borderId="0" xfId="0" applyFont="1" applyProtection="1"/>
    <xf numFmtId="0" fontId="29" fillId="0" borderId="0" xfId="5" applyFont="1" applyFill="1" applyAlignment="1" applyProtection="1">
      <alignment horizontal="left"/>
    </xf>
    <xf numFmtId="0" fontId="29" fillId="0" borderId="0" xfId="5" applyFont="1" applyFill="1" applyAlignment="1" applyProtection="1">
      <alignment horizontal="center"/>
    </xf>
    <xf numFmtId="15" fontId="27" fillId="0" borderId="0" xfId="5" applyNumberFormat="1" applyFont="1" applyFill="1" applyAlignment="1" applyProtection="1">
      <alignment horizontal="left"/>
    </xf>
    <xf numFmtId="15" fontId="27" fillId="0" borderId="0" xfId="5" applyNumberFormat="1" applyFont="1" applyFill="1" applyAlignment="1" applyProtection="1">
      <alignment horizontal="center"/>
    </xf>
    <xf numFmtId="0" fontId="28" fillId="0" borderId="0" xfId="0" applyFont="1"/>
    <xf numFmtId="43" fontId="17" fillId="0" borderId="0" xfId="1" applyFont="1"/>
    <xf numFmtId="43" fontId="28" fillId="0" borderId="0" xfId="1" applyFont="1"/>
    <xf numFmtId="43" fontId="17" fillId="0" borderId="0" xfId="1" applyFont="1" applyFill="1"/>
    <xf numFmtId="3" fontId="28" fillId="6" borderId="6" xfId="0" applyNumberFormat="1" applyFont="1" applyFill="1" applyBorder="1"/>
    <xf numFmtId="0" fontId="28" fillId="0" borderId="0" xfId="0" applyFont="1" applyFill="1"/>
    <xf numFmtId="43" fontId="28" fillId="6" borderId="6" xfId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7" fillId="0" borderId="6" xfId="0" applyFont="1" applyBorder="1"/>
    <xf numFmtId="0" fontId="17" fillId="9" borderId="6" xfId="0" applyFont="1" applyFill="1" applyBorder="1"/>
    <xf numFmtId="4" fontId="17" fillId="0" borderId="6" xfId="0" applyNumberFormat="1" applyFont="1" applyBorder="1"/>
    <xf numFmtId="43" fontId="17" fillId="0" borderId="6" xfId="1" applyFont="1" applyBorder="1"/>
    <xf numFmtId="43" fontId="17" fillId="9" borderId="6" xfId="1" applyFont="1" applyFill="1" applyBorder="1"/>
    <xf numFmtId="43" fontId="25" fillId="9" borderId="6" xfId="1" applyFont="1" applyFill="1" applyBorder="1"/>
    <xf numFmtId="43" fontId="28" fillId="10" borderId="6" xfId="1" applyFont="1" applyFill="1" applyBorder="1"/>
    <xf numFmtId="43" fontId="24" fillId="11" borderId="6" xfId="1" applyFont="1" applyFill="1" applyBorder="1"/>
    <xf numFmtId="43" fontId="24" fillId="12" borderId="6" xfId="1" applyFont="1" applyFill="1" applyBorder="1"/>
    <xf numFmtId="43" fontId="24" fillId="12" borderId="6" xfId="1" applyFont="1" applyFill="1" applyBorder="1" applyAlignment="1">
      <alignment horizontal="center"/>
    </xf>
    <xf numFmtId="0" fontId="17" fillId="12" borderId="6" xfId="0" applyFont="1" applyFill="1" applyBorder="1"/>
    <xf numFmtId="0" fontId="0" fillId="12" borderId="0" xfId="0" applyFill="1"/>
    <xf numFmtId="43" fontId="17" fillId="0" borderId="6" xfId="1" applyFont="1" applyFill="1" applyBorder="1" applyAlignment="1">
      <alignment horizontal="center"/>
    </xf>
    <xf numFmtId="43" fontId="17" fillId="13" borderId="6" xfId="1" applyFont="1" applyFill="1" applyBorder="1" applyAlignment="1">
      <alignment horizontal="center"/>
    </xf>
    <xf numFmtId="43" fontId="28" fillId="14" borderId="6" xfId="1" applyFont="1" applyFill="1" applyBorder="1"/>
    <xf numFmtId="0" fontId="17" fillId="0" borderId="0" xfId="0" applyFont="1" applyFill="1"/>
    <xf numFmtId="43" fontId="17" fillId="0" borderId="0" xfId="0" applyNumberFormat="1" applyFont="1" applyFill="1"/>
    <xf numFmtId="0" fontId="17" fillId="9" borderId="0" xfId="0" applyFont="1" applyFill="1"/>
    <xf numFmtId="0" fontId="0" fillId="12" borderId="6" xfId="0" applyFill="1" applyBorder="1"/>
    <xf numFmtId="0" fontId="17" fillId="0" borderId="0" xfId="0" applyFont="1"/>
    <xf numFmtId="0" fontId="17" fillId="5" borderId="6" xfId="0" applyFont="1" applyFill="1" applyBorder="1"/>
    <xf numFmtId="43" fontId="24" fillId="0" borderId="6" xfId="1" applyFont="1" applyBorder="1"/>
    <xf numFmtId="43" fontId="24" fillId="5" borderId="6" xfId="1" applyFont="1" applyFill="1" applyBorder="1"/>
    <xf numFmtId="0" fontId="17" fillId="3" borderId="6" xfId="0" applyFont="1" applyFill="1" applyBorder="1"/>
    <xf numFmtId="14" fontId="17" fillId="3" borderId="6" xfId="0" applyNumberFormat="1" applyFont="1" applyFill="1" applyBorder="1"/>
    <xf numFmtId="4" fontId="17" fillId="3" borderId="6" xfId="0" applyNumberFormat="1" applyFont="1" applyFill="1" applyBorder="1"/>
    <xf numFmtId="43" fontId="17" fillId="3" borderId="6" xfId="1" applyFont="1" applyFill="1" applyBorder="1"/>
    <xf numFmtId="43" fontId="25" fillId="3" borderId="6" xfId="1" applyFont="1" applyFill="1" applyBorder="1"/>
    <xf numFmtId="43" fontId="28" fillId="3" borderId="6" xfId="1" applyFont="1" applyFill="1" applyBorder="1"/>
    <xf numFmtId="43" fontId="24" fillId="3" borderId="6" xfId="1" applyFont="1" applyFill="1" applyBorder="1"/>
    <xf numFmtId="43" fontId="24" fillId="3" borderId="6" xfId="1" applyFont="1" applyFill="1" applyBorder="1" applyAlignment="1">
      <alignment horizontal="center"/>
    </xf>
    <xf numFmtId="0" fontId="0" fillId="3" borderId="0" xfId="0" applyFill="1"/>
    <xf numFmtId="43" fontId="17" fillId="3" borderId="6" xfId="1" applyFont="1" applyFill="1" applyBorder="1" applyAlignment="1">
      <alignment horizontal="center"/>
    </xf>
    <xf numFmtId="0" fontId="17" fillId="3" borderId="0" xfId="0" applyFont="1" applyFill="1"/>
    <xf numFmtId="43" fontId="17" fillId="3" borderId="0" xfId="0" applyNumberFormat="1" applyFont="1" applyFill="1"/>
    <xf numFmtId="0" fontId="17" fillId="0" borderId="6" xfId="0" applyFont="1" applyFill="1" applyBorder="1"/>
    <xf numFmtId="14" fontId="17" fillId="0" borderId="6" xfId="0" applyNumberFormat="1" applyFont="1" applyBorder="1"/>
    <xf numFmtId="4" fontId="0" fillId="12" borderId="6" xfId="0" applyNumberFormat="1" applyFill="1" applyBorder="1"/>
    <xf numFmtId="0" fontId="0" fillId="0" borderId="7" xfId="0" applyFont="1" applyFill="1" applyBorder="1"/>
    <xf numFmtId="0" fontId="0" fillId="3" borderId="6" xfId="0" applyFill="1" applyBorder="1"/>
    <xf numFmtId="12" fontId="17" fillId="9" borderId="6" xfId="1" applyNumberFormat="1" applyFont="1" applyFill="1" applyBorder="1"/>
    <xf numFmtId="0" fontId="17" fillId="0" borderId="6" xfId="0" applyFont="1" applyBorder="1" applyAlignment="1">
      <alignment horizontal="right"/>
    </xf>
    <xf numFmtId="0" fontId="30" fillId="0" borderId="6" xfId="0" applyFont="1" applyFill="1" applyBorder="1"/>
    <xf numFmtId="0" fontId="0" fillId="0" borderId="6" xfId="0" applyFont="1" applyFill="1" applyBorder="1"/>
    <xf numFmtId="4" fontId="0" fillId="0" borderId="7" xfId="0" applyNumberFormat="1" applyFont="1" applyFill="1" applyBorder="1"/>
    <xf numFmtId="43" fontId="17" fillId="12" borderId="6" xfId="1" applyFont="1" applyFill="1" applyBorder="1"/>
    <xf numFmtId="0" fontId="17" fillId="12" borderId="10" xfId="0" applyFont="1" applyFill="1" applyBorder="1"/>
    <xf numFmtId="0" fontId="28" fillId="0" borderId="6" xfId="0" applyFont="1" applyFill="1" applyBorder="1"/>
    <xf numFmtId="4" fontId="17" fillId="12" borderId="6" xfId="0" applyNumberFormat="1" applyFont="1" applyFill="1" applyBorder="1"/>
    <xf numFmtId="43" fontId="17" fillId="11" borderId="6" xfId="1" applyFont="1" applyFill="1" applyBorder="1"/>
    <xf numFmtId="43" fontId="17" fillId="12" borderId="6" xfId="1" applyFont="1" applyFill="1" applyBorder="1" applyAlignment="1">
      <alignment horizontal="center"/>
    </xf>
    <xf numFmtId="0" fontId="17" fillId="0" borderId="5" xfId="0" applyFont="1" applyFill="1" applyBorder="1"/>
    <xf numFmtId="43" fontId="17" fillId="0" borderId="5" xfId="1" applyFont="1" applyFill="1" applyBorder="1"/>
    <xf numFmtId="43" fontId="28" fillId="0" borderId="6" xfId="1" applyFont="1" applyFill="1" applyBorder="1"/>
    <xf numFmtId="43" fontId="28" fillId="0" borderId="5" xfId="1" applyFont="1" applyFill="1" applyBorder="1"/>
    <xf numFmtId="0" fontId="28" fillId="0" borderId="11" xfId="0" applyFont="1" applyBorder="1"/>
    <xf numFmtId="43" fontId="28" fillId="0" borderId="11" xfId="1" applyFont="1" applyBorder="1"/>
    <xf numFmtId="43" fontId="28" fillId="15" borderId="11" xfId="1" applyFont="1" applyFill="1" applyBorder="1"/>
    <xf numFmtId="0" fontId="28" fillId="8" borderId="0" xfId="0" applyFont="1" applyFill="1" applyBorder="1" applyAlignment="1">
      <alignment horizontal="center"/>
    </xf>
    <xf numFmtId="43" fontId="17" fillId="0" borderId="6" xfId="1" applyFont="1" applyFill="1" applyBorder="1"/>
    <xf numFmtId="43" fontId="17" fillId="16" borderId="6" xfId="1" applyFont="1" applyFill="1" applyBorder="1" applyAlignment="1">
      <alignment horizontal="center"/>
    </xf>
    <xf numFmtId="0" fontId="31" fillId="0" borderId="0" xfId="0" applyFont="1"/>
    <xf numFmtId="0" fontId="17" fillId="0" borderId="0" xfId="0" applyFont="1" applyBorder="1"/>
    <xf numFmtId="43" fontId="28" fillId="6" borderId="0" xfId="1" applyFont="1" applyFill="1" applyBorder="1" applyAlignment="1">
      <alignment horizontal="center" wrapText="1"/>
    </xf>
    <xf numFmtId="43" fontId="28" fillId="6" borderId="0" xfId="1" applyFont="1" applyFill="1" applyBorder="1" applyAlignment="1">
      <alignment horizontal="center" vertical="center" wrapText="1"/>
    </xf>
    <xf numFmtId="164" fontId="9" fillId="0" borderId="0" xfId="0" applyNumberFormat="1" applyFont="1"/>
    <xf numFmtId="164" fontId="32" fillId="0" borderId="0" xfId="0" applyNumberFormat="1" applyFont="1"/>
    <xf numFmtId="0" fontId="17" fillId="4" borderId="6" xfId="0" applyFont="1" applyFill="1" applyBorder="1"/>
    <xf numFmtId="43" fontId="17" fillId="4" borderId="6" xfId="1" applyFont="1" applyFill="1" applyBorder="1"/>
    <xf numFmtId="43" fontId="25" fillId="4" borderId="6" xfId="1" applyFont="1" applyFill="1" applyBorder="1"/>
    <xf numFmtId="43" fontId="28" fillId="4" borderId="6" xfId="1" applyFont="1" applyFill="1" applyBorder="1"/>
    <xf numFmtId="43" fontId="17" fillId="4" borderId="6" xfId="1" applyFont="1" applyFill="1" applyBorder="1" applyAlignment="1">
      <alignment horizontal="center"/>
    </xf>
    <xf numFmtId="0" fontId="17" fillId="4" borderId="0" xfId="0" applyFont="1" applyFill="1"/>
    <xf numFmtId="43" fontId="17" fillId="4" borderId="0" xfId="0" applyNumberFormat="1" applyFont="1" applyFill="1"/>
    <xf numFmtId="4" fontId="17" fillId="0" borderId="6" xfId="0" applyNumberFormat="1" applyFont="1" applyFill="1" applyBorder="1"/>
    <xf numFmtId="43" fontId="25" fillId="0" borderId="6" xfId="1" applyFont="1" applyFill="1" applyBorder="1"/>
    <xf numFmtId="164" fontId="12" fillId="0" borderId="0" xfId="0" applyNumberFormat="1" applyFont="1" applyFill="1"/>
    <xf numFmtId="14" fontId="17" fillId="0" borderId="6" xfId="0" applyNumberFormat="1" applyFont="1" applyFill="1" applyBorder="1"/>
    <xf numFmtId="0" fontId="17" fillId="0" borderId="6" xfId="0" applyFont="1" applyFill="1" applyBorder="1" applyAlignment="1">
      <alignment horizontal="right"/>
    </xf>
    <xf numFmtId="12" fontId="17" fillId="0" borderId="6" xfId="1" applyNumberFormat="1" applyFont="1" applyFill="1" applyBorder="1"/>
    <xf numFmtId="164" fontId="23" fillId="0" borderId="3" xfId="0" applyNumberFormat="1" applyFont="1" applyFill="1" applyBorder="1"/>
    <xf numFmtId="44" fontId="0" fillId="0" borderId="0" xfId="0" applyNumberFormat="1" applyAlignment="1"/>
    <xf numFmtId="14" fontId="17" fillId="4" borderId="6" xfId="0" applyNumberFormat="1" applyFont="1" applyFill="1" applyBorder="1"/>
    <xf numFmtId="4" fontId="17" fillId="4" borderId="6" xfId="0" applyNumberFormat="1" applyFont="1" applyFill="1" applyBorder="1"/>
    <xf numFmtId="0" fontId="19" fillId="4" borderId="0" xfId="0" applyFont="1" applyFill="1"/>
    <xf numFmtId="49" fontId="2" fillId="3" borderId="0" xfId="0" applyNumberFormat="1" applyFont="1" applyFill="1"/>
    <xf numFmtId="0" fontId="2" fillId="3" borderId="0" xfId="0" applyFont="1" applyFill="1"/>
    <xf numFmtId="44" fontId="0" fillId="0" borderId="0" xfId="0" applyNumberFormat="1" applyAlignment="1">
      <alignment horizontal="center" vertical="center"/>
    </xf>
    <xf numFmtId="8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0" fillId="0" borderId="0" xfId="0" applyAlignment="1">
      <alignment wrapText="1"/>
    </xf>
    <xf numFmtId="4" fontId="0" fillId="0" borderId="0" xfId="0" applyNumberFormat="1"/>
    <xf numFmtId="0" fontId="33" fillId="18" borderId="0" xfId="0" applyFont="1" applyFill="1" applyAlignment="1">
      <alignment horizontal="right" wrapText="1"/>
    </xf>
    <xf numFmtId="0" fontId="33" fillId="18" borderId="0" xfId="0" applyFont="1" applyFill="1" applyAlignment="1">
      <alignment wrapText="1"/>
    </xf>
    <xf numFmtId="4" fontId="33" fillId="18" borderId="0" xfId="0" applyNumberFormat="1" applyFont="1" applyFill="1" applyAlignment="1">
      <alignment horizontal="right" wrapText="1"/>
    </xf>
    <xf numFmtId="0" fontId="33" fillId="19" borderId="0" xfId="0" applyFont="1" applyFill="1" applyAlignment="1">
      <alignment horizontal="right" wrapText="1"/>
    </xf>
    <xf numFmtId="0" fontId="33" fillId="19" borderId="0" xfId="0" applyFont="1" applyFill="1" applyAlignment="1">
      <alignment wrapText="1"/>
    </xf>
    <xf numFmtId="4" fontId="33" fillId="19" borderId="0" xfId="0" applyNumberFormat="1" applyFont="1" applyFill="1" applyAlignment="1">
      <alignment horizontal="right" wrapText="1"/>
    </xf>
    <xf numFmtId="0" fontId="34" fillId="0" borderId="0" xfId="0" applyFont="1"/>
    <xf numFmtId="0" fontId="33" fillId="3" borderId="0" xfId="0" applyFont="1" applyFill="1" applyAlignment="1">
      <alignment horizontal="right" wrapText="1"/>
    </xf>
    <xf numFmtId="0" fontId="33" fillId="3" borderId="0" xfId="0" applyFont="1" applyFill="1" applyAlignment="1">
      <alignment wrapText="1"/>
    </xf>
    <xf numFmtId="8" fontId="2" fillId="3" borderId="0" xfId="0" applyNumberFormat="1" applyFont="1" applyFill="1"/>
    <xf numFmtId="4" fontId="33" fillId="3" borderId="0" xfId="0" applyNumberFormat="1" applyFont="1" applyFill="1" applyAlignment="1">
      <alignment horizontal="right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7" fillId="0" borderId="0" xfId="0" applyFont="1" applyAlignment="1"/>
    <xf numFmtId="3" fontId="28" fillId="6" borderId="6" xfId="0" applyNumberFormat="1" applyFont="1" applyFill="1" applyBorder="1"/>
    <xf numFmtId="43" fontId="28" fillId="6" borderId="6" xfId="1" applyFont="1" applyFill="1" applyBorder="1" applyAlignment="1">
      <alignment horizontal="center" wrapText="1"/>
    </xf>
    <xf numFmtId="43" fontId="28" fillId="6" borderId="10" xfId="1" applyFont="1" applyFill="1" applyBorder="1" applyAlignment="1">
      <alignment horizontal="center" vertical="center" wrapText="1"/>
    </xf>
    <xf numFmtId="3" fontId="28" fillId="6" borderId="10" xfId="0" applyNumberFormat="1" applyFont="1" applyFill="1" applyBorder="1" applyAlignment="1">
      <alignment horizontal="center"/>
    </xf>
    <xf numFmtId="0" fontId="28" fillId="7" borderId="10" xfId="0" applyFont="1" applyFill="1" applyBorder="1" applyAlignment="1">
      <alignment horizontal="center" vertical="center" wrapText="1"/>
    </xf>
    <xf numFmtId="8" fontId="0" fillId="0" borderId="0" xfId="0" applyNumberFormat="1"/>
    <xf numFmtId="43" fontId="28" fillId="6" borderId="5" xfId="1" applyFont="1" applyFill="1" applyBorder="1" applyAlignment="1">
      <alignment horizontal="center" wrapText="1"/>
    </xf>
    <xf numFmtId="43" fontId="28" fillId="6" borderId="10" xfId="1" applyFont="1" applyFill="1" applyBorder="1" applyAlignment="1">
      <alignment horizontal="center" wrapText="1"/>
    </xf>
    <xf numFmtId="43" fontId="17" fillId="5" borderId="6" xfId="1" applyFont="1" applyFill="1" applyBorder="1"/>
    <xf numFmtId="0" fontId="28" fillId="4" borderId="0" xfId="0" applyFont="1" applyFill="1"/>
    <xf numFmtId="2" fontId="17" fillId="12" borderId="6" xfId="0" applyNumberFormat="1" applyFont="1" applyFill="1" applyBorder="1"/>
    <xf numFmtId="12" fontId="17" fillId="0" borderId="0" xfId="0" applyNumberFormat="1" applyFont="1" applyFill="1"/>
    <xf numFmtId="43" fontId="17" fillId="0" borderId="7" xfId="1" applyFont="1" applyFill="1" applyBorder="1"/>
    <xf numFmtId="0" fontId="28" fillId="3" borderId="0" xfId="0" applyFont="1" applyFill="1"/>
    <xf numFmtId="43" fontId="17" fillId="0" borderId="11" xfId="1" applyFont="1" applyBorder="1"/>
    <xf numFmtId="43" fontId="17" fillId="6" borderId="10" xfId="1" applyFont="1" applyFill="1" applyBorder="1" applyAlignment="1">
      <alignment horizontal="center" vertical="center" wrapText="1"/>
    </xf>
    <xf numFmtId="49" fontId="16" fillId="15" borderId="0" xfId="0" applyNumberFormat="1" applyFont="1" applyFill="1"/>
    <xf numFmtId="0" fontId="16" fillId="15" borderId="0" xfId="0" applyFont="1" applyFill="1"/>
    <xf numFmtId="44" fontId="16" fillId="15" borderId="0" xfId="2" applyFont="1" applyFill="1"/>
    <xf numFmtId="8" fontId="16" fillId="15" borderId="0" xfId="0" applyNumberFormat="1" applyFont="1" applyFill="1"/>
    <xf numFmtId="44" fontId="16" fillId="15" borderId="0" xfId="0" applyNumberFormat="1" applyFont="1" applyFill="1"/>
    <xf numFmtId="0" fontId="17" fillId="15" borderId="6" xfId="0" applyFont="1" applyFill="1" applyBorder="1"/>
    <xf numFmtId="43" fontId="17" fillId="15" borderId="6" xfId="1" applyFont="1" applyFill="1" applyBorder="1"/>
    <xf numFmtId="43" fontId="25" fillId="15" borderId="6" xfId="1" applyFont="1" applyFill="1" applyBorder="1"/>
    <xf numFmtId="43" fontId="28" fillId="15" borderId="6" xfId="1" applyFont="1" applyFill="1" applyBorder="1"/>
    <xf numFmtId="43" fontId="17" fillId="15" borderId="6" xfId="1" applyFont="1" applyFill="1" applyBorder="1" applyAlignment="1">
      <alignment horizontal="center"/>
    </xf>
    <xf numFmtId="0" fontId="17" fillId="15" borderId="0" xfId="0" applyFont="1" applyFill="1"/>
    <xf numFmtId="43" fontId="17" fillId="15" borderId="0" xfId="0" applyNumberFormat="1" applyFont="1" applyFill="1"/>
    <xf numFmtId="164" fontId="12" fillId="15" borderId="0" xfId="0" applyNumberFormat="1" applyFont="1" applyFill="1"/>
    <xf numFmtId="164" fontId="2" fillId="15" borderId="0" xfId="0" applyNumberFormat="1" applyFont="1" applyFill="1"/>
    <xf numFmtId="0" fontId="31" fillId="15" borderId="0" xfId="0" applyFont="1" applyFill="1"/>
    <xf numFmtId="43" fontId="17" fillId="15" borderId="0" xfId="1" applyFont="1" applyFill="1"/>
    <xf numFmtId="43" fontId="28" fillId="15" borderId="0" xfId="1" applyFont="1" applyFill="1"/>
    <xf numFmtId="0" fontId="17" fillId="15" borderId="0" xfId="0" applyFont="1" applyFill="1" applyBorder="1"/>
    <xf numFmtId="0" fontId="17" fillId="15" borderId="6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2" fontId="17" fillId="0" borderId="6" xfId="0" applyNumberFormat="1" applyFont="1" applyFill="1" applyBorder="1"/>
    <xf numFmtId="43" fontId="28" fillId="0" borderId="0" xfId="1" applyFont="1" applyFill="1"/>
    <xf numFmtId="0" fontId="2" fillId="4" borderId="0" xfId="0" applyFont="1" applyFill="1" applyAlignment="1">
      <alignment horizontal="right"/>
    </xf>
    <xf numFmtId="2" fontId="17" fillId="4" borderId="6" xfId="0" applyNumberFormat="1" applyFont="1" applyFill="1" applyBorder="1"/>
    <xf numFmtId="43" fontId="16" fillId="0" borderId="0" xfId="1" applyFont="1" applyFill="1"/>
    <xf numFmtId="0" fontId="19" fillId="2" borderId="0" xfId="0" applyFont="1" applyFill="1" applyBorder="1" applyAlignment="1">
      <alignment horizontal="center" vertical="center" wrapText="1"/>
    </xf>
    <xf numFmtId="164" fontId="19" fillId="0" borderId="0" xfId="0" applyNumberFormat="1" applyFont="1" applyFill="1"/>
    <xf numFmtId="0" fontId="28" fillId="8" borderId="9" xfId="0" applyFont="1" applyFill="1" applyBorder="1" applyAlignment="1">
      <alignment horizontal="center"/>
    </xf>
    <xf numFmtId="0" fontId="28" fillId="8" borderId="12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43" fontId="28" fillId="6" borderId="6" xfId="1" applyFont="1" applyFill="1" applyBorder="1" applyAlignment="1">
      <alignment horizontal="center" wrapText="1"/>
    </xf>
    <xf numFmtId="43" fontId="28" fillId="6" borderId="7" xfId="1" applyFont="1" applyFill="1" applyBorder="1" applyAlignment="1">
      <alignment horizontal="center" wrapText="1"/>
    </xf>
    <xf numFmtId="43" fontId="28" fillId="6" borderId="8" xfId="1" applyFont="1" applyFill="1" applyBorder="1" applyAlignment="1">
      <alignment horizont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43" fontId="28" fillId="6" borderId="5" xfId="1" applyFont="1" applyFill="1" applyBorder="1" applyAlignment="1">
      <alignment horizontal="center" vertical="center" wrapText="1"/>
    </xf>
    <xf numFmtId="43" fontId="28" fillId="6" borderId="10" xfId="1" applyFont="1" applyFill="1" applyBorder="1" applyAlignment="1">
      <alignment horizontal="center" vertical="center" wrapText="1"/>
    </xf>
    <xf numFmtId="43" fontId="17" fillId="6" borderId="5" xfId="1" applyFont="1" applyFill="1" applyBorder="1" applyAlignment="1">
      <alignment horizontal="center" vertical="center" wrapText="1"/>
    </xf>
    <xf numFmtId="43" fontId="17" fillId="6" borderId="10" xfId="1" applyFont="1" applyFill="1" applyBorder="1" applyAlignment="1">
      <alignment horizontal="center" vertical="center" wrapText="1"/>
    </xf>
    <xf numFmtId="3" fontId="28" fillId="6" borderId="6" xfId="0" applyNumberFormat="1" applyFont="1" applyFill="1" applyBorder="1"/>
    <xf numFmtId="3" fontId="28" fillId="6" borderId="5" xfId="0" applyNumberFormat="1" applyFont="1" applyFill="1" applyBorder="1" applyAlignment="1">
      <alignment horizontal="center"/>
    </xf>
    <xf numFmtId="3" fontId="28" fillId="6" borderId="10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left" vertical="center" wrapText="1"/>
    </xf>
    <xf numFmtId="0" fontId="19" fillId="17" borderId="13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6">
    <cellStyle name="Excel Built-in Normal" xfId="4"/>
    <cellStyle name="Millares" xfId="1" builtinId="3"/>
    <cellStyle name="Moneda" xfId="2" builtinId="4"/>
    <cellStyle name="Normal" xfId="0" builtinId="0"/>
    <cellStyle name="Normal 4" xfId="3"/>
    <cellStyle name="Normal_Hoja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BZ110"/>
  <sheetViews>
    <sheetView tabSelected="1" workbookViewId="0">
      <pane xSplit="2" ySplit="8" topLeftCell="Q9" activePane="bottomRight" state="frozen"/>
      <selection pane="topRight" activeCell="C1" sqref="C1"/>
      <selection pane="bottomLeft" activeCell="A13" sqref="A13"/>
      <selection pane="bottomRight" activeCell="W100" sqref="W100"/>
    </sheetView>
  </sheetViews>
  <sheetFormatPr baseColWidth="10" defaultRowHeight="15" x14ac:dyDescent="0.25"/>
  <cols>
    <col min="1" max="1" width="12.28515625" style="21" customWidth="1"/>
    <col min="2" max="2" width="30.7109375" style="19" customWidth="1"/>
    <col min="3" max="3" width="13" style="19" bestFit="1" customWidth="1"/>
    <col min="4" max="17" width="13" style="19" customWidth="1"/>
    <col min="18" max="18" width="13.5703125" style="19" bestFit="1" customWidth="1"/>
    <col min="19" max="19" width="13.5703125" style="19" customWidth="1"/>
    <col min="20" max="21" width="13" style="19" bestFit="1" customWidth="1"/>
    <col min="22" max="22" width="13" style="19" customWidth="1"/>
    <col min="23" max="24" width="13" style="19" bestFit="1" customWidth="1"/>
    <col min="25" max="25" width="13" style="19" customWidth="1"/>
    <col min="26" max="27" width="12.42578125" style="19" bestFit="1" customWidth="1"/>
    <col min="28" max="28" width="10.28515625" style="19" customWidth="1"/>
    <col min="29" max="29" width="28.7109375" style="117" customWidth="1"/>
    <col min="30" max="30" width="39.140625" style="117" customWidth="1"/>
    <col min="31" max="31" width="8.140625" style="117" bestFit="1" customWidth="1"/>
    <col min="32" max="32" width="8.85546875" style="117" customWidth="1"/>
    <col min="33" max="33" width="31.5703125" style="117" customWidth="1"/>
    <col min="34" max="34" width="20.140625" style="117" bestFit="1" customWidth="1"/>
    <col min="35" max="35" width="13" style="117" bestFit="1" customWidth="1"/>
    <col min="36" max="36" width="11.7109375" style="117" customWidth="1"/>
    <col min="37" max="37" width="17.140625" style="90" customWidth="1"/>
    <col min="38" max="38" width="11.7109375" style="117" customWidth="1"/>
    <col min="39" max="40" width="13.85546875" style="90" customWidth="1"/>
    <col min="41" max="43" width="13.5703125" style="90" customWidth="1"/>
    <col min="44" max="44" width="17" style="91" customWidth="1"/>
    <col min="45" max="46" width="13.5703125" style="90" customWidth="1"/>
    <col min="47" max="47" width="13.5703125" style="92" customWidth="1"/>
    <col min="48" max="48" width="19.28515625" style="92" customWidth="1"/>
    <col min="49" max="49" width="16.85546875" style="92" customWidth="1"/>
    <col min="50" max="50" width="16.140625" style="92" customWidth="1"/>
    <col min="51" max="54" width="13.5703125" style="90" customWidth="1"/>
    <col min="55" max="55" width="16.7109375" style="91" customWidth="1"/>
    <col min="56" max="56" width="16.7109375" style="90" customWidth="1"/>
    <col min="57" max="57" width="15.42578125" style="91" customWidth="1"/>
    <col min="58" max="59" width="13.5703125" style="90" customWidth="1"/>
    <col min="60" max="60" width="15.42578125" style="91" customWidth="1"/>
    <col min="61" max="62" width="0" style="117" hidden="1" customWidth="1"/>
    <col min="63" max="63" width="15.28515625" style="117" hidden="1" customWidth="1"/>
    <col min="64" max="65" width="0" style="117" hidden="1" customWidth="1"/>
    <col min="66" max="66" width="13.85546875" style="117" customWidth="1"/>
    <col min="67" max="67" width="34.85546875" style="117" customWidth="1"/>
    <col min="68" max="72" width="11.5703125" style="113"/>
    <col min="73" max="78" width="11.42578125" style="19" customWidth="1"/>
    <col min="79" max="16384" width="11.42578125" style="19"/>
  </cols>
  <sheetData>
    <row r="1" spans="1:78" ht="18" customHeight="1" x14ac:dyDescent="0.25">
      <c r="A1" s="17" t="s">
        <v>0</v>
      </c>
      <c r="B1" s="269" t="s">
        <v>19</v>
      </c>
      <c r="C1" s="270"/>
      <c r="D1" s="18"/>
      <c r="E1" s="18"/>
      <c r="F1" s="206"/>
      <c r="G1" s="18"/>
      <c r="H1" s="76"/>
      <c r="I1" s="76"/>
      <c r="J1" s="76"/>
      <c r="K1" s="76"/>
      <c r="L1" s="76"/>
      <c r="M1" s="34"/>
      <c r="N1" s="76"/>
      <c r="O1" s="206"/>
      <c r="P1" s="206"/>
      <c r="Q1" s="206"/>
      <c r="AC1" s="79" t="s">
        <v>342</v>
      </c>
      <c r="AD1" s="79"/>
      <c r="AE1" s="79"/>
      <c r="AF1" s="79"/>
      <c r="AG1" s="80"/>
      <c r="AH1" s="80"/>
      <c r="AI1" s="80"/>
      <c r="AJ1" s="80"/>
      <c r="AK1" s="81"/>
      <c r="AL1" s="80"/>
      <c r="AM1" s="81"/>
      <c r="AN1" s="81"/>
      <c r="AO1" s="81"/>
      <c r="AP1" s="81"/>
      <c r="AQ1" s="81"/>
      <c r="AR1" s="82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2"/>
      <c r="BD1" s="81"/>
      <c r="BE1" s="82"/>
      <c r="BF1" s="81"/>
      <c r="BG1" s="81"/>
      <c r="BH1" s="82"/>
      <c r="BI1" s="83"/>
      <c r="BJ1" s="84"/>
      <c r="BK1" s="84"/>
      <c r="BL1" s="84"/>
      <c r="BM1" s="84"/>
      <c r="BN1" s="84"/>
      <c r="BO1" s="84"/>
      <c r="BP1" s="83"/>
      <c r="BQ1" s="83"/>
      <c r="BR1" s="83"/>
      <c r="BS1" s="83"/>
      <c r="BT1" s="83"/>
      <c r="BU1" s="70"/>
      <c r="BV1" s="70"/>
      <c r="BW1" s="70"/>
      <c r="BX1" s="70"/>
    </row>
    <row r="2" spans="1:78" ht="24.95" customHeight="1" x14ac:dyDescent="0.25">
      <c r="A2" s="20" t="s">
        <v>1</v>
      </c>
      <c r="B2" s="271" t="s">
        <v>332</v>
      </c>
      <c r="C2" s="272"/>
      <c r="D2" s="272"/>
      <c r="E2" s="272"/>
      <c r="F2" s="272"/>
      <c r="G2" s="272"/>
      <c r="H2" s="77"/>
      <c r="I2" s="77"/>
      <c r="J2" s="77"/>
      <c r="K2" s="185"/>
      <c r="L2" s="77"/>
      <c r="M2" s="49"/>
      <c r="N2" s="77"/>
      <c r="O2" s="204"/>
      <c r="P2" s="204"/>
      <c r="Q2" s="204"/>
      <c r="AC2" s="85" t="s">
        <v>343</v>
      </c>
      <c r="AD2" s="85"/>
      <c r="AE2" s="85"/>
      <c r="AF2" s="85"/>
      <c r="AG2" s="86"/>
      <c r="AH2" s="86"/>
      <c r="AI2" s="86"/>
      <c r="AJ2" s="86"/>
      <c r="AK2" s="81"/>
      <c r="AL2" s="86"/>
      <c r="AM2" s="81"/>
      <c r="AN2" s="81"/>
      <c r="AO2" s="81"/>
      <c r="AP2" s="81"/>
      <c r="AQ2" s="81"/>
      <c r="AR2" s="82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2"/>
      <c r="BD2" s="81"/>
      <c r="BE2" s="82"/>
      <c r="BF2" s="81"/>
      <c r="BG2" s="81"/>
      <c r="BH2" s="82"/>
      <c r="BI2" s="83"/>
      <c r="BJ2" s="84"/>
      <c r="BK2" s="84"/>
      <c r="BL2" s="84"/>
      <c r="BM2" s="84"/>
      <c r="BN2" s="84"/>
      <c r="BO2" s="84"/>
      <c r="BP2" s="83"/>
      <c r="BQ2" s="83"/>
      <c r="BR2" s="83"/>
      <c r="BS2" s="83"/>
      <c r="BT2" s="83"/>
      <c r="BU2" s="70"/>
      <c r="BV2" s="70"/>
      <c r="BW2" s="70"/>
      <c r="BX2" s="70"/>
    </row>
    <row r="3" spans="1:78" ht="15.75" x14ac:dyDescent="0.25">
      <c r="B3" s="273" t="s">
        <v>3</v>
      </c>
      <c r="C3" s="274"/>
      <c r="D3" s="274"/>
      <c r="E3" s="274"/>
      <c r="F3" s="274"/>
      <c r="G3" s="274"/>
      <c r="H3" s="78"/>
      <c r="I3" s="78"/>
      <c r="J3" s="179"/>
      <c r="K3" s="179"/>
      <c r="L3" s="78"/>
      <c r="M3" s="35"/>
      <c r="N3" s="78"/>
      <c r="O3" s="205"/>
      <c r="P3" s="205"/>
      <c r="Q3" s="205"/>
      <c r="AC3" s="87" t="s">
        <v>612</v>
      </c>
      <c r="AD3" s="87"/>
      <c r="AE3" s="87"/>
      <c r="AF3" s="87"/>
      <c r="AG3" s="88"/>
      <c r="AH3" s="88"/>
      <c r="AI3" s="88"/>
      <c r="AJ3" s="88"/>
      <c r="AK3" s="81"/>
      <c r="AL3" s="88"/>
      <c r="AM3" s="81"/>
      <c r="AN3" s="81"/>
      <c r="AO3" s="81"/>
      <c r="AP3" s="81"/>
      <c r="AQ3" s="81"/>
      <c r="AR3" s="82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2"/>
      <c r="BD3" s="81"/>
      <c r="BE3" s="82"/>
      <c r="BF3" s="81"/>
      <c r="BG3" s="81"/>
      <c r="BH3" s="82"/>
      <c r="BI3" s="83"/>
      <c r="BJ3" s="84"/>
      <c r="BK3" s="84"/>
      <c r="BL3" s="84"/>
      <c r="BM3" s="84"/>
      <c r="BN3" s="84"/>
      <c r="BO3" s="84"/>
      <c r="BP3" s="83"/>
      <c r="BQ3" s="83"/>
      <c r="BR3" s="83"/>
      <c r="BS3" s="83"/>
      <c r="BT3" s="83"/>
      <c r="BU3" s="70"/>
      <c r="BV3" s="70"/>
      <c r="BW3" s="70"/>
      <c r="BX3" s="70"/>
    </row>
    <row r="4" spans="1:78" x14ac:dyDescent="0.25">
      <c r="B4" s="275" t="s">
        <v>499</v>
      </c>
      <c r="C4" s="274"/>
      <c r="D4" s="274"/>
      <c r="E4" s="274"/>
      <c r="F4" s="274"/>
      <c r="G4" s="274"/>
      <c r="H4" s="78"/>
      <c r="I4" s="78"/>
      <c r="J4" s="78"/>
      <c r="K4" s="179"/>
      <c r="L4" s="78"/>
      <c r="M4" s="35"/>
      <c r="N4" s="78"/>
      <c r="O4" s="205"/>
      <c r="P4" s="205"/>
      <c r="Q4" s="205"/>
      <c r="R4" s="66"/>
      <c r="S4" s="66"/>
      <c r="AC4" s="89" t="s">
        <v>613</v>
      </c>
      <c r="AD4" s="89"/>
      <c r="AE4" s="89"/>
      <c r="AF4" s="89"/>
      <c r="AG4" s="89"/>
      <c r="AH4" s="89"/>
      <c r="AI4" s="89"/>
      <c r="AJ4" s="89"/>
      <c r="AL4" s="89"/>
      <c r="BI4" s="89"/>
      <c r="BJ4" s="89"/>
      <c r="BK4" s="89"/>
      <c r="BL4" s="89"/>
      <c r="BM4" s="89"/>
      <c r="BN4" s="89"/>
      <c r="BO4" s="89"/>
      <c r="BP4" s="94"/>
      <c r="BQ4" s="94"/>
      <c r="BR4" s="94"/>
      <c r="BS4" s="94"/>
      <c r="BT4" s="94"/>
      <c r="BU4" s="70"/>
      <c r="BV4" s="70"/>
      <c r="BW4" s="70"/>
      <c r="BX4" s="70"/>
    </row>
    <row r="5" spans="1:78" x14ac:dyDescent="0.25">
      <c r="B5" s="47" t="s">
        <v>333</v>
      </c>
      <c r="C5" s="45"/>
      <c r="D5" s="45"/>
      <c r="E5" s="45"/>
      <c r="F5" s="45"/>
      <c r="G5" s="45"/>
      <c r="H5" s="45"/>
      <c r="I5" s="73"/>
      <c r="J5" s="45"/>
      <c r="K5" s="45"/>
      <c r="L5" s="45"/>
      <c r="M5" s="73"/>
      <c r="N5" s="73"/>
      <c r="O5" s="73"/>
      <c r="P5" s="73"/>
      <c r="Q5" s="73"/>
      <c r="R5" s="66"/>
      <c r="S5" s="66"/>
      <c r="T5" s="66"/>
      <c r="AC5" s="265" t="s">
        <v>346</v>
      </c>
      <c r="AD5" s="264" t="s">
        <v>347</v>
      </c>
      <c r="AE5" s="265"/>
      <c r="AF5" s="264" t="s">
        <v>348</v>
      </c>
      <c r="AG5" s="264" t="s">
        <v>349</v>
      </c>
      <c r="AH5" s="265" t="s">
        <v>350</v>
      </c>
      <c r="AI5" s="255" t="s">
        <v>351</v>
      </c>
      <c r="AJ5" s="255" t="s">
        <v>352</v>
      </c>
      <c r="AK5" s="262" t="s">
        <v>353</v>
      </c>
      <c r="AL5" s="260" t="s">
        <v>354</v>
      </c>
      <c r="AM5" s="255" t="s">
        <v>355</v>
      </c>
      <c r="AN5" s="260" t="s">
        <v>356</v>
      </c>
      <c r="AO5" s="255" t="s">
        <v>357</v>
      </c>
      <c r="AP5" s="255" t="s">
        <v>358</v>
      </c>
      <c r="AQ5" s="255" t="s">
        <v>359</v>
      </c>
      <c r="AR5" s="255" t="s">
        <v>360</v>
      </c>
      <c r="AS5" s="255" t="s">
        <v>361</v>
      </c>
      <c r="AT5" s="213"/>
      <c r="AU5" s="258" t="s">
        <v>362</v>
      </c>
      <c r="AV5" s="258" t="s">
        <v>363</v>
      </c>
      <c r="AW5" s="258" t="s">
        <v>364</v>
      </c>
      <c r="AX5" s="258" t="s">
        <v>365</v>
      </c>
      <c r="AY5" s="255" t="s">
        <v>366</v>
      </c>
      <c r="AZ5" s="255" t="s">
        <v>367</v>
      </c>
      <c r="BA5" s="255" t="s">
        <v>368</v>
      </c>
      <c r="BB5" s="255" t="s">
        <v>369</v>
      </c>
      <c r="BC5" s="255" t="s">
        <v>370</v>
      </c>
      <c r="BD5" s="255" t="s">
        <v>371</v>
      </c>
      <c r="BE5" s="255" t="s">
        <v>372</v>
      </c>
      <c r="BF5" s="255" t="s">
        <v>373</v>
      </c>
      <c r="BG5" s="255" t="s">
        <v>374</v>
      </c>
      <c r="BH5" s="255" t="s">
        <v>375</v>
      </c>
      <c r="BI5" s="255" t="s">
        <v>376</v>
      </c>
      <c r="BJ5" s="255" t="s">
        <v>377</v>
      </c>
      <c r="BK5" s="256" t="s">
        <v>378</v>
      </c>
      <c r="BL5" s="257"/>
      <c r="BM5" s="252" t="s">
        <v>379</v>
      </c>
      <c r="BN5" s="252" t="s">
        <v>614</v>
      </c>
      <c r="BO5" s="252" t="s">
        <v>615</v>
      </c>
      <c r="BP5" s="94"/>
      <c r="BQ5" s="94"/>
      <c r="BR5" s="94"/>
      <c r="BS5" s="94"/>
      <c r="BT5" s="94"/>
      <c r="BU5" s="70"/>
      <c r="BV5" s="70"/>
      <c r="BW5" s="70"/>
      <c r="BX5" s="70"/>
    </row>
    <row r="6" spans="1:78" x14ac:dyDescent="0.25">
      <c r="B6" s="47" t="s">
        <v>5</v>
      </c>
      <c r="C6" s="45"/>
      <c r="D6" s="45"/>
      <c r="E6" s="45"/>
      <c r="F6" s="45"/>
      <c r="G6" s="73"/>
      <c r="H6" s="45"/>
      <c r="I6" s="73"/>
      <c r="J6" s="45"/>
      <c r="K6" s="73"/>
      <c r="L6" s="45"/>
      <c r="M6" s="73"/>
      <c r="N6" s="45"/>
      <c r="O6" s="45"/>
      <c r="P6" s="45"/>
      <c r="Q6" s="45"/>
      <c r="AC6" s="266"/>
      <c r="AD6" s="264"/>
      <c r="AE6" s="266"/>
      <c r="AF6" s="264"/>
      <c r="AG6" s="264"/>
      <c r="AH6" s="266"/>
      <c r="AI6" s="255"/>
      <c r="AJ6" s="255"/>
      <c r="AK6" s="263"/>
      <c r="AL6" s="261"/>
      <c r="AM6" s="255"/>
      <c r="AN6" s="261"/>
      <c r="AO6" s="255"/>
      <c r="AP6" s="255"/>
      <c r="AQ6" s="255"/>
      <c r="AR6" s="255"/>
      <c r="AS6" s="255"/>
      <c r="AT6" s="214" t="s">
        <v>616</v>
      </c>
      <c r="AU6" s="259"/>
      <c r="AV6" s="259"/>
      <c r="AW6" s="259"/>
      <c r="AX6" s="259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95" t="s">
        <v>353</v>
      </c>
      <c r="BL6" s="95" t="s">
        <v>354</v>
      </c>
      <c r="BM6" s="252"/>
      <c r="BN6" s="252"/>
      <c r="BO6" s="252"/>
      <c r="BP6" s="96"/>
      <c r="BQ6" s="96"/>
      <c r="BR6" s="96"/>
      <c r="BS6" s="96"/>
      <c r="BT6" s="96"/>
      <c r="BU6" s="70"/>
      <c r="BV6" s="70"/>
      <c r="BW6" s="70"/>
      <c r="BX6" s="70"/>
    </row>
    <row r="7" spans="1:78" x14ac:dyDescent="0.25">
      <c r="B7" s="46"/>
      <c r="C7" s="46"/>
      <c r="D7" s="46"/>
      <c r="E7" s="46"/>
      <c r="F7" s="187"/>
      <c r="G7" s="46"/>
      <c r="H7" s="70"/>
      <c r="I7" s="70"/>
      <c r="J7" s="45"/>
      <c r="K7" s="45"/>
      <c r="L7" s="70"/>
      <c r="M7" s="46"/>
      <c r="N7" s="70"/>
      <c r="O7" s="187"/>
      <c r="P7" s="187"/>
      <c r="Q7" s="187"/>
      <c r="R7" s="66"/>
      <c r="S7" s="254" t="s">
        <v>338</v>
      </c>
      <c r="T7" s="254"/>
      <c r="U7" s="254"/>
      <c r="V7" s="254"/>
      <c r="W7" s="254"/>
      <c r="X7" s="254"/>
      <c r="Y7" s="254"/>
      <c r="AC7" s="210"/>
      <c r="AD7" s="207"/>
      <c r="AE7" s="210"/>
      <c r="AF7" s="207"/>
      <c r="AG7" s="207"/>
      <c r="AH7" s="210"/>
      <c r="AI7" s="208"/>
      <c r="AJ7" s="208"/>
      <c r="AK7" s="222"/>
      <c r="AL7" s="209"/>
      <c r="AM7" s="208"/>
      <c r="AN7" s="209"/>
      <c r="AO7" s="208"/>
      <c r="AP7" s="208"/>
      <c r="AQ7" s="208"/>
      <c r="AR7" s="208"/>
      <c r="AS7" s="208"/>
      <c r="AT7" s="214"/>
      <c r="AU7" s="211"/>
      <c r="AV7" s="211"/>
      <c r="AW7" s="211"/>
      <c r="AX7" s="211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161"/>
      <c r="BJ7" s="161"/>
      <c r="BK7" s="162"/>
      <c r="BL7" s="162"/>
      <c r="BM7" s="156"/>
      <c r="BN7" s="156"/>
      <c r="BO7" s="156"/>
      <c r="BP7" s="96"/>
      <c r="BQ7" s="96"/>
      <c r="BR7" s="96"/>
      <c r="BS7" s="96"/>
      <c r="BT7" s="96"/>
      <c r="BU7" s="187"/>
      <c r="BV7" s="187"/>
      <c r="BW7" s="187"/>
      <c r="BX7" s="187"/>
      <c r="BY7" s="33"/>
      <c r="BZ7" s="33"/>
    </row>
    <row r="8" spans="1:78" s="33" customFormat="1" ht="24" customHeight="1" thickBot="1" x14ac:dyDescent="0.3">
      <c r="A8" s="32" t="s">
        <v>6</v>
      </c>
      <c r="B8" s="22" t="s">
        <v>7</v>
      </c>
      <c r="C8" s="22" t="s">
        <v>22</v>
      </c>
      <c r="D8" s="22" t="s">
        <v>27</v>
      </c>
      <c r="E8" s="22" t="s">
        <v>23</v>
      </c>
      <c r="F8" s="22" t="s">
        <v>645</v>
      </c>
      <c r="G8" s="22" t="s">
        <v>30</v>
      </c>
      <c r="H8" s="22" t="s">
        <v>368</v>
      </c>
      <c r="I8" s="22" t="s">
        <v>362</v>
      </c>
      <c r="J8" s="22" t="s">
        <v>363</v>
      </c>
      <c r="K8" s="22" t="s">
        <v>364</v>
      </c>
      <c r="L8" s="22" t="s">
        <v>365</v>
      </c>
      <c r="M8" s="22" t="s">
        <v>337</v>
      </c>
      <c r="N8" s="22" t="s">
        <v>526</v>
      </c>
      <c r="O8" s="22" t="s">
        <v>616</v>
      </c>
      <c r="P8" s="22" t="s">
        <v>644</v>
      </c>
      <c r="Q8" s="22" t="s">
        <v>647</v>
      </c>
      <c r="R8" s="22" t="s">
        <v>525</v>
      </c>
      <c r="S8" s="67" t="s">
        <v>648</v>
      </c>
      <c r="T8" s="67" t="s">
        <v>24</v>
      </c>
      <c r="U8" s="67" t="s">
        <v>25</v>
      </c>
      <c r="V8" s="67" t="s">
        <v>363</v>
      </c>
      <c r="W8" s="67" t="s">
        <v>26</v>
      </c>
      <c r="X8" s="67" t="s">
        <v>21</v>
      </c>
      <c r="Y8" s="67" t="s">
        <v>20</v>
      </c>
      <c r="AC8" s="210"/>
      <c r="AD8" s="207"/>
      <c r="AE8" s="210"/>
      <c r="AF8" s="207"/>
      <c r="AG8" s="207"/>
      <c r="AH8" s="210"/>
      <c r="AI8" s="208"/>
      <c r="AJ8" s="208"/>
      <c r="AK8" s="222"/>
      <c r="AL8" s="209"/>
      <c r="AM8" s="208"/>
      <c r="AN8" s="209"/>
      <c r="AO8" s="208"/>
      <c r="AP8" s="208"/>
      <c r="AQ8" s="208"/>
      <c r="AR8" s="208"/>
      <c r="AS8" s="208"/>
      <c r="AT8" s="214"/>
      <c r="AU8" s="211"/>
      <c r="AV8" s="211"/>
      <c r="AW8" s="211"/>
      <c r="AX8" s="211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161"/>
      <c r="BJ8" s="161"/>
      <c r="BK8" s="162"/>
      <c r="BL8" s="162"/>
      <c r="BM8" s="156"/>
      <c r="BN8" s="156"/>
      <c r="BO8" s="156"/>
      <c r="BP8" s="96"/>
      <c r="BQ8" s="96"/>
      <c r="BR8" s="96"/>
      <c r="BS8" s="96"/>
      <c r="BT8" s="96"/>
      <c r="BU8" s="187"/>
      <c r="BV8" s="187"/>
      <c r="BW8" s="187"/>
      <c r="BX8" s="187"/>
      <c r="BY8" s="24"/>
      <c r="BZ8" s="24"/>
    </row>
    <row r="9" spans="1:78" s="24" customFormat="1" ht="36" hidden="1" thickTop="1" thickBot="1" x14ac:dyDescent="0.3">
      <c r="A9" s="23" t="s">
        <v>35</v>
      </c>
      <c r="B9" s="24" t="s">
        <v>36</v>
      </c>
      <c r="C9" s="25">
        <f>+AM9</f>
        <v>1166.26</v>
      </c>
      <c r="D9" s="25">
        <f>+AJ12</f>
        <v>0</v>
      </c>
      <c r="E9" s="25">
        <f t="shared" ref="E9:E40" si="0">+AN9</f>
        <v>3954.17</v>
      </c>
      <c r="F9" s="25">
        <f t="shared" ref="F9:F31" si="1">+AP9</f>
        <v>0</v>
      </c>
      <c r="G9" s="25">
        <f>+AQ9</f>
        <v>0</v>
      </c>
      <c r="H9" s="25">
        <f>+BA9</f>
        <v>0</v>
      </c>
      <c r="I9" s="25">
        <f>+AU9</f>
        <v>0</v>
      </c>
      <c r="J9" s="25">
        <f t="shared" ref="J9:L9" si="2">+AV9</f>
        <v>0</v>
      </c>
      <c r="K9" s="25">
        <f t="shared" si="2"/>
        <v>0</v>
      </c>
      <c r="L9" s="25">
        <f t="shared" si="2"/>
        <v>0</v>
      </c>
      <c r="M9" s="25">
        <f>+BB9</f>
        <v>0</v>
      </c>
      <c r="N9" s="25">
        <f>+BD9</f>
        <v>512.04300000000001</v>
      </c>
      <c r="O9" s="25">
        <f>+AT9</f>
        <v>0</v>
      </c>
      <c r="P9" s="25"/>
      <c r="Q9" s="25">
        <f>+'C&amp;A'!I10</f>
        <v>0</v>
      </c>
      <c r="R9" s="25">
        <f>+C9+D9+E9-G9-H9-I9-J9-K9-L9-M9-N9-O9-P9+F9-Q9</f>
        <v>4608.3870000000006</v>
      </c>
      <c r="S9" s="25">
        <f>+C9+D9+E9+F9-G9-H9-O9-P9</f>
        <v>5120.43</v>
      </c>
      <c r="T9" s="25">
        <f>+BF9</f>
        <v>0</v>
      </c>
      <c r="U9" s="25">
        <f>+'C&amp;A'!E10*0.02</f>
        <v>10.2256</v>
      </c>
      <c r="V9" s="25">
        <f>+J9</f>
        <v>0</v>
      </c>
      <c r="W9" s="25">
        <f>SUM(S9:V9)</f>
        <v>5130.6556</v>
      </c>
      <c r="X9" s="25">
        <f>+W9*0.16</f>
        <v>820.90489600000001</v>
      </c>
      <c r="Y9" s="25">
        <f>+W9+X9</f>
        <v>5951.5604960000001</v>
      </c>
      <c r="Z9" s="65">
        <f>+R9-'C&amp;A'!K10-SINDICATO!P10</f>
        <v>0</v>
      </c>
      <c r="AA9" s="68">
        <f>+'C&amp;A'!K10+'C&amp;A'!I10+'C&amp;A'!G10+SINDICATO!E10-SINDICATO!F10-SINDICATO!M10-SINDICATO!N10</f>
        <v>5120.43</v>
      </c>
      <c r="AB9" s="68">
        <f>+AA9-W9</f>
        <v>-10.225599999999758</v>
      </c>
      <c r="AC9" s="133" t="s">
        <v>380</v>
      </c>
      <c r="AD9" s="133" t="s">
        <v>381</v>
      </c>
      <c r="AE9" s="133"/>
      <c r="AF9" s="133" t="s">
        <v>35</v>
      </c>
      <c r="AG9" s="133" t="s">
        <v>180</v>
      </c>
      <c r="AH9" s="133"/>
      <c r="AI9" s="133"/>
      <c r="AJ9" s="133"/>
      <c r="AK9" s="157">
        <v>1166.26</v>
      </c>
      <c r="AL9" s="172"/>
      <c r="AM9" s="157">
        <f t="shared" ref="AM9:AM74" si="3">+AK9+AL9</f>
        <v>1166.26</v>
      </c>
      <c r="AN9" s="157">
        <v>3954.17</v>
      </c>
      <c r="AO9" s="157"/>
      <c r="AP9" s="157"/>
      <c r="AQ9" s="173"/>
      <c r="AR9" s="151">
        <f t="shared" ref="AR9:AR41" si="4">SUM(AM9:AP9)-AQ9</f>
        <v>5120.43</v>
      </c>
      <c r="AS9" s="157"/>
      <c r="AT9" s="157"/>
      <c r="AU9" s="157">
        <v>0</v>
      </c>
      <c r="AV9" s="157"/>
      <c r="AW9" s="157"/>
      <c r="AX9" s="157"/>
      <c r="AY9" s="110"/>
      <c r="AZ9" s="110"/>
      <c r="BA9" s="133"/>
      <c r="BB9" s="133">
        <v>0</v>
      </c>
      <c r="BC9" s="151">
        <f t="shared" ref="BC9:BC15" si="5">+AR9-SUM(AS9:BB9)</f>
        <v>5120.43</v>
      </c>
      <c r="BD9" s="110">
        <f>IF(AR9&gt;4500,AR9*0.1,0)</f>
        <v>512.04300000000001</v>
      </c>
      <c r="BE9" s="151">
        <f t="shared" ref="BE9:BE74" si="6">+BC9-BD9</f>
        <v>4608.3870000000006</v>
      </c>
      <c r="BF9" s="110">
        <f t="shared" ref="BF9:BF74" si="7">IF(AR9&lt;4500,AR9*0.1,0)</f>
        <v>0</v>
      </c>
      <c r="BG9" s="110">
        <v>10.23</v>
      </c>
      <c r="BH9" s="151">
        <f t="shared" ref="BH9:BH74" si="8">+AR9+BF9+BG9</f>
        <v>5130.66</v>
      </c>
      <c r="BI9" s="113"/>
      <c r="BJ9" s="114"/>
      <c r="BK9" s="113"/>
      <c r="BL9" s="113"/>
      <c r="BM9" s="114"/>
      <c r="BN9" s="113"/>
      <c r="BO9" s="113"/>
      <c r="BP9" s="113"/>
      <c r="BQ9" s="113"/>
      <c r="BR9" s="113"/>
      <c r="BS9" s="113"/>
      <c r="BT9" s="113"/>
      <c r="BU9" s="242" t="s">
        <v>11</v>
      </c>
      <c r="BV9" s="242" t="s">
        <v>336</v>
      </c>
      <c r="BW9" s="243" t="s">
        <v>12</v>
      </c>
      <c r="BX9" s="244" t="s">
        <v>13</v>
      </c>
    </row>
    <row r="10" spans="1:78" s="24" customFormat="1" ht="15.75" hidden="1" thickTop="1" x14ac:dyDescent="0.25">
      <c r="A10" s="23" t="s">
        <v>37</v>
      </c>
      <c r="B10" s="24" t="s">
        <v>38</v>
      </c>
      <c r="C10" s="25">
        <f t="shared" ref="C10:C73" si="9">+AM10</f>
        <v>1633.33</v>
      </c>
      <c r="D10" s="25">
        <f t="shared" ref="D10:D12" si="10">+AJ13</f>
        <v>0</v>
      </c>
      <c r="E10" s="25">
        <f t="shared" si="0"/>
        <v>60706.45</v>
      </c>
      <c r="F10" s="25">
        <f t="shared" si="1"/>
        <v>0</v>
      </c>
      <c r="G10" s="25">
        <f t="shared" ref="G10:G73" si="11">+AQ10</f>
        <v>0</v>
      </c>
      <c r="H10" s="25">
        <f t="shared" ref="H10:H73" si="12">+BA10</f>
        <v>0</v>
      </c>
      <c r="I10" s="25">
        <f t="shared" ref="I10:I73" si="13">+AU10</f>
        <v>0</v>
      </c>
      <c r="J10" s="25">
        <f t="shared" ref="J10:J73" si="14">+AV10</f>
        <v>0</v>
      </c>
      <c r="K10" s="25">
        <f t="shared" ref="K10:K73" si="15">+AW10</f>
        <v>0</v>
      </c>
      <c r="L10" s="25">
        <f t="shared" ref="L10:L73" si="16">+AX10</f>
        <v>0</v>
      </c>
      <c r="M10" s="25">
        <f t="shared" ref="M10:M73" si="17">+BB10</f>
        <v>0</v>
      </c>
      <c r="N10" s="25">
        <f t="shared" ref="N10:N73" si="18">+BD10</f>
        <v>6233.9780000000001</v>
      </c>
      <c r="O10" s="25">
        <f t="shared" ref="O10:O73" si="19">+AT10</f>
        <v>0</v>
      </c>
      <c r="P10" s="25"/>
      <c r="Q10" s="25">
        <f>+'C&amp;A'!I11</f>
        <v>0</v>
      </c>
      <c r="R10" s="25">
        <f t="shared" ref="R10:R73" si="20">+C10+D10+E10-G10-H10-I10-J10-K10-L10-M10-N10-O10-P10+F10-Q10</f>
        <v>56105.801999999996</v>
      </c>
      <c r="S10" s="25">
        <f t="shared" ref="S10:S73" si="21">+C10+D10+E10+F10-G10-H10-O10-P10</f>
        <v>62339.78</v>
      </c>
      <c r="T10" s="25">
        <f t="shared" ref="T10:T73" si="22">+BF10</f>
        <v>0</v>
      </c>
      <c r="U10" s="25">
        <f>+'C&amp;A'!E11*0.02</f>
        <v>10.2256</v>
      </c>
      <c r="V10" s="25">
        <f t="shared" ref="V10:V73" si="23">+J10</f>
        <v>0</v>
      </c>
      <c r="W10" s="25">
        <f t="shared" ref="W10:W73" si="24">SUM(S10:V10)</f>
        <v>62350.005599999997</v>
      </c>
      <c r="X10" s="25">
        <f t="shared" ref="X10:X73" si="25">+W10*0.16</f>
        <v>9976.0008959999996</v>
      </c>
      <c r="Y10" s="25">
        <f t="shared" ref="Y10:Y73" si="26">+W10+X10</f>
        <v>72326.006496000002</v>
      </c>
      <c r="Z10" s="65">
        <f>+R10-'C&amp;A'!K11-SINDICATO!P11</f>
        <v>0</v>
      </c>
      <c r="AA10" s="68">
        <f>+'C&amp;A'!K11+'C&amp;A'!I11+'C&amp;A'!G11+SINDICATO!E11-SINDICATO!F11-SINDICATO!M11-SINDICATO!N11</f>
        <v>62339.78</v>
      </c>
      <c r="AB10" s="68">
        <f t="shared" ref="AB10:AB73" si="27">+AA10-W10</f>
        <v>-10.225599999997939</v>
      </c>
      <c r="AC10" s="133" t="s">
        <v>382</v>
      </c>
      <c r="AD10" s="133" t="s">
        <v>383</v>
      </c>
      <c r="AE10" s="133" t="s">
        <v>384</v>
      </c>
      <c r="AF10" s="133" t="s">
        <v>37</v>
      </c>
      <c r="AG10" s="133" t="s">
        <v>385</v>
      </c>
      <c r="AH10" s="133"/>
      <c r="AI10" s="133"/>
      <c r="AJ10" s="133"/>
      <c r="AK10" s="157">
        <v>1633.33</v>
      </c>
      <c r="AL10" s="133"/>
      <c r="AM10" s="157">
        <f t="shared" si="3"/>
        <v>1633.33</v>
      </c>
      <c r="AN10" s="157">
        <v>60706.45</v>
      </c>
      <c r="AO10" s="157"/>
      <c r="AP10" s="157"/>
      <c r="AQ10" s="173"/>
      <c r="AR10" s="151">
        <f t="shared" si="4"/>
        <v>62339.78</v>
      </c>
      <c r="AS10" s="157"/>
      <c r="AT10" s="157"/>
      <c r="AU10" s="157">
        <v>0</v>
      </c>
      <c r="AV10" s="157"/>
      <c r="AW10" s="157"/>
      <c r="AX10" s="157"/>
      <c r="AY10" s="110"/>
      <c r="AZ10" s="110"/>
      <c r="BA10" s="133"/>
      <c r="BB10" s="133">
        <v>0</v>
      </c>
      <c r="BC10" s="151">
        <f t="shared" si="5"/>
        <v>62339.78</v>
      </c>
      <c r="BD10" s="110">
        <f>IF(AR10&gt;4500,AR10*0.1,0)</f>
        <v>6233.9780000000001</v>
      </c>
      <c r="BE10" s="151">
        <f t="shared" si="6"/>
        <v>56105.801999999996</v>
      </c>
      <c r="BF10" s="110">
        <f t="shared" si="7"/>
        <v>0</v>
      </c>
      <c r="BG10" s="110">
        <v>10.23</v>
      </c>
      <c r="BH10" s="151">
        <f t="shared" si="8"/>
        <v>62350.01</v>
      </c>
      <c r="BI10" s="113"/>
      <c r="BJ10" s="114"/>
      <c r="BK10" s="113"/>
      <c r="BL10" s="113"/>
      <c r="BM10" s="114"/>
      <c r="BN10" s="113"/>
      <c r="BO10" s="113"/>
      <c r="BP10" s="113"/>
      <c r="BQ10" s="113"/>
      <c r="BR10" s="113"/>
      <c r="BS10" s="113"/>
      <c r="BT10" s="113"/>
      <c r="BU10" s="56"/>
      <c r="BV10" s="56"/>
      <c r="BW10" s="56"/>
      <c r="BX10" s="56"/>
    </row>
    <row r="11" spans="1:78" s="24" customFormat="1" ht="15.75" hidden="1" thickTop="1" x14ac:dyDescent="0.25">
      <c r="A11" s="23" t="s">
        <v>39</v>
      </c>
      <c r="B11" s="24" t="s">
        <v>40</v>
      </c>
      <c r="C11" s="25">
        <f t="shared" si="9"/>
        <v>608.16</v>
      </c>
      <c r="D11" s="25">
        <f t="shared" si="10"/>
        <v>0</v>
      </c>
      <c r="E11" s="25">
        <f t="shared" si="0"/>
        <v>4993.21</v>
      </c>
      <c r="F11" s="25">
        <f t="shared" si="1"/>
        <v>0</v>
      </c>
      <c r="G11" s="25">
        <f t="shared" si="11"/>
        <v>0</v>
      </c>
      <c r="H11" s="25">
        <f t="shared" si="12"/>
        <v>0</v>
      </c>
      <c r="I11" s="25">
        <f t="shared" si="13"/>
        <v>0</v>
      </c>
      <c r="J11" s="25">
        <f t="shared" si="14"/>
        <v>274.46713</v>
      </c>
      <c r="K11" s="25">
        <f t="shared" si="15"/>
        <v>56.0137</v>
      </c>
      <c r="L11" s="25">
        <f t="shared" si="16"/>
        <v>0</v>
      </c>
      <c r="M11" s="25">
        <f t="shared" si="17"/>
        <v>0</v>
      </c>
      <c r="N11" s="25">
        <f t="shared" si="18"/>
        <v>560.13700000000006</v>
      </c>
      <c r="O11" s="25">
        <f t="shared" si="19"/>
        <v>0</v>
      </c>
      <c r="P11" s="25"/>
      <c r="Q11" s="25">
        <f>+'C&amp;A'!I12</f>
        <v>0</v>
      </c>
      <c r="R11" s="25">
        <f t="shared" si="20"/>
        <v>4710.7521699999998</v>
      </c>
      <c r="S11" s="25">
        <f t="shared" si="21"/>
        <v>5601.37</v>
      </c>
      <c r="T11" s="25">
        <f t="shared" si="22"/>
        <v>0</v>
      </c>
      <c r="U11" s="25">
        <f>+'C&amp;A'!E12*0.02</f>
        <v>10.2256</v>
      </c>
      <c r="V11" s="25">
        <f t="shared" si="23"/>
        <v>274.46713</v>
      </c>
      <c r="W11" s="25">
        <f t="shared" si="24"/>
        <v>5886.0627299999996</v>
      </c>
      <c r="X11" s="25">
        <f t="shared" si="25"/>
        <v>941.77003679999996</v>
      </c>
      <c r="Y11" s="25">
        <f t="shared" si="26"/>
        <v>6827.8327667999993</v>
      </c>
      <c r="Z11" s="65">
        <f>+R11-'C&amp;A'!K12-SINDICATO!P12</f>
        <v>0</v>
      </c>
      <c r="AA11" s="68">
        <f>+'C&amp;A'!K12+'C&amp;A'!I12+'C&amp;A'!G12+SINDICATO!E12-SINDICATO!F12-SINDICATO!M12-SINDICATO!N12</f>
        <v>5601.37</v>
      </c>
      <c r="AB11" s="68">
        <f t="shared" si="27"/>
        <v>-284.69272999999976</v>
      </c>
      <c r="AC11" s="133" t="s">
        <v>386</v>
      </c>
      <c r="AD11" s="133" t="s">
        <v>387</v>
      </c>
      <c r="AE11" s="133"/>
      <c r="AF11" s="133" t="s">
        <v>39</v>
      </c>
      <c r="AG11" s="133" t="s">
        <v>192</v>
      </c>
      <c r="AH11" s="133"/>
      <c r="AI11" s="133"/>
      <c r="AJ11" s="133"/>
      <c r="AK11" s="157">
        <v>608.16</v>
      </c>
      <c r="AL11" s="133"/>
      <c r="AM11" s="157">
        <f t="shared" si="3"/>
        <v>608.16</v>
      </c>
      <c r="AN11" s="157">
        <v>4993.21</v>
      </c>
      <c r="AO11" s="157"/>
      <c r="AP11" s="157"/>
      <c r="AQ11" s="173"/>
      <c r="AR11" s="151">
        <f t="shared" si="4"/>
        <v>5601.37</v>
      </c>
      <c r="AS11" s="157"/>
      <c r="AT11" s="157"/>
      <c r="AU11" s="157"/>
      <c r="AV11" s="157">
        <f>AR11*4.9%</f>
        <v>274.46713</v>
      </c>
      <c r="AW11" s="157">
        <f>AR11*1%</f>
        <v>56.0137</v>
      </c>
      <c r="AX11" s="157"/>
      <c r="AY11" s="110"/>
      <c r="AZ11" s="110"/>
      <c r="BA11" s="133"/>
      <c r="BB11" s="133">
        <v>0</v>
      </c>
      <c r="BC11" s="151">
        <f t="shared" si="5"/>
        <v>5270.8891700000004</v>
      </c>
      <c r="BD11" s="110">
        <f>IF(AR11&gt;4500,AR11*0.1,0)</f>
        <v>560.13700000000006</v>
      </c>
      <c r="BE11" s="151">
        <f t="shared" si="6"/>
        <v>4710.7521700000007</v>
      </c>
      <c r="BF11" s="110">
        <f t="shared" si="7"/>
        <v>0</v>
      </c>
      <c r="BG11" s="110">
        <v>10.23</v>
      </c>
      <c r="BH11" s="151">
        <f t="shared" si="8"/>
        <v>5611.5999999999995</v>
      </c>
      <c r="BI11" s="113"/>
      <c r="BJ11" s="114"/>
      <c r="BK11" s="113"/>
      <c r="BL11" s="113"/>
      <c r="BM11" s="114"/>
      <c r="BN11" s="113"/>
      <c r="BO11" s="113"/>
      <c r="BP11" s="113"/>
      <c r="BQ11" s="113"/>
      <c r="BR11" s="113"/>
      <c r="BS11" s="113"/>
      <c r="BT11" s="113"/>
      <c r="BU11" s="56"/>
      <c r="BV11" s="56"/>
      <c r="BW11" s="56"/>
      <c r="BX11" s="56"/>
    </row>
    <row r="12" spans="1:78" s="24" customFormat="1" ht="15.75" hidden="1" thickTop="1" x14ac:dyDescent="0.25">
      <c r="A12" s="55" t="s">
        <v>293</v>
      </c>
      <c r="B12" s="24" t="s">
        <v>179</v>
      </c>
      <c r="C12" s="25">
        <f t="shared" si="9"/>
        <v>739.23</v>
      </c>
      <c r="D12" s="25">
        <f t="shared" si="10"/>
        <v>0</v>
      </c>
      <c r="E12" s="25">
        <f t="shared" si="0"/>
        <v>0</v>
      </c>
      <c r="F12" s="25">
        <f t="shared" si="1"/>
        <v>0</v>
      </c>
      <c r="G12" s="25">
        <f t="shared" si="11"/>
        <v>0</v>
      </c>
      <c r="H12" s="25">
        <f t="shared" si="12"/>
        <v>0</v>
      </c>
      <c r="I12" s="25">
        <f t="shared" si="13"/>
        <v>0</v>
      </c>
      <c r="J12" s="25">
        <f t="shared" si="14"/>
        <v>0</v>
      </c>
      <c r="K12" s="25">
        <f t="shared" si="15"/>
        <v>0</v>
      </c>
      <c r="L12" s="25">
        <f t="shared" si="16"/>
        <v>0</v>
      </c>
      <c r="M12" s="25">
        <f t="shared" si="17"/>
        <v>0</v>
      </c>
      <c r="N12" s="25">
        <f t="shared" si="18"/>
        <v>0</v>
      </c>
      <c r="O12" s="25">
        <f t="shared" si="19"/>
        <v>0</v>
      </c>
      <c r="P12" s="25"/>
      <c r="Q12" s="25">
        <f>+'C&amp;A'!I13</f>
        <v>0</v>
      </c>
      <c r="R12" s="25">
        <f t="shared" si="20"/>
        <v>739.23</v>
      </c>
      <c r="S12" s="25">
        <f t="shared" si="21"/>
        <v>739.23</v>
      </c>
      <c r="T12" s="25">
        <f t="shared" si="22"/>
        <v>73.923000000000002</v>
      </c>
      <c r="U12" s="25">
        <f>+'C&amp;A'!E13*0.02</f>
        <v>10.2256</v>
      </c>
      <c r="V12" s="25">
        <f t="shared" si="23"/>
        <v>0</v>
      </c>
      <c r="W12" s="25">
        <f t="shared" si="24"/>
        <v>823.37860000000001</v>
      </c>
      <c r="X12" s="25">
        <f t="shared" si="25"/>
        <v>131.740576</v>
      </c>
      <c r="Y12" s="25">
        <f t="shared" si="26"/>
        <v>955.11917600000004</v>
      </c>
      <c r="Z12" s="65">
        <f>+R12-'C&amp;A'!K13-SINDICATO!P13</f>
        <v>0</v>
      </c>
      <c r="AA12" s="68">
        <f>+'C&amp;A'!K13+'C&amp;A'!I13+'C&amp;A'!G13+SINDICATO!E13-SINDICATO!F13-SINDICATO!M13-SINDICATO!N13</f>
        <v>739.23</v>
      </c>
      <c r="AB12" s="68">
        <f t="shared" si="27"/>
        <v>-84.148599999999988</v>
      </c>
      <c r="AC12" s="133" t="s">
        <v>388</v>
      </c>
      <c r="AD12" s="133" t="s">
        <v>389</v>
      </c>
      <c r="AE12" s="133"/>
      <c r="AF12" s="133" t="s">
        <v>293</v>
      </c>
      <c r="AG12" s="133" t="s">
        <v>390</v>
      </c>
      <c r="AH12" s="133"/>
      <c r="AI12" s="133"/>
      <c r="AJ12" s="133"/>
      <c r="AK12" s="157">
        <v>739.23</v>
      </c>
      <c r="AL12" s="133"/>
      <c r="AM12" s="157">
        <f t="shared" si="3"/>
        <v>739.23</v>
      </c>
      <c r="AN12" s="157"/>
      <c r="AO12" s="157"/>
      <c r="AP12" s="157"/>
      <c r="AQ12" s="173"/>
      <c r="AR12" s="151">
        <f t="shared" si="4"/>
        <v>739.23</v>
      </c>
      <c r="AS12" s="157"/>
      <c r="AT12" s="157"/>
      <c r="AU12" s="157"/>
      <c r="AV12" s="157"/>
      <c r="AW12" s="157"/>
      <c r="AX12" s="157"/>
      <c r="AY12" s="110"/>
      <c r="AZ12" s="110"/>
      <c r="BA12" s="133"/>
      <c r="BB12" s="133"/>
      <c r="BC12" s="151">
        <f t="shared" si="5"/>
        <v>739.23</v>
      </c>
      <c r="BD12" s="110"/>
      <c r="BE12" s="151">
        <f t="shared" si="6"/>
        <v>739.23</v>
      </c>
      <c r="BF12" s="110">
        <f t="shared" si="7"/>
        <v>73.923000000000002</v>
      </c>
      <c r="BG12" s="110">
        <v>10.23</v>
      </c>
      <c r="BH12" s="151">
        <f t="shared" si="8"/>
        <v>823.38300000000004</v>
      </c>
      <c r="BI12" s="113"/>
      <c r="BJ12" s="114"/>
      <c r="BK12" s="113"/>
      <c r="BL12" s="113"/>
      <c r="BM12" s="114"/>
      <c r="BN12" s="113"/>
      <c r="BO12" s="113"/>
      <c r="BP12" s="113"/>
      <c r="BQ12" s="113"/>
      <c r="BR12" s="113"/>
      <c r="BS12" s="113"/>
      <c r="BT12" s="113"/>
      <c r="BU12" s="174">
        <v>-0.05</v>
      </c>
      <c r="BV12" s="59">
        <v>0</v>
      </c>
      <c r="BW12" s="59">
        <v>-66.12</v>
      </c>
      <c r="BX12" s="59">
        <v>577.4</v>
      </c>
    </row>
    <row r="13" spans="1:78" s="24" customFormat="1" ht="15.75" hidden="1" thickTop="1" x14ac:dyDescent="0.25">
      <c r="A13" s="23" t="s">
        <v>41</v>
      </c>
      <c r="B13" s="24" t="s">
        <v>42</v>
      </c>
      <c r="C13" s="25">
        <f t="shared" si="9"/>
        <v>1166.6600000000001</v>
      </c>
      <c r="D13" s="25">
        <f>+AJ17</f>
        <v>0</v>
      </c>
      <c r="E13" s="25">
        <f t="shared" si="0"/>
        <v>1433.64</v>
      </c>
      <c r="F13" s="25">
        <f t="shared" si="1"/>
        <v>0</v>
      </c>
      <c r="G13" s="25">
        <f t="shared" si="11"/>
        <v>0</v>
      </c>
      <c r="H13" s="25">
        <f t="shared" si="12"/>
        <v>0</v>
      </c>
      <c r="I13" s="25">
        <f t="shared" si="13"/>
        <v>0</v>
      </c>
      <c r="J13" s="25">
        <f t="shared" si="14"/>
        <v>0</v>
      </c>
      <c r="K13" s="25">
        <f t="shared" si="15"/>
        <v>0</v>
      </c>
      <c r="L13" s="25">
        <f t="shared" si="16"/>
        <v>0</v>
      </c>
      <c r="M13" s="25">
        <f t="shared" si="17"/>
        <v>0</v>
      </c>
      <c r="N13" s="25">
        <f t="shared" si="18"/>
        <v>0</v>
      </c>
      <c r="O13" s="25">
        <f t="shared" si="19"/>
        <v>0</v>
      </c>
      <c r="P13" s="25"/>
      <c r="Q13" s="25">
        <f>+'C&amp;A'!I14</f>
        <v>0</v>
      </c>
      <c r="R13" s="25">
        <f t="shared" si="20"/>
        <v>2600.3000000000002</v>
      </c>
      <c r="S13" s="25">
        <f t="shared" si="21"/>
        <v>2600.3000000000002</v>
      </c>
      <c r="T13" s="25">
        <f t="shared" si="22"/>
        <v>260.03000000000003</v>
      </c>
      <c r="U13" s="25">
        <f>+'C&amp;A'!E14*0.02</f>
        <v>10.2256</v>
      </c>
      <c r="V13" s="25">
        <f t="shared" si="23"/>
        <v>0</v>
      </c>
      <c r="W13" s="25">
        <f t="shared" si="24"/>
        <v>2870.5556000000006</v>
      </c>
      <c r="X13" s="25">
        <f t="shared" si="25"/>
        <v>459.28889600000008</v>
      </c>
      <c r="Y13" s="25">
        <f t="shared" si="26"/>
        <v>3329.8444960000006</v>
      </c>
      <c r="Z13" s="65">
        <f>+R13-'C&amp;A'!K14-SINDICATO!P14</f>
        <v>0</v>
      </c>
      <c r="AA13" s="68">
        <f>+'C&amp;A'!K14+'C&amp;A'!I14+'C&amp;A'!G14+SINDICATO!E14-SINDICATO!F14-SINDICATO!M14-SINDICATO!N14</f>
        <v>2600.3000000000002</v>
      </c>
      <c r="AB13" s="68">
        <f t="shared" si="27"/>
        <v>-270.25560000000041</v>
      </c>
      <c r="AC13" s="133" t="s">
        <v>380</v>
      </c>
      <c r="AD13" s="133" t="s">
        <v>391</v>
      </c>
      <c r="AE13" s="133"/>
      <c r="AF13" s="133" t="s">
        <v>41</v>
      </c>
      <c r="AG13" s="133" t="s">
        <v>180</v>
      </c>
      <c r="AH13" s="133"/>
      <c r="AI13" s="133"/>
      <c r="AJ13" s="133"/>
      <c r="AK13" s="157">
        <v>1166.6600000000001</v>
      </c>
      <c r="AL13" s="172"/>
      <c r="AM13" s="157">
        <f t="shared" si="3"/>
        <v>1166.6600000000001</v>
      </c>
      <c r="AN13" s="157">
        <v>1433.64</v>
      </c>
      <c r="AO13" s="157"/>
      <c r="AP13" s="157"/>
      <c r="AQ13" s="173"/>
      <c r="AR13" s="151">
        <f t="shared" si="4"/>
        <v>2600.3000000000002</v>
      </c>
      <c r="AS13" s="157"/>
      <c r="AT13" s="157"/>
      <c r="AU13" s="157">
        <v>0</v>
      </c>
      <c r="AV13" s="157"/>
      <c r="AW13" s="157"/>
      <c r="AX13" s="157"/>
      <c r="AY13" s="110"/>
      <c r="AZ13" s="110"/>
      <c r="BA13" s="133"/>
      <c r="BB13" s="133">
        <v>0</v>
      </c>
      <c r="BC13" s="151">
        <f t="shared" si="5"/>
        <v>2600.3000000000002</v>
      </c>
      <c r="BD13" s="110">
        <f t="shared" ref="BD13:BD78" si="28">IF(AR13&gt;4500,AR13*0.1,0)</f>
        <v>0</v>
      </c>
      <c r="BE13" s="151">
        <f t="shared" si="6"/>
        <v>2600.3000000000002</v>
      </c>
      <c r="BF13" s="110">
        <f t="shared" si="7"/>
        <v>260.03000000000003</v>
      </c>
      <c r="BG13" s="110">
        <v>10.23</v>
      </c>
      <c r="BH13" s="151">
        <f t="shared" si="8"/>
        <v>2870.5600000000004</v>
      </c>
      <c r="BI13" s="113"/>
      <c r="BJ13" s="114"/>
      <c r="BK13" s="113"/>
      <c r="BL13" s="113"/>
      <c r="BM13" s="114"/>
      <c r="BN13" s="113"/>
      <c r="BO13" s="113"/>
      <c r="BP13" s="113"/>
      <c r="BQ13" s="113"/>
      <c r="BR13" s="113"/>
      <c r="BS13" s="113"/>
      <c r="BT13" s="113"/>
      <c r="BU13" s="174">
        <v>-0.05</v>
      </c>
      <c r="BV13" s="59">
        <v>0</v>
      </c>
      <c r="BW13" s="59">
        <v>-66.12</v>
      </c>
      <c r="BX13" s="59">
        <v>577.4</v>
      </c>
    </row>
    <row r="14" spans="1:78" s="24" customFormat="1" ht="15.75" hidden="1" thickTop="1" x14ac:dyDescent="0.25">
      <c r="A14" s="23" t="s">
        <v>43</v>
      </c>
      <c r="B14" s="24" t="s">
        <v>44</v>
      </c>
      <c r="C14" s="25">
        <f t="shared" si="9"/>
        <v>1633.33</v>
      </c>
      <c r="D14" s="25">
        <f>+AJ16</f>
        <v>0</v>
      </c>
      <c r="E14" s="25">
        <f t="shared" si="0"/>
        <v>13631.88</v>
      </c>
      <c r="F14" s="25">
        <f t="shared" si="1"/>
        <v>0</v>
      </c>
      <c r="G14" s="25">
        <f t="shared" si="11"/>
        <v>0</v>
      </c>
      <c r="H14" s="25">
        <f t="shared" si="12"/>
        <v>0</v>
      </c>
      <c r="I14" s="25">
        <f t="shared" si="13"/>
        <v>0</v>
      </c>
      <c r="J14" s="25">
        <f t="shared" si="14"/>
        <v>0</v>
      </c>
      <c r="K14" s="25">
        <f t="shared" si="15"/>
        <v>0</v>
      </c>
      <c r="L14" s="25">
        <f t="shared" si="16"/>
        <v>0</v>
      </c>
      <c r="M14" s="25">
        <f t="shared" si="17"/>
        <v>0</v>
      </c>
      <c r="N14" s="25">
        <f t="shared" si="18"/>
        <v>1526.521</v>
      </c>
      <c r="O14" s="25">
        <f t="shared" si="19"/>
        <v>0</v>
      </c>
      <c r="P14" s="25"/>
      <c r="Q14" s="25">
        <f>+'C&amp;A'!I15</f>
        <v>0</v>
      </c>
      <c r="R14" s="25">
        <f t="shared" si="20"/>
        <v>13738.688999999998</v>
      </c>
      <c r="S14" s="25">
        <f t="shared" si="21"/>
        <v>15265.21</v>
      </c>
      <c r="T14" s="25">
        <f t="shared" si="22"/>
        <v>0</v>
      </c>
      <c r="U14" s="25">
        <f>+'C&amp;A'!E15*0.02</f>
        <v>10.2256</v>
      </c>
      <c r="V14" s="25">
        <f t="shared" si="23"/>
        <v>0</v>
      </c>
      <c r="W14" s="25">
        <f t="shared" si="24"/>
        <v>15275.435599999999</v>
      </c>
      <c r="X14" s="25">
        <f t="shared" si="25"/>
        <v>2444.069696</v>
      </c>
      <c r="Y14" s="25">
        <f t="shared" si="26"/>
        <v>17719.505295999999</v>
      </c>
      <c r="Z14" s="65">
        <f>+R14-'C&amp;A'!K15-SINDICATO!P15</f>
        <v>0</v>
      </c>
      <c r="AA14" s="68">
        <f>+'C&amp;A'!K15+'C&amp;A'!I15+'C&amp;A'!G15+SINDICATO!E15-SINDICATO!F15-SINDICATO!M15-SINDICATO!N15</f>
        <v>15265.21</v>
      </c>
      <c r="AB14" s="68">
        <f t="shared" si="27"/>
        <v>-10.225599999999758</v>
      </c>
      <c r="AC14" s="133" t="s">
        <v>382</v>
      </c>
      <c r="AD14" s="133" t="s">
        <v>392</v>
      </c>
      <c r="AE14" s="133" t="s">
        <v>384</v>
      </c>
      <c r="AF14" s="133">
        <v>16</v>
      </c>
      <c r="AG14" s="133" t="s">
        <v>393</v>
      </c>
      <c r="AH14" s="133"/>
      <c r="AI14" s="133"/>
      <c r="AJ14" s="133"/>
      <c r="AK14" s="157">
        <v>1633.33</v>
      </c>
      <c r="AL14" s="133"/>
      <c r="AM14" s="157">
        <f t="shared" si="3"/>
        <v>1633.33</v>
      </c>
      <c r="AN14" s="157">
        <v>13631.88</v>
      </c>
      <c r="AO14" s="157"/>
      <c r="AP14" s="157"/>
      <c r="AQ14" s="173"/>
      <c r="AR14" s="151">
        <f t="shared" si="4"/>
        <v>15265.21</v>
      </c>
      <c r="AS14" s="157"/>
      <c r="AT14" s="157"/>
      <c r="AU14" s="157">
        <v>0</v>
      </c>
      <c r="AV14" s="157"/>
      <c r="AW14" s="157"/>
      <c r="AX14" s="157"/>
      <c r="AY14" s="110"/>
      <c r="AZ14" s="110"/>
      <c r="BA14" s="133"/>
      <c r="BB14" s="133">
        <v>0</v>
      </c>
      <c r="BC14" s="151">
        <f t="shared" si="5"/>
        <v>15265.21</v>
      </c>
      <c r="BD14" s="110">
        <f t="shared" si="28"/>
        <v>1526.521</v>
      </c>
      <c r="BE14" s="151">
        <f t="shared" si="6"/>
        <v>13738.688999999998</v>
      </c>
      <c r="BF14" s="110">
        <f t="shared" si="7"/>
        <v>0</v>
      </c>
      <c r="BG14" s="110">
        <v>10.23</v>
      </c>
      <c r="BH14" s="151">
        <f t="shared" si="8"/>
        <v>15275.439999999999</v>
      </c>
      <c r="BI14" s="113"/>
      <c r="BJ14" s="114"/>
      <c r="BK14" s="113"/>
      <c r="BL14" s="113"/>
      <c r="BM14" s="114"/>
      <c r="BN14" s="113"/>
      <c r="BO14" s="113"/>
      <c r="BP14" s="113"/>
      <c r="BQ14" s="113"/>
      <c r="BR14" s="113"/>
      <c r="BS14" s="113"/>
      <c r="BT14" s="113"/>
      <c r="BU14" s="174">
        <v>-0.05</v>
      </c>
      <c r="BV14" s="59">
        <v>0</v>
      </c>
      <c r="BW14" s="59">
        <v>-66.12</v>
      </c>
      <c r="BX14" s="59">
        <v>577.4</v>
      </c>
    </row>
    <row r="15" spans="1:78" s="24" customFormat="1" ht="15.75" hidden="1" thickTop="1" x14ac:dyDescent="0.25">
      <c r="A15" s="23"/>
      <c r="B15" s="133" t="s">
        <v>617</v>
      </c>
      <c r="C15" s="25">
        <f t="shared" si="9"/>
        <v>483.75</v>
      </c>
      <c r="D15" s="25"/>
      <c r="E15" s="25">
        <f t="shared" si="0"/>
        <v>0</v>
      </c>
      <c r="F15" s="25">
        <f t="shared" si="1"/>
        <v>0</v>
      </c>
      <c r="G15" s="25">
        <f t="shared" si="11"/>
        <v>0</v>
      </c>
      <c r="H15" s="25">
        <f t="shared" si="12"/>
        <v>0</v>
      </c>
      <c r="I15" s="25">
        <f t="shared" si="13"/>
        <v>0</v>
      </c>
      <c r="J15" s="25">
        <f t="shared" si="14"/>
        <v>0</v>
      </c>
      <c r="K15" s="25">
        <f t="shared" si="15"/>
        <v>0</v>
      </c>
      <c r="L15" s="25">
        <f t="shared" si="16"/>
        <v>0</v>
      </c>
      <c r="M15" s="25">
        <f t="shared" si="17"/>
        <v>0</v>
      </c>
      <c r="N15" s="25">
        <f t="shared" si="18"/>
        <v>0</v>
      </c>
      <c r="O15" s="25">
        <f t="shared" si="19"/>
        <v>0</v>
      </c>
      <c r="P15" s="25"/>
      <c r="Q15" s="25">
        <f>+'C&amp;A'!I16</f>
        <v>0</v>
      </c>
      <c r="R15" s="25">
        <f t="shared" si="20"/>
        <v>483.75</v>
      </c>
      <c r="S15" s="25">
        <f t="shared" si="21"/>
        <v>483.75</v>
      </c>
      <c r="T15" s="25">
        <f t="shared" si="22"/>
        <v>48.375</v>
      </c>
      <c r="U15" s="25"/>
      <c r="V15" s="25">
        <f t="shared" si="23"/>
        <v>0</v>
      </c>
      <c r="W15" s="25">
        <f t="shared" si="24"/>
        <v>532.125</v>
      </c>
      <c r="X15" s="25">
        <f t="shared" si="25"/>
        <v>85.14</v>
      </c>
      <c r="Y15" s="25">
        <f t="shared" si="26"/>
        <v>617.26499999999999</v>
      </c>
      <c r="Z15" s="65">
        <f>+R15-'C&amp;A'!K16-SINDICATO!P16</f>
        <v>0</v>
      </c>
      <c r="AA15" s="68">
        <f>+'C&amp;A'!K16+'C&amp;A'!I16+'C&amp;A'!G16+SINDICATO!E16-SINDICATO!F16-SINDICATO!M16-SINDICATO!N16</f>
        <v>483.75</v>
      </c>
      <c r="AB15" s="68">
        <f t="shared" si="27"/>
        <v>-48.375</v>
      </c>
      <c r="AC15" s="133" t="s">
        <v>380</v>
      </c>
      <c r="AD15" s="133" t="s">
        <v>617</v>
      </c>
      <c r="AE15" s="133"/>
      <c r="AF15" s="133"/>
      <c r="AG15" s="133" t="s">
        <v>618</v>
      </c>
      <c r="AH15" s="175">
        <v>42422</v>
      </c>
      <c r="AI15" s="133"/>
      <c r="AJ15" s="133"/>
      <c r="AK15" s="157">
        <v>0</v>
      </c>
      <c r="AL15" s="133">
        <v>483.75</v>
      </c>
      <c r="AM15" s="157">
        <f t="shared" si="3"/>
        <v>483.75</v>
      </c>
      <c r="AN15" s="157">
        <v>0</v>
      </c>
      <c r="AO15" s="157"/>
      <c r="AP15" s="157"/>
      <c r="AQ15" s="173"/>
      <c r="AR15" s="151">
        <f t="shared" si="4"/>
        <v>483.75</v>
      </c>
      <c r="AS15" s="157"/>
      <c r="AT15" s="157"/>
      <c r="AU15" s="157"/>
      <c r="AV15" s="157"/>
      <c r="AW15" s="157"/>
      <c r="AX15" s="157"/>
      <c r="AY15" s="110"/>
      <c r="AZ15" s="110"/>
      <c r="BA15" s="133"/>
      <c r="BB15" s="133"/>
      <c r="BC15" s="151">
        <f t="shared" si="5"/>
        <v>483.75</v>
      </c>
      <c r="BD15" s="110">
        <f t="shared" si="28"/>
        <v>0</v>
      </c>
      <c r="BE15" s="151">
        <f t="shared" si="6"/>
        <v>483.75</v>
      </c>
      <c r="BF15" s="110">
        <f t="shared" si="7"/>
        <v>48.375</v>
      </c>
      <c r="BG15" s="110">
        <v>10.23</v>
      </c>
      <c r="BH15" s="151">
        <f t="shared" si="8"/>
        <v>542.35500000000002</v>
      </c>
      <c r="BI15" s="113"/>
      <c r="BJ15" s="114"/>
      <c r="BK15" s="113"/>
      <c r="BL15" s="113"/>
      <c r="BM15" s="114"/>
      <c r="BN15" s="113">
        <v>1456104819</v>
      </c>
      <c r="BO15" s="94" t="s">
        <v>619</v>
      </c>
      <c r="BP15" s="113"/>
      <c r="BQ15" s="113"/>
      <c r="BR15" s="113"/>
      <c r="BS15" s="113"/>
      <c r="BT15" s="113"/>
      <c r="BU15" s="174">
        <v>-0.05</v>
      </c>
      <c r="BV15" s="59">
        <v>0</v>
      </c>
      <c r="BW15" s="59">
        <v>-66.12</v>
      </c>
      <c r="BX15" s="59">
        <v>577.4</v>
      </c>
    </row>
    <row r="16" spans="1:78" s="24" customFormat="1" ht="15.75" hidden="1" thickTop="1" x14ac:dyDescent="0.25">
      <c r="A16" s="23" t="s">
        <v>45</v>
      </c>
      <c r="B16" s="24" t="s">
        <v>46</v>
      </c>
      <c r="C16" s="25">
        <f t="shared" si="9"/>
        <v>1166.6600000000001</v>
      </c>
      <c r="D16" s="25">
        <f>+AJ18</f>
        <v>0</v>
      </c>
      <c r="E16" s="25">
        <f t="shared" si="0"/>
        <v>1508.49</v>
      </c>
      <c r="F16" s="25">
        <f t="shared" si="1"/>
        <v>0</v>
      </c>
      <c r="G16" s="25">
        <f t="shared" si="11"/>
        <v>0</v>
      </c>
      <c r="H16" s="25">
        <f t="shared" si="12"/>
        <v>0</v>
      </c>
      <c r="I16" s="25">
        <f t="shared" si="13"/>
        <v>0</v>
      </c>
      <c r="J16" s="25">
        <f t="shared" si="14"/>
        <v>0</v>
      </c>
      <c r="K16" s="25">
        <f t="shared" si="15"/>
        <v>0</v>
      </c>
      <c r="L16" s="25">
        <f t="shared" si="16"/>
        <v>0</v>
      </c>
      <c r="M16" s="25">
        <f t="shared" si="17"/>
        <v>368.35</v>
      </c>
      <c r="N16" s="25">
        <f t="shared" si="18"/>
        <v>0</v>
      </c>
      <c r="O16" s="25">
        <f t="shared" si="19"/>
        <v>0</v>
      </c>
      <c r="P16" s="25"/>
      <c r="Q16" s="25">
        <f>+'C&amp;A'!I17</f>
        <v>0</v>
      </c>
      <c r="R16" s="25">
        <f t="shared" si="20"/>
        <v>2306.8000000000002</v>
      </c>
      <c r="S16" s="25">
        <f t="shared" si="21"/>
        <v>2675.15</v>
      </c>
      <c r="T16" s="25">
        <f t="shared" si="22"/>
        <v>267.51500000000004</v>
      </c>
      <c r="U16" s="25">
        <f>+'C&amp;A'!E17*0.02</f>
        <v>10.2256</v>
      </c>
      <c r="V16" s="25">
        <f t="shared" si="23"/>
        <v>0</v>
      </c>
      <c r="W16" s="25">
        <f t="shared" si="24"/>
        <v>2952.8906000000002</v>
      </c>
      <c r="X16" s="25">
        <f t="shared" si="25"/>
        <v>472.46249600000004</v>
      </c>
      <c r="Y16" s="25">
        <f t="shared" si="26"/>
        <v>3425.3530960000003</v>
      </c>
      <c r="Z16" s="65">
        <f>+R16-'C&amp;A'!K17-SINDICATO!P17</f>
        <v>0</v>
      </c>
      <c r="AA16" s="68">
        <f>+'C&amp;A'!K17+'C&amp;A'!I17+'C&amp;A'!G17+SINDICATO!E17-SINDICATO!F17-SINDICATO!M17-SINDICATO!N17</f>
        <v>2675.1499999999996</v>
      </c>
      <c r="AB16" s="68">
        <f t="shared" si="27"/>
        <v>-277.74060000000054</v>
      </c>
      <c r="AC16" s="133" t="s">
        <v>382</v>
      </c>
      <c r="AD16" s="133" t="s">
        <v>398</v>
      </c>
      <c r="AE16" s="133" t="s">
        <v>31</v>
      </c>
      <c r="AF16" s="133" t="s">
        <v>45</v>
      </c>
      <c r="AG16" s="133" t="s">
        <v>191</v>
      </c>
      <c r="AH16" s="133"/>
      <c r="AI16" s="133"/>
      <c r="AJ16" s="133"/>
      <c r="AK16" s="157">
        <v>513.33000000000004</v>
      </c>
      <c r="AL16" s="133">
        <v>653.33000000000004</v>
      </c>
      <c r="AM16" s="157">
        <f>+AK16+AL16</f>
        <v>1166.6600000000001</v>
      </c>
      <c r="AN16" s="157">
        <v>1508.49</v>
      </c>
      <c r="AO16" s="157"/>
      <c r="AP16" s="157"/>
      <c r="AQ16" s="173"/>
      <c r="AR16" s="151">
        <f>SUM(AM16:AP16)-AQ16</f>
        <v>2675.15</v>
      </c>
      <c r="AS16" s="157"/>
      <c r="AT16" s="157"/>
      <c r="AU16" s="157">
        <v>0</v>
      </c>
      <c r="AV16" s="157"/>
      <c r="AW16" s="157"/>
      <c r="AX16" s="157"/>
      <c r="AY16" s="110"/>
      <c r="AZ16" s="110"/>
      <c r="BA16" s="133"/>
      <c r="BB16" s="133">
        <v>368.35</v>
      </c>
      <c r="BC16" s="151">
        <f>+AR16-SUM(AS16:BB16)</f>
        <v>2306.8000000000002</v>
      </c>
      <c r="BD16" s="110">
        <f>IF(AR16&gt;4500,AR16*0.1,0)</f>
        <v>0</v>
      </c>
      <c r="BE16" s="151">
        <f>+BC16-BD16</f>
        <v>2306.8000000000002</v>
      </c>
      <c r="BF16" s="110">
        <f>IF(AR16&lt;4500,AR16*0.1,0)</f>
        <v>267.51500000000004</v>
      </c>
      <c r="BG16" s="110">
        <v>10.23</v>
      </c>
      <c r="BH16" s="151">
        <f>+AR16+BF16+BG16</f>
        <v>2952.895</v>
      </c>
      <c r="BI16" s="113"/>
      <c r="BJ16" s="114"/>
      <c r="BK16" s="113"/>
      <c r="BL16" s="113"/>
      <c r="BM16" s="114"/>
      <c r="BN16" s="113"/>
      <c r="BO16" s="113"/>
      <c r="BP16" s="113"/>
      <c r="BQ16" s="113"/>
      <c r="BR16" s="113"/>
      <c r="BS16" s="113"/>
      <c r="BT16" s="113"/>
      <c r="BU16" s="174"/>
      <c r="BV16" s="59"/>
      <c r="BW16" s="59">
        <v>-66.12</v>
      </c>
      <c r="BX16" s="59">
        <v>577.4</v>
      </c>
    </row>
    <row r="17" spans="1:76" s="24" customFormat="1" ht="15.75" hidden="1" thickTop="1" x14ac:dyDescent="0.25">
      <c r="A17" s="55" t="s">
        <v>524</v>
      </c>
      <c r="B17" s="56" t="s">
        <v>523</v>
      </c>
      <c r="C17" s="25">
        <f t="shared" si="9"/>
        <v>1166.6600000000001</v>
      </c>
      <c r="D17" s="25">
        <f>+AJ19</f>
        <v>0</v>
      </c>
      <c r="E17" s="25">
        <f t="shared" si="0"/>
        <v>164</v>
      </c>
      <c r="F17" s="25">
        <f t="shared" si="1"/>
        <v>0</v>
      </c>
      <c r="G17" s="25">
        <f t="shared" si="11"/>
        <v>0</v>
      </c>
      <c r="H17" s="25">
        <f t="shared" si="12"/>
        <v>0</v>
      </c>
      <c r="I17" s="25">
        <f t="shared" si="13"/>
        <v>0</v>
      </c>
      <c r="J17" s="25">
        <f t="shared" si="14"/>
        <v>0</v>
      </c>
      <c r="K17" s="25">
        <f t="shared" si="15"/>
        <v>0</v>
      </c>
      <c r="L17" s="25">
        <f t="shared" si="16"/>
        <v>0</v>
      </c>
      <c r="M17" s="25">
        <f t="shared" si="17"/>
        <v>0</v>
      </c>
      <c r="N17" s="25">
        <f t="shared" si="18"/>
        <v>0</v>
      </c>
      <c r="O17" s="25">
        <f t="shared" si="19"/>
        <v>0</v>
      </c>
      <c r="P17" s="25"/>
      <c r="Q17" s="25">
        <f>+'C&amp;A'!I18</f>
        <v>0</v>
      </c>
      <c r="R17" s="25">
        <f t="shared" si="20"/>
        <v>1330.66</v>
      </c>
      <c r="S17" s="25">
        <f t="shared" si="21"/>
        <v>1330.66</v>
      </c>
      <c r="T17" s="25">
        <f t="shared" si="22"/>
        <v>133.066</v>
      </c>
      <c r="U17" s="25">
        <v>0</v>
      </c>
      <c r="V17" s="25">
        <f t="shared" si="23"/>
        <v>0</v>
      </c>
      <c r="W17" s="25">
        <f t="shared" si="24"/>
        <v>1463.7260000000001</v>
      </c>
      <c r="X17" s="25">
        <f t="shared" si="25"/>
        <v>234.19616000000002</v>
      </c>
      <c r="Y17" s="25">
        <f t="shared" si="26"/>
        <v>1697.9221600000001</v>
      </c>
      <c r="Z17" s="65">
        <f>+R17-'C&amp;A'!K18-SINDICATO!P18</f>
        <v>0</v>
      </c>
      <c r="AA17" s="68">
        <f>+'C&amp;A'!K18+'C&amp;A'!I18+'C&amp;A'!G18+SINDICATO!E18-SINDICATO!F18-SINDICATO!M18-SINDICATO!N18</f>
        <v>1330.66</v>
      </c>
      <c r="AB17" s="68">
        <f t="shared" si="27"/>
        <v>-133.06600000000003</v>
      </c>
      <c r="AC17" s="133" t="s">
        <v>394</v>
      </c>
      <c r="AD17" s="133" t="s">
        <v>395</v>
      </c>
      <c r="AE17" s="133" t="s">
        <v>396</v>
      </c>
      <c r="AF17" s="133"/>
      <c r="AG17" s="133" t="s">
        <v>397</v>
      </c>
      <c r="AH17" s="175">
        <v>42417</v>
      </c>
      <c r="AI17" s="133"/>
      <c r="AJ17" s="133"/>
      <c r="AK17" s="157">
        <v>513.33000000000004</v>
      </c>
      <c r="AL17" s="133">
        <v>653.33000000000004</v>
      </c>
      <c r="AM17" s="157">
        <f t="shared" si="3"/>
        <v>1166.6600000000001</v>
      </c>
      <c r="AN17" s="157">
        <v>164</v>
      </c>
      <c r="AO17" s="157"/>
      <c r="AP17" s="157"/>
      <c r="AQ17" s="173"/>
      <c r="AR17" s="151">
        <f t="shared" si="4"/>
        <v>1330.66</v>
      </c>
      <c r="AS17" s="157"/>
      <c r="AT17" s="157"/>
      <c r="AU17" s="157">
        <v>0</v>
      </c>
      <c r="AV17" s="157"/>
      <c r="AW17" s="157"/>
      <c r="AX17" s="157"/>
      <c r="AY17" s="110"/>
      <c r="AZ17" s="110"/>
      <c r="BA17" s="133"/>
      <c r="BB17" s="133">
        <v>0</v>
      </c>
      <c r="BC17" s="151">
        <f t="shared" ref="BC17:BC81" si="29">+AR17-SUM(AS17:BB17)</f>
        <v>1330.66</v>
      </c>
      <c r="BD17" s="110">
        <f t="shared" si="28"/>
        <v>0</v>
      </c>
      <c r="BE17" s="151">
        <f t="shared" si="6"/>
        <v>1330.66</v>
      </c>
      <c r="BF17" s="110">
        <f t="shared" si="7"/>
        <v>133.066</v>
      </c>
      <c r="BG17" s="110">
        <v>10.23</v>
      </c>
      <c r="BH17" s="151">
        <f t="shared" si="8"/>
        <v>1473.9560000000001</v>
      </c>
      <c r="BI17" s="113"/>
      <c r="BJ17" s="114"/>
      <c r="BK17" s="113"/>
      <c r="BL17" s="113"/>
      <c r="BM17" s="114"/>
      <c r="BN17" s="113"/>
      <c r="BO17" s="113"/>
      <c r="BP17" s="113"/>
      <c r="BQ17" s="113"/>
      <c r="BR17" s="113"/>
      <c r="BS17" s="113"/>
      <c r="BT17" s="113"/>
      <c r="BU17" s="174">
        <v>-0.05</v>
      </c>
      <c r="BV17" s="59">
        <v>0</v>
      </c>
      <c r="BW17" s="59">
        <v>-66.12</v>
      </c>
      <c r="BX17" s="59">
        <v>577.4</v>
      </c>
    </row>
    <row r="18" spans="1:76" s="24" customFormat="1" ht="15.75" hidden="1" thickTop="1" x14ac:dyDescent="0.25">
      <c r="A18" s="23" t="s">
        <v>294</v>
      </c>
      <c r="B18" s="24" t="s">
        <v>47</v>
      </c>
      <c r="C18" s="25">
        <f t="shared" si="9"/>
        <v>608.16</v>
      </c>
      <c r="D18" s="25">
        <f>+AJ20</f>
        <v>0</v>
      </c>
      <c r="E18" s="25">
        <f t="shared" si="0"/>
        <v>0</v>
      </c>
      <c r="F18" s="25">
        <f t="shared" si="1"/>
        <v>0</v>
      </c>
      <c r="G18" s="25">
        <f t="shared" si="11"/>
        <v>0</v>
      </c>
      <c r="H18" s="25">
        <f t="shared" si="12"/>
        <v>0</v>
      </c>
      <c r="I18" s="25">
        <f t="shared" si="13"/>
        <v>150</v>
      </c>
      <c r="J18" s="25">
        <f t="shared" si="14"/>
        <v>29.79984</v>
      </c>
      <c r="K18" s="25">
        <f t="shared" si="15"/>
        <v>6.0815999999999999</v>
      </c>
      <c r="L18" s="25">
        <f t="shared" si="16"/>
        <v>0</v>
      </c>
      <c r="M18" s="25">
        <f t="shared" si="17"/>
        <v>0</v>
      </c>
      <c r="N18" s="25">
        <f t="shared" si="18"/>
        <v>0</v>
      </c>
      <c r="O18" s="25">
        <f t="shared" si="19"/>
        <v>0</v>
      </c>
      <c r="P18" s="25"/>
      <c r="Q18" s="25">
        <f>+'C&amp;A'!I19</f>
        <v>0</v>
      </c>
      <c r="R18" s="25">
        <f t="shared" si="20"/>
        <v>422.27855999999997</v>
      </c>
      <c r="S18" s="25">
        <f t="shared" si="21"/>
        <v>608.16</v>
      </c>
      <c r="T18" s="25">
        <f t="shared" si="22"/>
        <v>60.816000000000003</v>
      </c>
      <c r="U18" s="25">
        <f>+'C&amp;A'!E19*0.02</f>
        <v>6.8170000000000002</v>
      </c>
      <c r="V18" s="25">
        <f t="shared" si="23"/>
        <v>29.79984</v>
      </c>
      <c r="W18" s="25">
        <f t="shared" si="24"/>
        <v>705.59284000000002</v>
      </c>
      <c r="X18" s="25">
        <f t="shared" si="25"/>
        <v>112.8948544</v>
      </c>
      <c r="Y18" s="25">
        <f t="shared" si="26"/>
        <v>818.48769440000001</v>
      </c>
      <c r="Z18" s="65">
        <f>+R18-'C&amp;A'!K19-SINDICATO!P19</f>
        <v>0</v>
      </c>
      <c r="AA18" s="68">
        <f>+'C&amp;A'!K19+'C&amp;A'!I19+'C&amp;A'!G19+SINDICATO!E19-SINDICATO!F19-SINDICATO!M19-SINDICATO!N19</f>
        <v>608.16</v>
      </c>
      <c r="AB18" s="68">
        <f t="shared" si="27"/>
        <v>-97.432840000000056</v>
      </c>
      <c r="AC18" s="133" t="s">
        <v>386</v>
      </c>
      <c r="AD18" s="133" t="s">
        <v>399</v>
      </c>
      <c r="AE18" s="133"/>
      <c r="AF18" s="133" t="s">
        <v>193</v>
      </c>
      <c r="AG18" s="133" t="s">
        <v>192</v>
      </c>
      <c r="AH18" s="133"/>
      <c r="AI18" s="133"/>
      <c r="AJ18" s="133"/>
      <c r="AK18" s="157">
        <v>608.16</v>
      </c>
      <c r="AL18" s="133"/>
      <c r="AM18" s="157">
        <f t="shared" si="3"/>
        <v>608.16</v>
      </c>
      <c r="AN18" s="157"/>
      <c r="AO18" s="157"/>
      <c r="AP18" s="157"/>
      <c r="AQ18" s="173"/>
      <c r="AR18" s="151">
        <f t="shared" si="4"/>
        <v>608.16</v>
      </c>
      <c r="AS18" s="157"/>
      <c r="AT18" s="157"/>
      <c r="AU18" s="157">
        <v>150</v>
      </c>
      <c r="AV18" s="157">
        <f>AR18*4.9%</f>
        <v>29.79984</v>
      </c>
      <c r="AW18" s="157">
        <f>AR18*1%</f>
        <v>6.0815999999999999</v>
      </c>
      <c r="AX18" s="157"/>
      <c r="AY18" s="110"/>
      <c r="AZ18" s="110"/>
      <c r="BA18" s="133"/>
      <c r="BB18" s="133">
        <v>0</v>
      </c>
      <c r="BC18" s="151">
        <f t="shared" si="29"/>
        <v>422.27855999999997</v>
      </c>
      <c r="BD18" s="110">
        <f t="shared" si="28"/>
        <v>0</v>
      </c>
      <c r="BE18" s="151">
        <f t="shared" si="6"/>
        <v>422.27855999999997</v>
      </c>
      <c r="BF18" s="110">
        <f t="shared" si="7"/>
        <v>60.816000000000003</v>
      </c>
      <c r="BG18" s="110">
        <v>10.23</v>
      </c>
      <c r="BH18" s="151">
        <f t="shared" si="8"/>
        <v>679.20600000000002</v>
      </c>
      <c r="BI18" s="113"/>
      <c r="BJ18" s="114"/>
      <c r="BK18" s="113"/>
      <c r="BL18" s="113"/>
      <c r="BM18" s="114"/>
      <c r="BN18" s="113"/>
      <c r="BO18" s="113"/>
      <c r="BP18" s="113"/>
      <c r="BQ18" s="113"/>
      <c r="BR18" s="113"/>
      <c r="BS18" s="113"/>
      <c r="BU18" s="174">
        <v>-0.05</v>
      </c>
      <c r="BV18" s="59">
        <v>0</v>
      </c>
      <c r="BW18" s="59">
        <v>-65.92</v>
      </c>
      <c r="BX18" s="59">
        <v>577.20000000000005</v>
      </c>
    </row>
    <row r="19" spans="1:76" s="24" customFormat="1" ht="15.75" hidden="1" thickTop="1" x14ac:dyDescent="0.25">
      <c r="A19" s="23" t="s">
        <v>15</v>
      </c>
      <c r="B19" s="24" t="s">
        <v>48</v>
      </c>
      <c r="C19" s="25">
        <f t="shared" si="9"/>
        <v>513.33000000000004</v>
      </c>
      <c r="D19" s="25">
        <f>-'C&amp;A'!F21</f>
        <v>66.069999999999993</v>
      </c>
      <c r="E19" s="25">
        <f t="shared" si="0"/>
        <v>513.33000000000004</v>
      </c>
      <c r="F19" s="25">
        <f t="shared" si="1"/>
        <v>0</v>
      </c>
      <c r="G19" s="25">
        <f t="shared" si="11"/>
        <v>0</v>
      </c>
      <c r="H19" s="25">
        <f t="shared" si="12"/>
        <v>0</v>
      </c>
      <c r="I19" s="25">
        <f t="shared" si="13"/>
        <v>0</v>
      </c>
      <c r="J19" s="25">
        <f t="shared" si="14"/>
        <v>0</v>
      </c>
      <c r="K19" s="25">
        <f t="shared" si="15"/>
        <v>0</v>
      </c>
      <c r="L19" s="25">
        <f t="shared" si="16"/>
        <v>0</v>
      </c>
      <c r="M19" s="25">
        <v>398.18</v>
      </c>
      <c r="N19" s="25">
        <f t="shared" si="18"/>
        <v>0</v>
      </c>
      <c r="O19" s="25">
        <f t="shared" si="19"/>
        <v>0</v>
      </c>
      <c r="P19" s="25"/>
      <c r="Q19" s="25">
        <f>+'C&amp;A'!I20</f>
        <v>0</v>
      </c>
      <c r="R19" s="25">
        <f t="shared" si="20"/>
        <v>694.55</v>
      </c>
      <c r="S19" s="25">
        <f t="shared" si="21"/>
        <v>1092.73</v>
      </c>
      <c r="T19" s="25">
        <f t="shared" si="22"/>
        <v>102.66600000000001</v>
      </c>
      <c r="U19" s="25">
        <f>+'C&amp;A'!E20*0.02</f>
        <v>10.2256</v>
      </c>
      <c r="V19" s="25">
        <f t="shared" si="23"/>
        <v>0</v>
      </c>
      <c r="W19" s="25">
        <f t="shared" si="24"/>
        <v>1205.6215999999999</v>
      </c>
      <c r="X19" s="25">
        <f t="shared" si="25"/>
        <v>192.89945599999999</v>
      </c>
      <c r="Y19" s="25">
        <f t="shared" si="26"/>
        <v>1398.521056</v>
      </c>
      <c r="Z19" s="65">
        <f>+R19-'C&amp;A'!K20-SINDICATO!P20</f>
        <v>0</v>
      </c>
      <c r="AA19" s="68">
        <f>+'C&amp;A'!K20+'C&amp;A'!I20+'C&amp;A'!G20+SINDICATO!E20-SINDICATO!F20-SINDICATO!M20-SINDICATO!N20</f>
        <v>1092.73</v>
      </c>
      <c r="AB19" s="68">
        <f t="shared" si="27"/>
        <v>-112.89159999999993</v>
      </c>
      <c r="AC19" s="133" t="s">
        <v>394</v>
      </c>
      <c r="AD19" s="133" t="s">
        <v>400</v>
      </c>
      <c r="AE19" s="133" t="s">
        <v>396</v>
      </c>
      <c r="AF19" s="133" t="s">
        <v>15</v>
      </c>
      <c r="AG19" s="133" t="s">
        <v>191</v>
      </c>
      <c r="AH19" s="175">
        <v>42326</v>
      </c>
      <c r="AI19" s="133"/>
      <c r="AJ19" s="133"/>
      <c r="AK19" s="157">
        <v>513.33000000000004</v>
      </c>
      <c r="AL19" s="133"/>
      <c r="AM19" s="157">
        <f t="shared" si="3"/>
        <v>513.33000000000004</v>
      </c>
      <c r="AN19" s="157">
        <v>513.33000000000004</v>
      </c>
      <c r="AO19" s="157"/>
      <c r="AP19" s="157"/>
      <c r="AQ19" s="173"/>
      <c r="AR19" s="151">
        <f t="shared" si="4"/>
        <v>1026.6600000000001</v>
      </c>
      <c r="AS19" s="157"/>
      <c r="AT19" s="157"/>
      <c r="AU19" s="157">
        <v>0</v>
      </c>
      <c r="AV19" s="157"/>
      <c r="AW19" s="157"/>
      <c r="AX19" s="157"/>
      <c r="AY19" s="110"/>
      <c r="AZ19" s="110"/>
      <c r="BA19" s="133"/>
      <c r="BB19" s="245">
        <f>+AR19*0.25+125</f>
        <v>381.66500000000002</v>
      </c>
      <c r="BC19" s="151">
        <f t="shared" si="29"/>
        <v>644.99500000000012</v>
      </c>
      <c r="BD19" s="110">
        <f t="shared" si="28"/>
        <v>0</v>
      </c>
      <c r="BE19" s="151">
        <f t="shared" si="6"/>
        <v>644.99500000000012</v>
      </c>
      <c r="BF19" s="110">
        <f t="shared" si="7"/>
        <v>102.66600000000001</v>
      </c>
      <c r="BG19" s="110">
        <v>10.23</v>
      </c>
      <c r="BH19" s="151">
        <f t="shared" si="8"/>
        <v>1139.556</v>
      </c>
      <c r="BI19" s="113"/>
      <c r="BJ19" s="218"/>
      <c r="BK19" s="113"/>
      <c r="BL19" s="113"/>
      <c r="BM19" s="114"/>
      <c r="BN19" s="113"/>
      <c r="BO19" s="113">
        <f>622.79+125</f>
        <v>747.79</v>
      </c>
      <c r="BP19" s="113" t="s">
        <v>620</v>
      </c>
      <c r="BQ19" s="113"/>
      <c r="BR19" s="113"/>
      <c r="BS19" s="113"/>
      <c r="BT19" s="113"/>
      <c r="BU19" s="59">
        <v>0.15</v>
      </c>
      <c r="BV19" s="59">
        <v>0</v>
      </c>
      <c r="BW19" s="59">
        <f>+BS19+BT20+BU20+BV20</f>
        <v>-0.08</v>
      </c>
      <c r="BX19" s="59">
        <f>+BR19-BW19</f>
        <v>0.08</v>
      </c>
    </row>
    <row r="20" spans="1:76" s="24" customFormat="1" ht="15.75" hidden="1" thickTop="1" x14ac:dyDescent="0.25">
      <c r="A20" s="23" t="s">
        <v>49</v>
      </c>
      <c r="B20" s="24" t="s">
        <v>50</v>
      </c>
      <c r="C20" s="25">
        <f t="shared" si="9"/>
        <v>933.33</v>
      </c>
      <c r="D20" s="25">
        <f t="shared" ref="D20:D28" si="30">+AJ22</f>
        <v>0</v>
      </c>
      <c r="E20" s="25">
        <f t="shared" si="0"/>
        <v>550</v>
      </c>
      <c r="F20" s="25">
        <f t="shared" si="1"/>
        <v>0</v>
      </c>
      <c r="G20" s="25">
        <f t="shared" si="11"/>
        <v>0</v>
      </c>
      <c r="H20" s="25">
        <f t="shared" si="12"/>
        <v>0</v>
      </c>
      <c r="I20" s="25">
        <f t="shared" si="13"/>
        <v>0</v>
      </c>
      <c r="J20" s="25">
        <f t="shared" si="14"/>
        <v>0</v>
      </c>
      <c r="K20" s="25">
        <f t="shared" si="15"/>
        <v>0</v>
      </c>
      <c r="L20" s="25">
        <f t="shared" si="16"/>
        <v>0</v>
      </c>
      <c r="M20" s="25">
        <f t="shared" si="17"/>
        <v>0</v>
      </c>
      <c r="N20" s="25">
        <f t="shared" si="18"/>
        <v>0</v>
      </c>
      <c r="O20" s="25">
        <f t="shared" si="19"/>
        <v>58.91</v>
      </c>
      <c r="P20" s="25">
        <f>+C20/7</f>
        <v>133.33285714285714</v>
      </c>
      <c r="Q20" s="25">
        <f>+'C&amp;A'!I21</f>
        <v>0</v>
      </c>
      <c r="R20" s="25">
        <f t="shared" si="20"/>
        <v>1291.0871428571427</v>
      </c>
      <c r="S20" s="25">
        <f t="shared" si="21"/>
        <v>1291.0871428571427</v>
      </c>
      <c r="T20" s="25">
        <f t="shared" si="22"/>
        <v>148.333</v>
      </c>
      <c r="U20" s="25">
        <f>+'C&amp;A'!E21*0.02</f>
        <v>10.2256</v>
      </c>
      <c r="V20" s="25">
        <f t="shared" si="23"/>
        <v>0</v>
      </c>
      <c r="W20" s="25">
        <f t="shared" si="24"/>
        <v>1449.6457428571427</v>
      </c>
      <c r="X20" s="25">
        <f t="shared" si="25"/>
        <v>231.94331885714286</v>
      </c>
      <c r="Y20" s="25">
        <f t="shared" si="26"/>
        <v>1681.5890617142857</v>
      </c>
      <c r="Z20" s="65">
        <f>+R20-'C&amp;A'!K21-SINDICATO!P21</f>
        <v>0</v>
      </c>
      <c r="AA20" s="68">
        <f>+'C&amp;A'!K21+'C&amp;A'!I21+'C&amp;A'!G21+SINDICATO!E21-SINDICATO!F21-SINDICATO!M21-SINDICATO!N21</f>
        <v>1291.0871428571427</v>
      </c>
      <c r="AB20" s="68">
        <f t="shared" si="27"/>
        <v>-158.55860000000007</v>
      </c>
      <c r="AC20" s="133" t="s">
        <v>401</v>
      </c>
      <c r="AD20" s="133" t="s">
        <v>621</v>
      </c>
      <c r="AE20" s="133"/>
      <c r="AF20" s="133" t="s">
        <v>49</v>
      </c>
      <c r="AG20" s="133" t="s">
        <v>403</v>
      </c>
      <c r="AH20" s="133"/>
      <c r="AI20" s="133"/>
      <c r="AJ20" s="133"/>
      <c r="AK20" s="157">
        <v>933.33</v>
      </c>
      <c r="AL20" s="133"/>
      <c r="AM20" s="157">
        <f t="shared" si="3"/>
        <v>933.33</v>
      </c>
      <c r="AN20" s="157">
        <v>550</v>
      </c>
      <c r="AO20" s="157"/>
      <c r="AP20" s="157"/>
      <c r="AQ20" s="173"/>
      <c r="AR20" s="151">
        <f t="shared" si="4"/>
        <v>1483.33</v>
      </c>
      <c r="AS20" s="157"/>
      <c r="AT20" s="157">
        <v>58.91</v>
      </c>
      <c r="AU20" s="157">
        <v>0</v>
      </c>
      <c r="AV20" s="157"/>
      <c r="AW20" s="157"/>
      <c r="AX20" s="157"/>
      <c r="AY20" s="110"/>
      <c r="AZ20" s="110"/>
      <c r="BA20" s="245"/>
      <c r="BB20" s="133">
        <v>0</v>
      </c>
      <c r="BC20" s="151">
        <f t="shared" si="29"/>
        <v>1424.4199999999998</v>
      </c>
      <c r="BD20" s="110">
        <f t="shared" si="28"/>
        <v>0</v>
      </c>
      <c r="BE20" s="151">
        <f t="shared" si="6"/>
        <v>1424.4199999999998</v>
      </c>
      <c r="BF20" s="110">
        <f t="shared" si="7"/>
        <v>148.333</v>
      </c>
      <c r="BG20" s="110">
        <v>10.23</v>
      </c>
      <c r="BH20" s="151">
        <f t="shared" si="8"/>
        <v>1641.893</v>
      </c>
      <c r="BI20" s="113"/>
      <c r="BJ20" s="114"/>
      <c r="BK20" s="113"/>
      <c r="BL20" s="113"/>
      <c r="BM20" s="114"/>
      <c r="BN20" s="113"/>
      <c r="BO20" s="113" t="s">
        <v>622</v>
      </c>
      <c r="BP20" s="113"/>
      <c r="BQ20" s="113"/>
      <c r="BR20" s="113"/>
      <c r="BS20" s="113"/>
      <c r="BT20" s="113"/>
      <c r="BU20" s="59">
        <v>-0.08</v>
      </c>
      <c r="BV20" s="59">
        <v>0</v>
      </c>
      <c r="BW20" s="59">
        <v>-66.12</v>
      </c>
      <c r="BX20" s="59">
        <v>577.4</v>
      </c>
    </row>
    <row r="21" spans="1:76" s="24" customFormat="1" ht="15.75" hidden="1" thickTop="1" x14ac:dyDescent="0.25">
      <c r="A21" s="23" t="s">
        <v>51</v>
      </c>
      <c r="B21" s="24" t="s">
        <v>52</v>
      </c>
      <c r="C21" s="25">
        <f t="shared" si="9"/>
        <v>513.33000000000004</v>
      </c>
      <c r="D21" s="25">
        <f t="shared" si="30"/>
        <v>0</v>
      </c>
      <c r="E21" s="25">
        <f t="shared" si="0"/>
        <v>10938.82</v>
      </c>
      <c r="F21" s="25">
        <f t="shared" si="1"/>
        <v>0</v>
      </c>
      <c r="G21" s="25">
        <f t="shared" si="11"/>
        <v>0</v>
      </c>
      <c r="H21" s="25">
        <f t="shared" si="12"/>
        <v>0</v>
      </c>
      <c r="I21" s="25">
        <f t="shared" si="13"/>
        <v>500</v>
      </c>
      <c r="J21" s="25">
        <f t="shared" si="14"/>
        <v>0</v>
      </c>
      <c r="K21" s="25">
        <f t="shared" si="15"/>
        <v>0</v>
      </c>
      <c r="L21" s="25">
        <f t="shared" si="16"/>
        <v>0</v>
      </c>
      <c r="M21" s="25">
        <f t="shared" si="17"/>
        <v>1697.06</v>
      </c>
      <c r="N21" s="25">
        <f t="shared" si="18"/>
        <v>1145.2149999999999</v>
      </c>
      <c r="O21" s="25">
        <f t="shared" si="19"/>
        <v>58.91</v>
      </c>
      <c r="P21" s="25"/>
      <c r="Q21" s="25">
        <f>+'C&amp;A'!I22</f>
        <v>167.44</v>
      </c>
      <c r="R21" s="25">
        <f t="shared" si="20"/>
        <v>7883.5250000000005</v>
      </c>
      <c r="S21" s="25">
        <f t="shared" si="21"/>
        <v>11393.24</v>
      </c>
      <c r="T21" s="25">
        <f t="shared" si="22"/>
        <v>0</v>
      </c>
      <c r="U21" s="25">
        <f>+'C&amp;A'!E22*0.02</f>
        <v>10.2256</v>
      </c>
      <c r="V21" s="25">
        <f t="shared" si="23"/>
        <v>0</v>
      </c>
      <c r="W21" s="25">
        <f t="shared" si="24"/>
        <v>11403.4656</v>
      </c>
      <c r="X21" s="25">
        <f t="shared" si="25"/>
        <v>1824.554496</v>
      </c>
      <c r="Y21" s="25">
        <f t="shared" si="26"/>
        <v>13228.020096</v>
      </c>
      <c r="Z21" s="65">
        <f>+R21-'C&amp;A'!K22-SINDICATO!P22</f>
        <v>0</v>
      </c>
      <c r="AA21" s="68">
        <f>+'C&amp;A'!K22+'C&amp;A'!I22+'C&amp;A'!G22+SINDICATO!E22-SINDICATO!F22-SINDICATO!M22-SINDICATO!N22</f>
        <v>11393.24</v>
      </c>
      <c r="AB21" s="68">
        <f t="shared" si="27"/>
        <v>-10.225599999999758</v>
      </c>
      <c r="AC21" s="133" t="s">
        <v>382</v>
      </c>
      <c r="AD21" s="133" t="s">
        <v>623</v>
      </c>
      <c r="AE21" s="133" t="s">
        <v>33</v>
      </c>
      <c r="AF21" s="133" t="s">
        <v>51</v>
      </c>
      <c r="AG21" s="133" t="s">
        <v>191</v>
      </c>
      <c r="AH21" s="133"/>
      <c r="AI21" s="133"/>
      <c r="AJ21" s="133"/>
      <c r="AK21" s="157">
        <v>513.33000000000004</v>
      </c>
      <c r="AL21" s="133"/>
      <c r="AM21" s="157">
        <f t="shared" si="3"/>
        <v>513.33000000000004</v>
      </c>
      <c r="AN21" s="157">
        <f>513.33+10425.49</f>
        <v>10938.82</v>
      </c>
      <c r="AO21" s="157"/>
      <c r="AP21" s="157"/>
      <c r="AQ21" s="173"/>
      <c r="AR21" s="151">
        <f t="shared" si="4"/>
        <v>11452.15</v>
      </c>
      <c r="AS21" s="157"/>
      <c r="AT21" s="157">
        <v>58.91</v>
      </c>
      <c r="AU21" s="157">
        <v>500</v>
      </c>
      <c r="AV21" s="157"/>
      <c r="AW21" s="157"/>
      <c r="AX21" s="157"/>
      <c r="AY21" s="110"/>
      <c r="AZ21" s="110"/>
      <c r="BA21" s="133"/>
      <c r="BB21" s="172">
        <v>1697.06</v>
      </c>
      <c r="BC21" s="151">
        <f t="shared" si="29"/>
        <v>9196.18</v>
      </c>
      <c r="BD21" s="110">
        <f t="shared" si="28"/>
        <v>1145.2149999999999</v>
      </c>
      <c r="BE21" s="151">
        <f t="shared" si="6"/>
        <v>8050.9650000000001</v>
      </c>
      <c r="BF21" s="110">
        <f t="shared" si="7"/>
        <v>0</v>
      </c>
      <c r="BG21" s="110">
        <v>10.23</v>
      </c>
      <c r="BH21" s="151">
        <f t="shared" si="8"/>
        <v>11462.38</v>
      </c>
      <c r="BI21" s="113"/>
      <c r="BJ21" s="114"/>
      <c r="BK21" s="113"/>
      <c r="BL21" s="113"/>
      <c r="BM21" s="114"/>
      <c r="BN21" s="113"/>
      <c r="BO21" s="113"/>
      <c r="BP21" s="113"/>
      <c r="BQ21" s="113"/>
      <c r="BR21" s="113"/>
      <c r="BS21" s="113"/>
      <c r="BT21" s="113"/>
      <c r="BU21" s="174">
        <v>-0.05</v>
      </c>
      <c r="BV21" s="59">
        <v>0</v>
      </c>
      <c r="BW21" s="59">
        <v>-66.12</v>
      </c>
      <c r="BX21" s="59">
        <v>577.4</v>
      </c>
    </row>
    <row r="22" spans="1:76" s="24" customFormat="1" ht="15.75" hidden="1" thickTop="1" x14ac:dyDescent="0.25">
      <c r="A22" s="23" t="s">
        <v>295</v>
      </c>
      <c r="B22" s="24" t="s">
        <v>53</v>
      </c>
      <c r="C22" s="25">
        <f t="shared" si="9"/>
        <v>1166.26</v>
      </c>
      <c r="D22" s="25">
        <f t="shared" si="30"/>
        <v>0</v>
      </c>
      <c r="E22" s="25">
        <f t="shared" si="0"/>
        <v>0</v>
      </c>
      <c r="F22" s="25">
        <f t="shared" si="1"/>
        <v>0</v>
      </c>
      <c r="G22" s="25">
        <f t="shared" si="11"/>
        <v>0</v>
      </c>
      <c r="H22" s="25">
        <f t="shared" si="12"/>
        <v>0</v>
      </c>
      <c r="I22" s="25">
        <f t="shared" si="13"/>
        <v>0</v>
      </c>
      <c r="J22" s="25">
        <f t="shared" si="14"/>
        <v>0</v>
      </c>
      <c r="K22" s="25">
        <f t="shared" si="15"/>
        <v>0</v>
      </c>
      <c r="L22" s="25">
        <f t="shared" si="16"/>
        <v>0</v>
      </c>
      <c r="M22" s="25">
        <f t="shared" si="17"/>
        <v>0</v>
      </c>
      <c r="N22" s="25">
        <f t="shared" si="18"/>
        <v>0</v>
      </c>
      <c r="O22" s="25">
        <f t="shared" si="19"/>
        <v>0</v>
      </c>
      <c r="P22" s="25"/>
      <c r="Q22" s="25">
        <f>+'C&amp;A'!I23</f>
        <v>0</v>
      </c>
      <c r="R22" s="25">
        <f t="shared" si="20"/>
        <v>1166.26</v>
      </c>
      <c r="S22" s="25">
        <f t="shared" si="21"/>
        <v>1166.26</v>
      </c>
      <c r="T22" s="25">
        <f t="shared" si="22"/>
        <v>116.626</v>
      </c>
      <c r="U22" s="25">
        <f>+'C&amp;A'!E23*0.02</f>
        <v>10.2256</v>
      </c>
      <c r="V22" s="25">
        <f t="shared" si="23"/>
        <v>0</v>
      </c>
      <c r="W22" s="25">
        <f t="shared" si="24"/>
        <v>1293.1116</v>
      </c>
      <c r="X22" s="25">
        <f t="shared" si="25"/>
        <v>206.89785599999999</v>
      </c>
      <c r="Y22" s="25">
        <f t="shared" si="26"/>
        <v>1500.009456</v>
      </c>
      <c r="Z22" s="65">
        <f>+R22-'C&amp;A'!K23-SINDICATO!P23</f>
        <v>0</v>
      </c>
      <c r="AA22" s="68">
        <f>+'C&amp;A'!K23+'C&amp;A'!I23+'C&amp;A'!G23+SINDICATO!E23-SINDICATO!F23-SINDICATO!M23-SINDICATO!N23</f>
        <v>1166.26</v>
      </c>
      <c r="AB22" s="68">
        <f t="shared" si="27"/>
        <v>-126.85159999999996</v>
      </c>
      <c r="AC22" s="133" t="s">
        <v>380</v>
      </c>
      <c r="AD22" s="133" t="s">
        <v>405</v>
      </c>
      <c r="AE22" s="133"/>
      <c r="AF22" s="133" t="s">
        <v>181</v>
      </c>
      <c r="AG22" s="133" t="s">
        <v>180</v>
      </c>
      <c r="AH22" s="133"/>
      <c r="AI22" s="133"/>
      <c r="AJ22" s="133"/>
      <c r="AK22" s="157">
        <v>1166.26</v>
      </c>
      <c r="AL22" s="172"/>
      <c r="AM22" s="157">
        <f t="shared" si="3"/>
        <v>1166.26</v>
      </c>
      <c r="AN22" s="157"/>
      <c r="AO22" s="157"/>
      <c r="AP22" s="157"/>
      <c r="AQ22" s="173"/>
      <c r="AR22" s="151">
        <f t="shared" si="4"/>
        <v>1166.26</v>
      </c>
      <c r="AS22" s="157"/>
      <c r="AT22" s="157"/>
      <c r="AU22" s="157">
        <v>0</v>
      </c>
      <c r="AV22" s="157"/>
      <c r="AW22" s="157"/>
      <c r="AX22" s="157"/>
      <c r="AY22" s="110"/>
      <c r="AZ22" s="110"/>
      <c r="BA22" s="133"/>
      <c r="BB22" s="133">
        <v>0</v>
      </c>
      <c r="BC22" s="151">
        <f t="shared" si="29"/>
        <v>1166.26</v>
      </c>
      <c r="BD22" s="110">
        <f t="shared" si="28"/>
        <v>0</v>
      </c>
      <c r="BE22" s="151">
        <f t="shared" si="6"/>
        <v>1166.26</v>
      </c>
      <c r="BF22" s="110">
        <f t="shared" si="7"/>
        <v>116.626</v>
      </c>
      <c r="BG22" s="110">
        <v>10.23</v>
      </c>
      <c r="BH22" s="151">
        <f t="shared" si="8"/>
        <v>1293.116</v>
      </c>
      <c r="BI22" s="113"/>
      <c r="BJ22" s="114"/>
      <c r="BK22" s="113"/>
      <c r="BL22" s="113"/>
      <c r="BM22" s="114"/>
      <c r="BN22" s="113"/>
      <c r="BO22" s="113"/>
      <c r="BP22" s="113"/>
      <c r="BQ22" s="113"/>
      <c r="BR22" s="113"/>
      <c r="BS22" s="113"/>
      <c r="BT22" s="113"/>
      <c r="BU22" s="174">
        <v>-0.05</v>
      </c>
      <c r="BV22" s="59">
        <v>0</v>
      </c>
      <c r="BW22" s="59">
        <v>-66.12</v>
      </c>
      <c r="BX22" s="59">
        <v>577.4</v>
      </c>
    </row>
    <row r="23" spans="1:76" s="24" customFormat="1" ht="15.75" hidden="1" thickTop="1" x14ac:dyDescent="0.25">
      <c r="A23" s="23" t="s">
        <v>54</v>
      </c>
      <c r="B23" s="24" t="s">
        <v>55</v>
      </c>
      <c r="C23" s="25">
        <f t="shared" si="9"/>
        <v>511.28</v>
      </c>
      <c r="D23" s="25">
        <f t="shared" si="30"/>
        <v>0</v>
      </c>
      <c r="E23" s="25">
        <f t="shared" si="0"/>
        <v>2243.33</v>
      </c>
      <c r="F23" s="25">
        <f t="shared" si="1"/>
        <v>0</v>
      </c>
      <c r="G23" s="25">
        <f t="shared" si="11"/>
        <v>0</v>
      </c>
      <c r="H23" s="25">
        <f t="shared" si="12"/>
        <v>0</v>
      </c>
      <c r="I23" s="25">
        <f t="shared" si="13"/>
        <v>0</v>
      </c>
      <c r="J23" s="25">
        <f t="shared" si="14"/>
        <v>134.97588999999999</v>
      </c>
      <c r="K23" s="25">
        <f t="shared" si="15"/>
        <v>27.546099999999996</v>
      </c>
      <c r="L23" s="25">
        <f t="shared" si="16"/>
        <v>0</v>
      </c>
      <c r="M23" s="25">
        <f t="shared" si="17"/>
        <v>0</v>
      </c>
      <c r="N23" s="25">
        <f t="shared" si="18"/>
        <v>0</v>
      </c>
      <c r="O23" s="25">
        <f t="shared" si="19"/>
        <v>0</v>
      </c>
      <c r="P23" s="25"/>
      <c r="Q23" s="25">
        <f>+'C&amp;A'!I24</f>
        <v>0</v>
      </c>
      <c r="R23" s="25">
        <f t="shared" si="20"/>
        <v>2592.0880099999995</v>
      </c>
      <c r="S23" s="25">
        <f t="shared" si="21"/>
        <v>2754.6099999999997</v>
      </c>
      <c r="T23" s="25">
        <f t="shared" si="22"/>
        <v>275.46099999999996</v>
      </c>
      <c r="U23" s="25">
        <f>+'C&amp;A'!E24*0.02</f>
        <v>10.2256</v>
      </c>
      <c r="V23" s="25">
        <f t="shared" si="23"/>
        <v>134.97588999999999</v>
      </c>
      <c r="W23" s="25">
        <f t="shared" si="24"/>
        <v>3175.2724899999998</v>
      </c>
      <c r="X23" s="25">
        <f t="shared" si="25"/>
        <v>508.04359840000001</v>
      </c>
      <c r="Y23" s="25">
        <f t="shared" si="26"/>
        <v>3683.3160883999999</v>
      </c>
      <c r="Z23" s="65">
        <f>+R23-'C&amp;A'!K24-SINDICATO!P24</f>
        <v>0</v>
      </c>
      <c r="AA23" s="68">
        <f>+'C&amp;A'!K24+'C&amp;A'!I24+'C&amp;A'!G24+SINDICATO!E24-SINDICATO!F24-SINDICATO!M24-SINDICATO!N24</f>
        <v>2754.6099999999997</v>
      </c>
      <c r="AB23" s="68">
        <f t="shared" si="27"/>
        <v>-420.66249000000016</v>
      </c>
      <c r="AC23" s="133" t="s">
        <v>386</v>
      </c>
      <c r="AD23" s="133" t="s">
        <v>406</v>
      </c>
      <c r="AE23" s="133"/>
      <c r="AF23" s="133" t="s">
        <v>54</v>
      </c>
      <c r="AG23" s="133" t="s">
        <v>182</v>
      </c>
      <c r="AH23" s="133"/>
      <c r="AI23" s="133"/>
      <c r="AJ23" s="133"/>
      <c r="AK23" s="157">
        <v>511.28</v>
      </c>
      <c r="AL23" s="133"/>
      <c r="AM23" s="157">
        <f t="shared" si="3"/>
        <v>511.28</v>
      </c>
      <c r="AN23" s="157">
        <v>2243.33</v>
      </c>
      <c r="AO23" s="157"/>
      <c r="AP23" s="157"/>
      <c r="AQ23" s="173"/>
      <c r="AR23" s="151">
        <f t="shared" si="4"/>
        <v>2754.6099999999997</v>
      </c>
      <c r="AS23" s="157"/>
      <c r="AT23" s="157"/>
      <c r="AU23" s="157">
        <v>0</v>
      </c>
      <c r="AV23" s="157">
        <f>AR23*4.9%</f>
        <v>134.97588999999999</v>
      </c>
      <c r="AW23" s="157">
        <f>AR23*1%</f>
        <v>27.546099999999996</v>
      </c>
      <c r="AX23" s="157"/>
      <c r="AY23" s="110"/>
      <c r="AZ23" s="110"/>
      <c r="BA23" s="133"/>
      <c r="BB23" s="133">
        <v>0</v>
      </c>
      <c r="BC23" s="151">
        <f t="shared" si="29"/>
        <v>2592.0880099999995</v>
      </c>
      <c r="BD23" s="110">
        <f t="shared" si="28"/>
        <v>0</v>
      </c>
      <c r="BE23" s="151">
        <f t="shared" si="6"/>
        <v>2592.0880099999995</v>
      </c>
      <c r="BF23" s="110">
        <f t="shared" si="7"/>
        <v>275.46099999999996</v>
      </c>
      <c r="BG23" s="110">
        <v>10.23</v>
      </c>
      <c r="BH23" s="151">
        <f t="shared" si="8"/>
        <v>3040.3009999999995</v>
      </c>
      <c r="BI23" s="113"/>
      <c r="BJ23" s="114"/>
      <c r="BK23" s="113"/>
      <c r="BL23" s="113"/>
      <c r="BM23" s="114"/>
      <c r="BN23" s="113"/>
      <c r="BO23" s="113"/>
      <c r="BP23" s="113"/>
      <c r="BQ23" s="113"/>
      <c r="BR23" s="113"/>
      <c r="BS23" s="113"/>
      <c r="BT23" s="113"/>
      <c r="BU23" s="174">
        <v>-0.05</v>
      </c>
      <c r="BV23" s="59">
        <v>0</v>
      </c>
      <c r="BW23" s="59">
        <v>204.08</v>
      </c>
      <c r="BX23" s="59">
        <v>307.2</v>
      </c>
    </row>
    <row r="24" spans="1:76" s="24" customFormat="1" ht="15.75" hidden="1" thickTop="1" x14ac:dyDescent="0.25">
      <c r="A24" s="23" t="s">
        <v>16</v>
      </c>
      <c r="B24" s="24" t="s">
        <v>56</v>
      </c>
      <c r="C24" s="25">
        <f t="shared" si="9"/>
        <v>1633.33</v>
      </c>
      <c r="D24" s="25">
        <f t="shared" si="30"/>
        <v>0</v>
      </c>
      <c r="E24" s="25">
        <f t="shared" si="0"/>
        <v>13971.02</v>
      </c>
      <c r="F24" s="25">
        <f t="shared" si="1"/>
        <v>0</v>
      </c>
      <c r="G24" s="25">
        <f t="shared" si="11"/>
        <v>0</v>
      </c>
      <c r="H24" s="25">
        <f t="shared" si="12"/>
        <v>205.7</v>
      </c>
      <c r="I24" s="25">
        <f t="shared" si="13"/>
        <v>700</v>
      </c>
      <c r="J24" s="25">
        <f t="shared" si="14"/>
        <v>0</v>
      </c>
      <c r="K24" s="25">
        <f t="shared" si="15"/>
        <v>0</v>
      </c>
      <c r="L24" s="25">
        <f t="shared" si="16"/>
        <v>0</v>
      </c>
      <c r="M24" s="25">
        <f t="shared" si="17"/>
        <v>0</v>
      </c>
      <c r="N24" s="25">
        <f t="shared" si="18"/>
        <v>1560.4350000000002</v>
      </c>
      <c r="O24" s="25">
        <f t="shared" si="19"/>
        <v>0</v>
      </c>
      <c r="P24" s="25"/>
      <c r="Q24" s="25">
        <f>+'C&amp;A'!I25</f>
        <v>0</v>
      </c>
      <c r="R24" s="25">
        <f t="shared" si="20"/>
        <v>13138.215</v>
      </c>
      <c r="S24" s="25">
        <f t="shared" si="21"/>
        <v>15398.65</v>
      </c>
      <c r="T24" s="25">
        <f t="shared" si="22"/>
        <v>0</v>
      </c>
      <c r="U24" s="25">
        <f>+'C&amp;A'!E25*0.02</f>
        <v>10.2256</v>
      </c>
      <c r="V24" s="25">
        <f t="shared" si="23"/>
        <v>0</v>
      </c>
      <c r="W24" s="25">
        <f t="shared" si="24"/>
        <v>15408.875599999999</v>
      </c>
      <c r="X24" s="25">
        <f t="shared" si="25"/>
        <v>2465.4200959999998</v>
      </c>
      <c r="Y24" s="25">
        <f t="shared" si="26"/>
        <v>17874.295696000001</v>
      </c>
      <c r="Z24" s="65">
        <f>+R24-'C&amp;A'!K25-SINDICATO!P25</f>
        <v>0</v>
      </c>
      <c r="AA24" s="68">
        <f>+'C&amp;A'!K25+'C&amp;A'!I25+'C&amp;A'!G25+SINDICATO!E25-SINDICATO!F25-SINDICATO!M25-SINDICATO!N25</f>
        <v>15398.65</v>
      </c>
      <c r="AB24" s="68">
        <f t="shared" si="27"/>
        <v>-10.225599999999758</v>
      </c>
      <c r="AC24" s="133" t="s">
        <v>382</v>
      </c>
      <c r="AD24" s="133" t="s">
        <v>624</v>
      </c>
      <c r="AE24" s="133" t="s">
        <v>384</v>
      </c>
      <c r="AF24" s="133">
        <v>18</v>
      </c>
      <c r="AG24" s="133" t="s">
        <v>408</v>
      </c>
      <c r="AH24" s="133"/>
      <c r="AI24" s="133"/>
      <c r="AJ24" s="133"/>
      <c r="AK24" s="157">
        <v>1633.33</v>
      </c>
      <c r="AL24" s="133"/>
      <c r="AM24" s="157">
        <f t="shared" si="3"/>
        <v>1633.33</v>
      </c>
      <c r="AN24" s="157">
        <v>13971.02</v>
      </c>
      <c r="AO24" s="157"/>
      <c r="AP24" s="157"/>
      <c r="AQ24" s="173"/>
      <c r="AR24" s="151">
        <f t="shared" si="4"/>
        <v>15604.35</v>
      </c>
      <c r="AS24" s="157"/>
      <c r="AT24" s="157"/>
      <c r="AU24" s="157">
        <v>700</v>
      </c>
      <c r="AV24" s="157"/>
      <c r="AW24" s="157"/>
      <c r="AX24" s="157"/>
      <c r="AY24" s="110"/>
      <c r="AZ24" s="110"/>
      <c r="BA24" s="133">
        <v>205.7</v>
      </c>
      <c r="BB24" s="133">
        <v>0</v>
      </c>
      <c r="BC24" s="151">
        <f t="shared" si="29"/>
        <v>14698.65</v>
      </c>
      <c r="BD24" s="110">
        <f t="shared" si="28"/>
        <v>1560.4350000000002</v>
      </c>
      <c r="BE24" s="151">
        <f t="shared" si="6"/>
        <v>13138.215</v>
      </c>
      <c r="BF24" s="110">
        <f t="shared" si="7"/>
        <v>0</v>
      </c>
      <c r="BG24" s="110">
        <v>10.23</v>
      </c>
      <c r="BH24" s="151">
        <f t="shared" si="8"/>
        <v>15614.58</v>
      </c>
      <c r="BI24" s="113"/>
      <c r="BJ24" s="114"/>
      <c r="BK24" s="113"/>
      <c r="BL24" s="113"/>
      <c r="BM24" s="114"/>
      <c r="BN24" s="113"/>
      <c r="BO24" s="113"/>
      <c r="BP24" s="113"/>
      <c r="BQ24" s="113"/>
      <c r="BR24" s="113"/>
      <c r="BS24" s="113"/>
      <c r="BT24" s="113"/>
      <c r="BU24" s="59">
        <v>0</v>
      </c>
      <c r="BV24" s="59">
        <v>167.44</v>
      </c>
      <c r="BW24" s="59">
        <v>-66.12</v>
      </c>
      <c r="BX24" s="59">
        <v>577.4</v>
      </c>
    </row>
    <row r="25" spans="1:76" s="24" customFormat="1" ht="15.75" hidden="1" thickTop="1" x14ac:dyDescent="0.25">
      <c r="A25" s="23" t="s">
        <v>57</v>
      </c>
      <c r="B25" s="24" t="s">
        <v>58</v>
      </c>
      <c r="C25" s="25">
        <f t="shared" si="9"/>
        <v>1100</v>
      </c>
      <c r="D25" s="25">
        <f t="shared" si="30"/>
        <v>0</v>
      </c>
      <c r="E25" s="25">
        <f t="shared" si="0"/>
        <v>314.3</v>
      </c>
      <c r="F25" s="25">
        <f t="shared" si="1"/>
        <v>0</v>
      </c>
      <c r="G25" s="25">
        <f t="shared" si="11"/>
        <v>0</v>
      </c>
      <c r="H25" s="25">
        <f t="shared" si="12"/>
        <v>0</v>
      </c>
      <c r="I25" s="25">
        <f t="shared" si="13"/>
        <v>14.143000000000001</v>
      </c>
      <c r="J25" s="25">
        <f t="shared" si="14"/>
        <v>69.300700000000006</v>
      </c>
      <c r="K25" s="25">
        <f t="shared" si="15"/>
        <v>0</v>
      </c>
      <c r="L25" s="25">
        <f t="shared" si="16"/>
        <v>0</v>
      </c>
      <c r="M25" s="25">
        <f t="shared" si="17"/>
        <v>0</v>
      </c>
      <c r="N25" s="25">
        <f t="shared" si="18"/>
        <v>0</v>
      </c>
      <c r="O25" s="25">
        <f t="shared" si="19"/>
        <v>0</v>
      </c>
      <c r="P25" s="25"/>
      <c r="Q25" s="25">
        <f>+'C&amp;A'!I26</f>
        <v>0</v>
      </c>
      <c r="R25" s="25">
        <f t="shared" si="20"/>
        <v>1330.8562999999999</v>
      </c>
      <c r="S25" s="25">
        <f t="shared" si="21"/>
        <v>1414.3</v>
      </c>
      <c r="T25" s="25">
        <f t="shared" si="22"/>
        <v>141.43</v>
      </c>
      <c r="U25" s="25">
        <f>+'C&amp;A'!E26*0.02</f>
        <v>10.2256</v>
      </c>
      <c r="V25" s="25">
        <f t="shared" si="23"/>
        <v>69.300700000000006</v>
      </c>
      <c r="W25" s="25">
        <f t="shared" si="24"/>
        <v>1635.2563</v>
      </c>
      <c r="X25" s="25">
        <f t="shared" si="25"/>
        <v>261.641008</v>
      </c>
      <c r="Y25" s="25">
        <f t="shared" si="26"/>
        <v>1896.8973080000001</v>
      </c>
      <c r="Z25" s="65">
        <f>+R25-'C&amp;A'!K26-SINDICATO!P26</f>
        <v>0</v>
      </c>
      <c r="AA25" s="68">
        <f>+'C&amp;A'!K26+'C&amp;A'!I26+'C&amp;A'!G26+SINDICATO!E26-SINDICATO!F26-SINDICATO!M26-SINDICATO!N26</f>
        <v>1414.3</v>
      </c>
      <c r="AB25" s="68">
        <f t="shared" si="27"/>
        <v>-220.95630000000006</v>
      </c>
      <c r="AC25" s="133" t="s">
        <v>386</v>
      </c>
      <c r="AD25" s="133" t="s">
        <v>625</v>
      </c>
      <c r="AE25" s="133"/>
      <c r="AF25" s="133" t="s">
        <v>57</v>
      </c>
      <c r="AG25" s="133" t="s">
        <v>410</v>
      </c>
      <c r="AH25" s="133"/>
      <c r="AI25" s="133"/>
      <c r="AJ25" s="133"/>
      <c r="AK25" s="157">
        <v>1100</v>
      </c>
      <c r="AL25" s="133"/>
      <c r="AM25" s="157">
        <f t="shared" si="3"/>
        <v>1100</v>
      </c>
      <c r="AN25" s="157">
        <v>314.3</v>
      </c>
      <c r="AO25" s="157"/>
      <c r="AP25" s="157"/>
      <c r="AQ25" s="173"/>
      <c r="AR25" s="151">
        <f t="shared" si="4"/>
        <v>1414.3</v>
      </c>
      <c r="AS25" s="157"/>
      <c r="AT25" s="157"/>
      <c r="AU25" s="157">
        <f>+AR25*1%</f>
        <v>14.143000000000001</v>
      </c>
      <c r="AV25" s="157">
        <f>+AR25*4.9%</f>
        <v>69.300700000000006</v>
      </c>
      <c r="AW25" s="157"/>
      <c r="AX25" s="157"/>
      <c r="AY25" s="110"/>
      <c r="AZ25" s="110"/>
      <c r="BA25" s="133"/>
      <c r="BB25" s="133">
        <v>0</v>
      </c>
      <c r="BC25" s="151">
        <f t="shared" si="29"/>
        <v>1330.8562999999999</v>
      </c>
      <c r="BD25" s="110">
        <f t="shared" si="28"/>
        <v>0</v>
      </c>
      <c r="BE25" s="151">
        <f t="shared" si="6"/>
        <v>1330.8562999999999</v>
      </c>
      <c r="BF25" s="110">
        <f t="shared" si="7"/>
        <v>141.43</v>
      </c>
      <c r="BG25" s="110">
        <v>10.23</v>
      </c>
      <c r="BH25" s="151">
        <f t="shared" si="8"/>
        <v>1565.96</v>
      </c>
      <c r="BI25" s="113"/>
      <c r="BJ25" s="114"/>
      <c r="BK25" s="113"/>
      <c r="BL25" s="113"/>
      <c r="BM25" s="114"/>
      <c r="BN25" s="113"/>
      <c r="BO25" s="113"/>
      <c r="BP25" s="113"/>
      <c r="BQ25" s="113"/>
      <c r="BR25" s="113"/>
      <c r="BS25" s="113"/>
      <c r="BT25" s="113"/>
      <c r="BU25" s="174">
        <v>-0.05</v>
      </c>
      <c r="BV25" s="59">
        <v>0</v>
      </c>
      <c r="BW25" s="59">
        <v>-65.92</v>
      </c>
      <c r="BX25" s="59">
        <v>577.20000000000005</v>
      </c>
    </row>
    <row r="26" spans="1:76" s="24" customFormat="1" ht="15.75" hidden="1" thickTop="1" x14ac:dyDescent="0.25">
      <c r="A26" s="23" t="s">
        <v>59</v>
      </c>
      <c r="B26" s="24" t="s">
        <v>60</v>
      </c>
      <c r="C26" s="25">
        <f t="shared" si="9"/>
        <v>933.33</v>
      </c>
      <c r="D26" s="25">
        <f t="shared" si="30"/>
        <v>0</v>
      </c>
      <c r="E26" s="25">
        <f t="shared" si="0"/>
        <v>550</v>
      </c>
      <c r="F26" s="25">
        <f t="shared" si="1"/>
        <v>0</v>
      </c>
      <c r="G26" s="25">
        <f t="shared" si="11"/>
        <v>0</v>
      </c>
      <c r="H26" s="25">
        <f t="shared" si="12"/>
        <v>0</v>
      </c>
      <c r="I26" s="25">
        <f t="shared" si="13"/>
        <v>0</v>
      </c>
      <c r="J26" s="25">
        <f t="shared" si="14"/>
        <v>0</v>
      </c>
      <c r="K26" s="25">
        <f t="shared" si="15"/>
        <v>0</v>
      </c>
      <c r="L26" s="25">
        <f t="shared" si="16"/>
        <v>0</v>
      </c>
      <c r="M26" s="25">
        <f t="shared" si="17"/>
        <v>506.20000000000005</v>
      </c>
      <c r="N26" s="25">
        <f t="shared" si="18"/>
        <v>0</v>
      </c>
      <c r="O26" s="25">
        <f t="shared" si="19"/>
        <v>38.28</v>
      </c>
      <c r="P26" s="25">
        <f>+C26/7</f>
        <v>133.33285714285714</v>
      </c>
      <c r="Q26" s="25">
        <f>+'C&amp;A'!I27</f>
        <v>0</v>
      </c>
      <c r="R26" s="25">
        <f t="shared" si="20"/>
        <v>805.51714285714274</v>
      </c>
      <c r="S26" s="25">
        <f t="shared" si="21"/>
        <v>1311.7171428571428</v>
      </c>
      <c r="T26" s="25">
        <f t="shared" si="22"/>
        <v>148.333</v>
      </c>
      <c r="U26" s="25">
        <f>+'C&amp;A'!E27*0.02</f>
        <v>10.2256</v>
      </c>
      <c r="V26" s="25">
        <f t="shared" si="23"/>
        <v>0</v>
      </c>
      <c r="W26" s="25">
        <f t="shared" si="24"/>
        <v>1470.2757428571429</v>
      </c>
      <c r="X26" s="25">
        <f t="shared" si="25"/>
        <v>235.24411885714287</v>
      </c>
      <c r="Y26" s="25">
        <f t="shared" si="26"/>
        <v>1705.5198617142858</v>
      </c>
      <c r="Z26" s="65">
        <f>+R26-'C&amp;A'!K27-SINDICATO!P27</f>
        <v>0</v>
      </c>
      <c r="AA26" s="68">
        <f>+'C&amp;A'!K27+'C&amp;A'!I27+'C&amp;A'!G27+SINDICATO!E27-SINDICATO!F27-SINDICATO!M27-SINDICATO!N27</f>
        <v>1311.7171428571428</v>
      </c>
      <c r="AB26" s="68">
        <f t="shared" si="27"/>
        <v>-158.55860000000007</v>
      </c>
      <c r="AC26" s="133" t="s">
        <v>401</v>
      </c>
      <c r="AD26" s="133" t="s">
        <v>411</v>
      </c>
      <c r="AE26" s="133"/>
      <c r="AF26" s="133" t="s">
        <v>59</v>
      </c>
      <c r="AG26" s="133" t="s">
        <v>403</v>
      </c>
      <c r="AH26" s="133"/>
      <c r="AI26" s="133"/>
      <c r="AJ26" s="133"/>
      <c r="AK26" s="157">
        <v>933.33</v>
      </c>
      <c r="AL26" s="133"/>
      <c r="AM26" s="157">
        <f t="shared" si="3"/>
        <v>933.33</v>
      </c>
      <c r="AN26" s="157">
        <v>550</v>
      </c>
      <c r="AO26" s="157"/>
      <c r="AP26" s="157"/>
      <c r="AQ26" s="173"/>
      <c r="AR26" s="151">
        <f t="shared" si="4"/>
        <v>1483.33</v>
      </c>
      <c r="AS26" s="157"/>
      <c r="AT26" s="157">
        <v>38.28</v>
      </c>
      <c r="AU26" s="157">
        <v>0</v>
      </c>
      <c r="AV26" s="157"/>
      <c r="AW26" s="157"/>
      <c r="AX26" s="157"/>
      <c r="AY26" s="110"/>
      <c r="AZ26" s="110"/>
      <c r="BA26" s="133"/>
      <c r="BB26" s="133">
        <f>357.73+148.47</f>
        <v>506.20000000000005</v>
      </c>
      <c r="BC26" s="151">
        <f t="shared" si="29"/>
        <v>938.84999999999991</v>
      </c>
      <c r="BD26" s="110">
        <f t="shared" si="28"/>
        <v>0</v>
      </c>
      <c r="BE26" s="151">
        <f t="shared" si="6"/>
        <v>938.84999999999991</v>
      </c>
      <c r="BF26" s="110">
        <f t="shared" si="7"/>
        <v>148.333</v>
      </c>
      <c r="BG26" s="110">
        <v>10.23</v>
      </c>
      <c r="BH26" s="151">
        <f t="shared" si="8"/>
        <v>1641.893</v>
      </c>
      <c r="BI26" s="113"/>
      <c r="BJ26" s="114"/>
      <c r="BK26" s="113"/>
      <c r="BL26" s="113"/>
      <c r="BM26" s="114"/>
      <c r="BN26" s="113"/>
      <c r="BO26" s="113" t="s">
        <v>622</v>
      </c>
      <c r="BP26" s="113"/>
      <c r="BQ26" s="113"/>
      <c r="BR26" s="113"/>
      <c r="BS26" s="113"/>
      <c r="BT26" s="113"/>
      <c r="BU26" s="59">
        <v>0.15</v>
      </c>
      <c r="BV26" s="59">
        <v>0</v>
      </c>
      <c r="BW26" s="59">
        <v>-66.12</v>
      </c>
      <c r="BX26" s="59">
        <v>577.4</v>
      </c>
    </row>
    <row r="27" spans="1:76" s="24" customFormat="1" ht="15.75" hidden="1" thickTop="1" x14ac:dyDescent="0.25">
      <c r="A27" s="23" t="s">
        <v>61</v>
      </c>
      <c r="B27" s="24" t="s">
        <v>62</v>
      </c>
      <c r="C27" s="25">
        <f t="shared" si="9"/>
        <v>1166.6600000000001</v>
      </c>
      <c r="D27" s="25">
        <f t="shared" si="30"/>
        <v>0</v>
      </c>
      <c r="E27" s="25">
        <f t="shared" si="0"/>
        <v>4292.4400000000005</v>
      </c>
      <c r="F27" s="25">
        <f t="shared" si="1"/>
        <v>0</v>
      </c>
      <c r="G27" s="25">
        <f t="shared" si="11"/>
        <v>0</v>
      </c>
      <c r="H27" s="25">
        <f t="shared" si="12"/>
        <v>0</v>
      </c>
      <c r="I27" s="25">
        <f t="shared" si="13"/>
        <v>0</v>
      </c>
      <c r="J27" s="25">
        <f t="shared" si="14"/>
        <v>0</v>
      </c>
      <c r="K27" s="25">
        <f t="shared" si="15"/>
        <v>0</v>
      </c>
      <c r="L27" s="25">
        <f t="shared" si="16"/>
        <v>0</v>
      </c>
      <c r="M27" s="25">
        <f t="shared" si="17"/>
        <v>797.62</v>
      </c>
      <c r="N27" s="25">
        <f t="shared" si="18"/>
        <v>545.91000000000008</v>
      </c>
      <c r="O27" s="25">
        <f t="shared" si="19"/>
        <v>0</v>
      </c>
      <c r="P27" s="25"/>
      <c r="Q27" s="25">
        <f>+'C&amp;A'!I28</f>
        <v>0</v>
      </c>
      <c r="R27" s="25">
        <f t="shared" si="20"/>
        <v>4115.5700000000006</v>
      </c>
      <c r="S27" s="25">
        <f t="shared" si="21"/>
        <v>5459.1</v>
      </c>
      <c r="T27" s="25">
        <f t="shared" si="22"/>
        <v>0</v>
      </c>
      <c r="U27" s="25">
        <f>+'C&amp;A'!E28*0.02</f>
        <v>10.2256</v>
      </c>
      <c r="V27" s="25">
        <f t="shared" si="23"/>
        <v>0</v>
      </c>
      <c r="W27" s="25">
        <f t="shared" si="24"/>
        <v>5469.3256000000001</v>
      </c>
      <c r="X27" s="25">
        <f t="shared" si="25"/>
        <v>875.09209600000008</v>
      </c>
      <c r="Y27" s="25">
        <f t="shared" si="26"/>
        <v>6344.4176960000004</v>
      </c>
      <c r="Z27" s="65">
        <f>+R27-'C&amp;A'!K28-SINDICATO!P28</f>
        <v>0</v>
      </c>
      <c r="AA27" s="68">
        <f>+'C&amp;A'!K28+'C&amp;A'!I28+'C&amp;A'!G28+SINDICATO!E28-SINDICATO!F28-SINDICATO!M28-SINDICATO!N28</f>
        <v>5459.1</v>
      </c>
      <c r="AB27" s="68">
        <f t="shared" si="27"/>
        <v>-10.225599999999758</v>
      </c>
      <c r="AC27" s="133" t="s">
        <v>394</v>
      </c>
      <c r="AD27" s="133" t="s">
        <v>412</v>
      </c>
      <c r="AE27" s="133" t="s">
        <v>396</v>
      </c>
      <c r="AF27" s="133" t="s">
        <v>61</v>
      </c>
      <c r="AG27" s="133" t="s">
        <v>191</v>
      </c>
      <c r="AH27" s="175">
        <v>42432</v>
      </c>
      <c r="AI27" s="133"/>
      <c r="AJ27" s="133"/>
      <c r="AK27" s="157">
        <v>513.33000000000004</v>
      </c>
      <c r="AL27" s="133">
        <v>653.33000000000004</v>
      </c>
      <c r="AM27" s="157">
        <f t="shared" si="3"/>
        <v>1166.6600000000001</v>
      </c>
      <c r="AN27" s="157">
        <f>1792.44+1000+1500</f>
        <v>4292.4400000000005</v>
      </c>
      <c r="AO27" s="157"/>
      <c r="AP27" s="157"/>
      <c r="AQ27" s="173"/>
      <c r="AR27" s="151">
        <f t="shared" si="4"/>
        <v>5459.1</v>
      </c>
      <c r="AS27" s="157"/>
      <c r="AT27" s="157"/>
      <c r="AU27" s="157">
        <v>0</v>
      </c>
      <c r="AV27" s="157"/>
      <c r="AW27" s="157"/>
      <c r="AX27" s="157"/>
      <c r="AY27" s="110"/>
      <c r="AZ27" s="110"/>
      <c r="BA27" s="133"/>
      <c r="BB27" s="133">
        <f>797.62</f>
        <v>797.62</v>
      </c>
      <c r="BC27" s="151">
        <f t="shared" si="29"/>
        <v>4661.4800000000005</v>
      </c>
      <c r="BD27" s="110">
        <f t="shared" si="28"/>
        <v>545.91000000000008</v>
      </c>
      <c r="BE27" s="151">
        <f t="shared" si="6"/>
        <v>4115.5700000000006</v>
      </c>
      <c r="BF27" s="110">
        <f t="shared" si="7"/>
        <v>0</v>
      </c>
      <c r="BG27" s="110">
        <v>10.23</v>
      </c>
      <c r="BH27" s="151">
        <f t="shared" si="8"/>
        <v>5469.33</v>
      </c>
      <c r="BI27" s="113"/>
      <c r="BJ27" s="114"/>
      <c r="BK27" s="113"/>
      <c r="BL27" s="113"/>
      <c r="BM27" s="114"/>
      <c r="BN27" s="113"/>
      <c r="BO27" s="113"/>
      <c r="BP27" s="113"/>
      <c r="BQ27" s="113"/>
      <c r="BR27" s="113"/>
      <c r="BS27" s="113"/>
      <c r="BT27" s="113"/>
      <c r="BU27" s="174">
        <v>-0.05</v>
      </c>
      <c r="BV27" s="59">
        <v>0</v>
      </c>
      <c r="BW27" s="59">
        <v>-66.12</v>
      </c>
      <c r="BX27" s="59">
        <v>577.4</v>
      </c>
    </row>
    <row r="28" spans="1:76" s="24" customFormat="1" ht="15.75" hidden="1" thickTop="1" x14ac:dyDescent="0.25">
      <c r="A28" s="23" t="s">
        <v>63</v>
      </c>
      <c r="B28" s="24" t="s">
        <v>64</v>
      </c>
      <c r="C28" s="25">
        <f t="shared" si="9"/>
        <v>739.23</v>
      </c>
      <c r="D28" s="25">
        <f t="shared" si="30"/>
        <v>0</v>
      </c>
      <c r="E28" s="25">
        <f t="shared" si="0"/>
        <v>2507.88</v>
      </c>
      <c r="F28" s="25">
        <f t="shared" si="1"/>
        <v>0</v>
      </c>
      <c r="G28" s="25">
        <f t="shared" si="11"/>
        <v>0</v>
      </c>
      <c r="H28" s="25">
        <f t="shared" si="12"/>
        <v>0</v>
      </c>
      <c r="I28" s="25">
        <f t="shared" si="13"/>
        <v>0</v>
      </c>
      <c r="J28" s="25">
        <f t="shared" si="14"/>
        <v>0</v>
      </c>
      <c r="K28" s="25">
        <f t="shared" si="15"/>
        <v>0</v>
      </c>
      <c r="L28" s="25">
        <f t="shared" si="16"/>
        <v>0</v>
      </c>
      <c r="M28" s="25">
        <f t="shared" si="17"/>
        <v>0</v>
      </c>
      <c r="N28" s="25">
        <f t="shared" si="18"/>
        <v>0</v>
      </c>
      <c r="O28" s="25">
        <f t="shared" si="19"/>
        <v>0</v>
      </c>
      <c r="P28" s="25"/>
      <c r="Q28" s="25">
        <f>+'C&amp;A'!I29</f>
        <v>0</v>
      </c>
      <c r="R28" s="25">
        <f t="shared" si="20"/>
        <v>3247.11</v>
      </c>
      <c r="S28" s="25">
        <f t="shared" si="21"/>
        <v>3247.11</v>
      </c>
      <c r="T28" s="25">
        <f t="shared" si="22"/>
        <v>324.71100000000001</v>
      </c>
      <c r="U28" s="25">
        <f>+'C&amp;A'!E29*0.02</f>
        <v>10.2256</v>
      </c>
      <c r="V28" s="25">
        <f t="shared" si="23"/>
        <v>0</v>
      </c>
      <c r="W28" s="25">
        <f t="shared" si="24"/>
        <v>3582.0466000000001</v>
      </c>
      <c r="X28" s="25">
        <f t="shared" si="25"/>
        <v>573.12745600000005</v>
      </c>
      <c r="Y28" s="25">
        <f t="shared" si="26"/>
        <v>4155.1740559999998</v>
      </c>
      <c r="Z28" s="65">
        <f>+R28-'C&amp;A'!K29-SINDICATO!P29</f>
        <v>0</v>
      </c>
      <c r="AA28" s="68">
        <f>+'C&amp;A'!K29+'C&amp;A'!I29+'C&amp;A'!G29+SINDICATO!E29-SINDICATO!F29-SINDICATO!M29-SINDICATO!N29</f>
        <v>3247.11</v>
      </c>
      <c r="AB28" s="68">
        <f t="shared" si="27"/>
        <v>-334.9366</v>
      </c>
      <c r="AC28" s="133" t="s">
        <v>388</v>
      </c>
      <c r="AD28" s="133" t="s">
        <v>413</v>
      </c>
      <c r="AE28" s="133"/>
      <c r="AF28" s="133" t="s">
        <v>63</v>
      </c>
      <c r="AG28" s="133" t="s">
        <v>414</v>
      </c>
      <c r="AH28" s="133"/>
      <c r="AI28" s="133"/>
      <c r="AJ28" s="133"/>
      <c r="AK28" s="219">
        <v>739.23</v>
      </c>
      <c r="AL28" s="133"/>
      <c r="AM28" s="157">
        <f t="shared" si="3"/>
        <v>739.23</v>
      </c>
      <c r="AN28" s="157">
        <v>2507.88</v>
      </c>
      <c r="AO28" s="157"/>
      <c r="AP28" s="157"/>
      <c r="AQ28" s="173"/>
      <c r="AR28" s="151">
        <f t="shared" si="4"/>
        <v>3247.11</v>
      </c>
      <c r="AS28" s="157"/>
      <c r="AT28" s="157"/>
      <c r="AU28" s="157">
        <v>0</v>
      </c>
      <c r="AV28" s="157"/>
      <c r="AW28" s="157"/>
      <c r="AX28" s="157"/>
      <c r="AY28" s="110"/>
      <c r="AZ28" s="110"/>
      <c r="BA28" s="133"/>
      <c r="BB28" s="133">
        <v>0</v>
      </c>
      <c r="BC28" s="151">
        <f t="shared" si="29"/>
        <v>3247.11</v>
      </c>
      <c r="BD28" s="110">
        <f t="shared" si="28"/>
        <v>0</v>
      </c>
      <c r="BE28" s="151">
        <f t="shared" si="6"/>
        <v>3247.11</v>
      </c>
      <c r="BF28" s="110">
        <f t="shared" si="7"/>
        <v>324.71100000000001</v>
      </c>
      <c r="BG28" s="110">
        <v>10.23</v>
      </c>
      <c r="BH28" s="151">
        <f t="shared" si="8"/>
        <v>3582.0509999999999</v>
      </c>
      <c r="BI28" s="113"/>
      <c r="BJ28" s="114"/>
      <c r="BK28" s="113"/>
      <c r="BL28" s="113"/>
      <c r="BM28" s="114"/>
      <c r="BN28" s="113"/>
      <c r="BO28" s="113"/>
      <c r="BP28" s="113"/>
      <c r="BQ28" s="113"/>
      <c r="BR28" s="113"/>
      <c r="BS28" s="113"/>
      <c r="BT28" s="113"/>
      <c r="BU28" s="174">
        <v>-0.05</v>
      </c>
      <c r="BV28" s="59">
        <v>0</v>
      </c>
      <c r="BW28" s="59">
        <v>-66.12</v>
      </c>
      <c r="BX28" s="59">
        <v>577.4</v>
      </c>
    </row>
    <row r="29" spans="1:76" s="24" customFormat="1" ht="15.75" hidden="1" thickTop="1" x14ac:dyDescent="0.25">
      <c r="A29" s="23" t="s">
        <v>65</v>
      </c>
      <c r="B29" s="24" t="s">
        <v>66</v>
      </c>
      <c r="C29" s="25">
        <f t="shared" si="9"/>
        <v>513.33000000000004</v>
      </c>
      <c r="D29" s="25">
        <f>-'C&amp;A'!F31</f>
        <v>66.069999999999993</v>
      </c>
      <c r="E29" s="25">
        <f t="shared" si="0"/>
        <v>513.33000000000004</v>
      </c>
      <c r="F29" s="25">
        <f t="shared" si="1"/>
        <v>0</v>
      </c>
      <c r="G29" s="25">
        <f t="shared" si="11"/>
        <v>0</v>
      </c>
      <c r="H29" s="25">
        <f t="shared" si="12"/>
        <v>0</v>
      </c>
      <c r="I29" s="25">
        <f t="shared" si="13"/>
        <v>0</v>
      </c>
      <c r="J29" s="25">
        <f t="shared" si="14"/>
        <v>0</v>
      </c>
      <c r="K29" s="25">
        <f t="shared" si="15"/>
        <v>0</v>
      </c>
      <c r="L29" s="25">
        <f t="shared" si="16"/>
        <v>0</v>
      </c>
      <c r="M29" s="25">
        <f t="shared" si="17"/>
        <v>0</v>
      </c>
      <c r="N29" s="25">
        <f t="shared" si="18"/>
        <v>0</v>
      </c>
      <c r="O29" s="25">
        <f t="shared" si="19"/>
        <v>0</v>
      </c>
      <c r="P29" s="25"/>
      <c r="Q29" s="25">
        <f>+'C&amp;A'!I30</f>
        <v>0</v>
      </c>
      <c r="R29" s="25">
        <f t="shared" si="20"/>
        <v>1092.73</v>
      </c>
      <c r="S29" s="25">
        <f t="shared" si="21"/>
        <v>1092.73</v>
      </c>
      <c r="T29" s="25">
        <f t="shared" si="22"/>
        <v>102.66600000000001</v>
      </c>
      <c r="U29" s="25">
        <f>+'C&amp;A'!E30*0.02</f>
        <v>10.2256</v>
      </c>
      <c r="V29" s="25">
        <f t="shared" si="23"/>
        <v>0</v>
      </c>
      <c r="W29" s="25">
        <f t="shared" si="24"/>
        <v>1205.6215999999999</v>
      </c>
      <c r="X29" s="25">
        <f t="shared" si="25"/>
        <v>192.89945599999999</v>
      </c>
      <c r="Y29" s="25">
        <f t="shared" si="26"/>
        <v>1398.521056</v>
      </c>
      <c r="Z29" s="65">
        <f>+R29-'C&amp;A'!K30-SINDICATO!P30</f>
        <v>0</v>
      </c>
      <c r="AA29" s="68">
        <f>+'C&amp;A'!K30+'C&amp;A'!I30+'C&amp;A'!G30+SINDICATO!E30-SINDICATO!F30-SINDICATO!M30-SINDICATO!N30</f>
        <v>1092.73</v>
      </c>
      <c r="AB29" s="68">
        <f t="shared" si="27"/>
        <v>-112.89159999999993</v>
      </c>
      <c r="AC29" s="133" t="s">
        <v>394</v>
      </c>
      <c r="AD29" s="133" t="s">
        <v>415</v>
      </c>
      <c r="AE29" s="133" t="s">
        <v>396</v>
      </c>
      <c r="AF29" s="133" t="s">
        <v>65</v>
      </c>
      <c r="AG29" s="133" t="s">
        <v>397</v>
      </c>
      <c r="AH29" s="175">
        <v>42304</v>
      </c>
      <c r="AI29" s="133"/>
      <c r="AJ29" s="133"/>
      <c r="AK29" s="157">
        <v>513.33000000000004</v>
      </c>
      <c r="AL29" s="133"/>
      <c r="AM29" s="157">
        <f t="shared" si="3"/>
        <v>513.33000000000004</v>
      </c>
      <c r="AN29" s="157">
        <v>513.33000000000004</v>
      </c>
      <c r="AO29" s="157"/>
      <c r="AP29" s="157"/>
      <c r="AQ29" s="173"/>
      <c r="AR29" s="151">
        <f t="shared" si="4"/>
        <v>1026.6600000000001</v>
      </c>
      <c r="AS29" s="157"/>
      <c r="AT29" s="157"/>
      <c r="AU29" s="157">
        <v>0</v>
      </c>
      <c r="AV29" s="157"/>
      <c r="AW29" s="157"/>
      <c r="AX29" s="157"/>
      <c r="AY29" s="110"/>
      <c r="AZ29" s="110"/>
      <c r="BA29" s="133"/>
      <c r="BB29" s="133">
        <v>0</v>
      </c>
      <c r="BC29" s="151">
        <f t="shared" si="29"/>
        <v>1026.6600000000001</v>
      </c>
      <c r="BD29" s="110">
        <f t="shared" si="28"/>
        <v>0</v>
      </c>
      <c r="BE29" s="151">
        <f t="shared" si="6"/>
        <v>1026.6600000000001</v>
      </c>
      <c r="BF29" s="110">
        <f t="shared" si="7"/>
        <v>102.66600000000001</v>
      </c>
      <c r="BG29" s="110">
        <v>10.23</v>
      </c>
      <c r="BH29" s="151">
        <f t="shared" si="8"/>
        <v>1139.556</v>
      </c>
      <c r="BI29" s="113"/>
      <c r="BJ29" s="114"/>
      <c r="BK29" s="113"/>
      <c r="BL29" s="113"/>
      <c r="BM29" s="114"/>
      <c r="BN29" s="113"/>
      <c r="BO29" s="113"/>
      <c r="BP29" s="113"/>
      <c r="BQ29" s="113"/>
      <c r="BR29" s="113"/>
      <c r="BS29" s="113"/>
      <c r="BT29" s="113"/>
      <c r="BU29" s="174">
        <v>-0.05</v>
      </c>
      <c r="BV29" s="59">
        <v>0</v>
      </c>
      <c r="BW29" s="59">
        <v>-66.12</v>
      </c>
      <c r="BX29" s="59">
        <v>577.4</v>
      </c>
    </row>
    <row r="30" spans="1:76" s="24" customFormat="1" ht="15.75" hidden="1" thickTop="1" x14ac:dyDescent="0.25">
      <c r="A30" s="23" t="s">
        <v>67</v>
      </c>
      <c r="B30" s="24" t="s">
        <v>68</v>
      </c>
      <c r="C30" s="25">
        <f t="shared" si="9"/>
        <v>1100</v>
      </c>
      <c r="D30" s="25">
        <f>+AJ32</f>
        <v>0</v>
      </c>
      <c r="E30" s="25">
        <f t="shared" si="0"/>
        <v>1052.97</v>
      </c>
      <c r="F30" s="25">
        <f t="shared" si="1"/>
        <v>0</v>
      </c>
      <c r="G30" s="25">
        <f t="shared" si="11"/>
        <v>0</v>
      </c>
      <c r="H30" s="25">
        <f t="shared" si="12"/>
        <v>0</v>
      </c>
      <c r="I30" s="25">
        <f t="shared" si="13"/>
        <v>0</v>
      </c>
      <c r="J30" s="25">
        <f t="shared" si="14"/>
        <v>0</v>
      </c>
      <c r="K30" s="25">
        <f t="shared" si="15"/>
        <v>0</v>
      </c>
      <c r="L30" s="25">
        <f t="shared" si="16"/>
        <v>0</v>
      </c>
      <c r="M30" s="25">
        <f t="shared" si="17"/>
        <v>0</v>
      </c>
      <c r="N30" s="25">
        <f t="shared" si="18"/>
        <v>0</v>
      </c>
      <c r="O30" s="25">
        <f t="shared" si="19"/>
        <v>0</v>
      </c>
      <c r="P30" s="25"/>
      <c r="Q30" s="25">
        <f>+'C&amp;A'!I31</f>
        <v>0</v>
      </c>
      <c r="R30" s="25">
        <f t="shared" si="20"/>
        <v>2152.9700000000003</v>
      </c>
      <c r="S30" s="25">
        <f t="shared" si="21"/>
        <v>2152.9700000000003</v>
      </c>
      <c r="T30" s="25">
        <f t="shared" si="22"/>
        <v>215.29700000000003</v>
      </c>
      <c r="U30" s="25">
        <f>+'C&amp;A'!E31*0.02</f>
        <v>10.2256</v>
      </c>
      <c r="V30" s="25">
        <f t="shared" si="23"/>
        <v>0</v>
      </c>
      <c r="W30" s="25">
        <f t="shared" si="24"/>
        <v>2378.4926000000005</v>
      </c>
      <c r="X30" s="25">
        <f t="shared" si="25"/>
        <v>380.55881600000009</v>
      </c>
      <c r="Y30" s="25">
        <f t="shared" si="26"/>
        <v>2759.0514160000007</v>
      </c>
      <c r="Z30" s="65">
        <f>+R30-'C&amp;A'!K31-SINDICATO!P31</f>
        <v>0</v>
      </c>
      <c r="AA30" s="68">
        <f>+'C&amp;A'!K31+'C&amp;A'!I31+'C&amp;A'!G31+SINDICATO!E31-SINDICATO!F31-SINDICATO!M31-SINDICATO!N31</f>
        <v>2152.9700000000003</v>
      </c>
      <c r="AB30" s="68">
        <f t="shared" si="27"/>
        <v>-225.52260000000024</v>
      </c>
      <c r="AC30" s="133" t="s">
        <v>388</v>
      </c>
      <c r="AD30" s="133" t="s">
        <v>416</v>
      </c>
      <c r="AE30" s="133"/>
      <c r="AF30" s="133" t="s">
        <v>67</v>
      </c>
      <c r="AG30" s="133" t="s">
        <v>390</v>
      </c>
      <c r="AH30" s="133"/>
      <c r="AI30" s="133"/>
      <c r="AJ30" s="133"/>
      <c r="AK30" s="157">
        <v>1100</v>
      </c>
      <c r="AL30" s="133"/>
      <c r="AM30" s="157">
        <f t="shared" si="3"/>
        <v>1100</v>
      </c>
      <c r="AN30" s="157">
        <v>1052.97</v>
      </c>
      <c r="AO30" s="157"/>
      <c r="AP30" s="157"/>
      <c r="AQ30" s="173"/>
      <c r="AR30" s="151">
        <f t="shared" si="4"/>
        <v>2152.9700000000003</v>
      </c>
      <c r="AS30" s="157"/>
      <c r="AT30" s="157"/>
      <c r="AU30" s="157">
        <v>0</v>
      </c>
      <c r="AV30" s="157"/>
      <c r="AW30" s="157"/>
      <c r="AX30" s="157"/>
      <c r="AY30" s="110"/>
      <c r="AZ30" s="110"/>
      <c r="BA30" s="133"/>
      <c r="BB30" s="133">
        <v>0</v>
      </c>
      <c r="BC30" s="151">
        <f t="shared" si="29"/>
        <v>2152.9700000000003</v>
      </c>
      <c r="BD30" s="110">
        <f t="shared" si="28"/>
        <v>0</v>
      </c>
      <c r="BE30" s="151">
        <f t="shared" si="6"/>
        <v>2152.9700000000003</v>
      </c>
      <c r="BF30" s="110">
        <f t="shared" si="7"/>
        <v>215.29700000000003</v>
      </c>
      <c r="BG30" s="110">
        <v>10.23</v>
      </c>
      <c r="BH30" s="151">
        <f t="shared" si="8"/>
        <v>2378.4970000000003</v>
      </c>
      <c r="BI30" s="113"/>
      <c r="BJ30" s="114"/>
      <c r="BK30" s="113"/>
      <c r="BL30" s="113"/>
      <c r="BM30" s="114"/>
      <c r="BN30" s="113"/>
      <c r="BO30" s="113"/>
      <c r="BP30" s="113"/>
      <c r="BQ30" s="113"/>
      <c r="BR30" s="113"/>
      <c r="BS30" s="113"/>
      <c r="BT30" s="113"/>
      <c r="BU30" s="174">
        <v>-0.05</v>
      </c>
      <c r="BV30" s="59">
        <v>0</v>
      </c>
      <c r="BW30" s="59">
        <v>-66.12</v>
      </c>
      <c r="BX30" s="59">
        <v>577.4</v>
      </c>
    </row>
    <row r="31" spans="1:76" s="24" customFormat="1" ht="15.75" hidden="1" thickTop="1" x14ac:dyDescent="0.25">
      <c r="A31" s="23" t="s">
        <v>69</v>
      </c>
      <c r="B31" s="24" t="s">
        <v>70</v>
      </c>
      <c r="C31" s="25">
        <f t="shared" si="9"/>
        <v>933.33</v>
      </c>
      <c r="D31" s="25">
        <f>+AJ33</f>
        <v>0</v>
      </c>
      <c r="E31" s="25">
        <f t="shared" si="0"/>
        <v>550</v>
      </c>
      <c r="F31" s="25">
        <f t="shared" si="1"/>
        <v>0</v>
      </c>
      <c r="G31" s="25">
        <f t="shared" si="11"/>
        <v>0</v>
      </c>
      <c r="H31" s="25">
        <f t="shared" si="12"/>
        <v>0</v>
      </c>
      <c r="I31" s="25">
        <f t="shared" si="13"/>
        <v>0</v>
      </c>
      <c r="J31" s="25">
        <f t="shared" si="14"/>
        <v>0</v>
      </c>
      <c r="K31" s="25">
        <f t="shared" si="15"/>
        <v>0</v>
      </c>
      <c r="L31" s="25">
        <f t="shared" si="16"/>
        <v>0</v>
      </c>
      <c r="M31" s="25">
        <f t="shared" si="17"/>
        <v>0</v>
      </c>
      <c r="N31" s="25">
        <f t="shared" si="18"/>
        <v>0</v>
      </c>
      <c r="O31" s="25">
        <f t="shared" si="19"/>
        <v>58.91</v>
      </c>
      <c r="P31" s="25">
        <f>+C31/7</f>
        <v>133.33285714285714</v>
      </c>
      <c r="Q31" s="25">
        <f>+'C&amp;A'!I32</f>
        <v>0</v>
      </c>
      <c r="R31" s="25">
        <f t="shared" si="20"/>
        <v>1291.0871428571427</v>
      </c>
      <c r="S31" s="25">
        <f t="shared" si="21"/>
        <v>1291.0871428571427</v>
      </c>
      <c r="T31" s="25">
        <f t="shared" si="22"/>
        <v>148.333</v>
      </c>
      <c r="U31" s="25">
        <f>+'C&amp;A'!E32*0.02</f>
        <v>10.2256</v>
      </c>
      <c r="V31" s="25">
        <f t="shared" si="23"/>
        <v>0</v>
      </c>
      <c r="W31" s="25">
        <f t="shared" si="24"/>
        <v>1449.6457428571427</v>
      </c>
      <c r="X31" s="25">
        <f t="shared" si="25"/>
        <v>231.94331885714286</v>
      </c>
      <c r="Y31" s="25">
        <f t="shared" si="26"/>
        <v>1681.5890617142857</v>
      </c>
      <c r="Z31" s="65">
        <f>+R31-'C&amp;A'!K32-SINDICATO!P32</f>
        <v>0</v>
      </c>
      <c r="AA31" s="68">
        <f>+'C&amp;A'!K32+'C&amp;A'!I32+'C&amp;A'!G32+SINDICATO!E32-SINDICATO!F32-SINDICATO!M32-SINDICATO!N32</f>
        <v>1291.0871428571427</v>
      </c>
      <c r="AB31" s="68">
        <f t="shared" si="27"/>
        <v>-158.55860000000007</v>
      </c>
      <c r="AC31" s="133" t="s">
        <v>401</v>
      </c>
      <c r="AD31" s="133" t="s">
        <v>417</v>
      </c>
      <c r="AE31" s="133"/>
      <c r="AF31" s="133" t="s">
        <v>69</v>
      </c>
      <c r="AG31" s="133" t="s">
        <v>418</v>
      </c>
      <c r="AH31" s="133"/>
      <c r="AI31" s="133"/>
      <c r="AJ31" s="133"/>
      <c r="AK31" s="157">
        <v>933.33</v>
      </c>
      <c r="AL31" s="133"/>
      <c r="AM31" s="157">
        <f t="shared" si="3"/>
        <v>933.33</v>
      </c>
      <c r="AN31" s="157">
        <v>550</v>
      </c>
      <c r="AO31" s="157"/>
      <c r="AP31" s="157"/>
      <c r="AQ31" s="173"/>
      <c r="AR31" s="151">
        <f t="shared" si="4"/>
        <v>1483.33</v>
      </c>
      <c r="AS31" s="157"/>
      <c r="AT31" s="157">
        <v>58.91</v>
      </c>
      <c r="AU31" s="157">
        <v>0</v>
      </c>
      <c r="AV31" s="157"/>
      <c r="AW31" s="157"/>
      <c r="AX31" s="157"/>
      <c r="AY31" s="110"/>
      <c r="AZ31" s="110"/>
      <c r="BA31" s="133"/>
      <c r="BB31" s="133">
        <v>0</v>
      </c>
      <c r="BC31" s="151">
        <f t="shared" si="29"/>
        <v>1424.4199999999998</v>
      </c>
      <c r="BD31" s="110">
        <f t="shared" si="28"/>
        <v>0</v>
      </c>
      <c r="BE31" s="151">
        <f t="shared" si="6"/>
        <v>1424.4199999999998</v>
      </c>
      <c r="BF31" s="110">
        <f t="shared" si="7"/>
        <v>148.333</v>
      </c>
      <c r="BG31" s="110">
        <v>10.23</v>
      </c>
      <c r="BH31" s="151">
        <f t="shared" si="8"/>
        <v>1641.893</v>
      </c>
      <c r="BI31" s="113"/>
      <c r="BJ31" s="114"/>
      <c r="BK31" s="113"/>
      <c r="BL31" s="113"/>
      <c r="BM31" s="114"/>
      <c r="BN31" s="113"/>
      <c r="BO31" s="113" t="s">
        <v>622</v>
      </c>
      <c r="BP31" s="113"/>
      <c r="BQ31" s="113"/>
      <c r="BR31" s="113"/>
      <c r="BS31" s="113"/>
      <c r="BT31" s="113"/>
      <c r="BU31" s="174">
        <v>-0.05</v>
      </c>
      <c r="BV31" s="59">
        <v>0</v>
      </c>
      <c r="BW31" s="59">
        <v>-65.92</v>
      </c>
      <c r="BX31" s="59">
        <v>577.20000000000005</v>
      </c>
    </row>
    <row r="32" spans="1:76" s="24" customFormat="1" ht="15.75" hidden="1" thickTop="1" x14ac:dyDescent="0.25">
      <c r="A32" s="23" t="s">
        <v>71</v>
      </c>
      <c r="B32" s="24" t="s">
        <v>72</v>
      </c>
      <c r="C32" s="25">
        <f t="shared" si="9"/>
        <v>1516.67</v>
      </c>
      <c r="D32" s="25">
        <f>+AJ34</f>
        <v>0</v>
      </c>
      <c r="E32" s="25">
        <f t="shared" si="0"/>
        <v>0</v>
      </c>
      <c r="F32" s="25">
        <f>+((C32/7)/8)*24*2</f>
        <v>1300.0028571428572</v>
      </c>
      <c r="G32" s="25">
        <f t="shared" si="11"/>
        <v>0</v>
      </c>
      <c r="H32" s="25">
        <f t="shared" si="12"/>
        <v>0</v>
      </c>
      <c r="I32" s="25">
        <f t="shared" si="13"/>
        <v>200</v>
      </c>
      <c r="J32" s="25">
        <f t="shared" si="14"/>
        <v>0</v>
      </c>
      <c r="K32" s="25">
        <f t="shared" si="15"/>
        <v>0</v>
      </c>
      <c r="L32" s="25">
        <f t="shared" si="16"/>
        <v>0</v>
      </c>
      <c r="M32" s="25">
        <f t="shared" si="17"/>
        <v>0</v>
      </c>
      <c r="N32" s="25">
        <f t="shared" si="18"/>
        <v>0</v>
      </c>
      <c r="O32" s="25">
        <f t="shared" si="19"/>
        <v>0</v>
      </c>
      <c r="P32" s="25"/>
      <c r="Q32" s="25">
        <f>+'C&amp;A'!I33</f>
        <v>168.06</v>
      </c>
      <c r="R32" s="25">
        <f t="shared" si="20"/>
        <v>2448.6128571428576</v>
      </c>
      <c r="S32" s="25">
        <f t="shared" si="21"/>
        <v>2816.6728571428575</v>
      </c>
      <c r="T32" s="25">
        <f t="shared" si="22"/>
        <v>151.667</v>
      </c>
      <c r="U32" s="25">
        <f>+'C&amp;A'!E33*0.02</f>
        <v>10.2256</v>
      </c>
      <c r="V32" s="25">
        <f t="shared" si="23"/>
        <v>0</v>
      </c>
      <c r="W32" s="25">
        <f t="shared" si="24"/>
        <v>2978.5654571428577</v>
      </c>
      <c r="X32" s="25">
        <f t="shared" si="25"/>
        <v>476.57047314285722</v>
      </c>
      <c r="Y32" s="25">
        <f t="shared" si="26"/>
        <v>3455.1359302857149</v>
      </c>
      <c r="Z32" s="65">
        <f>+R32-'C&amp;A'!K33-SINDICATO!P33</f>
        <v>0</v>
      </c>
      <c r="AA32" s="68">
        <f>+'C&amp;A'!K33+'C&amp;A'!I33+'C&amp;A'!G33+SINDICATO!E33-SINDICATO!F33-SINDICATO!M33-SINDICATO!N33</f>
        <v>2816.6728571428575</v>
      </c>
      <c r="AB32" s="68">
        <f t="shared" si="27"/>
        <v>-161.89260000000013</v>
      </c>
      <c r="AC32" s="133" t="s">
        <v>419</v>
      </c>
      <c r="AD32" s="133" t="s">
        <v>420</v>
      </c>
      <c r="AE32" s="133"/>
      <c r="AF32" s="133" t="s">
        <v>71</v>
      </c>
      <c r="AG32" s="133" t="s">
        <v>187</v>
      </c>
      <c r="AH32" s="133"/>
      <c r="AI32" s="133"/>
      <c r="AJ32" s="133"/>
      <c r="AK32" s="157">
        <v>1516.67</v>
      </c>
      <c r="AL32" s="133"/>
      <c r="AM32" s="157">
        <f t="shared" si="3"/>
        <v>1516.67</v>
      </c>
      <c r="AN32" s="157"/>
      <c r="AO32" s="157"/>
      <c r="AP32" s="157"/>
      <c r="AQ32" s="173"/>
      <c r="AR32" s="151">
        <f t="shared" si="4"/>
        <v>1516.67</v>
      </c>
      <c r="AS32" s="157"/>
      <c r="AT32" s="157"/>
      <c r="AU32" s="157">
        <v>200</v>
      </c>
      <c r="AV32" s="157"/>
      <c r="AW32" s="157"/>
      <c r="AX32" s="157"/>
      <c r="AY32" s="110"/>
      <c r="AZ32" s="110"/>
      <c r="BA32" s="133"/>
      <c r="BB32" s="133">
        <v>0</v>
      </c>
      <c r="BC32" s="151">
        <f t="shared" si="29"/>
        <v>1316.67</v>
      </c>
      <c r="BD32" s="110">
        <f t="shared" si="28"/>
        <v>0</v>
      </c>
      <c r="BE32" s="151">
        <f t="shared" si="6"/>
        <v>1316.67</v>
      </c>
      <c r="BF32" s="110">
        <f t="shared" si="7"/>
        <v>151.667</v>
      </c>
      <c r="BG32" s="110">
        <v>10.23</v>
      </c>
      <c r="BH32" s="151">
        <f t="shared" si="8"/>
        <v>1678.567</v>
      </c>
      <c r="BI32" s="113"/>
      <c r="BJ32" s="114"/>
      <c r="BK32" s="113"/>
      <c r="BL32" s="113"/>
      <c r="BM32" s="114"/>
      <c r="BN32" s="113"/>
      <c r="BO32" s="113" t="s">
        <v>626</v>
      </c>
      <c r="BP32" s="113"/>
      <c r="BQ32" s="113"/>
      <c r="BR32" s="113"/>
      <c r="BS32" s="113"/>
      <c r="BT32" s="113"/>
      <c r="BU32" s="59">
        <v>0.15</v>
      </c>
      <c r="BV32" s="59">
        <v>0</v>
      </c>
      <c r="BW32" s="59">
        <v>-65.92</v>
      </c>
      <c r="BX32" s="59">
        <v>577.20000000000005</v>
      </c>
    </row>
    <row r="33" spans="1:76" s="24" customFormat="1" ht="15.75" hidden="1" thickTop="1" x14ac:dyDescent="0.25">
      <c r="A33" s="23" t="s">
        <v>73</v>
      </c>
      <c r="B33" s="24" t="s">
        <v>74</v>
      </c>
      <c r="C33" s="25">
        <f t="shared" si="9"/>
        <v>608.16</v>
      </c>
      <c r="D33" s="25">
        <f>+AJ35</f>
        <v>0</v>
      </c>
      <c r="E33" s="25">
        <f t="shared" si="0"/>
        <v>3595.22</v>
      </c>
      <c r="F33" s="25">
        <f t="shared" ref="F33:F72" si="31">+AP33</f>
        <v>0</v>
      </c>
      <c r="G33" s="25">
        <f t="shared" si="11"/>
        <v>0</v>
      </c>
      <c r="H33" s="25">
        <f t="shared" si="12"/>
        <v>0</v>
      </c>
      <c r="I33" s="25">
        <f t="shared" si="13"/>
        <v>500</v>
      </c>
      <c r="J33" s="25">
        <f t="shared" si="14"/>
        <v>205.96562</v>
      </c>
      <c r="K33" s="25">
        <f t="shared" si="15"/>
        <v>42.033799999999999</v>
      </c>
      <c r="L33" s="25">
        <f t="shared" si="16"/>
        <v>0</v>
      </c>
      <c r="M33" s="25">
        <f t="shared" si="17"/>
        <v>0</v>
      </c>
      <c r="N33" s="25">
        <f t="shared" si="18"/>
        <v>0</v>
      </c>
      <c r="O33" s="25">
        <f t="shared" si="19"/>
        <v>0</v>
      </c>
      <c r="P33" s="25"/>
      <c r="Q33" s="25">
        <f>+'C&amp;A'!I34</f>
        <v>0</v>
      </c>
      <c r="R33" s="25">
        <f t="shared" si="20"/>
        <v>3455.38058</v>
      </c>
      <c r="S33" s="25">
        <f t="shared" si="21"/>
        <v>4203.38</v>
      </c>
      <c r="T33" s="25">
        <f t="shared" si="22"/>
        <v>420.33800000000002</v>
      </c>
      <c r="U33" s="25">
        <f>+'C&amp;A'!E34*0.02</f>
        <v>10.2256</v>
      </c>
      <c r="V33" s="25">
        <f t="shared" si="23"/>
        <v>205.96562</v>
      </c>
      <c r="W33" s="25">
        <f t="shared" si="24"/>
        <v>4839.9092199999996</v>
      </c>
      <c r="X33" s="25">
        <f t="shared" si="25"/>
        <v>774.38547519999997</v>
      </c>
      <c r="Y33" s="25">
        <f t="shared" si="26"/>
        <v>5614.2946951999993</v>
      </c>
      <c r="Z33" s="65">
        <f>+R33-'C&amp;A'!K34-SINDICATO!P34</f>
        <v>0</v>
      </c>
      <c r="AA33" s="68">
        <f>+'C&amp;A'!K34+'C&amp;A'!I34+'C&amp;A'!G34+SINDICATO!E34-SINDICATO!F34-SINDICATO!M34-SINDICATO!N34</f>
        <v>4203.38</v>
      </c>
      <c r="AB33" s="68">
        <f t="shared" si="27"/>
        <v>-636.52921999999944</v>
      </c>
      <c r="AC33" s="133" t="s">
        <v>386</v>
      </c>
      <c r="AD33" s="133" t="s">
        <v>421</v>
      </c>
      <c r="AE33" s="133"/>
      <c r="AF33" s="133" t="s">
        <v>73</v>
      </c>
      <c r="AG33" s="133" t="s">
        <v>192</v>
      </c>
      <c r="AH33" s="133"/>
      <c r="AI33" s="133"/>
      <c r="AJ33" s="133"/>
      <c r="AK33" s="157">
        <v>608.16</v>
      </c>
      <c r="AL33" s="133"/>
      <c r="AM33" s="157">
        <f t="shared" si="3"/>
        <v>608.16</v>
      </c>
      <c r="AN33" s="157">
        <v>3595.22</v>
      </c>
      <c r="AO33" s="157"/>
      <c r="AP33" s="157"/>
      <c r="AQ33" s="173"/>
      <c r="AR33" s="151">
        <f t="shared" si="4"/>
        <v>4203.38</v>
      </c>
      <c r="AS33" s="157"/>
      <c r="AT33" s="157"/>
      <c r="AU33" s="157">
        <v>500</v>
      </c>
      <c r="AV33" s="157">
        <f>AR33*4.9%</f>
        <v>205.96562</v>
      </c>
      <c r="AW33" s="157">
        <f>AR33*1%</f>
        <v>42.033799999999999</v>
      </c>
      <c r="AX33" s="157"/>
      <c r="AY33" s="110"/>
      <c r="AZ33" s="110"/>
      <c r="BA33" s="133"/>
      <c r="BB33" s="133">
        <v>0</v>
      </c>
      <c r="BC33" s="151">
        <f t="shared" si="29"/>
        <v>3455.38058</v>
      </c>
      <c r="BD33" s="110">
        <f t="shared" si="28"/>
        <v>0</v>
      </c>
      <c r="BE33" s="151">
        <f t="shared" si="6"/>
        <v>3455.38058</v>
      </c>
      <c r="BF33" s="110">
        <f t="shared" si="7"/>
        <v>420.33800000000002</v>
      </c>
      <c r="BG33" s="110">
        <v>10.23</v>
      </c>
      <c r="BH33" s="151">
        <f t="shared" si="8"/>
        <v>4633.9479999999994</v>
      </c>
      <c r="BI33" s="113"/>
      <c r="BJ33" s="114"/>
      <c r="BK33" s="113"/>
      <c r="BL33" s="113"/>
      <c r="BM33" s="114"/>
      <c r="BN33" s="113"/>
      <c r="BO33" s="113"/>
      <c r="BP33" s="113"/>
      <c r="BQ33" s="113"/>
      <c r="BR33" s="113"/>
      <c r="BS33" s="113"/>
      <c r="BT33" s="113"/>
      <c r="BU33" s="59">
        <v>0.15</v>
      </c>
      <c r="BV33" s="59">
        <v>0</v>
      </c>
      <c r="BW33" s="59">
        <v>-65.92</v>
      </c>
      <c r="BX33" s="59">
        <v>577.20000000000005</v>
      </c>
    </row>
    <row r="34" spans="1:76" s="24" customFormat="1" ht="15.75" hidden="1" thickTop="1" x14ac:dyDescent="0.25">
      <c r="A34" s="23" t="s">
        <v>77</v>
      </c>
      <c r="B34" s="24" t="s">
        <v>78</v>
      </c>
      <c r="C34" s="25">
        <f t="shared" si="9"/>
        <v>608.16</v>
      </c>
      <c r="D34" s="25">
        <f>+AJ37</f>
        <v>0</v>
      </c>
      <c r="E34" s="25">
        <f t="shared" si="0"/>
        <v>2998.94</v>
      </c>
      <c r="F34" s="25">
        <f t="shared" si="31"/>
        <v>0</v>
      </c>
      <c r="G34" s="25">
        <f t="shared" si="11"/>
        <v>0</v>
      </c>
      <c r="H34" s="25">
        <f t="shared" si="12"/>
        <v>0</v>
      </c>
      <c r="I34" s="25">
        <f t="shared" si="13"/>
        <v>1000</v>
      </c>
      <c r="J34" s="25">
        <f t="shared" si="14"/>
        <v>176.74790000000002</v>
      </c>
      <c r="K34" s="25">
        <f t="shared" si="15"/>
        <v>36.070999999999998</v>
      </c>
      <c r="L34" s="25">
        <f t="shared" si="16"/>
        <v>300</v>
      </c>
      <c r="M34" s="25">
        <f t="shared" si="17"/>
        <v>0</v>
      </c>
      <c r="N34" s="25">
        <f t="shared" si="18"/>
        <v>0</v>
      </c>
      <c r="O34" s="25">
        <f t="shared" si="19"/>
        <v>0</v>
      </c>
      <c r="P34" s="25"/>
      <c r="Q34" s="25">
        <f>+'C&amp;A'!I35</f>
        <v>0</v>
      </c>
      <c r="R34" s="25">
        <f t="shared" si="20"/>
        <v>2094.2811000000002</v>
      </c>
      <c r="S34" s="25">
        <f t="shared" si="21"/>
        <v>3607.1</v>
      </c>
      <c r="T34" s="25">
        <f t="shared" si="22"/>
        <v>360.71000000000004</v>
      </c>
      <c r="U34" s="25">
        <f>+'C&amp;A'!E35*0.02</f>
        <v>10.2256</v>
      </c>
      <c r="V34" s="25">
        <f t="shared" si="23"/>
        <v>176.74790000000002</v>
      </c>
      <c r="W34" s="25">
        <f t="shared" si="24"/>
        <v>4154.7835000000005</v>
      </c>
      <c r="X34" s="25">
        <f t="shared" si="25"/>
        <v>664.7653600000001</v>
      </c>
      <c r="Y34" s="25">
        <f t="shared" si="26"/>
        <v>4819.5488600000008</v>
      </c>
      <c r="Z34" s="65">
        <f>+R34-'C&amp;A'!K35-SINDICATO!P35</f>
        <v>0</v>
      </c>
      <c r="AA34" s="68">
        <f>+'C&amp;A'!K35+'C&amp;A'!I35+'C&amp;A'!G35+SINDICATO!E35-SINDICATO!F35-SINDICATO!M35-SINDICATO!N35</f>
        <v>3607.1</v>
      </c>
      <c r="AB34" s="68">
        <f t="shared" si="27"/>
        <v>-547.68350000000055</v>
      </c>
      <c r="AC34" s="133" t="s">
        <v>386</v>
      </c>
      <c r="AD34" s="133" t="s">
        <v>423</v>
      </c>
      <c r="AE34" s="133"/>
      <c r="AF34" s="133" t="s">
        <v>77</v>
      </c>
      <c r="AG34" s="133" t="s">
        <v>424</v>
      </c>
      <c r="AH34" s="133"/>
      <c r="AI34" s="133"/>
      <c r="AJ34" s="133"/>
      <c r="AK34" s="157">
        <v>608.16</v>
      </c>
      <c r="AL34" s="133"/>
      <c r="AM34" s="157">
        <f t="shared" si="3"/>
        <v>608.16</v>
      </c>
      <c r="AN34" s="157">
        <v>2998.94</v>
      </c>
      <c r="AO34" s="157"/>
      <c r="AP34" s="157"/>
      <c r="AQ34" s="173"/>
      <c r="AR34" s="151">
        <f t="shared" si="4"/>
        <v>3607.1</v>
      </c>
      <c r="AS34" s="157"/>
      <c r="AT34" s="157"/>
      <c r="AU34" s="157">
        <v>1000</v>
      </c>
      <c r="AV34" s="157">
        <f>AR34*4.9%</f>
        <v>176.74790000000002</v>
      </c>
      <c r="AW34" s="157">
        <f>AR34*1%</f>
        <v>36.070999999999998</v>
      </c>
      <c r="AX34" s="157">
        <v>300</v>
      </c>
      <c r="AY34" s="110"/>
      <c r="AZ34" s="110"/>
      <c r="BA34" s="245"/>
      <c r="BB34" s="133">
        <v>0</v>
      </c>
      <c r="BC34" s="151">
        <f t="shared" si="29"/>
        <v>2094.2811000000002</v>
      </c>
      <c r="BD34" s="110">
        <f t="shared" si="28"/>
        <v>0</v>
      </c>
      <c r="BE34" s="151">
        <f t="shared" si="6"/>
        <v>2094.2811000000002</v>
      </c>
      <c r="BF34" s="110">
        <f t="shared" si="7"/>
        <v>360.71000000000004</v>
      </c>
      <c r="BG34" s="110">
        <v>10.23</v>
      </c>
      <c r="BH34" s="151">
        <f t="shared" si="8"/>
        <v>3978.04</v>
      </c>
      <c r="BI34" s="113"/>
      <c r="BJ34" s="114"/>
      <c r="BK34" s="113"/>
      <c r="BL34" s="113"/>
      <c r="BM34" s="114"/>
      <c r="BN34" s="113"/>
      <c r="BO34" s="113"/>
      <c r="BP34" s="113"/>
      <c r="BQ34" s="113"/>
      <c r="BR34" s="113"/>
      <c r="BS34" s="113"/>
      <c r="BT34" s="113"/>
      <c r="BU34" s="59">
        <v>0.15</v>
      </c>
      <c r="BV34" s="59">
        <v>0</v>
      </c>
      <c r="BW34" s="59">
        <v>101.88</v>
      </c>
      <c r="BX34" s="59">
        <v>409.4</v>
      </c>
    </row>
    <row r="35" spans="1:76" s="24" customFormat="1" ht="15.75" hidden="1" thickTop="1" x14ac:dyDescent="0.25">
      <c r="A35" s="23" t="s">
        <v>79</v>
      </c>
      <c r="B35" s="24" t="s">
        <v>80</v>
      </c>
      <c r="C35" s="25">
        <f t="shared" si="9"/>
        <v>1166.26</v>
      </c>
      <c r="D35" s="25">
        <f>+AJ38</f>
        <v>0</v>
      </c>
      <c r="E35" s="25">
        <f t="shared" si="0"/>
        <v>1218.03</v>
      </c>
      <c r="F35" s="25">
        <f t="shared" si="31"/>
        <v>0</v>
      </c>
      <c r="G35" s="25">
        <f t="shared" si="11"/>
        <v>0</v>
      </c>
      <c r="H35" s="25">
        <f t="shared" si="12"/>
        <v>0</v>
      </c>
      <c r="I35" s="25">
        <f t="shared" si="13"/>
        <v>0</v>
      </c>
      <c r="J35" s="25">
        <f t="shared" si="14"/>
        <v>0</v>
      </c>
      <c r="K35" s="25">
        <f t="shared" si="15"/>
        <v>0</v>
      </c>
      <c r="L35" s="25">
        <f t="shared" si="16"/>
        <v>0</v>
      </c>
      <c r="M35" s="25">
        <f t="shared" si="17"/>
        <v>0</v>
      </c>
      <c r="N35" s="25">
        <f t="shared" si="18"/>
        <v>0</v>
      </c>
      <c r="O35" s="25">
        <f t="shared" si="19"/>
        <v>0</v>
      </c>
      <c r="P35" s="25"/>
      <c r="Q35" s="25">
        <f>+'C&amp;A'!I36</f>
        <v>0</v>
      </c>
      <c r="R35" s="25">
        <f t="shared" si="20"/>
        <v>2384.29</v>
      </c>
      <c r="S35" s="25">
        <f t="shared" si="21"/>
        <v>2384.29</v>
      </c>
      <c r="T35" s="25">
        <f t="shared" si="22"/>
        <v>238.429</v>
      </c>
      <c r="U35" s="25">
        <f>+'C&amp;A'!E36*0.02</f>
        <v>10.2256</v>
      </c>
      <c r="V35" s="25">
        <f t="shared" si="23"/>
        <v>0</v>
      </c>
      <c r="W35" s="25">
        <f t="shared" si="24"/>
        <v>2632.9446000000003</v>
      </c>
      <c r="X35" s="25">
        <f t="shared" si="25"/>
        <v>421.27113600000007</v>
      </c>
      <c r="Y35" s="25">
        <f t="shared" si="26"/>
        <v>3054.2157360000001</v>
      </c>
      <c r="Z35" s="65">
        <f>+R35-'C&amp;A'!K36-SINDICATO!P36</f>
        <v>0</v>
      </c>
      <c r="AA35" s="68">
        <f>+'C&amp;A'!K36+'C&amp;A'!I36+'C&amp;A'!G36+SINDICATO!E36-SINDICATO!F36-SINDICATO!M36-SINDICATO!N36</f>
        <v>2384.29</v>
      </c>
      <c r="AB35" s="68">
        <f t="shared" si="27"/>
        <v>-248.6546000000003</v>
      </c>
      <c r="AC35" s="133" t="s">
        <v>380</v>
      </c>
      <c r="AD35" s="133" t="s">
        <v>425</v>
      </c>
      <c r="AE35" s="133"/>
      <c r="AF35" s="133" t="s">
        <v>79</v>
      </c>
      <c r="AG35" s="133" t="s">
        <v>180</v>
      </c>
      <c r="AH35" s="133"/>
      <c r="AI35" s="133"/>
      <c r="AJ35" s="133"/>
      <c r="AK35" s="157">
        <v>1166.26</v>
      </c>
      <c r="AL35" s="172"/>
      <c r="AM35" s="157">
        <f t="shared" si="3"/>
        <v>1166.26</v>
      </c>
      <c r="AN35" s="157">
        <v>1218.03</v>
      </c>
      <c r="AO35" s="157"/>
      <c r="AP35" s="157"/>
      <c r="AQ35" s="173"/>
      <c r="AR35" s="151">
        <f t="shared" si="4"/>
        <v>2384.29</v>
      </c>
      <c r="AS35" s="157"/>
      <c r="AT35" s="157"/>
      <c r="AU35" s="157">
        <v>0</v>
      </c>
      <c r="AV35" s="157"/>
      <c r="AW35" s="157"/>
      <c r="AX35" s="157"/>
      <c r="AY35" s="110"/>
      <c r="AZ35" s="110"/>
      <c r="BA35" s="133"/>
      <c r="BB35" s="133">
        <v>0</v>
      </c>
      <c r="BC35" s="151">
        <f t="shared" si="29"/>
        <v>2384.29</v>
      </c>
      <c r="BD35" s="110">
        <f t="shared" si="28"/>
        <v>0</v>
      </c>
      <c r="BE35" s="151">
        <f t="shared" si="6"/>
        <v>2384.29</v>
      </c>
      <c r="BF35" s="110">
        <f t="shared" si="7"/>
        <v>238.429</v>
      </c>
      <c r="BG35" s="110">
        <v>10.23</v>
      </c>
      <c r="BH35" s="151">
        <f t="shared" si="8"/>
        <v>2632.9490000000001</v>
      </c>
      <c r="BI35" s="113"/>
      <c r="BJ35" s="114"/>
      <c r="BK35" s="113"/>
      <c r="BL35" s="113"/>
      <c r="BM35" s="114"/>
      <c r="BN35" s="113"/>
      <c r="BO35" s="113"/>
      <c r="BP35" s="113"/>
      <c r="BQ35" s="113"/>
      <c r="BR35" s="113"/>
      <c r="BS35" s="113"/>
      <c r="BT35" s="113"/>
      <c r="BU35" s="174">
        <v>-0.11</v>
      </c>
      <c r="BV35" s="59">
        <v>168.06</v>
      </c>
      <c r="BW35" s="59">
        <v>-66.12</v>
      </c>
      <c r="BX35" s="59">
        <v>577.4</v>
      </c>
    </row>
    <row r="36" spans="1:76" s="24" customFormat="1" ht="15.75" hidden="1" thickTop="1" x14ac:dyDescent="0.25">
      <c r="A36" s="23"/>
      <c r="B36" s="133" t="s">
        <v>627</v>
      </c>
      <c r="C36" s="25">
        <f t="shared" si="9"/>
        <v>475.39</v>
      </c>
      <c r="D36" s="25"/>
      <c r="E36" s="25">
        <f t="shared" si="0"/>
        <v>0</v>
      </c>
      <c r="F36" s="25">
        <f t="shared" si="31"/>
        <v>0</v>
      </c>
      <c r="G36" s="25">
        <f t="shared" si="11"/>
        <v>0</v>
      </c>
      <c r="H36" s="25">
        <f t="shared" si="12"/>
        <v>0</v>
      </c>
      <c r="I36" s="25">
        <f t="shared" si="13"/>
        <v>0</v>
      </c>
      <c r="J36" s="25">
        <f t="shared" si="14"/>
        <v>0</v>
      </c>
      <c r="K36" s="25">
        <f t="shared" si="15"/>
        <v>0</v>
      </c>
      <c r="L36" s="25">
        <f t="shared" si="16"/>
        <v>0</v>
      </c>
      <c r="M36" s="25">
        <f t="shared" si="17"/>
        <v>0</v>
      </c>
      <c r="N36" s="25">
        <f t="shared" si="18"/>
        <v>0</v>
      </c>
      <c r="O36" s="25">
        <f t="shared" si="19"/>
        <v>0</v>
      </c>
      <c r="P36" s="25"/>
      <c r="Q36" s="25">
        <f>+'C&amp;A'!I37</f>
        <v>0</v>
      </c>
      <c r="R36" s="25">
        <f t="shared" si="20"/>
        <v>475.39</v>
      </c>
      <c r="S36" s="25">
        <f t="shared" si="21"/>
        <v>475.39</v>
      </c>
      <c r="T36" s="25">
        <f t="shared" si="22"/>
        <v>47.539000000000001</v>
      </c>
      <c r="U36" s="25"/>
      <c r="V36" s="25">
        <f t="shared" si="23"/>
        <v>0</v>
      </c>
      <c r="W36" s="25">
        <f t="shared" si="24"/>
        <v>522.92899999999997</v>
      </c>
      <c r="X36" s="25">
        <f t="shared" si="25"/>
        <v>83.668639999999996</v>
      </c>
      <c r="Y36" s="25">
        <f t="shared" si="26"/>
        <v>606.59763999999996</v>
      </c>
      <c r="Z36" s="65">
        <f>+R36-'C&amp;A'!K37-SINDICATO!P37</f>
        <v>0</v>
      </c>
      <c r="AA36" s="68">
        <f>+'C&amp;A'!K37+'C&amp;A'!I37+'C&amp;A'!G37+SINDICATO!E37-SINDICATO!F37-SINDICATO!M37-SINDICATO!N37</f>
        <v>475.39</v>
      </c>
      <c r="AB36" s="68">
        <f t="shared" si="27"/>
        <v>-47.538999999999987</v>
      </c>
      <c r="AC36" s="133" t="s">
        <v>388</v>
      </c>
      <c r="AD36" s="133" t="s">
        <v>627</v>
      </c>
      <c r="AE36" s="133"/>
      <c r="AF36" s="133"/>
      <c r="AG36" s="133" t="s">
        <v>390</v>
      </c>
      <c r="AH36" s="175">
        <v>42422</v>
      </c>
      <c r="AI36" s="133"/>
      <c r="AJ36" s="133"/>
      <c r="AK36" s="157">
        <v>0</v>
      </c>
      <c r="AL36" s="172">
        <v>475.39</v>
      </c>
      <c r="AM36" s="157">
        <f t="shared" si="3"/>
        <v>475.39</v>
      </c>
      <c r="AN36" s="157">
        <v>0</v>
      </c>
      <c r="AO36" s="157"/>
      <c r="AP36" s="157"/>
      <c r="AQ36" s="173"/>
      <c r="AR36" s="151">
        <f t="shared" si="4"/>
        <v>475.39</v>
      </c>
      <c r="AS36" s="157"/>
      <c r="AT36" s="157"/>
      <c r="AU36" s="157"/>
      <c r="AV36" s="157"/>
      <c r="AW36" s="157"/>
      <c r="AX36" s="157"/>
      <c r="AY36" s="110"/>
      <c r="AZ36" s="110"/>
      <c r="BA36" s="133"/>
      <c r="BB36" s="133"/>
      <c r="BC36" s="151">
        <f t="shared" si="29"/>
        <v>475.39</v>
      </c>
      <c r="BD36" s="110">
        <f t="shared" si="28"/>
        <v>0</v>
      </c>
      <c r="BE36" s="151">
        <f t="shared" si="6"/>
        <v>475.39</v>
      </c>
      <c r="BF36" s="110">
        <f t="shared" si="7"/>
        <v>47.539000000000001</v>
      </c>
      <c r="BG36" s="110">
        <v>10.23</v>
      </c>
      <c r="BH36" s="151">
        <f t="shared" si="8"/>
        <v>533.15899999999999</v>
      </c>
      <c r="BI36" s="113"/>
      <c r="BJ36" s="114"/>
      <c r="BK36" s="113"/>
      <c r="BL36" s="113"/>
      <c r="BM36" s="114"/>
      <c r="BN36" s="113">
        <v>1182316935</v>
      </c>
      <c r="BO36" s="94" t="s">
        <v>619</v>
      </c>
      <c r="BP36" s="113"/>
      <c r="BQ36" s="113"/>
      <c r="BR36" s="113"/>
      <c r="BS36" s="113"/>
      <c r="BT36" s="113"/>
      <c r="BU36" s="174">
        <v>-0.05</v>
      </c>
      <c r="BV36" s="59">
        <v>0</v>
      </c>
      <c r="BW36" s="59">
        <v>-66.12</v>
      </c>
      <c r="BX36" s="59">
        <v>577.4</v>
      </c>
    </row>
    <row r="37" spans="1:76" s="24" customFormat="1" ht="15.75" hidden="1" thickTop="1" x14ac:dyDescent="0.25">
      <c r="A37" s="55" t="s">
        <v>506</v>
      </c>
      <c r="B37" s="56" t="s">
        <v>507</v>
      </c>
      <c r="C37" s="25">
        <f t="shared" si="9"/>
        <v>1166.6600000000001</v>
      </c>
      <c r="D37" s="25">
        <f>+AJ39</f>
        <v>0</v>
      </c>
      <c r="E37" s="25">
        <f t="shared" si="0"/>
        <v>0</v>
      </c>
      <c r="F37" s="25">
        <f t="shared" si="31"/>
        <v>0</v>
      </c>
      <c r="G37" s="25">
        <f t="shared" si="11"/>
        <v>0</v>
      </c>
      <c r="H37" s="25">
        <f t="shared" si="12"/>
        <v>0</v>
      </c>
      <c r="I37" s="25">
        <f t="shared" si="13"/>
        <v>0</v>
      </c>
      <c r="J37" s="25">
        <f t="shared" si="14"/>
        <v>0</v>
      </c>
      <c r="K37" s="25">
        <f t="shared" si="15"/>
        <v>0</v>
      </c>
      <c r="L37" s="25">
        <f t="shared" si="16"/>
        <v>0</v>
      </c>
      <c r="M37" s="25">
        <f t="shared" si="17"/>
        <v>0</v>
      </c>
      <c r="N37" s="25">
        <f t="shared" si="18"/>
        <v>0</v>
      </c>
      <c r="O37" s="25">
        <f t="shared" si="19"/>
        <v>0</v>
      </c>
      <c r="P37" s="25"/>
      <c r="Q37" s="25">
        <f>+'C&amp;A'!I38</f>
        <v>0</v>
      </c>
      <c r="R37" s="25">
        <f t="shared" si="20"/>
        <v>1166.6600000000001</v>
      </c>
      <c r="S37" s="25">
        <f t="shared" si="21"/>
        <v>1166.6600000000001</v>
      </c>
      <c r="T37" s="25">
        <f t="shared" si="22"/>
        <v>116.66600000000001</v>
      </c>
      <c r="U37" s="25">
        <f>+'C&amp;A'!E38*0.02</f>
        <v>5.1128</v>
      </c>
      <c r="V37" s="25">
        <f t="shared" si="23"/>
        <v>0</v>
      </c>
      <c r="W37" s="25">
        <f t="shared" si="24"/>
        <v>1288.4388000000001</v>
      </c>
      <c r="X37" s="25">
        <f t="shared" si="25"/>
        <v>206.15020800000002</v>
      </c>
      <c r="Y37" s="25">
        <f t="shared" si="26"/>
        <v>1494.5890080000001</v>
      </c>
      <c r="Z37" s="65">
        <f>+R37-'C&amp;A'!K38-SINDICATO!P38</f>
        <v>0</v>
      </c>
      <c r="AA37" s="68">
        <f>+'C&amp;A'!K38+'C&amp;A'!I38+'C&amp;A'!G38+SINDICATO!E38-SINDICATO!F38-SINDICATO!M38-SINDICATO!N38</f>
        <v>1166.6600000000001</v>
      </c>
      <c r="AB37" s="68">
        <f t="shared" si="27"/>
        <v>-121.77880000000005</v>
      </c>
      <c r="AC37" s="133" t="s">
        <v>382</v>
      </c>
      <c r="AD37" s="133" t="s">
        <v>426</v>
      </c>
      <c r="AE37" s="133" t="s">
        <v>31</v>
      </c>
      <c r="AF37" s="133"/>
      <c r="AG37" s="133" t="s">
        <v>191</v>
      </c>
      <c r="AH37" s="175">
        <v>42415</v>
      </c>
      <c r="AI37" s="133"/>
      <c r="AJ37" s="133"/>
      <c r="AK37" s="157">
        <v>513.33000000000004</v>
      </c>
      <c r="AL37" s="172">
        <v>653.33000000000004</v>
      </c>
      <c r="AM37" s="157">
        <f t="shared" si="3"/>
        <v>1166.6600000000001</v>
      </c>
      <c r="AN37" s="157"/>
      <c r="AO37" s="157"/>
      <c r="AP37" s="157"/>
      <c r="AQ37" s="173"/>
      <c r="AR37" s="151">
        <f t="shared" ref="AR37" si="32">SUM(AM37:AP37)-AQ37</f>
        <v>1166.6600000000001</v>
      </c>
      <c r="AS37" s="157"/>
      <c r="AT37" s="157"/>
      <c r="AU37" s="157">
        <v>0</v>
      </c>
      <c r="AV37" s="157"/>
      <c r="AW37" s="157"/>
      <c r="AX37" s="157"/>
      <c r="AY37" s="110"/>
      <c r="AZ37" s="110"/>
      <c r="BA37" s="133"/>
      <c r="BB37" s="133">
        <v>0</v>
      </c>
      <c r="BC37" s="151">
        <f t="shared" ref="BC37" si="33">+AR37-SUM(AS37:BB37)</f>
        <v>1166.6600000000001</v>
      </c>
      <c r="BD37" s="110">
        <f t="shared" si="28"/>
        <v>0</v>
      </c>
      <c r="BE37" s="151">
        <f t="shared" si="6"/>
        <v>1166.6600000000001</v>
      </c>
      <c r="BF37" s="110">
        <f t="shared" si="7"/>
        <v>116.66600000000001</v>
      </c>
      <c r="BG37" s="110">
        <v>10.23</v>
      </c>
      <c r="BH37" s="151">
        <f t="shared" si="8"/>
        <v>1293.556</v>
      </c>
      <c r="BI37" s="113"/>
      <c r="BJ37" s="114"/>
      <c r="BK37" s="113"/>
      <c r="BL37" s="113"/>
      <c r="BM37" s="114"/>
      <c r="BN37" s="113"/>
      <c r="BO37" s="113"/>
      <c r="BP37" s="113"/>
      <c r="BQ37" s="113"/>
      <c r="BR37" s="113"/>
      <c r="BS37" s="113"/>
      <c r="BT37" s="113"/>
      <c r="BU37" s="174">
        <v>-0.05</v>
      </c>
      <c r="BV37" s="59">
        <v>0</v>
      </c>
      <c r="BW37" s="59">
        <v>-66.12</v>
      </c>
      <c r="BX37" s="59">
        <v>577.4</v>
      </c>
    </row>
    <row r="38" spans="1:76" s="24" customFormat="1" ht="15.75" hidden="1" thickTop="1" x14ac:dyDescent="0.25">
      <c r="A38" s="23" t="s">
        <v>81</v>
      </c>
      <c r="B38" s="24" t="s">
        <v>82</v>
      </c>
      <c r="C38" s="25">
        <f t="shared" si="9"/>
        <v>513.33000000000004</v>
      </c>
      <c r="D38" s="25">
        <f>+AJ41</f>
        <v>0</v>
      </c>
      <c r="E38" s="25">
        <f t="shared" si="0"/>
        <v>11400.01</v>
      </c>
      <c r="F38" s="25">
        <f t="shared" si="31"/>
        <v>0</v>
      </c>
      <c r="G38" s="25">
        <f t="shared" si="11"/>
        <v>0</v>
      </c>
      <c r="H38" s="25">
        <f t="shared" si="12"/>
        <v>0</v>
      </c>
      <c r="I38" s="25">
        <f t="shared" si="13"/>
        <v>0</v>
      </c>
      <c r="J38" s="25">
        <f t="shared" si="14"/>
        <v>0</v>
      </c>
      <c r="K38" s="25">
        <f t="shared" si="15"/>
        <v>0</v>
      </c>
      <c r="L38" s="25">
        <f t="shared" si="16"/>
        <v>0</v>
      </c>
      <c r="M38" s="25">
        <f t="shared" si="17"/>
        <v>349.07</v>
      </c>
      <c r="N38" s="25">
        <f t="shared" si="18"/>
        <v>1191.3340000000001</v>
      </c>
      <c r="O38" s="25">
        <f t="shared" si="19"/>
        <v>58.91</v>
      </c>
      <c r="P38" s="25"/>
      <c r="Q38" s="25">
        <f>+'C&amp;A'!I39</f>
        <v>0</v>
      </c>
      <c r="R38" s="25">
        <f t="shared" si="20"/>
        <v>10314.026</v>
      </c>
      <c r="S38" s="25">
        <f t="shared" si="21"/>
        <v>11854.43</v>
      </c>
      <c r="T38" s="25">
        <f t="shared" si="22"/>
        <v>0</v>
      </c>
      <c r="U38" s="25">
        <f>+'C&amp;A'!E39*0.02</f>
        <v>10.2256</v>
      </c>
      <c r="V38" s="25">
        <f t="shared" si="23"/>
        <v>0</v>
      </c>
      <c r="W38" s="25">
        <f t="shared" si="24"/>
        <v>11864.6556</v>
      </c>
      <c r="X38" s="25">
        <f t="shared" si="25"/>
        <v>1898.3448960000001</v>
      </c>
      <c r="Y38" s="25">
        <f t="shared" si="26"/>
        <v>13763.000496000001</v>
      </c>
      <c r="Z38" s="65">
        <f>+R38-'C&amp;A'!K39-SINDICATO!P39</f>
        <v>-258.75</v>
      </c>
      <c r="AA38" s="68">
        <f>+'C&amp;A'!K39+'C&amp;A'!I39+'C&amp;A'!G39+SINDICATO!E39-SINDICATO!F39-SINDICATO!M39-SINDICATO!N39</f>
        <v>12113.18</v>
      </c>
      <c r="AB38" s="68">
        <f t="shared" si="27"/>
        <v>248.52440000000024</v>
      </c>
      <c r="AC38" s="133" t="s">
        <v>382</v>
      </c>
      <c r="AD38" s="133" t="s">
        <v>427</v>
      </c>
      <c r="AE38" s="133" t="s">
        <v>31</v>
      </c>
      <c r="AF38" s="133" t="s">
        <v>277</v>
      </c>
      <c r="AG38" s="133" t="s">
        <v>191</v>
      </c>
      <c r="AH38" s="133"/>
      <c r="AI38" s="133"/>
      <c r="AJ38" s="133"/>
      <c r="AK38" s="157">
        <v>513.33000000000004</v>
      </c>
      <c r="AL38" s="133"/>
      <c r="AM38" s="157">
        <f t="shared" si="3"/>
        <v>513.33000000000004</v>
      </c>
      <c r="AN38" s="157">
        <f>479+10921.01</f>
        <v>11400.01</v>
      </c>
      <c r="AO38" s="157"/>
      <c r="AP38" s="157"/>
      <c r="AQ38" s="173"/>
      <c r="AR38" s="151">
        <f t="shared" si="4"/>
        <v>11913.34</v>
      </c>
      <c r="AS38" s="157"/>
      <c r="AT38" s="157">
        <v>58.91</v>
      </c>
      <c r="AU38" s="157">
        <v>0</v>
      </c>
      <c r="AV38" s="157"/>
      <c r="AW38" s="157"/>
      <c r="AX38" s="157"/>
      <c r="AY38" s="110"/>
      <c r="AZ38" s="110"/>
      <c r="BA38" s="133"/>
      <c r="BB38" s="133">
        <v>349.07</v>
      </c>
      <c r="BC38" s="151">
        <f t="shared" si="29"/>
        <v>11505.36</v>
      </c>
      <c r="BD38" s="110">
        <f t="shared" si="28"/>
        <v>1191.3340000000001</v>
      </c>
      <c r="BE38" s="151">
        <f t="shared" si="6"/>
        <v>10314.026</v>
      </c>
      <c r="BF38" s="110">
        <f t="shared" si="7"/>
        <v>0</v>
      </c>
      <c r="BG38" s="110">
        <v>10.23</v>
      </c>
      <c r="BH38" s="151">
        <f t="shared" si="8"/>
        <v>11923.57</v>
      </c>
      <c r="BI38" s="113"/>
      <c r="BJ38" s="114"/>
      <c r="BK38" s="113"/>
      <c r="BL38" s="113"/>
      <c r="BM38" s="114"/>
      <c r="BN38" s="113"/>
      <c r="BO38" s="113"/>
      <c r="BP38" s="113"/>
      <c r="BQ38" s="113"/>
      <c r="BR38" s="113"/>
      <c r="BS38" s="113"/>
      <c r="BT38" s="113"/>
      <c r="BU38" s="174">
        <v>-0.05</v>
      </c>
      <c r="BV38" s="59">
        <v>0</v>
      </c>
      <c r="BW38" s="59">
        <v>-66.12</v>
      </c>
      <c r="BX38" s="59">
        <v>577.4</v>
      </c>
    </row>
    <row r="39" spans="1:76" s="24" customFormat="1" ht="15.75" hidden="1" thickTop="1" x14ac:dyDescent="0.25">
      <c r="A39" s="23" t="s">
        <v>83</v>
      </c>
      <c r="B39" s="24" t="s">
        <v>84</v>
      </c>
      <c r="C39" s="25">
        <f t="shared" si="9"/>
        <v>513.33000000000004</v>
      </c>
      <c r="D39" s="25">
        <f>+AJ42</f>
        <v>0</v>
      </c>
      <c r="E39" s="25">
        <f t="shared" si="0"/>
        <v>782.63</v>
      </c>
      <c r="F39" s="25">
        <f t="shared" si="31"/>
        <v>0</v>
      </c>
      <c r="G39" s="25">
        <f t="shared" si="11"/>
        <v>0</v>
      </c>
      <c r="H39" s="25">
        <f t="shared" si="12"/>
        <v>0</v>
      </c>
      <c r="I39" s="25">
        <f t="shared" si="13"/>
        <v>0</v>
      </c>
      <c r="J39" s="25">
        <f t="shared" si="14"/>
        <v>0</v>
      </c>
      <c r="K39" s="25">
        <f t="shared" si="15"/>
        <v>0</v>
      </c>
      <c r="L39" s="25">
        <f t="shared" si="16"/>
        <v>0</v>
      </c>
      <c r="M39" s="25">
        <f t="shared" si="17"/>
        <v>0</v>
      </c>
      <c r="N39" s="25">
        <f t="shared" si="18"/>
        <v>0</v>
      </c>
      <c r="O39" s="25">
        <f t="shared" si="19"/>
        <v>58.91</v>
      </c>
      <c r="P39" s="25"/>
      <c r="Q39" s="25">
        <f>+'C&amp;A'!I40</f>
        <v>0</v>
      </c>
      <c r="R39" s="25">
        <f t="shared" si="20"/>
        <v>1237.05</v>
      </c>
      <c r="S39" s="25">
        <f t="shared" si="21"/>
        <v>1237.05</v>
      </c>
      <c r="T39" s="25">
        <f t="shared" si="22"/>
        <v>129.596</v>
      </c>
      <c r="U39" s="25">
        <f>+'C&amp;A'!E40*0.02</f>
        <v>10.2256</v>
      </c>
      <c r="V39" s="25">
        <f t="shared" si="23"/>
        <v>0</v>
      </c>
      <c r="W39" s="25">
        <f t="shared" si="24"/>
        <v>1376.8715999999999</v>
      </c>
      <c r="X39" s="25">
        <f t="shared" si="25"/>
        <v>220.29945599999999</v>
      </c>
      <c r="Y39" s="25">
        <f t="shared" si="26"/>
        <v>1597.1710559999999</v>
      </c>
      <c r="Z39" s="65">
        <f>+R39-'C&amp;A'!K40-SINDICATO!P40</f>
        <v>0</v>
      </c>
      <c r="AA39" s="68">
        <f>+'C&amp;A'!K40+'C&amp;A'!I40+'C&amp;A'!G40+SINDICATO!E40-SINDICATO!F40-SINDICATO!M40-SINDICATO!N40</f>
        <v>1237.05</v>
      </c>
      <c r="AB39" s="68">
        <f t="shared" si="27"/>
        <v>-139.82159999999999</v>
      </c>
      <c r="AC39" s="133" t="s">
        <v>382</v>
      </c>
      <c r="AD39" s="133" t="s">
        <v>428</v>
      </c>
      <c r="AE39" s="133" t="s">
        <v>31</v>
      </c>
      <c r="AF39" s="133" t="s">
        <v>83</v>
      </c>
      <c r="AG39" s="133" t="s">
        <v>191</v>
      </c>
      <c r="AH39" s="133"/>
      <c r="AI39" s="133"/>
      <c r="AJ39" s="133"/>
      <c r="AK39" s="157">
        <v>513.33000000000004</v>
      </c>
      <c r="AL39" s="133"/>
      <c r="AM39" s="157">
        <f t="shared" si="3"/>
        <v>513.33000000000004</v>
      </c>
      <c r="AN39" s="157">
        <v>782.63</v>
      </c>
      <c r="AO39" s="157"/>
      <c r="AP39" s="157"/>
      <c r="AQ39" s="173"/>
      <c r="AR39" s="151">
        <f t="shared" si="4"/>
        <v>1295.96</v>
      </c>
      <c r="AS39" s="157"/>
      <c r="AT39" s="157">
        <v>58.91</v>
      </c>
      <c r="AU39" s="157">
        <v>0</v>
      </c>
      <c r="AV39" s="157"/>
      <c r="AW39" s="157"/>
      <c r="AX39" s="157"/>
      <c r="AY39" s="110"/>
      <c r="AZ39" s="110"/>
      <c r="BA39" s="133"/>
      <c r="BB39" s="133">
        <v>0</v>
      </c>
      <c r="BC39" s="151">
        <f t="shared" si="29"/>
        <v>1237.05</v>
      </c>
      <c r="BD39" s="110">
        <f t="shared" si="28"/>
        <v>0</v>
      </c>
      <c r="BE39" s="151">
        <f t="shared" si="6"/>
        <v>1237.05</v>
      </c>
      <c r="BF39" s="110">
        <f t="shared" si="7"/>
        <v>129.596</v>
      </c>
      <c r="BG39" s="110">
        <v>10.23</v>
      </c>
      <c r="BH39" s="151">
        <f t="shared" si="8"/>
        <v>1435.7860000000001</v>
      </c>
      <c r="BI39" s="113"/>
      <c r="BJ39" s="114"/>
      <c r="BK39" s="113"/>
      <c r="BL39" s="113"/>
      <c r="BM39" s="114"/>
      <c r="BN39" s="113"/>
      <c r="BO39" s="113"/>
      <c r="BP39" s="113"/>
      <c r="BQ39" s="113"/>
      <c r="BR39" s="113"/>
      <c r="BS39" s="113"/>
      <c r="BT39" s="113"/>
      <c r="BU39" s="174">
        <v>-0.05</v>
      </c>
      <c r="BV39" s="59">
        <v>0</v>
      </c>
      <c r="BW39" s="59">
        <v>-82.56</v>
      </c>
      <c r="BX39" s="59">
        <v>338.2</v>
      </c>
    </row>
    <row r="40" spans="1:76" s="24" customFormat="1" ht="15.75" hidden="1" thickTop="1" x14ac:dyDescent="0.25">
      <c r="A40" s="23" t="s">
        <v>200</v>
      </c>
      <c r="B40" s="24" t="s">
        <v>201</v>
      </c>
      <c r="C40" s="25">
        <f t="shared" si="9"/>
        <v>1166.26</v>
      </c>
      <c r="D40" s="25">
        <f>+AJ43</f>
        <v>0</v>
      </c>
      <c r="E40" s="25">
        <f t="shared" si="0"/>
        <v>0</v>
      </c>
      <c r="F40" s="25">
        <f t="shared" si="31"/>
        <v>0</v>
      </c>
      <c r="G40" s="25">
        <f t="shared" si="11"/>
        <v>0</v>
      </c>
      <c r="H40" s="25">
        <f t="shared" si="12"/>
        <v>0</v>
      </c>
      <c r="I40" s="25">
        <f t="shared" si="13"/>
        <v>0</v>
      </c>
      <c r="J40" s="25">
        <f t="shared" si="14"/>
        <v>0</v>
      </c>
      <c r="K40" s="25">
        <f t="shared" si="15"/>
        <v>0</v>
      </c>
      <c r="L40" s="25">
        <f t="shared" si="16"/>
        <v>0</v>
      </c>
      <c r="M40" s="25">
        <f t="shared" si="17"/>
        <v>0</v>
      </c>
      <c r="N40" s="25">
        <f t="shared" si="18"/>
        <v>0</v>
      </c>
      <c r="O40" s="25">
        <f t="shared" si="19"/>
        <v>58.91</v>
      </c>
      <c r="P40" s="25"/>
      <c r="Q40" s="25">
        <f>+'C&amp;A'!I41</f>
        <v>0</v>
      </c>
      <c r="R40" s="25">
        <f t="shared" si="20"/>
        <v>1107.3499999999999</v>
      </c>
      <c r="S40" s="25">
        <f t="shared" si="21"/>
        <v>1107.3499999999999</v>
      </c>
      <c r="T40" s="25">
        <f t="shared" si="22"/>
        <v>116.626</v>
      </c>
      <c r="U40" s="25">
        <f>+'C&amp;A'!E41*0.02</f>
        <v>10.2256</v>
      </c>
      <c r="V40" s="25">
        <f t="shared" si="23"/>
        <v>0</v>
      </c>
      <c r="W40" s="25">
        <f t="shared" si="24"/>
        <v>1234.2015999999999</v>
      </c>
      <c r="X40" s="25">
        <f t="shared" si="25"/>
        <v>197.47225599999999</v>
      </c>
      <c r="Y40" s="25">
        <f t="shared" si="26"/>
        <v>1431.6738559999999</v>
      </c>
      <c r="Z40" s="65">
        <f>+R40-'C&amp;A'!K41-SINDICATO!P41</f>
        <v>0</v>
      </c>
      <c r="AA40" s="68">
        <f>+'C&amp;A'!K41+'C&amp;A'!I41+'C&amp;A'!G41+SINDICATO!E41-SINDICATO!F41-SINDICATO!M41-SINDICATO!N41</f>
        <v>1107.3499999999999</v>
      </c>
      <c r="AB40" s="68">
        <f t="shared" si="27"/>
        <v>-126.85159999999996</v>
      </c>
      <c r="AC40" s="133" t="s">
        <v>382</v>
      </c>
      <c r="AD40" s="133" t="s">
        <v>488</v>
      </c>
      <c r="AE40" s="133" t="s">
        <v>31</v>
      </c>
      <c r="AF40" s="176"/>
      <c r="AG40" s="133" t="s">
        <v>191</v>
      </c>
      <c r="AH40" s="133"/>
      <c r="AI40" s="133"/>
      <c r="AJ40" s="133"/>
      <c r="AK40" s="157">
        <v>1166.26</v>
      </c>
      <c r="AL40" s="133"/>
      <c r="AM40" s="157">
        <f>+AK40+AL40</f>
        <v>1166.26</v>
      </c>
      <c r="AN40" s="157"/>
      <c r="AO40" s="157"/>
      <c r="AP40" s="157"/>
      <c r="AQ40" s="173"/>
      <c r="AR40" s="151">
        <f>SUM(AM40:AP40)-AQ40</f>
        <v>1166.26</v>
      </c>
      <c r="AS40" s="157"/>
      <c r="AT40" s="157">
        <v>58.91</v>
      </c>
      <c r="AU40" s="157"/>
      <c r="AV40" s="157"/>
      <c r="AW40" s="157"/>
      <c r="AX40" s="157"/>
      <c r="AY40" s="110"/>
      <c r="AZ40" s="110"/>
      <c r="BA40" s="133"/>
      <c r="BB40" s="133">
        <v>0</v>
      </c>
      <c r="BC40" s="151">
        <f>+AR40-SUM(AS40:BB40)</f>
        <v>1107.3499999999999</v>
      </c>
      <c r="BD40" s="110">
        <f>IF(AR40&gt;4500,AR40*0.1,0)</f>
        <v>0</v>
      </c>
      <c r="BE40" s="151">
        <f>+BC40-BD40</f>
        <v>1107.3499999999999</v>
      </c>
      <c r="BF40" s="110">
        <f>IF(AR40&lt;4500,AR40*0.1,0)</f>
        <v>116.626</v>
      </c>
      <c r="BG40" s="110">
        <v>10.23</v>
      </c>
      <c r="BH40" s="151">
        <f>+AR40+BF40+BG40</f>
        <v>1293.116</v>
      </c>
      <c r="BI40" s="113"/>
      <c r="BJ40" s="114"/>
      <c r="BK40" s="113"/>
      <c r="BL40" s="113"/>
      <c r="BM40" s="114"/>
      <c r="BN40" s="113"/>
      <c r="BO40" s="113"/>
      <c r="BP40" s="113"/>
      <c r="BQ40" s="113"/>
      <c r="BR40" s="113"/>
      <c r="BS40" s="113"/>
      <c r="BT40" s="113"/>
      <c r="BU40" s="174"/>
      <c r="BV40" s="59"/>
      <c r="BW40" s="59"/>
      <c r="BX40" s="59"/>
    </row>
    <row r="41" spans="1:76" s="24" customFormat="1" ht="15.75" hidden="1" thickTop="1" x14ac:dyDescent="0.25">
      <c r="A41" s="23" t="s">
        <v>87</v>
      </c>
      <c r="B41" s="24" t="s">
        <v>88</v>
      </c>
      <c r="C41" s="25">
        <f t="shared" si="9"/>
        <v>739.23</v>
      </c>
      <c r="D41" s="25">
        <f>+AJ45</f>
        <v>0</v>
      </c>
      <c r="E41" s="25">
        <f t="shared" ref="E41:E69" si="34">+AN41</f>
        <v>1893.56</v>
      </c>
      <c r="F41" s="25">
        <f t="shared" si="31"/>
        <v>0</v>
      </c>
      <c r="G41" s="25">
        <f t="shared" si="11"/>
        <v>0</v>
      </c>
      <c r="H41" s="25">
        <f t="shared" si="12"/>
        <v>0</v>
      </c>
      <c r="I41" s="25">
        <f t="shared" si="13"/>
        <v>0</v>
      </c>
      <c r="J41" s="25">
        <f t="shared" si="14"/>
        <v>0</v>
      </c>
      <c r="K41" s="25">
        <f t="shared" si="15"/>
        <v>0</v>
      </c>
      <c r="L41" s="25">
        <f t="shared" si="16"/>
        <v>0</v>
      </c>
      <c r="M41" s="25">
        <f t="shared" si="17"/>
        <v>0</v>
      </c>
      <c r="N41" s="25">
        <f t="shared" si="18"/>
        <v>0</v>
      </c>
      <c r="O41" s="25">
        <f t="shared" si="19"/>
        <v>0</v>
      </c>
      <c r="P41" s="25"/>
      <c r="Q41" s="25">
        <f>+'C&amp;A'!I42</f>
        <v>0</v>
      </c>
      <c r="R41" s="25">
        <f t="shared" si="20"/>
        <v>2632.79</v>
      </c>
      <c r="S41" s="25">
        <f t="shared" si="21"/>
        <v>2632.79</v>
      </c>
      <c r="T41" s="25">
        <f t="shared" si="22"/>
        <v>263.279</v>
      </c>
      <c r="U41" s="25">
        <f>+'C&amp;A'!E42*0.02</f>
        <v>10.2256</v>
      </c>
      <c r="V41" s="25">
        <f t="shared" si="23"/>
        <v>0</v>
      </c>
      <c r="W41" s="25">
        <f t="shared" si="24"/>
        <v>2906.2946000000002</v>
      </c>
      <c r="X41" s="25">
        <f t="shared" si="25"/>
        <v>465.00713600000006</v>
      </c>
      <c r="Y41" s="25">
        <f t="shared" si="26"/>
        <v>3371.3017360000003</v>
      </c>
      <c r="Z41" s="65">
        <f>+R41-'C&amp;A'!K42-SINDICATO!P42</f>
        <v>0</v>
      </c>
      <c r="AA41" s="68">
        <f>+'C&amp;A'!K42+'C&amp;A'!I42+'C&amp;A'!G42+SINDICATO!E42-SINDICATO!F42-SINDICATO!M42-SINDICATO!N42</f>
        <v>2632.79</v>
      </c>
      <c r="AB41" s="68">
        <f t="shared" si="27"/>
        <v>-273.50460000000021</v>
      </c>
      <c r="AC41" s="133" t="s">
        <v>388</v>
      </c>
      <c r="AD41" s="133" t="s">
        <v>430</v>
      </c>
      <c r="AE41" s="133"/>
      <c r="AF41" s="133" t="s">
        <v>87</v>
      </c>
      <c r="AG41" s="133" t="s">
        <v>182</v>
      </c>
      <c r="AH41" s="133"/>
      <c r="AI41" s="133"/>
      <c r="AJ41" s="133"/>
      <c r="AK41" s="157">
        <v>739.23</v>
      </c>
      <c r="AL41" s="133"/>
      <c r="AM41" s="157">
        <f t="shared" si="3"/>
        <v>739.23</v>
      </c>
      <c r="AN41" s="157">
        <v>1893.56</v>
      </c>
      <c r="AO41" s="157"/>
      <c r="AP41" s="157"/>
      <c r="AQ41" s="173"/>
      <c r="AR41" s="151">
        <f t="shared" si="4"/>
        <v>2632.79</v>
      </c>
      <c r="AS41" s="157"/>
      <c r="AT41" s="157"/>
      <c r="AU41" s="157">
        <v>0</v>
      </c>
      <c r="AV41" s="157"/>
      <c r="AW41" s="157"/>
      <c r="AX41" s="157"/>
      <c r="AY41" s="110"/>
      <c r="AZ41" s="110"/>
      <c r="BA41" s="133"/>
      <c r="BB41" s="133">
        <v>0</v>
      </c>
      <c r="BC41" s="151">
        <f t="shared" si="29"/>
        <v>2632.79</v>
      </c>
      <c r="BD41" s="110">
        <f t="shared" si="28"/>
        <v>0</v>
      </c>
      <c r="BE41" s="151">
        <f t="shared" si="6"/>
        <v>2632.79</v>
      </c>
      <c r="BF41" s="110">
        <f t="shared" si="7"/>
        <v>263.279</v>
      </c>
      <c r="BG41" s="110">
        <v>10.23</v>
      </c>
      <c r="BH41" s="151">
        <f t="shared" si="8"/>
        <v>2906.299</v>
      </c>
      <c r="BI41" s="113"/>
      <c r="BJ41" s="114"/>
      <c r="BK41" s="113"/>
      <c r="BL41" s="113"/>
      <c r="BM41" s="114"/>
      <c r="BN41" s="113"/>
      <c r="BO41" s="113"/>
      <c r="BP41" s="113"/>
      <c r="BQ41" s="113"/>
      <c r="BR41" s="113"/>
      <c r="BS41" s="113"/>
      <c r="BT41" s="113"/>
      <c r="BU41" s="174">
        <v>-0.08</v>
      </c>
      <c r="BV41" s="59">
        <v>0</v>
      </c>
      <c r="BW41" s="59">
        <v>-66.12</v>
      </c>
      <c r="BX41" s="59">
        <v>577.4</v>
      </c>
    </row>
    <row r="42" spans="1:76" s="24" customFormat="1" ht="15.75" hidden="1" thickTop="1" x14ac:dyDescent="0.25">
      <c r="A42" s="23" t="s">
        <v>89</v>
      </c>
      <c r="B42" s="24" t="s">
        <v>90</v>
      </c>
      <c r="C42" s="25">
        <f t="shared" si="9"/>
        <v>513.33000000000004</v>
      </c>
      <c r="D42" s="25">
        <f>+AJ46</f>
        <v>0</v>
      </c>
      <c r="E42" s="25">
        <f t="shared" si="34"/>
        <v>5763.63</v>
      </c>
      <c r="F42" s="25">
        <f t="shared" si="31"/>
        <v>0</v>
      </c>
      <c r="G42" s="25">
        <f t="shared" si="11"/>
        <v>0</v>
      </c>
      <c r="H42" s="25">
        <f t="shared" si="12"/>
        <v>0</v>
      </c>
      <c r="I42" s="25">
        <f t="shared" si="13"/>
        <v>0</v>
      </c>
      <c r="J42" s="25">
        <f t="shared" si="14"/>
        <v>0</v>
      </c>
      <c r="K42" s="25">
        <f t="shared" si="15"/>
        <v>0</v>
      </c>
      <c r="L42" s="25">
        <f t="shared" si="16"/>
        <v>0</v>
      </c>
      <c r="M42" s="25">
        <f t="shared" si="17"/>
        <v>0</v>
      </c>
      <c r="N42" s="25">
        <f t="shared" si="18"/>
        <v>627.69600000000003</v>
      </c>
      <c r="O42" s="25">
        <f t="shared" si="19"/>
        <v>58.91</v>
      </c>
      <c r="P42" s="25"/>
      <c r="Q42" s="25">
        <f>+'C&amp;A'!I43</f>
        <v>0</v>
      </c>
      <c r="R42" s="25">
        <f t="shared" si="20"/>
        <v>5590.3540000000003</v>
      </c>
      <c r="S42" s="25">
        <f t="shared" si="21"/>
        <v>6218.05</v>
      </c>
      <c r="T42" s="25">
        <f t="shared" si="22"/>
        <v>0</v>
      </c>
      <c r="U42" s="25">
        <f>+'C&amp;A'!E43*0.02</f>
        <v>10.2256</v>
      </c>
      <c r="V42" s="25">
        <f t="shared" si="23"/>
        <v>0</v>
      </c>
      <c r="W42" s="25">
        <f t="shared" si="24"/>
        <v>6228.2755999999999</v>
      </c>
      <c r="X42" s="25">
        <f t="shared" si="25"/>
        <v>996.52409599999999</v>
      </c>
      <c r="Y42" s="25">
        <f t="shared" si="26"/>
        <v>7224.799696</v>
      </c>
      <c r="Z42" s="65">
        <f>+R42-'C&amp;A'!K43-SINDICATO!P43</f>
        <v>0</v>
      </c>
      <c r="AA42" s="68">
        <f>+'C&amp;A'!K43+'C&amp;A'!I43+'C&amp;A'!G43+SINDICATO!E43-SINDICATO!F43-SINDICATO!M43-SINDICATO!N43</f>
        <v>6218.05</v>
      </c>
      <c r="AB42" s="68">
        <f t="shared" si="27"/>
        <v>-10.225599999999758</v>
      </c>
      <c r="AC42" s="133" t="s">
        <v>382</v>
      </c>
      <c r="AD42" s="133" t="s">
        <v>431</v>
      </c>
      <c r="AE42" s="133" t="s">
        <v>33</v>
      </c>
      <c r="AF42" s="133" t="s">
        <v>89</v>
      </c>
      <c r="AG42" s="133" t="s">
        <v>191</v>
      </c>
      <c r="AH42" s="133"/>
      <c r="AI42" s="133"/>
      <c r="AJ42" s="133"/>
      <c r="AK42" s="157">
        <v>513.33000000000004</v>
      </c>
      <c r="AL42" s="133"/>
      <c r="AM42" s="157">
        <f t="shared" si="3"/>
        <v>513.33000000000004</v>
      </c>
      <c r="AN42" s="157">
        <f>182.34+5581.29</f>
        <v>5763.63</v>
      </c>
      <c r="AO42" s="157"/>
      <c r="AP42" s="157"/>
      <c r="AQ42" s="173"/>
      <c r="AR42" s="151">
        <f t="shared" ref="AR42:AR75" si="35">SUM(AM42:AP42)-AQ42</f>
        <v>6276.96</v>
      </c>
      <c r="AS42" s="157"/>
      <c r="AT42" s="157">
        <v>58.91</v>
      </c>
      <c r="AU42" s="157">
        <v>0</v>
      </c>
      <c r="AV42" s="157"/>
      <c r="AW42" s="157"/>
      <c r="AX42" s="157"/>
      <c r="AY42" s="110"/>
      <c r="AZ42" s="110"/>
      <c r="BA42" s="133"/>
      <c r="BB42" s="133">
        <v>0</v>
      </c>
      <c r="BC42" s="151">
        <f t="shared" si="29"/>
        <v>6218.05</v>
      </c>
      <c r="BD42" s="110">
        <f t="shared" si="28"/>
        <v>627.69600000000003</v>
      </c>
      <c r="BE42" s="151">
        <f t="shared" si="6"/>
        <v>5590.3540000000003</v>
      </c>
      <c r="BF42" s="110">
        <f t="shared" si="7"/>
        <v>0</v>
      </c>
      <c r="BG42" s="110">
        <v>10.23</v>
      </c>
      <c r="BH42" s="151">
        <f t="shared" si="8"/>
        <v>6287.19</v>
      </c>
      <c r="BI42" s="113"/>
      <c r="BJ42" s="114"/>
      <c r="BK42" s="113"/>
      <c r="BL42" s="113"/>
      <c r="BM42" s="114"/>
      <c r="BN42" s="113"/>
      <c r="BO42" s="113"/>
      <c r="BP42" s="113"/>
      <c r="BQ42" s="113"/>
      <c r="BR42" s="113"/>
      <c r="BS42" s="113"/>
      <c r="BT42" s="113"/>
      <c r="BU42" s="174">
        <v>-0.05</v>
      </c>
      <c r="BV42" s="59">
        <v>0</v>
      </c>
      <c r="BW42" s="59">
        <v>-66.12</v>
      </c>
      <c r="BX42" s="59">
        <v>577.4</v>
      </c>
    </row>
    <row r="43" spans="1:76" s="24" customFormat="1" ht="15.75" hidden="1" thickTop="1" x14ac:dyDescent="0.25">
      <c r="A43" s="23" t="s">
        <v>91</v>
      </c>
      <c r="B43" s="24" t="s">
        <v>92</v>
      </c>
      <c r="C43" s="25">
        <f t="shared" si="9"/>
        <v>513.33000000000004</v>
      </c>
      <c r="D43" s="25"/>
      <c r="E43" s="25">
        <f t="shared" si="34"/>
        <v>8727.89</v>
      </c>
      <c r="F43" s="25">
        <f t="shared" si="31"/>
        <v>0</v>
      </c>
      <c r="G43" s="25">
        <f t="shared" si="11"/>
        <v>0</v>
      </c>
      <c r="H43" s="25">
        <f t="shared" si="12"/>
        <v>0</v>
      </c>
      <c r="I43" s="25">
        <f t="shared" si="13"/>
        <v>0</v>
      </c>
      <c r="J43" s="25">
        <f t="shared" si="14"/>
        <v>0</v>
      </c>
      <c r="K43" s="25">
        <f t="shared" si="15"/>
        <v>0</v>
      </c>
      <c r="L43" s="25">
        <f t="shared" si="16"/>
        <v>0</v>
      </c>
      <c r="M43" s="25">
        <f t="shared" si="17"/>
        <v>208.6</v>
      </c>
      <c r="N43" s="25">
        <f t="shared" si="18"/>
        <v>924.12199999999996</v>
      </c>
      <c r="O43" s="25">
        <f t="shared" si="19"/>
        <v>0</v>
      </c>
      <c r="P43" s="25"/>
      <c r="Q43" s="25">
        <f>+'C&amp;A'!I44</f>
        <v>0</v>
      </c>
      <c r="R43" s="25">
        <f t="shared" si="20"/>
        <v>8108.4979999999987</v>
      </c>
      <c r="S43" s="25">
        <f t="shared" si="21"/>
        <v>9241.2199999999993</v>
      </c>
      <c r="T43" s="25">
        <f t="shared" si="22"/>
        <v>0</v>
      </c>
      <c r="U43" s="25">
        <f>+'C&amp;A'!E44*0.02</f>
        <v>10.2256</v>
      </c>
      <c r="V43" s="25">
        <f t="shared" si="23"/>
        <v>0</v>
      </c>
      <c r="W43" s="25">
        <f t="shared" si="24"/>
        <v>9251.4455999999991</v>
      </c>
      <c r="X43" s="25">
        <f t="shared" si="25"/>
        <v>1480.2312959999999</v>
      </c>
      <c r="Y43" s="25">
        <f t="shared" si="26"/>
        <v>10731.676895999999</v>
      </c>
      <c r="Z43" s="65">
        <f>+R43-'C&amp;A'!K44-SINDICATO!P44</f>
        <v>0</v>
      </c>
      <c r="AA43" s="68">
        <f>+'C&amp;A'!K44+'C&amp;A'!I44+'C&amp;A'!G44+SINDICATO!E44-SINDICATO!F44-SINDICATO!M44-SINDICATO!N44</f>
        <v>9241.2199999999993</v>
      </c>
      <c r="AB43" s="68">
        <f t="shared" si="27"/>
        <v>-10.225599999999758</v>
      </c>
      <c r="AC43" s="133" t="s">
        <v>382</v>
      </c>
      <c r="AD43" s="133" t="s">
        <v>432</v>
      </c>
      <c r="AE43" s="133" t="s">
        <v>32</v>
      </c>
      <c r="AF43" s="133" t="s">
        <v>91</v>
      </c>
      <c r="AG43" s="133" t="s">
        <v>191</v>
      </c>
      <c r="AH43" s="133"/>
      <c r="AI43" s="133"/>
      <c r="AJ43" s="133"/>
      <c r="AK43" s="157">
        <v>513.33000000000004</v>
      </c>
      <c r="AL43" s="133"/>
      <c r="AM43" s="157">
        <f t="shared" si="3"/>
        <v>513.33000000000004</v>
      </c>
      <c r="AN43" s="157">
        <f>513.33+7214.56+1000</f>
        <v>8727.89</v>
      </c>
      <c r="AO43" s="157"/>
      <c r="AP43" s="157"/>
      <c r="AQ43" s="173"/>
      <c r="AR43" s="151">
        <f t="shared" si="35"/>
        <v>9241.2199999999993</v>
      </c>
      <c r="AS43" s="157"/>
      <c r="AT43" s="157"/>
      <c r="AU43" s="157">
        <v>0</v>
      </c>
      <c r="AV43" s="157"/>
      <c r="AW43" s="157"/>
      <c r="AX43" s="157"/>
      <c r="AY43" s="110"/>
      <c r="AZ43" s="110"/>
      <c r="BA43" s="133"/>
      <c r="BB43" s="133">
        <v>208.6</v>
      </c>
      <c r="BC43" s="151">
        <f t="shared" si="29"/>
        <v>9032.619999999999</v>
      </c>
      <c r="BD43" s="110">
        <f t="shared" si="28"/>
        <v>924.12199999999996</v>
      </c>
      <c r="BE43" s="151">
        <f t="shared" si="6"/>
        <v>8108.4979999999987</v>
      </c>
      <c r="BF43" s="110">
        <f t="shared" si="7"/>
        <v>0</v>
      </c>
      <c r="BG43" s="110">
        <v>10.23</v>
      </c>
      <c r="BH43" s="151">
        <f t="shared" si="8"/>
        <v>9251.4499999999989</v>
      </c>
      <c r="BI43" s="113"/>
      <c r="BJ43" s="114"/>
      <c r="BK43" s="113"/>
      <c r="BL43" s="113"/>
      <c r="BM43" s="114"/>
      <c r="BN43" s="113"/>
      <c r="BO43" s="113"/>
      <c r="BP43" s="113"/>
      <c r="BQ43" s="113"/>
      <c r="BR43" s="113"/>
      <c r="BS43" s="113"/>
      <c r="BT43" s="113"/>
      <c r="BU43" s="174">
        <v>-0.05</v>
      </c>
      <c r="BV43" s="59">
        <v>0</v>
      </c>
      <c r="BW43" s="59">
        <v>-66.12</v>
      </c>
      <c r="BX43" s="59">
        <v>577.4</v>
      </c>
    </row>
    <row r="44" spans="1:76" s="24" customFormat="1" ht="15.75" hidden="1" thickTop="1" x14ac:dyDescent="0.25">
      <c r="A44" s="23" t="s">
        <v>93</v>
      </c>
      <c r="B44" s="24" t="s">
        <v>94</v>
      </c>
      <c r="C44" s="25">
        <f t="shared" si="9"/>
        <v>513.33000000000004</v>
      </c>
      <c r="D44" s="25">
        <f>-'C&amp;A'!F45</f>
        <v>56.631428571428557</v>
      </c>
      <c r="E44" s="25">
        <f t="shared" si="34"/>
        <v>0</v>
      </c>
      <c r="F44" s="25">
        <f t="shared" si="31"/>
        <v>0</v>
      </c>
      <c r="G44" s="25">
        <f t="shared" si="11"/>
        <v>0</v>
      </c>
      <c r="H44" s="25">
        <f t="shared" si="12"/>
        <v>0</v>
      </c>
      <c r="I44" s="25">
        <f t="shared" si="13"/>
        <v>0</v>
      </c>
      <c r="J44" s="25">
        <f t="shared" si="14"/>
        <v>0</v>
      </c>
      <c r="K44" s="25">
        <f t="shared" si="15"/>
        <v>0</v>
      </c>
      <c r="L44" s="25">
        <f t="shared" si="16"/>
        <v>0</v>
      </c>
      <c r="M44" s="25">
        <f t="shared" si="17"/>
        <v>0</v>
      </c>
      <c r="N44" s="25">
        <f t="shared" si="18"/>
        <v>0</v>
      </c>
      <c r="O44" s="25">
        <f t="shared" si="19"/>
        <v>58.91</v>
      </c>
      <c r="P44" s="25"/>
      <c r="Q44" s="25">
        <f>+'C&amp;A'!I45</f>
        <v>0</v>
      </c>
      <c r="R44" s="25">
        <f t="shared" si="20"/>
        <v>511.05142857142857</v>
      </c>
      <c r="S44" s="25">
        <f t="shared" si="21"/>
        <v>511.05142857142857</v>
      </c>
      <c r="T44" s="25">
        <f t="shared" si="22"/>
        <v>51.333000000000006</v>
      </c>
      <c r="U44" s="25">
        <f>+'C&amp;A'!E45*0.02</f>
        <v>8.5213999999999999</v>
      </c>
      <c r="V44" s="25">
        <f t="shared" si="23"/>
        <v>0</v>
      </c>
      <c r="W44" s="25">
        <f t="shared" si="24"/>
        <v>570.90582857142851</v>
      </c>
      <c r="X44" s="25">
        <f t="shared" si="25"/>
        <v>91.344932571428558</v>
      </c>
      <c r="Y44" s="25">
        <f t="shared" si="26"/>
        <v>662.25076114285707</v>
      </c>
      <c r="Z44" s="65">
        <f>+R44-'C&amp;A'!K45-SINDICATO!P45</f>
        <v>2.8421709430404007E-14</v>
      </c>
      <c r="AA44" s="68">
        <f>+'C&amp;A'!K45+'C&amp;A'!I45+'C&amp;A'!G45+SINDICATO!E45-SINDICATO!F45-SINDICATO!M45-SINDICATO!N45</f>
        <v>511.05142857142857</v>
      </c>
      <c r="AB44" s="68">
        <f t="shared" si="27"/>
        <v>-59.854399999999941</v>
      </c>
      <c r="AC44" s="133" t="s">
        <v>394</v>
      </c>
      <c r="AD44" s="133" t="s">
        <v>433</v>
      </c>
      <c r="AE44" s="133" t="s">
        <v>396</v>
      </c>
      <c r="AF44" s="133" t="s">
        <v>93</v>
      </c>
      <c r="AG44" s="133" t="s">
        <v>397</v>
      </c>
      <c r="AH44" s="133"/>
      <c r="AI44" s="133"/>
      <c r="AJ44" s="133"/>
      <c r="AK44" s="157">
        <v>513.33000000000004</v>
      </c>
      <c r="AL44" s="133"/>
      <c r="AM44" s="157">
        <f t="shared" si="3"/>
        <v>513.33000000000004</v>
      </c>
      <c r="AN44" s="157"/>
      <c r="AO44" s="157"/>
      <c r="AP44" s="157"/>
      <c r="AQ44" s="173"/>
      <c r="AR44" s="151">
        <f t="shared" si="35"/>
        <v>513.33000000000004</v>
      </c>
      <c r="AS44" s="157"/>
      <c r="AT44" s="157">
        <v>58.91</v>
      </c>
      <c r="AU44" s="157">
        <v>0</v>
      </c>
      <c r="AV44" s="157"/>
      <c r="AW44" s="157"/>
      <c r="AX44" s="157"/>
      <c r="AY44" s="110"/>
      <c r="AZ44" s="110"/>
      <c r="BA44" s="133"/>
      <c r="BB44" s="133">
        <v>0</v>
      </c>
      <c r="BC44" s="151">
        <f t="shared" si="29"/>
        <v>454.42000000000007</v>
      </c>
      <c r="BD44" s="110">
        <f t="shared" si="28"/>
        <v>0</v>
      </c>
      <c r="BE44" s="151">
        <f t="shared" si="6"/>
        <v>454.42000000000007</v>
      </c>
      <c r="BF44" s="110">
        <f t="shared" si="7"/>
        <v>51.333000000000006</v>
      </c>
      <c r="BG44" s="110">
        <v>10.23</v>
      </c>
      <c r="BH44" s="151">
        <f t="shared" si="8"/>
        <v>574.89300000000003</v>
      </c>
      <c r="BI44" s="113"/>
      <c r="BJ44" s="114"/>
      <c r="BK44" s="113"/>
      <c r="BL44" s="113"/>
      <c r="BM44" s="114"/>
      <c r="BN44" s="113"/>
      <c r="BO44" s="113"/>
      <c r="BP44" s="113"/>
      <c r="BQ44" s="113"/>
      <c r="BR44" s="113"/>
      <c r="BS44" s="113"/>
      <c r="BT44" s="113"/>
      <c r="BU44" s="174">
        <v>-0.05</v>
      </c>
      <c r="BV44" s="59">
        <v>0</v>
      </c>
      <c r="BW44" s="59">
        <v>-66.12</v>
      </c>
      <c r="BX44" s="59">
        <v>577.4</v>
      </c>
    </row>
    <row r="45" spans="1:76" s="24" customFormat="1" ht="15.75" hidden="1" thickTop="1" x14ac:dyDescent="0.25">
      <c r="A45" s="23" t="s">
        <v>95</v>
      </c>
      <c r="B45" s="24" t="s">
        <v>96</v>
      </c>
      <c r="C45" s="25">
        <f t="shared" si="9"/>
        <v>513.33000000000004</v>
      </c>
      <c r="D45" s="25">
        <v>0</v>
      </c>
      <c r="E45" s="25">
        <f t="shared" si="34"/>
        <v>4972.84</v>
      </c>
      <c r="F45" s="25">
        <f t="shared" si="31"/>
        <v>0</v>
      </c>
      <c r="G45" s="25">
        <f t="shared" si="11"/>
        <v>0</v>
      </c>
      <c r="H45" s="25">
        <f t="shared" si="12"/>
        <v>0</v>
      </c>
      <c r="I45" s="25">
        <f t="shared" si="13"/>
        <v>0</v>
      </c>
      <c r="J45" s="25">
        <f t="shared" si="14"/>
        <v>0</v>
      </c>
      <c r="K45" s="25">
        <f t="shared" si="15"/>
        <v>0</v>
      </c>
      <c r="L45" s="25">
        <f t="shared" si="16"/>
        <v>0</v>
      </c>
      <c r="M45" s="25">
        <f t="shared" si="17"/>
        <v>0</v>
      </c>
      <c r="N45" s="25">
        <f t="shared" si="18"/>
        <v>548.61700000000008</v>
      </c>
      <c r="O45" s="25">
        <f t="shared" si="19"/>
        <v>0</v>
      </c>
      <c r="P45" s="25"/>
      <c r="Q45" s="25">
        <f>+'C&amp;A'!I46</f>
        <v>0</v>
      </c>
      <c r="R45" s="25">
        <f t="shared" si="20"/>
        <v>4937.5529999999999</v>
      </c>
      <c r="S45" s="25">
        <f t="shared" si="21"/>
        <v>5486.17</v>
      </c>
      <c r="T45" s="25">
        <f t="shared" si="22"/>
        <v>0</v>
      </c>
      <c r="U45" s="25">
        <f>+'C&amp;A'!E46*0.02</f>
        <v>10.2256</v>
      </c>
      <c r="V45" s="25">
        <f t="shared" si="23"/>
        <v>0</v>
      </c>
      <c r="W45" s="25">
        <f t="shared" si="24"/>
        <v>5496.3955999999998</v>
      </c>
      <c r="X45" s="25">
        <f t="shared" si="25"/>
        <v>879.42329599999994</v>
      </c>
      <c r="Y45" s="25">
        <f t="shared" si="26"/>
        <v>6375.8188959999998</v>
      </c>
      <c r="Z45" s="65">
        <f>+R45-'C&amp;A'!K46-SINDICATO!P46</f>
        <v>0</v>
      </c>
      <c r="AA45" s="68">
        <f>+'C&amp;A'!K46+'C&amp;A'!I46+'C&amp;A'!G46+SINDICATO!E46-SINDICATO!F46-SINDICATO!M46-SINDICATO!N46</f>
        <v>5486.17</v>
      </c>
      <c r="AB45" s="68">
        <f t="shared" si="27"/>
        <v>-10.225599999999758</v>
      </c>
      <c r="AC45" s="133" t="s">
        <v>382</v>
      </c>
      <c r="AD45" s="133" t="s">
        <v>434</v>
      </c>
      <c r="AE45" s="133" t="s">
        <v>32</v>
      </c>
      <c r="AF45" s="133" t="s">
        <v>95</v>
      </c>
      <c r="AG45" s="133" t="s">
        <v>191</v>
      </c>
      <c r="AH45" s="133"/>
      <c r="AI45" s="133"/>
      <c r="AJ45" s="133"/>
      <c r="AK45" s="157">
        <v>513.33000000000004</v>
      </c>
      <c r="AL45" s="133"/>
      <c r="AM45" s="157">
        <f t="shared" si="3"/>
        <v>513.33000000000004</v>
      </c>
      <c r="AN45" s="157">
        <f>513.33+3459.51+1000</f>
        <v>4972.84</v>
      </c>
      <c r="AO45" s="157"/>
      <c r="AP45" s="157"/>
      <c r="AQ45" s="173"/>
      <c r="AR45" s="151">
        <f t="shared" si="35"/>
        <v>5486.17</v>
      </c>
      <c r="AS45" s="157"/>
      <c r="AT45" s="157"/>
      <c r="AU45" s="157">
        <v>0</v>
      </c>
      <c r="AV45" s="157"/>
      <c r="AW45" s="157"/>
      <c r="AX45" s="157"/>
      <c r="AY45" s="110"/>
      <c r="AZ45" s="110"/>
      <c r="BA45" s="133"/>
      <c r="BB45" s="133">
        <v>0</v>
      </c>
      <c r="BC45" s="151">
        <f t="shared" si="29"/>
        <v>5486.17</v>
      </c>
      <c r="BD45" s="110">
        <f t="shared" si="28"/>
        <v>548.61700000000008</v>
      </c>
      <c r="BE45" s="151">
        <f t="shared" si="6"/>
        <v>4937.5529999999999</v>
      </c>
      <c r="BF45" s="110">
        <f t="shared" si="7"/>
        <v>0</v>
      </c>
      <c r="BG45" s="110">
        <v>10.23</v>
      </c>
      <c r="BH45" s="151">
        <f t="shared" si="8"/>
        <v>5496.4</v>
      </c>
      <c r="BI45" s="113"/>
      <c r="BJ45" s="114"/>
      <c r="BK45" s="113"/>
      <c r="BL45" s="113"/>
      <c r="BM45" s="114"/>
      <c r="BN45" s="113"/>
      <c r="BO45" s="113"/>
      <c r="BP45" s="113"/>
      <c r="BQ45" s="113"/>
      <c r="BR45" s="113"/>
      <c r="BS45" s="113"/>
      <c r="BT45" s="113"/>
      <c r="BU45" s="174">
        <v>-0.05</v>
      </c>
      <c r="BV45" s="59">
        <v>0</v>
      </c>
      <c r="BW45" s="59">
        <v>-65.92</v>
      </c>
      <c r="BX45" s="59">
        <v>577.20000000000005</v>
      </c>
    </row>
    <row r="46" spans="1:76" s="24" customFormat="1" ht="15.75" hidden="1" thickTop="1" x14ac:dyDescent="0.25">
      <c r="A46" s="23" t="s">
        <v>97</v>
      </c>
      <c r="B46" s="24" t="s">
        <v>98</v>
      </c>
      <c r="C46" s="25">
        <f t="shared" si="9"/>
        <v>1633.33</v>
      </c>
      <c r="D46" s="25">
        <f>+AJ49</f>
        <v>0</v>
      </c>
      <c r="E46" s="25">
        <f t="shared" si="34"/>
        <v>0</v>
      </c>
      <c r="F46" s="25">
        <f t="shared" si="31"/>
        <v>0</v>
      </c>
      <c r="G46" s="25">
        <f t="shared" si="11"/>
        <v>0</v>
      </c>
      <c r="H46" s="25">
        <f t="shared" si="12"/>
        <v>0</v>
      </c>
      <c r="I46" s="25">
        <f t="shared" si="13"/>
        <v>0</v>
      </c>
      <c r="J46" s="25">
        <f t="shared" si="14"/>
        <v>0</v>
      </c>
      <c r="K46" s="25">
        <f t="shared" si="15"/>
        <v>0</v>
      </c>
      <c r="L46" s="25">
        <f t="shared" si="16"/>
        <v>0</v>
      </c>
      <c r="M46" s="25">
        <f t="shared" si="17"/>
        <v>0</v>
      </c>
      <c r="N46" s="25">
        <f t="shared" si="18"/>
        <v>0</v>
      </c>
      <c r="O46" s="25">
        <f t="shared" si="19"/>
        <v>0</v>
      </c>
      <c r="P46" s="25"/>
      <c r="Q46" s="25">
        <f>+'C&amp;A'!I47</f>
        <v>0</v>
      </c>
      <c r="R46" s="25">
        <f t="shared" si="20"/>
        <v>1633.33</v>
      </c>
      <c r="S46" s="25">
        <f t="shared" si="21"/>
        <v>1633.33</v>
      </c>
      <c r="T46" s="25">
        <f t="shared" si="22"/>
        <v>163.333</v>
      </c>
      <c r="U46" s="25">
        <f>+'C&amp;A'!E47*0.02</f>
        <v>10.2256</v>
      </c>
      <c r="V46" s="25">
        <f t="shared" si="23"/>
        <v>0</v>
      </c>
      <c r="W46" s="25">
        <f t="shared" si="24"/>
        <v>1806.8886</v>
      </c>
      <c r="X46" s="25">
        <f t="shared" si="25"/>
        <v>289.10217599999999</v>
      </c>
      <c r="Y46" s="25">
        <f t="shared" si="26"/>
        <v>2095.9907760000001</v>
      </c>
      <c r="Z46" s="65">
        <f>+R46-'C&amp;A'!K47-SINDICATO!P47</f>
        <v>0</v>
      </c>
      <c r="AA46" s="68">
        <f>+'C&amp;A'!K47+'C&amp;A'!I47+'C&amp;A'!G47+SINDICATO!E47-SINDICATO!F47-SINDICATO!M47-SINDICATO!N47</f>
        <v>1633.33</v>
      </c>
      <c r="AB46" s="68">
        <f t="shared" si="27"/>
        <v>-173.55860000000007</v>
      </c>
      <c r="AC46" s="133" t="s">
        <v>380</v>
      </c>
      <c r="AD46" s="133" t="s">
        <v>435</v>
      </c>
      <c r="AE46" s="133"/>
      <c r="AF46" s="133" t="s">
        <v>97</v>
      </c>
      <c r="AG46" s="133" t="s">
        <v>188</v>
      </c>
      <c r="AH46" s="133"/>
      <c r="AI46" s="133"/>
      <c r="AJ46" s="133"/>
      <c r="AK46" s="157">
        <v>1633.33</v>
      </c>
      <c r="AL46" s="133"/>
      <c r="AM46" s="157">
        <f t="shared" si="3"/>
        <v>1633.33</v>
      </c>
      <c r="AN46" s="157"/>
      <c r="AO46" s="157"/>
      <c r="AP46" s="157"/>
      <c r="AQ46" s="173"/>
      <c r="AR46" s="151">
        <f t="shared" si="35"/>
        <v>1633.33</v>
      </c>
      <c r="AS46" s="157"/>
      <c r="AT46" s="157"/>
      <c r="AU46" s="157">
        <v>0</v>
      </c>
      <c r="AV46" s="157"/>
      <c r="AW46" s="157"/>
      <c r="AX46" s="157"/>
      <c r="AY46" s="110"/>
      <c r="AZ46" s="110"/>
      <c r="BA46" s="133"/>
      <c r="BB46" s="133">
        <v>0</v>
      </c>
      <c r="BC46" s="151">
        <f t="shared" si="29"/>
        <v>1633.33</v>
      </c>
      <c r="BD46" s="110">
        <f t="shared" si="28"/>
        <v>0</v>
      </c>
      <c r="BE46" s="151">
        <f t="shared" si="6"/>
        <v>1633.33</v>
      </c>
      <c r="BF46" s="110">
        <f t="shared" si="7"/>
        <v>163.333</v>
      </c>
      <c r="BG46" s="110">
        <v>10.23</v>
      </c>
      <c r="BH46" s="151">
        <f t="shared" si="8"/>
        <v>1806.893</v>
      </c>
      <c r="BI46" s="113"/>
      <c r="BJ46" s="114"/>
      <c r="BK46" s="113"/>
      <c r="BL46" s="113"/>
      <c r="BM46" s="114"/>
      <c r="BN46" s="113"/>
      <c r="BO46" s="113"/>
      <c r="BP46" s="113"/>
      <c r="BQ46" s="113"/>
      <c r="BR46" s="113"/>
      <c r="BS46" s="113"/>
      <c r="BT46" s="113"/>
      <c r="BU46" s="59">
        <v>0.15</v>
      </c>
      <c r="BV46" s="59">
        <v>0</v>
      </c>
      <c r="BW46" s="59">
        <v>-66.12</v>
      </c>
      <c r="BX46" s="59">
        <v>577.4</v>
      </c>
    </row>
    <row r="47" spans="1:76" s="24" customFormat="1" ht="15.75" hidden="1" thickTop="1" x14ac:dyDescent="0.25">
      <c r="A47" s="23" t="s">
        <v>100</v>
      </c>
      <c r="B47" s="24" t="s">
        <v>101</v>
      </c>
      <c r="C47" s="25">
        <f t="shared" si="9"/>
        <v>513.33000000000004</v>
      </c>
      <c r="D47" s="25">
        <v>0</v>
      </c>
      <c r="E47" s="25">
        <f t="shared" si="34"/>
        <v>14833.07</v>
      </c>
      <c r="F47" s="25">
        <f t="shared" si="31"/>
        <v>0</v>
      </c>
      <c r="G47" s="25">
        <f t="shared" si="11"/>
        <v>0</v>
      </c>
      <c r="H47" s="25">
        <f t="shared" si="12"/>
        <v>0</v>
      </c>
      <c r="I47" s="25">
        <f t="shared" si="13"/>
        <v>0</v>
      </c>
      <c r="J47" s="25">
        <f t="shared" si="14"/>
        <v>0</v>
      </c>
      <c r="K47" s="25">
        <f t="shared" si="15"/>
        <v>0</v>
      </c>
      <c r="L47" s="25">
        <f t="shared" si="16"/>
        <v>0</v>
      </c>
      <c r="M47" s="25">
        <f t="shared" si="17"/>
        <v>0</v>
      </c>
      <c r="N47" s="25">
        <f t="shared" si="18"/>
        <v>1534.64</v>
      </c>
      <c r="O47" s="25">
        <f t="shared" si="19"/>
        <v>0</v>
      </c>
      <c r="P47" s="25"/>
      <c r="Q47" s="25">
        <f>+'C&amp;A'!I48</f>
        <v>0</v>
      </c>
      <c r="R47" s="25">
        <f t="shared" si="20"/>
        <v>13811.76</v>
      </c>
      <c r="S47" s="25">
        <f t="shared" si="21"/>
        <v>15346.4</v>
      </c>
      <c r="T47" s="25">
        <f t="shared" si="22"/>
        <v>0</v>
      </c>
      <c r="U47" s="25">
        <f>+'C&amp;A'!E48*0.02</f>
        <v>10.2256</v>
      </c>
      <c r="V47" s="25">
        <f t="shared" si="23"/>
        <v>0</v>
      </c>
      <c r="W47" s="25">
        <f t="shared" si="24"/>
        <v>15356.625599999999</v>
      </c>
      <c r="X47" s="25">
        <f t="shared" si="25"/>
        <v>2457.0600960000002</v>
      </c>
      <c r="Y47" s="25">
        <f t="shared" si="26"/>
        <v>17813.685696</v>
      </c>
      <c r="Z47" s="65">
        <f>+R47-'C&amp;A'!K48-SINDICATO!P48</f>
        <v>0</v>
      </c>
      <c r="AA47" s="68">
        <f>+'C&amp;A'!K48+'C&amp;A'!I48+'C&amp;A'!G48+SINDICATO!E48-SINDICATO!F48-SINDICATO!M48-SINDICATO!N48</f>
        <v>15346.4</v>
      </c>
      <c r="AB47" s="68">
        <f t="shared" si="27"/>
        <v>-10.225599999999758</v>
      </c>
      <c r="AC47" s="133" t="s">
        <v>382</v>
      </c>
      <c r="AD47" s="133" t="s">
        <v>628</v>
      </c>
      <c r="AE47" s="133"/>
      <c r="AF47" s="133" t="s">
        <v>100</v>
      </c>
      <c r="AG47" s="133" t="s">
        <v>191</v>
      </c>
      <c r="AH47" s="133"/>
      <c r="AI47" s="133"/>
      <c r="AJ47" s="133"/>
      <c r="AK47" s="157">
        <v>513.33000000000004</v>
      </c>
      <c r="AL47" s="133"/>
      <c r="AM47" s="157">
        <f t="shared" si="3"/>
        <v>513.33000000000004</v>
      </c>
      <c r="AN47" s="157">
        <f>513.33+14319.74</f>
        <v>14833.07</v>
      </c>
      <c r="AO47" s="157"/>
      <c r="AP47" s="157"/>
      <c r="AQ47" s="173"/>
      <c r="AR47" s="151">
        <f t="shared" si="35"/>
        <v>15346.4</v>
      </c>
      <c r="AS47" s="157"/>
      <c r="AT47" s="157"/>
      <c r="AU47" s="157">
        <v>0</v>
      </c>
      <c r="AV47" s="157"/>
      <c r="AW47" s="157"/>
      <c r="AX47" s="157"/>
      <c r="AY47" s="110"/>
      <c r="AZ47" s="110"/>
      <c r="BA47" s="133"/>
      <c r="BB47" s="133">
        <v>0</v>
      </c>
      <c r="BC47" s="151">
        <f t="shared" si="29"/>
        <v>15346.4</v>
      </c>
      <c r="BD47" s="110">
        <f t="shared" si="28"/>
        <v>1534.64</v>
      </c>
      <c r="BE47" s="151">
        <f t="shared" si="6"/>
        <v>13811.76</v>
      </c>
      <c r="BF47" s="110">
        <f t="shared" si="7"/>
        <v>0</v>
      </c>
      <c r="BG47" s="110">
        <v>10.23</v>
      </c>
      <c r="BH47" s="151">
        <f t="shared" si="8"/>
        <v>15356.63</v>
      </c>
      <c r="BI47" s="113"/>
      <c r="BJ47" s="114"/>
      <c r="BK47" s="113"/>
      <c r="BL47" s="113"/>
      <c r="BM47" s="114"/>
      <c r="BN47" s="113"/>
      <c r="BO47" s="113"/>
      <c r="BP47" s="113"/>
      <c r="BQ47" s="113"/>
      <c r="BR47" s="113"/>
      <c r="BS47" s="113"/>
      <c r="BT47" s="113"/>
      <c r="BU47" s="174">
        <v>-0.05</v>
      </c>
      <c r="BV47" s="59">
        <v>0</v>
      </c>
      <c r="BW47" s="59">
        <v>36.479999999999997</v>
      </c>
      <c r="BX47" s="59">
        <v>474.8</v>
      </c>
    </row>
    <row r="48" spans="1:76" s="24" customFormat="1" ht="15.75" hidden="1" thickTop="1" x14ac:dyDescent="0.25">
      <c r="A48" s="23" t="s">
        <v>102</v>
      </c>
      <c r="B48" s="24" t="s">
        <v>103</v>
      </c>
      <c r="C48" s="25">
        <f t="shared" si="9"/>
        <v>608.16</v>
      </c>
      <c r="D48" s="25">
        <f>+AJ51</f>
        <v>0</v>
      </c>
      <c r="E48" s="25">
        <f t="shared" si="34"/>
        <v>309.60000000000002</v>
      </c>
      <c r="F48" s="25">
        <f t="shared" si="31"/>
        <v>0</v>
      </c>
      <c r="G48" s="25">
        <f t="shared" si="11"/>
        <v>0</v>
      </c>
      <c r="H48" s="25">
        <f t="shared" si="12"/>
        <v>0</v>
      </c>
      <c r="I48" s="25">
        <f t="shared" si="13"/>
        <v>100</v>
      </c>
      <c r="J48" s="25">
        <f t="shared" si="14"/>
        <v>44.970240000000004</v>
      </c>
      <c r="K48" s="25">
        <f t="shared" si="15"/>
        <v>9.1776</v>
      </c>
      <c r="L48" s="25">
        <f t="shared" si="16"/>
        <v>0</v>
      </c>
      <c r="M48" s="25">
        <f t="shared" si="17"/>
        <v>0</v>
      </c>
      <c r="N48" s="25">
        <f t="shared" si="18"/>
        <v>0</v>
      </c>
      <c r="O48" s="25">
        <f t="shared" si="19"/>
        <v>0</v>
      </c>
      <c r="P48" s="25"/>
      <c r="Q48" s="25">
        <f>+'C&amp;A'!I49</f>
        <v>0</v>
      </c>
      <c r="R48" s="25">
        <f t="shared" si="20"/>
        <v>763.61216000000002</v>
      </c>
      <c r="S48" s="25">
        <f t="shared" si="21"/>
        <v>917.76</v>
      </c>
      <c r="T48" s="25">
        <f t="shared" si="22"/>
        <v>91.77600000000001</v>
      </c>
      <c r="U48" s="25">
        <f>+'C&amp;A'!E49*0.02</f>
        <v>10.2256</v>
      </c>
      <c r="V48" s="25">
        <f t="shared" si="23"/>
        <v>44.970240000000004</v>
      </c>
      <c r="W48" s="25">
        <f t="shared" si="24"/>
        <v>1064.7318400000001</v>
      </c>
      <c r="X48" s="25">
        <f t="shared" si="25"/>
        <v>170.35709440000002</v>
      </c>
      <c r="Y48" s="25">
        <f t="shared" si="26"/>
        <v>1235.0889344000002</v>
      </c>
      <c r="Z48" s="65">
        <f>+R48-'C&amp;A'!K49-SINDICATO!P49</f>
        <v>0</v>
      </c>
      <c r="AA48" s="68">
        <f>+'C&amp;A'!K49+'C&amp;A'!I49+'C&amp;A'!G49+SINDICATO!E49-SINDICATO!F49-SINDICATO!M49-SINDICATO!N49</f>
        <v>917.76</v>
      </c>
      <c r="AB48" s="68">
        <f t="shared" si="27"/>
        <v>-146.97184000000016</v>
      </c>
      <c r="AC48" s="133" t="s">
        <v>386</v>
      </c>
      <c r="AD48" s="133" t="s">
        <v>438</v>
      </c>
      <c r="AE48" s="133"/>
      <c r="AF48" s="133" t="s">
        <v>102</v>
      </c>
      <c r="AG48" s="133" t="s">
        <v>192</v>
      </c>
      <c r="AH48" s="133"/>
      <c r="AI48" s="133"/>
      <c r="AJ48" s="133"/>
      <c r="AK48" s="157">
        <v>608.16</v>
      </c>
      <c r="AL48" s="133"/>
      <c r="AM48" s="157">
        <f t="shared" si="3"/>
        <v>608.16</v>
      </c>
      <c r="AN48" s="157">
        <v>309.60000000000002</v>
      </c>
      <c r="AO48" s="157"/>
      <c r="AP48" s="157"/>
      <c r="AQ48" s="173"/>
      <c r="AR48" s="151">
        <f t="shared" si="35"/>
        <v>917.76</v>
      </c>
      <c r="AS48" s="157"/>
      <c r="AT48" s="157"/>
      <c r="AU48" s="157">
        <v>100</v>
      </c>
      <c r="AV48" s="157">
        <f>AR48*4.9%</f>
        <v>44.970240000000004</v>
      </c>
      <c r="AW48" s="157">
        <f>AR48*1%</f>
        <v>9.1776</v>
      </c>
      <c r="AX48" s="157"/>
      <c r="AY48" s="110"/>
      <c r="AZ48" s="110"/>
      <c r="BA48" s="133"/>
      <c r="BB48" s="133">
        <v>0</v>
      </c>
      <c r="BC48" s="151">
        <f t="shared" si="29"/>
        <v>763.61216000000002</v>
      </c>
      <c r="BD48" s="110">
        <f t="shared" si="28"/>
        <v>0</v>
      </c>
      <c r="BE48" s="151">
        <f t="shared" si="6"/>
        <v>763.61216000000002</v>
      </c>
      <c r="BF48" s="110">
        <f t="shared" si="7"/>
        <v>91.77600000000001</v>
      </c>
      <c r="BG48" s="110">
        <v>10.23</v>
      </c>
      <c r="BH48" s="151">
        <f t="shared" si="8"/>
        <v>1019.7660000000001</v>
      </c>
      <c r="BI48" s="113"/>
      <c r="BJ48" s="114"/>
      <c r="BK48" s="113"/>
      <c r="BL48" s="113"/>
      <c r="BM48" s="114"/>
      <c r="BN48" s="113"/>
      <c r="BO48" s="113"/>
      <c r="BP48" s="113"/>
      <c r="BQ48" s="113"/>
      <c r="BR48" s="113"/>
      <c r="BS48" s="113"/>
      <c r="BT48" s="113"/>
      <c r="BU48" s="174">
        <v>-0.05</v>
      </c>
      <c r="BV48" s="59">
        <v>0</v>
      </c>
      <c r="BW48" s="59">
        <v>-65.92</v>
      </c>
      <c r="BX48" s="59">
        <v>577.20000000000005</v>
      </c>
    </row>
    <row r="49" spans="1:78" s="24" customFormat="1" ht="15.75" hidden="1" thickTop="1" x14ac:dyDescent="0.25">
      <c r="A49" s="23"/>
      <c r="B49" s="133" t="s">
        <v>629</v>
      </c>
      <c r="C49" s="25">
        <f t="shared" si="9"/>
        <v>608.16</v>
      </c>
      <c r="D49" s="25"/>
      <c r="E49" s="25">
        <f t="shared" si="34"/>
        <v>801.03</v>
      </c>
      <c r="F49" s="25">
        <f t="shared" si="31"/>
        <v>0</v>
      </c>
      <c r="G49" s="25">
        <f t="shared" si="11"/>
        <v>0</v>
      </c>
      <c r="H49" s="25">
        <f t="shared" si="12"/>
        <v>0</v>
      </c>
      <c r="I49" s="25">
        <f t="shared" si="13"/>
        <v>0</v>
      </c>
      <c r="J49" s="25">
        <f t="shared" si="14"/>
        <v>0</v>
      </c>
      <c r="K49" s="25">
        <f t="shared" si="15"/>
        <v>0</v>
      </c>
      <c r="L49" s="25">
        <f t="shared" si="16"/>
        <v>0</v>
      </c>
      <c r="M49" s="25">
        <f t="shared" si="17"/>
        <v>0</v>
      </c>
      <c r="N49" s="25">
        <f t="shared" si="18"/>
        <v>0</v>
      </c>
      <c r="O49" s="25">
        <f t="shared" si="19"/>
        <v>0</v>
      </c>
      <c r="P49" s="25"/>
      <c r="Q49" s="25">
        <f>+'C&amp;A'!I50</f>
        <v>0</v>
      </c>
      <c r="R49" s="25">
        <f t="shared" si="20"/>
        <v>1409.19</v>
      </c>
      <c r="S49" s="25">
        <f t="shared" si="21"/>
        <v>1409.19</v>
      </c>
      <c r="T49" s="25">
        <f t="shared" si="22"/>
        <v>140.91900000000001</v>
      </c>
      <c r="U49" s="25"/>
      <c r="V49" s="25">
        <f t="shared" si="23"/>
        <v>0</v>
      </c>
      <c r="W49" s="25">
        <f t="shared" si="24"/>
        <v>1550.1090000000002</v>
      </c>
      <c r="X49" s="25">
        <f t="shared" si="25"/>
        <v>248.01744000000002</v>
      </c>
      <c r="Y49" s="25">
        <f t="shared" si="26"/>
        <v>1798.1264400000002</v>
      </c>
      <c r="Z49" s="65">
        <f>+R49-'C&amp;A'!K50-SINDICATO!P50</f>
        <v>0</v>
      </c>
      <c r="AA49" s="68">
        <f>+'C&amp;A'!K50+'C&amp;A'!I50+'C&amp;A'!G50+SINDICATO!E50-SINDICATO!F50-SINDICATO!M50-SINDICATO!N50</f>
        <v>1409.19</v>
      </c>
      <c r="AB49" s="68">
        <f t="shared" si="27"/>
        <v>-140.9190000000001</v>
      </c>
      <c r="AC49" s="133" t="s">
        <v>380</v>
      </c>
      <c r="AD49" s="133" t="s">
        <v>629</v>
      </c>
      <c r="AE49" s="133"/>
      <c r="AF49" s="133" t="s">
        <v>630</v>
      </c>
      <c r="AG49" s="133" t="s">
        <v>192</v>
      </c>
      <c r="AH49" s="133"/>
      <c r="AI49" s="133"/>
      <c r="AJ49" s="133"/>
      <c r="AK49" s="157">
        <v>608.16</v>
      </c>
      <c r="AL49" s="133"/>
      <c r="AM49" s="157">
        <f t="shared" si="3"/>
        <v>608.16</v>
      </c>
      <c r="AN49" s="157">
        <v>801.03</v>
      </c>
      <c r="AO49" s="157"/>
      <c r="AP49" s="157"/>
      <c r="AQ49" s="173"/>
      <c r="AR49" s="151">
        <f t="shared" si="35"/>
        <v>1409.19</v>
      </c>
      <c r="AS49" s="157"/>
      <c r="AT49" s="157"/>
      <c r="AU49" s="157"/>
      <c r="AV49" s="157"/>
      <c r="AW49" s="157"/>
      <c r="AX49" s="157"/>
      <c r="AY49" s="110"/>
      <c r="AZ49" s="110"/>
      <c r="BA49" s="133"/>
      <c r="BB49" s="133"/>
      <c r="BC49" s="151">
        <f t="shared" si="29"/>
        <v>1409.19</v>
      </c>
      <c r="BD49" s="110">
        <f t="shared" si="28"/>
        <v>0</v>
      </c>
      <c r="BE49" s="151">
        <f t="shared" si="6"/>
        <v>1409.19</v>
      </c>
      <c r="BF49" s="110">
        <f t="shared" si="7"/>
        <v>140.91900000000001</v>
      </c>
      <c r="BG49" s="110">
        <v>10.23</v>
      </c>
      <c r="BH49" s="151">
        <f t="shared" si="8"/>
        <v>1560.3390000000002</v>
      </c>
      <c r="BI49" s="113"/>
      <c r="BJ49" s="114"/>
      <c r="BK49" s="113"/>
      <c r="BL49" s="113"/>
      <c r="BM49" s="114"/>
      <c r="BN49" s="113">
        <v>2948910731</v>
      </c>
      <c r="BO49" s="94" t="s">
        <v>631</v>
      </c>
      <c r="BP49" s="113"/>
      <c r="BQ49" s="113"/>
      <c r="BR49" s="113"/>
      <c r="BS49" s="113"/>
      <c r="BT49" s="113"/>
      <c r="BU49" s="59">
        <v>0.15</v>
      </c>
      <c r="BV49" s="59">
        <v>0</v>
      </c>
      <c r="BW49" s="59">
        <v>-66.12</v>
      </c>
      <c r="BX49" s="59">
        <v>577.4</v>
      </c>
    </row>
    <row r="50" spans="1:78" s="24" customFormat="1" ht="15.75" hidden="1" thickTop="1" x14ac:dyDescent="0.25">
      <c r="A50" s="23" t="s">
        <v>104</v>
      </c>
      <c r="B50" s="24" t="s">
        <v>105</v>
      </c>
      <c r="C50" s="25">
        <f t="shared" si="9"/>
        <v>608.16</v>
      </c>
      <c r="D50" s="25">
        <f>+AJ52</f>
        <v>0</v>
      </c>
      <c r="E50" s="25">
        <f t="shared" si="34"/>
        <v>1886.62</v>
      </c>
      <c r="F50" s="25">
        <f t="shared" si="31"/>
        <v>0</v>
      </c>
      <c r="G50" s="25">
        <f t="shared" si="11"/>
        <v>0</v>
      </c>
      <c r="H50" s="25">
        <f t="shared" si="12"/>
        <v>0</v>
      </c>
      <c r="I50" s="25">
        <f t="shared" si="13"/>
        <v>0</v>
      </c>
      <c r="J50" s="25">
        <f t="shared" si="14"/>
        <v>122.24422</v>
      </c>
      <c r="K50" s="25">
        <f t="shared" si="15"/>
        <v>24.947799999999997</v>
      </c>
      <c r="L50" s="25">
        <f t="shared" si="16"/>
        <v>0</v>
      </c>
      <c r="M50" s="25">
        <f t="shared" si="17"/>
        <v>0</v>
      </c>
      <c r="N50" s="25">
        <f t="shared" si="18"/>
        <v>0</v>
      </c>
      <c r="O50" s="25">
        <f t="shared" si="19"/>
        <v>0</v>
      </c>
      <c r="P50" s="25"/>
      <c r="Q50" s="25">
        <f>+'C&amp;A'!I51</f>
        <v>0</v>
      </c>
      <c r="R50" s="25">
        <f t="shared" si="20"/>
        <v>2347.5879799999998</v>
      </c>
      <c r="S50" s="25">
        <f t="shared" si="21"/>
        <v>2494.7799999999997</v>
      </c>
      <c r="T50" s="25">
        <f t="shared" si="22"/>
        <v>249.47799999999998</v>
      </c>
      <c r="U50" s="25">
        <f>+'C&amp;A'!E51*0.02</f>
        <v>10.2256</v>
      </c>
      <c r="V50" s="25">
        <f t="shared" si="23"/>
        <v>122.24422</v>
      </c>
      <c r="W50" s="25">
        <f t="shared" si="24"/>
        <v>2876.7278200000001</v>
      </c>
      <c r="X50" s="25">
        <f t="shared" si="25"/>
        <v>460.2764512</v>
      </c>
      <c r="Y50" s="25">
        <f t="shared" si="26"/>
        <v>3337.0042711999999</v>
      </c>
      <c r="Z50" s="65">
        <f>+R50-'C&amp;A'!K51-SINDICATO!P51</f>
        <v>0</v>
      </c>
      <c r="AA50" s="68">
        <f>+'C&amp;A'!K51+'C&amp;A'!I51+'C&amp;A'!G51+SINDICATO!E51-SINDICATO!F51-SINDICATO!M51-SINDICATO!N51</f>
        <v>2494.7799999999997</v>
      </c>
      <c r="AB50" s="68">
        <f t="shared" si="27"/>
        <v>-381.94782000000032</v>
      </c>
      <c r="AC50" s="133" t="s">
        <v>386</v>
      </c>
      <c r="AD50" s="133" t="s">
        <v>439</v>
      </c>
      <c r="AE50" s="133"/>
      <c r="AF50" s="133" t="s">
        <v>104</v>
      </c>
      <c r="AG50" s="133" t="s">
        <v>194</v>
      </c>
      <c r="AH50" s="133"/>
      <c r="AI50" s="133"/>
      <c r="AJ50" s="133"/>
      <c r="AK50" s="157">
        <v>608.16</v>
      </c>
      <c r="AL50" s="133"/>
      <c r="AM50" s="157">
        <f t="shared" si="3"/>
        <v>608.16</v>
      </c>
      <c r="AN50" s="157">
        <v>1886.62</v>
      </c>
      <c r="AO50" s="157"/>
      <c r="AP50" s="157"/>
      <c r="AQ50" s="173"/>
      <c r="AR50" s="151">
        <f t="shared" si="35"/>
        <v>2494.7799999999997</v>
      </c>
      <c r="AS50" s="157"/>
      <c r="AT50" s="157"/>
      <c r="AU50" s="157"/>
      <c r="AV50" s="157">
        <f>AR50*4.9%</f>
        <v>122.24422</v>
      </c>
      <c r="AW50" s="157">
        <f>AR50*1%</f>
        <v>24.947799999999997</v>
      </c>
      <c r="AX50" s="157"/>
      <c r="AY50" s="110"/>
      <c r="AZ50" s="110"/>
      <c r="BA50" s="133"/>
      <c r="BB50" s="133">
        <v>0</v>
      </c>
      <c r="BC50" s="151">
        <f t="shared" si="29"/>
        <v>2347.5879799999998</v>
      </c>
      <c r="BD50" s="110">
        <f t="shared" si="28"/>
        <v>0</v>
      </c>
      <c r="BE50" s="151">
        <f t="shared" si="6"/>
        <v>2347.5879799999998</v>
      </c>
      <c r="BF50" s="110">
        <f t="shared" si="7"/>
        <v>249.47799999999998</v>
      </c>
      <c r="BG50" s="110">
        <v>10.23</v>
      </c>
      <c r="BH50" s="151">
        <f t="shared" si="8"/>
        <v>2754.4879999999998</v>
      </c>
      <c r="BI50" s="113"/>
      <c r="BJ50" s="114"/>
      <c r="BK50" s="113"/>
      <c r="BL50" s="113"/>
      <c r="BM50" s="114"/>
      <c r="BN50" s="113"/>
      <c r="BO50" s="113"/>
      <c r="BP50" s="113"/>
      <c r="BQ50" s="113"/>
      <c r="BR50" s="113"/>
      <c r="BS50" s="113"/>
      <c r="BT50" s="113"/>
      <c r="BU50" s="174">
        <v>-0.05</v>
      </c>
      <c r="BV50" s="59">
        <v>0</v>
      </c>
      <c r="BW50" s="59">
        <v>-66.12</v>
      </c>
      <c r="BX50" s="59">
        <v>577.4</v>
      </c>
    </row>
    <row r="51" spans="1:78" s="24" customFormat="1" ht="15.75" hidden="1" thickTop="1" x14ac:dyDescent="0.25">
      <c r="A51" s="23" t="s">
        <v>106</v>
      </c>
      <c r="B51" s="24" t="s">
        <v>107</v>
      </c>
      <c r="C51" s="25">
        <f t="shared" si="9"/>
        <v>739.23</v>
      </c>
      <c r="D51" s="25">
        <f>+AJ54</f>
        <v>0</v>
      </c>
      <c r="E51" s="25">
        <f t="shared" si="34"/>
        <v>2866.06</v>
      </c>
      <c r="F51" s="25">
        <f t="shared" si="31"/>
        <v>0</v>
      </c>
      <c r="G51" s="25">
        <f t="shared" si="11"/>
        <v>0</v>
      </c>
      <c r="H51" s="25">
        <f t="shared" si="12"/>
        <v>0</v>
      </c>
      <c r="I51" s="25">
        <f t="shared" si="13"/>
        <v>0</v>
      </c>
      <c r="J51" s="25">
        <f t="shared" si="14"/>
        <v>0</v>
      </c>
      <c r="K51" s="25">
        <f t="shared" si="15"/>
        <v>0</v>
      </c>
      <c r="L51" s="25">
        <f t="shared" si="16"/>
        <v>0</v>
      </c>
      <c r="M51" s="25">
        <f t="shared" si="17"/>
        <v>0</v>
      </c>
      <c r="N51" s="25">
        <f t="shared" si="18"/>
        <v>0</v>
      </c>
      <c r="O51" s="25">
        <f t="shared" si="19"/>
        <v>0</v>
      </c>
      <c r="P51" s="25"/>
      <c r="Q51" s="25">
        <f>+'C&amp;A'!I52</f>
        <v>0</v>
      </c>
      <c r="R51" s="25">
        <f t="shared" si="20"/>
        <v>3605.29</v>
      </c>
      <c r="S51" s="25">
        <f t="shared" si="21"/>
        <v>3605.29</v>
      </c>
      <c r="T51" s="25">
        <f t="shared" si="22"/>
        <v>360.529</v>
      </c>
      <c r="U51" s="25">
        <f>+'C&amp;A'!E52*0.02</f>
        <v>10.2256</v>
      </c>
      <c r="V51" s="25">
        <f t="shared" si="23"/>
        <v>0</v>
      </c>
      <c r="W51" s="25">
        <f t="shared" si="24"/>
        <v>3976.0446000000002</v>
      </c>
      <c r="X51" s="25">
        <f t="shared" si="25"/>
        <v>636.16713600000003</v>
      </c>
      <c r="Y51" s="25">
        <f t="shared" si="26"/>
        <v>4612.2117360000002</v>
      </c>
      <c r="Z51" s="65">
        <f>+R51-'C&amp;A'!K52-SINDICATO!P52</f>
        <v>0</v>
      </c>
      <c r="AA51" s="68">
        <f>+'C&amp;A'!K52+'C&amp;A'!I52+'C&amp;A'!G52+SINDICATO!E52-SINDICATO!F52-SINDICATO!M52-SINDICATO!N52</f>
        <v>3605.29</v>
      </c>
      <c r="AB51" s="68">
        <f t="shared" si="27"/>
        <v>-370.75460000000021</v>
      </c>
      <c r="AC51" s="133" t="s">
        <v>388</v>
      </c>
      <c r="AD51" s="133" t="s">
        <v>440</v>
      </c>
      <c r="AE51" s="133"/>
      <c r="AF51" s="133" t="s">
        <v>106</v>
      </c>
      <c r="AG51" s="133" t="s">
        <v>178</v>
      </c>
      <c r="AH51" s="133"/>
      <c r="AI51" s="133"/>
      <c r="AJ51" s="133"/>
      <c r="AK51" s="157">
        <v>739.23</v>
      </c>
      <c r="AL51" s="133"/>
      <c r="AM51" s="157">
        <f t="shared" si="3"/>
        <v>739.23</v>
      </c>
      <c r="AN51" s="157">
        <v>2866.06</v>
      </c>
      <c r="AO51" s="157"/>
      <c r="AP51" s="157"/>
      <c r="AQ51" s="173"/>
      <c r="AR51" s="151">
        <f t="shared" si="35"/>
        <v>3605.29</v>
      </c>
      <c r="AS51" s="157"/>
      <c r="AT51" s="157"/>
      <c r="AU51" s="157">
        <v>0</v>
      </c>
      <c r="AV51" s="157"/>
      <c r="AW51" s="157"/>
      <c r="AX51" s="157"/>
      <c r="AY51" s="110"/>
      <c r="AZ51" s="110"/>
      <c r="BA51" s="133"/>
      <c r="BB51" s="133">
        <v>0</v>
      </c>
      <c r="BC51" s="151">
        <f t="shared" si="29"/>
        <v>3605.29</v>
      </c>
      <c r="BD51" s="110">
        <f t="shared" si="28"/>
        <v>0</v>
      </c>
      <c r="BE51" s="151">
        <f t="shared" si="6"/>
        <v>3605.29</v>
      </c>
      <c r="BF51" s="110">
        <f t="shared" si="7"/>
        <v>360.529</v>
      </c>
      <c r="BG51" s="110">
        <v>10.23</v>
      </c>
      <c r="BH51" s="151">
        <f t="shared" si="8"/>
        <v>3976.049</v>
      </c>
      <c r="BI51" s="113"/>
      <c r="BJ51" s="114"/>
      <c r="BK51" s="113"/>
      <c r="BL51" s="113"/>
      <c r="BM51" s="114"/>
      <c r="BN51" s="113"/>
      <c r="BO51" s="113"/>
      <c r="BP51" s="113"/>
      <c r="BQ51" s="113"/>
      <c r="BR51" s="113"/>
      <c r="BS51" s="113"/>
      <c r="BT51" s="113"/>
      <c r="BU51" s="174">
        <v>-0.05</v>
      </c>
      <c r="BV51" s="59">
        <v>0</v>
      </c>
      <c r="BW51" s="59">
        <v>-66.12</v>
      </c>
      <c r="BX51" s="59">
        <v>577.4</v>
      </c>
    </row>
    <row r="52" spans="1:78" s="24" customFormat="1" ht="15.75" hidden="1" thickTop="1" x14ac:dyDescent="0.25">
      <c r="A52" s="55" t="s">
        <v>522</v>
      </c>
      <c r="B52" s="56" t="s">
        <v>521</v>
      </c>
      <c r="C52" s="25">
        <f t="shared" si="9"/>
        <v>739.23</v>
      </c>
      <c r="D52" s="25">
        <f>+AJ55</f>
        <v>0</v>
      </c>
      <c r="E52" s="25">
        <f t="shared" si="34"/>
        <v>2438.48</v>
      </c>
      <c r="F52" s="25">
        <f t="shared" si="31"/>
        <v>0</v>
      </c>
      <c r="G52" s="25">
        <f t="shared" si="11"/>
        <v>0</v>
      </c>
      <c r="H52" s="25">
        <f t="shared" si="12"/>
        <v>0</v>
      </c>
      <c r="I52" s="25">
        <f t="shared" si="13"/>
        <v>0</v>
      </c>
      <c r="J52" s="25">
        <f t="shared" si="14"/>
        <v>0</v>
      </c>
      <c r="K52" s="25">
        <f t="shared" si="15"/>
        <v>31.777100000000001</v>
      </c>
      <c r="L52" s="25">
        <f t="shared" si="16"/>
        <v>0</v>
      </c>
      <c r="M52" s="25">
        <f t="shared" si="17"/>
        <v>0</v>
      </c>
      <c r="N52" s="25">
        <f t="shared" si="18"/>
        <v>0</v>
      </c>
      <c r="O52" s="25">
        <f t="shared" si="19"/>
        <v>0</v>
      </c>
      <c r="P52" s="25"/>
      <c r="Q52" s="25">
        <f>+'C&amp;A'!I53</f>
        <v>0</v>
      </c>
      <c r="R52" s="25">
        <f t="shared" si="20"/>
        <v>3145.9329000000002</v>
      </c>
      <c r="S52" s="25">
        <f t="shared" si="21"/>
        <v>3177.71</v>
      </c>
      <c r="T52" s="25">
        <f t="shared" si="22"/>
        <v>317.77100000000002</v>
      </c>
      <c r="U52" s="25">
        <f>+'C&amp;A'!E53*0.02</f>
        <v>1.4608000000000001</v>
      </c>
      <c r="V52" s="25">
        <f t="shared" si="23"/>
        <v>0</v>
      </c>
      <c r="W52" s="25">
        <f t="shared" si="24"/>
        <v>3496.9418000000001</v>
      </c>
      <c r="X52" s="25">
        <f t="shared" si="25"/>
        <v>559.51068800000007</v>
      </c>
      <c r="Y52" s="25">
        <f t="shared" si="26"/>
        <v>4056.4524879999999</v>
      </c>
      <c r="Z52" s="65">
        <f>+R52-'C&amp;A'!K53-SINDICATO!P53</f>
        <v>0</v>
      </c>
      <c r="AA52" s="68">
        <f>+'C&amp;A'!K53+'C&amp;A'!I53+'C&amp;A'!G53+SINDICATO!E53-SINDICATO!F53-SINDICATO!M53-SINDICATO!N53</f>
        <v>3177.71</v>
      </c>
      <c r="AB52" s="68">
        <f t="shared" si="27"/>
        <v>-319.23180000000002</v>
      </c>
      <c r="AC52" s="133" t="s">
        <v>386</v>
      </c>
      <c r="AD52" s="133" t="s">
        <v>441</v>
      </c>
      <c r="AE52" s="133"/>
      <c r="AF52" s="133"/>
      <c r="AG52" s="133" t="s">
        <v>178</v>
      </c>
      <c r="AH52" s="175">
        <v>42416</v>
      </c>
      <c r="AI52" s="133"/>
      <c r="AJ52" s="133"/>
      <c r="AK52" s="157">
        <v>739.23</v>
      </c>
      <c r="AL52" s="133"/>
      <c r="AM52" s="157">
        <f t="shared" si="3"/>
        <v>739.23</v>
      </c>
      <c r="AN52" s="157">
        <v>2438.48</v>
      </c>
      <c r="AO52" s="157"/>
      <c r="AP52" s="157"/>
      <c r="AQ52" s="173"/>
      <c r="AR52" s="151">
        <f t="shared" si="35"/>
        <v>3177.71</v>
      </c>
      <c r="AS52" s="157"/>
      <c r="AT52" s="157"/>
      <c r="AU52" s="157"/>
      <c r="AV52" s="157"/>
      <c r="AW52" s="157">
        <f>AR52*1%</f>
        <v>31.777100000000001</v>
      </c>
      <c r="AX52" s="157"/>
      <c r="AY52" s="110"/>
      <c r="AZ52" s="110"/>
      <c r="BA52" s="133"/>
      <c r="BB52" s="133"/>
      <c r="BC52" s="151">
        <f t="shared" si="29"/>
        <v>3145.9329000000002</v>
      </c>
      <c r="BD52" s="110">
        <f t="shared" si="28"/>
        <v>0</v>
      </c>
      <c r="BE52" s="151">
        <f t="shared" si="6"/>
        <v>3145.9329000000002</v>
      </c>
      <c r="BF52" s="110">
        <f t="shared" si="7"/>
        <v>317.77100000000002</v>
      </c>
      <c r="BG52" s="110">
        <v>10.23</v>
      </c>
      <c r="BH52" s="151">
        <f t="shared" si="8"/>
        <v>3505.7110000000002</v>
      </c>
      <c r="BI52" s="113"/>
      <c r="BJ52" s="114"/>
      <c r="BK52" s="113"/>
      <c r="BL52" s="113"/>
      <c r="BM52" s="114"/>
      <c r="BN52" s="113">
        <v>1296641458</v>
      </c>
      <c r="BO52" s="113"/>
      <c r="BP52" s="113"/>
      <c r="BQ52" s="113"/>
      <c r="BR52" s="113"/>
      <c r="BS52" s="113"/>
      <c r="BT52" s="113"/>
      <c r="BU52" s="174">
        <v>-0.05</v>
      </c>
      <c r="BV52" s="59">
        <v>0</v>
      </c>
      <c r="BW52" s="59">
        <v>-66.12</v>
      </c>
      <c r="BX52" s="59">
        <v>577.4</v>
      </c>
    </row>
    <row r="53" spans="1:78" s="24" customFormat="1" ht="15.75" thickTop="1" x14ac:dyDescent="0.25">
      <c r="A53" s="55" t="s">
        <v>510</v>
      </c>
      <c r="B53" s="56" t="s">
        <v>511</v>
      </c>
      <c r="C53" s="25">
        <f t="shared" si="9"/>
        <v>1400</v>
      </c>
      <c r="D53" s="25">
        <f>+AJ56</f>
        <v>0</v>
      </c>
      <c r="E53" s="25">
        <f t="shared" si="34"/>
        <v>0</v>
      </c>
      <c r="F53" s="25">
        <f t="shared" si="31"/>
        <v>0</v>
      </c>
      <c r="G53" s="25">
        <f t="shared" si="11"/>
        <v>0</v>
      </c>
      <c r="H53" s="25">
        <f t="shared" si="12"/>
        <v>0</v>
      </c>
      <c r="I53" s="25">
        <f t="shared" si="13"/>
        <v>0</v>
      </c>
      <c r="J53" s="25">
        <f t="shared" si="14"/>
        <v>0</v>
      </c>
      <c r="K53" s="25">
        <f t="shared" si="15"/>
        <v>0</v>
      </c>
      <c r="L53" s="25">
        <f t="shared" si="16"/>
        <v>0</v>
      </c>
      <c r="M53" s="25">
        <f t="shared" si="17"/>
        <v>0</v>
      </c>
      <c r="N53" s="25">
        <f t="shared" si="18"/>
        <v>0</v>
      </c>
      <c r="O53" s="25">
        <f t="shared" si="19"/>
        <v>0</v>
      </c>
      <c r="P53" s="25"/>
      <c r="Q53" s="25">
        <f>+'C&amp;A'!I54</f>
        <v>0</v>
      </c>
      <c r="R53" s="25">
        <f t="shared" si="20"/>
        <v>1400</v>
      </c>
      <c r="S53" s="25">
        <f t="shared" si="21"/>
        <v>1400</v>
      </c>
      <c r="T53" s="25">
        <f t="shared" si="22"/>
        <v>140</v>
      </c>
      <c r="U53" s="25">
        <f>+'C&amp;A'!E54*0.02</f>
        <v>5.1128</v>
      </c>
      <c r="V53" s="25">
        <f t="shared" si="23"/>
        <v>0</v>
      </c>
      <c r="W53" s="25">
        <f t="shared" si="24"/>
        <v>1545.1128000000001</v>
      </c>
      <c r="X53" s="25">
        <f t="shared" si="25"/>
        <v>247.21804800000001</v>
      </c>
      <c r="Y53" s="25">
        <f t="shared" si="26"/>
        <v>1792.3308480000001</v>
      </c>
      <c r="Z53" s="65">
        <f>+R53-'C&amp;A'!K54-SINDICATO!P54</f>
        <v>0</v>
      </c>
      <c r="AA53" s="68">
        <f>+'C&amp;A'!K54+'C&amp;A'!I54+'C&amp;A'!G54+SINDICATO!E54-SINDICATO!F54-SINDICATO!M54-SINDICATO!N54</f>
        <v>1400</v>
      </c>
      <c r="AB53" s="68">
        <f t="shared" si="27"/>
        <v>-145.11280000000011</v>
      </c>
      <c r="AC53" s="133" t="s">
        <v>436</v>
      </c>
      <c r="AD53" s="133" t="s">
        <v>437</v>
      </c>
      <c r="AE53" s="133"/>
      <c r="AF53" s="133"/>
      <c r="AG53" s="133" t="s">
        <v>187</v>
      </c>
      <c r="AH53" s="175">
        <v>42413</v>
      </c>
      <c r="AI53" s="133"/>
      <c r="AJ53" s="133"/>
      <c r="AK53" s="157">
        <v>1400</v>
      </c>
      <c r="AL53" s="133"/>
      <c r="AM53" s="157">
        <f>+AK53+AL53</f>
        <v>1400</v>
      </c>
      <c r="AN53" s="157"/>
      <c r="AO53" s="157"/>
      <c r="AP53" s="157"/>
      <c r="AQ53" s="173"/>
      <c r="AR53" s="151">
        <f>SUM(AM53:AP53)-AQ53</f>
        <v>1400</v>
      </c>
      <c r="AS53" s="157"/>
      <c r="AT53" s="157"/>
      <c r="AU53" s="157"/>
      <c r="AV53" s="157"/>
      <c r="AW53" s="157"/>
      <c r="AX53" s="157"/>
      <c r="AY53" s="110"/>
      <c r="AZ53" s="110"/>
      <c r="BA53" s="133"/>
      <c r="BB53" s="133"/>
      <c r="BC53" s="151">
        <f>+AR53-SUM(AS53:BB53)</f>
        <v>1400</v>
      </c>
      <c r="BD53" s="110">
        <f>IF(AR53&gt;4500,AR53*0.1,0)</f>
        <v>0</v>
      </c>
      <c r="BE53" s="151">
        <f>+BC53-BD53</f>
        <v>1400</v>
      </c>
      <c r="BF53" s="110">
        <f>IF(AR53&lt;4500,AR53*0.1,0)</f>
        <v>140</v>
      </c>
      <c r="BG53" s="110">
        <v>10.23</v>
      </c>
      <c r="BH53" s="151">
        <f>+AR53+BF53+BG53</f>
        <v>1550.23</v>
      </c>
      <c r="BI53" s="113"/>
      <c r="BJ53" s="114"/>
      <c r="BK53" s="113"/>
      <c r="BL53" s="113"/>
      <c r="BM53" s="114"/>
      <c r="BN53" s="113"/>
      <c r="BO53" s="113"/>
      <c r="BP53" s="113"/>
      <c r="BQ53" s="113"/>
      <c r="BR53" s="113"/>
      <c r="BS53" s="113"/>
      <c r="BT53" s="113"/>
      <c r="BU53" s="174"/>
      <c r="BV53" s="59">
        <v>0</v>
      </c>
      <c r="BW53" s="59">
        <v>-66.12</v>
      </c>
      <c r="BX53" s="59">
        <v>577.4</v>
      </c>
    </row>
    <row r="54" spans="1:78" s="24" customFormat="1" hidden="1" x14ac:dyDescent="0.25">
      <c r="A54" s="23" t="s">
        <v>108</v>
      </c>
      <c r="B54" s="24" t="s">
        <v>109</v>
      </c>
      <c r="C54" s="25">
        <f t="shared" si="9"/>
        <v>513.33000000000004</v>
      </c>
      <c r="D54" s="25">
        <v>0</v>
      </c>
      <c r="E54" s="25">
        <f t="shared" si="34"/>
        <v>20601.010000000002</v>
      </c>
      <c r="F54" s="25">
        <f t="shared" si="31"/>
        <v>0</v>
      </c>
      <c r="G54" s="25">
        <f t="shared" si="11"/>
        <v>0</v>
      </c>
      <c r="H54" s="25">
        <f t="shared" si="12"/>
        <v>0</v>
      </c>
      <c r="I54" s="25">
        <f t="shared" si="13"/>
        <v>0</v>
      </c>
      <c r="J54" s="25">
        <f t="shared" si="14"/>
        <v>0</v>
      </c>
      <c r="K54" s="25">
        <f t="shared" si="15"/>
        <v>0</v>
      </c>
      <c r="L54" s="25">
        <f t="shared" si="16"/>
        <v>0</v>
      </c>
      <c r="M54" s="25">
        <f t="shared" si="17"/>
        <v>0</v>
      </c>
      <c r="N54" s="25">
        <f t="shared" si="18"/>
        <v>2111.4340000000007</v>
      </c>
      <c r="O54" s="25">
        <f t="shared" si="19"/>
        <v>58.91</v>
      </c>
      <c r="P54" s="25"/>
      <c r="Q54" s="25">
        <f>+'C&amp;A'!I55</f>
        <v>0</v>
      </c>
      <c r="R54" s="25">
        <f t="shared" si="20"/>
        <v>18943.996000000003</v>
      </c>
      <c r="S54" s="25">
        <f t="shared" si="21"/>
        <v>21055.430000000004</v>
      </c>
      <c r="T54" s="25">
        <f t="shared" si="22"/>
        <v>0</v>
      </c>
      <c r="U54" s="25">
        <f>+'C&amp;A'!E55*0.02</f>
        <v>10.2256</v>
      </c>
      <c r="V54" s="25">
        <f t="shared" si="23"/>
        <v>0</v>
      </c>
      <c r="W54" s="25">
        <f t="shared" si="24"/>
        <v>21065.655600000006</v>
      </c>
      <c r="X54" s="25">
        <f t="shared" si="25"/>
        <v>3370.5048960000008</v>
      </c>
      <c r="Y54" s="25">
        <f t="shared" si="26"/>
        <v>24436.160496000008</v>
      </c>
      <c r="Z54" s="65">
        <f>+R54-'C&amp;A'!K55-SINDICATO!P55</f>
        <v>0</v>
      </c>
      <c r="AA54" s="68">
        <f>+'C&amp;A'!K55+'C&amp;A'!I55+'C&amp;A'!G55+SINDICATO!E55-SINDICATO!F55-SINDICATO!M55-SINDICATO!N55</f>
        <v>21055.430000000004</v>
      </c>
      <c r="AB54" s="68">
        <f t="shared" si="27"/>
        <v>-10.225600000001577</v>
      </c>
      <c r="AC54" s="133" t="s">
        <v>382</v>
      </c>
      <c r="AD54" s="133" t="s">
        <v>442</v>
      </c>
      <c r="AE54" s="133" t="s">
        <v>32</v>
      </c>
      <c r="AF54" s="133" t="s">
        <v>108</v>
      </c>
      <c r="AG54" s="133" t="s">
        <v>191</v>
      </c>
      <c r="AH54" s="133"/>
      <c r="AI54" s="133"/>
      <c r="AJ54" s="133"/>
      <c r="AK54" s="157">
        <v>513.33000000000004</v>
      </c>
      <c r="AL54" s="133"/>
      <c r="AM54" s="157">
        <f t="shared" si="3"/>
        <v>513.33000000000004</v>
      </c>
      <c r="AN54" s="157">
        <f>513.33+20087.68</f>
        <v>20601.010000000002</v>
      </c>
      <c r="AO54" s="157"/>
      <c r="AP54" s="157"/>
      <c r="AQ54" s="173"/>
      <c r="AR54" s="151">
        <f t="shared" si="35"/>
        <v>21114.340000000004</v>
      </c>
      <c r="AS54" s="157"/>
      <c r="AT54" s="157">
        <v>58.91</v>
      </c>
      <c r="AU54" s="157">
        <v>0</v>
      </c>
      <c r="AV54" s="157"/>
      <c r="AW54" s="157"/>
      <c r="AX54" s="157"/>
      <c r="AY54" s="110"/>
      <c r="AZ54" s="110"/>
      <c r="BA54" s="133"/>
      <c r="BB54" s="133">
        <v>0</v>
      </c>
      <c r="BC54" s="151">
        <f t="shared" si="29"/>
        <v>21055.430000000004</v>
      </c>
      <c r="BD54" s="110">
        <f t="shared" si="28"/>
        <v>2111.4340000000007</v>
      </c>
      <c r="BE54" s="151">
        <f t="shared" si="6"/>
        <v>18943.996000000003</v>
      </c>
      <c r="BF54" s="110">
        <f t="shared" si="7"/>
        <v>0</v>
      </c>
      <c r="BG54" s="110">
        <v>10.23</v>
      </c>
      <c r="BH54" s="151">
        <f t="shared" si="8"/>
        <v>21124.570000000003</v>
      </c>
      <c r="BI54" s="113"/>
      <c r="BJ54" s="114"/>
      <c r="BK54" s="113"/>
      <c r="BL54" s="113"/>
      <c r="BM54" s="114"/>
      <c r="BN54" s="113"/>
      <c r="BO54" s="113"/>
      <c r="BP54" s="113"/>
      <c r="BQ54" s="113"/>
      <c r="BR54" s="113"/>
      <c r="BS54" s="113"/>
      <c r="BT54" s="113"/>
      <c r="BU54" s="174">
        <v>-0.05</v>
      </c>
      <c r="BV54" s="59">
        <v>0</v>
      </c>
      <c r="BW54" s="59">
        <f>+BS55+BT56+BU56+BV55</f>
        <v>-0.08</v>
      </c>
      <c r="BX54" s="59">
        <f>+BR55-BW54</f>
        <v>0.08</v>
      </c>
    </row>
    <row r="55" spans="1:78" s="24" customFormat="1" hidden="1" x14ac:dyDescent="0.25">
      <c r="A55" s="23" t="s">
        <v>110</v>
      </c>
      <c r="B55" s="24" t="s">
        <v>111</v>
      </c>
      <c r="C55" s="25">
        <f t="shared" si="9"/>
        <v>513.33000000000004</v>
      </c>
      <c r="D55" s="25">
        <f>+AJ58</f>
        <v>0</v>
      </c>
      <c r="E55" s="25">
        <f t="shared" si="34"/>
        <v>9275.2899999999991</v>
      </c>
      <c r="F55" s="25">
        <f t="shared" si="31"/>
        <v>0</v>
      </c>
      <c r="G55" s="25">
        <f t="shared" si="11"/>
        <v>0</v>
      </c>
      <c r="H55" s="25">
        <f t="shared" si="12"/>
        <v>0</v>
      </c>
      <c r="I55" s="25">
        <f t="shared" si="13"/>
        <v>0</v>
      </c>
      <c r="J55" s="25">
        <f t="shared" si="14"/>
        <v>0</v>
      </c>
      <c r="K55" s="25">
        <f t="shared" si="15"/>
        <v>0</v>
      </c>
      <c r="L55" s="25">
        <f t="shared" si="16"/>
        <v>0</v>
      </c>
      <c r="M55" s="25">
        <f t="shared" si="17"/>
        <v>0</v>
      </c>
      <c r="N55" s="25">
        <f t="shared" si="18"/>
        <v>978.86199999999997</v>
      </c>
      <c r="O55" s="25">
        <f t="shared" si="19"/>
        <v>0</v>
      </c>
      <c r="P55" s="25"/>
      <c r="Q55" s="25">
        <f>+'C&amp;A'!I56</f>
        <v>0</v>
      </c>
      <c r="R55" s="25">
        <f t="shared" si="20"/>
        <v>8809.7579999999998</v>
      </c>
      <c r="S55" s="25">
        <f t="shared" si="21"/>
        <v>9788.619999999999</v>
      </c>
      <c r="T55" s="25">
        <f t="shared" si="22"/>
        <v>0</v>
      </c>
      <c r="U55" s="25">
        <f>+'C&amp;A'!E56*0.02</f>
        <v>10.2256</v>
      </c>
      <c r="V55" s="25">
        <f t="shared" si="23"/>
        <v>0</v>
      </c>
      <c r="W55" s="25">
        <f t="shared" si="24"/>
        <v>9798.8455999999987</v>
      </c>
      <c r="X55" s="25">
        <f t="shared" si="25"/>
        <v>1567.8152959999998</v>
      </c>
      <c r="Y55" s="25">
        <f t="shared" si="26"/>
        <v>11366.660895999998</v>
      </c>
      <c r="Z55" s="65">
        <f>+R55-'C&amp;A'!K56-SINDICATO!P56</f>
        <v>0</v>
      </c>
      <c r="AA55" s="68">
        <f>+'C&amp;A'!K56+'C&amp;A'!I56+'C&amp;A'!G56+SINDICATO!E56-SINDICATO!F56-SINDICATO!M56-SINDICATO!N56</f>
        <v>9788.619999999999</v>
      </c>
      <c r="AB55" s="68">
        <f t="shared" si="27"/>
        <v>-10.225599999999758</v>
      </c>
      <c r="AC55" s="133" t="s">
        <v>382</v>
      </c>
      <c r="AD55" s="133" t="s">
        <v>443</v>
      </c>
      <c r="AE55" s="133" t="s">
        <v>33</v>
      </c>
      <c r="AF55" s="133">
        <v>30</v>
      </c>
      <c r="AG55" s="133" t="s">
        <v>191</v>
      </c>
      <c r="AH55" s="133"/>
      <c r="AI55" s="133"/>
      <c r="AJ55" s="133"/>
      <c r="AK55" s="157">
        <v>513.33000000000004</v>
      </c>
      <c r="AL55" s="133"/>
      <c r="AM55" s="157">
        <f t="shared" si="3"/>
        <v>513.33000000000004</v>
      </c>
      <c r="AN55" s="157">
        <f>148.48+9126.81</f>
        <v>9275.2899999999991</v>
      </c>
      <c r="AO55" s="157"/>
      <c r="AP55" s="157"/>
      <c r="AQ55" s="173"/>
      <c r="AR55" s="151">
        <f t="shared" si="35"/>
        <v>9788.619999999999</v>
      </c>
      <c r="AS55" s="157"/>
      <c r="AT55" s="157"/>
      <c r="AU55" s="157">
        <v>0</v>
      </c>
      <c r="AV55" s="157"/>
      <c r="AW55" s="157"/>
      <c r="AX55" s="157"/>
      <c r="AY55" s="110"/>
      <c r="AZ55" s="110"/>
      <c r="BA55" s="133"/>
      <c r="BB55" s="133">
        <v>0</v>
      </c>
      <c r="BC55" s="151">
        <f t="shared" si="29"/>
        <v>9788.619999999999</v>
      </c>
      <c r="BD55" s="110">
        <f t="shared" si="28"/>
        <v>978.86199999999997</v>
      </c>
      <c r="BE55" s="151">
        <f t="shared" si="6"/>
        <v>8809.7579999999998</v>
      </c>
      <c r="BF55" s="110">
        <f t="shared" si="7"/>
        <v>0</v>
      </c>
      <c r="BG55" s="110">
        <v>10.23</v>
      </c>
      <c r="BH55" s="151">
        <f t="shared" si="8"/>
        <v>9798.8499999999985</v>
      </c>
      <c r="BI55" s="113"/>
      <c r="BJ55" s="114"/>
      <c r="BK55" s="113"/>
      <c r="BL55" s="113"/>
      <c r="BM55" s="114"/>
      <c r="BN55" s="113"/>
      <c r="BO55" s="113"/>
      <c r="BP55" s="113"/>
      <c r="BQ55" s="113"/>
      <c r="BR55" s="113"/>
      <c r="BS55" s="113"/>
      <c r="BT55" s="113"/>
      <c r="BU55" s="174">
        <v>-0.05</v>
      </c>
      <c r="BV55" s="59">
        <v>0</v>
      </c>
      <c r="BW55" s="59">
        <v>-82.56</v>
      </c>
      <c r="BX55" s="59">
        <v>338.2</v>
      </c>
    </row>
    <row r="56" spans="1:78" s="39" customFormat="1" hidden="1" x14ac:dyDescent="0.25">
      <c r="A56" s="36" t="s">
        <v>198</v>
      </c>
      <c r="B56" s="39" t="s">
        <v>199</v>
      </c>
      <c r="C56" s="40">
        <f t="shared" si="9"/>
        <v>1166.6600000000001</v>
      </c>
      <c r="D56" s="40">
        <f>+AJ59</f>
        <v>0</v>
      </c>
      <c r="E56" s="40">
        <f t="shared" si="34"/>
        <v>-653.33000000000004</v>
      </c>
      <c r="F56" s="40">
        <f t="shared" si="31"/>
        <v>0</v>
      </c>
      <c r="G56" s="40">
        <f t="shared" si="11"/>
        <v>0</v>
      </c>
      <c r="H56" s="40">
        <f t="shared" si="12"/>
        <v>0</v>
      </c>
      <c r="I56" s="40">
        <f t="shared" si="13"/>
        <v>0</v>
      </c>
      <c r="J56" s="40">
        <f t="shared" si="14"/>
        <v>0</v>
      </c>
      <c r="K56" s="40">
        <f t="shared" si="15"/>
        <v>0</v>
      </c>
      <c r="L56" s="40">
        <f t="shared" si="16"/>
        <v>0</v>
      </c>
      <c r="M56" s="40">
        <f t="shared" si="17"/>
        <v>128.33250000000001</v>
      </c>
      <c r="N56" s="40">
        <f t="shared" si="18"/>
        <v>0</v>
      </c>
      <c r="O56" s="40">
        <f t="shared" si="19"/>
        <v>0</v>
      </c>
      <c r="P56" s="40"/>
      <c r="Q56" s="25">
        <f>+'C&amp;A'!I57</f>
        <v>0</v>
      </c>
      <c r="R56" s="25">
        <f t="shared" si="20"/>
        <v>384.99750000000006</v>
      </c>
      <c r="S56" s="25">
        <f t="shared" si="21"/>
        <v>513.33000000000004</v>
      </c>
      <c r="T56" s="40">
        <f t="shared" si="22"/>
        <v>51.333000000000006</v>
      </c>
      <c r="U56" s="40">
        <f>+'C&amp;A'!E57*0.02</f>
        <v>10.2256</v>
      </c>
      <c r="V56" s="40">
        <f t="shared" si="23"/>
        <v>0</v>
      </c>
      <c r="W56" s="25">
        <f t="shared" si="24"/>
        <v>574.8886</v>
      </c>
      <c r="X56" s="25">
        <f t="shared" si="25"/>
        <v>91.982175999999995</v>
      </c>
      <c r="Y56" s="25">
        <f t="shared" si="26"/>
        <v>666.87077599999998</v>
      </c>
      <c r="Z56" s="65">
        <f>+R56-'C&amp;A'!K57-SINDICATO!P57</f>
        <v>0</v>
      </c>
      <c r="AA56" s="68">
        <f>+'C&amp;A'!K57+'C&amp;A'!I57+'C&amp;A'!G57+SINDICATO!E57-SINDICATO!F57-SINDICATO!M57-SINDICATO!N57</f>
        <v>513.33000000000004</v>
      </c>
      <c r="AB56" s="68">
        <f t="shared" si="27"/>
        <v>-61.558599999999956</v>
      </c>
      <c r="AC56" s="165" t="s">
        <v>382</v>
      </c>
      <c r="AD56" s="165" t="s">
        <v>444</v>
      </c>
      <c r="AE56" s="165" t="s">
        <v>31</v>
      </c>
      <c r="AF56" s="165" t="s">
        <v>198</v>
      </c>
      <c r="AG56" s="165" t="s">
        <v>191</v>
      </c>
      <c r="AH56" s="180">
        <v>42408</v>
      </c>
      <c r="AI56" s="165"/>
      <c r="AJ56" s="165"/>
      <c r="AK56" s="166">
        <v>513.33000000000004</v>
      </c>
      <c r="AL56" s="165">
        <v>653.33000000000004</v>
      </c>
      <c r="AM56" s="166">
        <f t="shared" si="3"/>
        <v>1166.6600000000001</v>
      </c>
      <c r="AN56" s="166">
        <v>-653.33000000000004</v>
      </c>
      <c r="AO56" s="166"/>
      <c r="AP56" s="166"/>
      <c r="AQ56" s="167"/>
      <c r="AR56" s="168">
        <f t="shared" si="35"/>
        <v>513.33000000000004</v>
      </c>
      <c r="AS56" s="166"/>
      <c r="AT56" s="166"/>
      <c r="AU56" s="166">
        <v>0</v>
      </c>
      <c r="AV56" s="166"/>
      <c r="AW56" s="166"/>
      <c r="AX56" s="166"/>
      <c r="AY56" s="169"/>
      <c r="AZ56" s="169"/>
      <c r="BA56" s="248"/>
      <c r="BB56" s="248">
        <f>+AR56*0.25</f>
        <v>128.33250000000001</v>
      </c>
      <c r="BC56" s="168">
        <f t="shared" si="29"/>
        <v>384.99750000000006</v>
      </c>
      <c r="BD56" s="169">
        <f t="shared" si="28"/>
        <v>0</v>
      </c>
      <c r="BE56" s="168">
        <f t="shared" si="6"/>
        <v>384.99750000000006</v>
      </c>
      <c r="BF56" s="169">
        <f t="shared" si="7"/>
        <v>51.333000000000006</v>
      </c>
      <c r="BG56" s="169">
        <v>10.23</v>
      </c>
      <c r="BH56" s="168">
        <f t="shared" si="8"/>
        <v>574.89300000000003</v>
      </c>
      <c r="BI56" s="170"/>
      <c r="BJ56" s="171"/>
      <c r="BK56" s="170"/>
      <c r="BL56" s="170"/>
      <c r="BM56" s="171"/>
      <c r="BN56" s="170"/>
      <c r="BO56" s="170">
        <v>129.37</v>
      </c>
      <c r="BP56" s="170" t="s">
        <v>632</v>
      </c>
      <c r="BQ56" s="170"/>
      <c r="BR56" s="170"/>
      <c r="BS56" s="170"/>
      <c r="BT56" s="170"/>
      <c r="BU56" s="53">
        <v>-0.08</v>
      </c>
      <c r="BV56" s="53">
        <v>0</v>
      </c>
      <c r="BW56" s="53">
        <v>-66.12</v>
      </c>
      <c r="BX56" s="53">
        <v>577.4</v>
      </c>
    </row>
    <row r="57" spans="1:78" s="24" customFormat="1" hidden="1" x14ac:dyDescent="0.25">
      <c r="A57" s="23" t="s">
        <v>112</v>
      </c>
      <c r="B57" s="24" t="s">
        <v>113</v>
      </c>
      <c r="C57" s="25">
        <f t="shared" si="9"/>
        <v>1166.6600000000001</v>
      </c>
      <c r="D57" s="25">
        <f>+AJ60</f>
        <v>0</v>
      </c>
      <c r="E57" s="25">
        <f t="shared" si="34"/>
        <v>0</v>
      </c>
      <c r="F57" s="25">
        <f t="shared" si="31"/>
        <v>0</v>
      </c>
      <c r="G57" s="25">
        <f t="shared" si="11"/>
        <v>0</v>
      </c>
      <c r="H57" s="25">
        <f t="shared" si="12"/>
        <v>0</v>
      </c>
      <c r="I57" s="25">
        <f t="shared" si="13"/>
        <v>0</v>
      </c>
      <c r="J57" s="25">
        <f t="shared" si="14"/>
        <v>0</v>
      </c>
      <c r="K57" s="25">
        <f t="shared" si="15"/>
        <v>0</v>
      </c>
      <c r="L57" s="25">
        <f t="shared" si="16"/>
        <v>0</v>
      </c>
      <c r="M57" s="25">
        <f t="shared" si="17"/>
        <v>0</v>
      </c>
      <c r="N57" s="25">
        <f t="shared" si="18"/>
        <v>0</v>
      </c>
      <c r="O57" s="25">
        <f t="shared" si="19"/>
        <v>0</v>
      </c>
      <c r="P57" s="25"/>
      <c r="Q57" s="25">
        <f>+'C&amp;A'!I58</f>
        <v>0</v>
      </c>
      <c r="R57" s="25">
        <f t="shared" si="20"/>
        <v>1166.6600000000001</v>
      </c>
      <c r="S57" s="25">
        <f t="shared" si="21"/>
        <v>1166.6600000000001</v>
      </c>
      <c r="T57" s="25">
        <f t="shared" si="22"/>
        <v>116.66600000000001</v>
      </c>
      <c r="U57" s="25">
        <f>+'C&amp;A'!E58*0.02</f>
        <v>10.2256</v>
      </c>
      <c r="V57" s="25">
        <f t="shared" si="23"/>
        <v>0</v>
      </c>
      <c r="W57" s="25">
        <f t="shared" si="24"/>
        <v>1293.5516</v>
      </c>
      <c r="X57" s="25">
        <f t="shared" si="25"/>
        <v>206.968256</v>
      </c>
      <c r="Y57" s="25">
        <f t="shared" si="26"/>
        <v>1500.5198559999999</v>
      </c>
      <c r="Z57" s="65">
        <f>+R57-'C&amp;A'!K58-SINDICATO!P58</f>
        <v>0</v>
      </c>
      <c r="AA57" s="68">
        <f>+'C&amp;A'!K58+'C&amp;A'!I58+'C&amp;A'!G58+SINDICATO!E58-SINDICATO!F58-SINDICATO!M58-SINDICATO!N58</f>
        <v>1166.6600000000001</v>
      </c>
      <c r="AB57" s="68">
        <f t="shared" si="27"/>
        <v>-126.89159999999993</v>
      </c>
      <c r="AC57" s="133" t="s">
        <v>394</v>
      </c>
      <c r="AD57" s="133" t="s">
        <v>445</v>
      </c>
      <c r="AE57" s="133" t="s">
        <v>396</v>
      </c>
      <c r="AF57" s="133" t="s">
        <v>112</v>
      </c>
      <c r="AG57" s="133" t="s">
        <v>397</v>
      </c>
      <c r="AH57" s="175">
        <v>42352</v>
      </c>
      <c r="AI57" s="133"/>
      <c r="AJ57" s="133"/>
      <c r="AK57" s="157">
        <v>513.33000000000004</v>
      </c>
      <c r="AL57" s="133">
        <v>653.33000000000004</v>
      </c>
      <c r="AM57" s="157">
        <f t="shared" si="3"/>
        <v>1166.6600000000001</v>
      </c>
      <c r="AN57" s="157"/>
      <c r="AO57" s="157"/>
      <c r="AP57" s="157"/>
      <c r="AQ57" s="173"/>
      <c r="AR57" s="151">
        <f t="shared" si="35"/>
        <v>1166.6600000000001</v>
      </c>
      <c r="AS57" s="157"/>
      <c r="AT57" s="157"/>
      <c r="AU57" s="157">
        <v>0</v>
      </c>
      <c r="AV57" s="157"/>
      <c r="AW57" s="157"/>
      <c r="AX57" s="157"/>
      <c r="AY57" s="110"/>
      <c r="AZ57" s="110"/>
      <c r="BA57" s="133"/>
      <c r="BB57" s="133">
        <v>0</v>
      </c>
      <c r="BC57" s="151">
        <f t="shared" si="29"/>
        <v>1166.6600000000001</v>
      </c>
      <c r="BD57" s="110">
        <f t="shared" si="28"/>
        <v>0</v>
      </c>
      <c r="BE57" s="151">
        <f t="shared" si="6"/>
        <v>1166.6600000000001</v>
      </c>
      <c r="BF57" s="110">
        <f t="shared" si="7"/>
        <v>116.66600000000001</v>
      </c>
      <c r="BG57" s="110">
        <v>10.23</v>
      </c>
      <c r="BH57" s="151">
        <f t="shared" si="8"/>
        <v>1293.556</v>
      </c>
      <c r="BI57" s="113"/>
      <c r="BJ57" s="114"/>
      <c r="BK57" s="113"/>
      <c r="BL57" s="113"/>
      <c r="BM57" s="114"/>
      <c r="BN57" s="113"/>
      <c r="BO57" s="113"/>
      <c r="BP57" s="113"/>
      <c r="BQ57" s="113"/>
      <c r="BR57" s="113"/>
      <c r="BS57" s="113"/>
      <c r="BT57" s="113"/>
      <c r="BU57" s="174">
        <v>-0.08</v>
      </c>
      <c r="BV57" s="59">
        <v>0</v>
      </c>
      <c r="BW57" s="59">
        <v>-66.12</v>
      </c>
      <c r="BX57" s="59">
        <v>577.4</v>
      </c>
    </row>
    <row r="58" spans="1:78" s="24" customFormat="1" hidden="1" x14ac:dyDescent="0.25">
      <c r="A58" s="23"/>
      <c r="B58" s="133" t="s">
        <v>633</v>
      </c>
      <c r="C58" s="25">
        <f t="shared" si="9"/>
        <v>1166.6600000000001</v>
      </c>
      <c r="D58" s="25"/>
      <c r="E58" s="25">
        <f t="shared" si="34"/>
        <v>0</v>
      </c>
      <c r="F58" s="25">
        <f t="shared" si="31"/>
        <v>0</v>
      </c>
      <c r="G58" s="25">
        <f t="shared" si="11"/>
        <v>0</v>
      </c>
      <c r="H58" s="25">
        <f t="shared" si="12"/>
        <v>0</v>
      </c>
      <c r="I58" s="25">
        <f t="shared" si="13"/>
        <v>0</v>
      </c>
      <c r="J58" s="25">
        <f t="shared" si="14"/>
        <v>0</v>
      </c>
      <c r="K58" s="25">
        <f t="shared" si="15"/>
        <v>0</v>
      </c>
      <c r="L58" s="25">
        <f t="shared" si="16"/>
        <v>0</v>
      </c>
      <c r="M58" s="25">
        <f t="shared" si="17"/>
        <v>0</v>
      </c>
      <c r="N58" s="25">
        <f t="shared" si="18"/>
        <v>0</v>
      </c>
      <c r="O58" s="25">
        <f t="shared" si="19"/>
        <v>0</v>
      </c>
      <c r="P58" s="25"/>
      <c r="Q58" s="25">
        <f>+'C&amp;A'!I59</f>
        <v>0</v>
      </c>
      <c r="R58" s="25">
        <f t="shared" si="20"/>
        <v>1166.6600000000001</v>
      </c>
      <c r="S58" s="25">
        <f t="shared" si="21"/>
        <v>1166.6600000000001</v>
      </c>
      <c r="T58" s="25">
        <f t="shared" si="22"/>
        <v>116.66600000000001</v>
      </c>
      <c r="U58" s="25"/>
      <c r="V58" s="25">
        <f t="shared" si="23"/>
        <v>0</v>
      </c>
      <c r="W58" s="25">
        <f t="shared" si="24"/>
        <v>1283.326</v>
      </c>
      <c r="X58" s="25">
        <f t="shared" si="25"/>
        <v>205.33216000000002</v>
      </c>
      <c r="Y58" s="25">
        <f t="shared" si="26"/>
        <v>1488.65816</v>
      </c>
      <c r="Z58" s="65">
        <f>+R58-'C&amp;A'!K59-SINDICATO!P59</f>
        <v>0</v>
      </c>
      <c r="AA58" s="68">
        <f>+'C&amp;A'!K59+'C&amp;A'!I59+'C&amp;A'!G59+SINDICATO!E59-SINDICATO!F59-SINDICATO!M59-SINDICATO!N59</f>
        <v>1166.6600000000001</v>
      </c>
      <c r="AB58" s="68">
        <f t="shared" si="27"/>
        <v>-116.66599999999994</v>
      </c>
      <c r="AC58" s="133" t="s">
        <v>382</v>
      </c>
      <c r="AD58" s="133" t="s">
        <v>633</v>
      </c>
      <c r="AE58" s="133"/>
      <c r="AF58" s="133"/>
      <c r="AG58" s="133" t="s">
        <v>191</v>
      </c>
      <c r="AH58" s="175">
        <v>42055</v>
      </c>
      <c r="AI58" s="133"/>
      <c r="AJ58" s="133"/>
      <c r="AK58" s="157">
        <v>513.33000000000004</v>
      </c>
      <c r="AL58" s="133">
        <v>653.33000000000004</v>
      </c>
      <c r="AM58" s="157">
        <f t="shared" si="3"/>
        <v>1166.6600000000001</v>
      </c>
      <c r="AN58" s="157"/>
      <c r="AO58" s="157"/>
      <c r="AP58" s="157"/>
      <c r="AQ58" s="173"/>
      <c r="AR58" s="151">
        <f t="shared" si="35"/>
        <v>1166.6600000000001</v>
      </c>
      <c r="AS58" s="157"/>
      <c r="AT58" s="157"/>
      <c r="AU58" s="157"/>
      <c r="AV58" s="157"/>
      <c r="AW58" s="157"/>
      <c r="AX58" s="157"/>
      <c r="AY58" s="110"/>
      <c r="AZ58" s="110"/>
      <c r="BA58" s="133"/>
      <c r="BB58" s="133"/>
      <c r="BC58" s="151">
        <f t="shared" si="29"/>
        <v>1166.6600000000001</v>
      </c>
      <c r="BD58" s="110">
        <f t="shared" si="28"/>
        <v>0</v>
      </c>
      <c r="BE58" s="151">
        <f t="shared" si="6"/>
        <v>1166.6600000000001</v>
      </c>
      <c r="BF58" s="110">
        <f t="shared" si="7"/>
        <v>116.66600000000001</v>
      </c>
      <c r="BG58" s="110">
        <v>10.23</v>
      </c>
      <c r="BH58" s="151">
        <f t="shared" si="8"/>
        <v>1293.556</v>
      </c>
      <c r="BI58" s="113"/>
      <c r="BJ58" s="114"/>
      <c r="BK58" s="113"/>
      <c r="BL58" s="113"/>
      <c r="BM58" s="114"/>
      <c r="BN58" s="113">
        <v>1905307865</v>
      </c>
      <c r="BO58" s="94" t="s">
        <v>634</v>
      </c>
      <c r="BP58" s="113"/>
      <c r="BQ58" s="113"/>
      <c r="BR58" s="113"/>
      <c r="BS58" s="113"/>
      <c r="BT58" s="113"/>
      <c r="BU58" s="174">
        <v>-0.05</v>
      </c>
      <c r="BV58" s="59">
        <v>0</v>
      </c>
      <c r="BW58" s="59">
        <v>-66.12</v>
      </c>
      <c r="BX58" s="59">
        <v>577.4</v>
      </c>
    </row>
    <row r="59" spans="1:78" s="24" customFormat="1" hidden="1" x14ac:dyDescent="0.25">
      <c r="A59" s="23" t="s">
        <v>114</v>
      </c>
      <c r="B59" s="24" t="s">
        <v>115</v>
      </c>
      <c r="C59" s="25">
        <f t="shared" si="9"/>
        <v>513.33000000000004</v>
      </c>
      <c r="D59" s="25">
        <v>66.010000000000005</v>
      </c>
      <c r="E59" s="25">
        <f t="shared" si="34"/>
        <v>513.33000000000004</v>
      </c>
      <c r="F59" s="25">
        <f t="shared" si="31"/>
        <v>0</v>
      </c>
      <c r="G59" s="25">
        <f t="shared" si="11"/>
        <v>0</v>
      </c>
      <c r="H59" s="25">
        <f t="shared" si="12"/>
        <v>0</v>
      </c>
      <c r="I59" s="25">
        <f t="shared" si="13"/>
        <v>0</v>
      </c>
      <c r="J59" s="25">
        <f t="shared" si="14"/>
        <v>0</v>
      </c>
      <c r="K59" s="25">
        <f t="shared" si="15"/>
        <v>0</v>
      </c>
      <c r="L59" s="25">
        <f t="shared" si="16"/>
        <v>0</v>
      </c>
      <c r="M59" s="25">
        <f t="shared" si="17"/>
        <v>86.56</v>
      </c>
      <c r="N59" s="25">
        <f t="shared" si="18"/>
        <v>0</v>
      </c>
      <c r="O59" s="25">
        <f t="shared" si="19"/>
        <v>0</v>
      </c>
      <c r="P59" s="25"/>
      <c r="Q59" s="25">
        <f>+'C&amp;A'!I60</f>
        <v>0</v>
      </c>
      <c r="R59" s="25">
        <f t="shared" si="20"/>
        <v>1006.1100000000001</v>
      </c>
      <c r="S59" s="25">
        <f t="shared" si="21"/>
        <v>1092.67</v>
      </c>
      <c r="T59" s="25">
        <f t="shared" si="22"/>
        <v>102.66600000000001</v>
      </c>
      <c r="U59" s="25">
        <f>+'C&amp;A'!E60*0.02</f>
        <v>10.2256</v>
      </c>
      <c r="V59" s="25">
        <f t="shared" si="23"/>
        <v>0</v>
      </c>
      <c r="W59" s="25">
        <f t="shared" si="24"/>
        <v>1205.5616</v>
      </c>
      <c r="X59" s="25">
        <f t="shared" si="25"/>
        <v>192.88985600000001</v>
      </c>
      <c r="Y59" s="25">
        <f t="shared" si="26"/>
        <v>1398.451456</v>
      </c>
      <c r="Z59" s="65">
        <f>+R59-'C&amp;A'!K60-SINDICATO!P60</f>
        <v>0</v>
      </c>
      <c r="AA59" s="68">
        <f>+'C&amp;A'!K60+'C&amp;A'!I60+'C&amp;A'!G60+SINDICATO!E60-SINDICATO!F60-SINDICATO!M60-SINDICATO!N60</f>
        <v>1092.67</v>
      </c>
      <c r="AB59" s="68">
        <f t="shared" si="27"/>
        <v>-112.89159999999993</v>
      </c>
      <c r="AC59" s="133" t="s">
        <v>382</v>
      </c>
      <c r="AD59" s="133" t="s">
        <v>635</v>
      </c>
      <c r="AE59" s="133" t="s">
        <v>33</v>
      </c>
      <c r="AF59" s="133" t="s">
        <v>114</v>
      </c>
      <c r="AG59" s="133" t="s">
        <v>191</v>
      </c>
      <c r="AH59" s="133"/>
      <c r="AI59" s="133"/>
      <c r="AJ59" s="133"/>
      <c r="AK59" s="157">
        <v>513.33000000000004</v>
      </c>
      <c r="AL59" s="133"/>
      <c r="AM59" s="157">
        <f t="shared" si="3"/>
        <v>513.33000000000004</v>
      </c>
      <c r="AN59" s="157">
        <v>513.33000000000004</v>
      </c>
      <c r="AO59" s="157"/>
      <c r="AP59" s="157"/>
      <c r="AQ59" s="173"/>
      <c r="AR59" s="151">
        <f t="shared" si="35"/>
        <v>1026.6600000000001</v>
      </c>
      <c r="AS59" s="157"/>
      <c r="AT59" s="157"/>
      <c r="AU59" s="157">
        <v>0</v>
      </c>
      <c r="AV59" s="157"/>
      <c r="AW59" s="157"/>
      <c r="AX59" s="157"/>
      <c r="AY59" s="110"/>
      <c r="AZ59" s="110"/>
      <c r="BA59" s="133"/>
      <c r="BB59" s="133">
        <v>86.56</v>
      </c>
      <c r="BC59" s="151">
        <f t="shared" si="29"/>
        <v>940.10000000000014</v>
      </c>
      <c r="BD59" s="110">
        <f t="shared" si="28"/>
        <v>0</v>
      </c>
      <c r="BE59" s="151">
        <f t="shared" si="6"/>
        <v>940.10000000000014</v>
      </c>
      <c r="BF59" s="110">
        <f t="shared" si="7"/>
        <v>102.66600000000001</v>
      </c>
      <c r="BG59" s="110">
        <v>10.23</v>
      </c>
      <c r="BH59" s="151">
        <f t="shared" si="8"/>
        <v>1139.556</v>
      </c>
      <c r="BI59" s="113"/>
      <c r="BJ59" s="114"/>
      <c r="BK59" s="113"/>
      <c r="BL59" s="113"/>
      <c r="BM59" s="114"/>
      <c r="BN59" s="113"/>
      <c r="BO59" s="113"/>
      <c r="BP59" s="113"/>
      <c r="BQ59" s="113"/>
      <c r="BR59" s="113"/>
      <c r="BS59" s="113"/>
      <c r="BT59" s="113"/>
      <c r="BU59" s="174">
        <v>-0.05</v>
      </c>
      <c r="BV59" s="59">
        <v>0</v>
      </c>
      <c r="BW59" s="59">
        <v>-66.12</v>
      </c>
      <c r="BX59" s="59">
        <v>577.4</v>
      </c>
    </row>
    <row r="60" spans="1:78" s="24" customFormat="1" hidden="1" x14ac:dyDescent="0.25">
      <c r="A60" s="23" t="s">
        <v>116</v>
      </c>
      <c r="B60" s="24" t="s">
        <v>117</v>
      </c>
      <c r="C60" s="25">
        <f t="shared" si="9"/>
        <v>1100</v>
      </c>
      <c r="D60" s="25">
        <f>+AJ63</f>
        <v>0</v>
      </c>
      <c r="E60" s="25">
        <f t="shared" si="34"/>
        <v>307.39999999999998</v>
      </c>
      <c r="F60" s="25">
        <f t="shared" si="31"/>
        <v>0</v>
      </c>
      <c r="G60" s="25">
        <f t="shared" si="11"/>
        <v>0</v>
      </c>
      <c r="H60" s="25">
        <f t="shared" si="12"/>
        <v>0</v>
      </c>
      <c r="I60" s="25">
        <f t="shared" si="13"/>
        <v>14.074000000000002</v>
      </c>
      <c r="J60" s="25">
        <f t="shared" si="14"/>
        <v>68.962600000000009</v>
      </c>
      <c r="K60" s="25">
        <f t="shared" si="15"/>
        <v>0</v>
      </c>
      <c r="L60" s="25">
        <f t="shared" si="16"/>
        <v>0</v>
      </c>
      <c r="M60" s="25">
        <f t="shared" si="17"/>
        <v>0</v>
      </c>
      <c r="N60" s="25">
        <f t="shared" si="18"/>
        <v>0</v>
      </c>
      <c r="O60" s="25">
        <f t="shared" si="19"/>
        <v>0</v>
      </c>
      <c r="P60" s="25"/>
      <c r="Q60" s="25">
        <f>+'C&amp;A'!I61</f>
        <v>0</v>
      </c>
      <c r="R60" s="25">
        <f t="shared" si="20"/>
        <v>1324.3634</v>
      </c>
      <c r="S60" s="25">
        <f t="shared" si="21"/>
        <v>1407.4</v>
      </c>
      <c r="T60" s="25">
        <f t="shared" si="22"/>
        <v>140.74</v>
      </c>
      <c r="U60" s="25">
        <f>+'C&amp;A'!E61*0.02</f>
        <v>10.2256</v>
      </c>
      <c r="V60" s="25">
        <f t="shared" si="23"/>
        <v>68.962600000000009</v>
      </c>
      <c r="W60" s="25">
        <f t="shared" si="24"/>
        <v>1627.3282000000002</v>
      </c>
      <c r="X60" s="25">
        <f t="shared" si="25"/>
        <v>260.37251200000003</v>
      </c>
      <c r="Y60" s="25">
        <f t="shared" si="26"/>
        <v>1887.7007120000003</v>
      </c>
      <c r="Z60" s="65">
        <f>+R60-'C&amp;A'!K61-SINDICATO!P61</f>
        <v>0</v>
      </c>
      <c r="AA60" s="68">
        <f>+'C&amp;A'!K61+'C&amp;A'!I61+'C&amp;A'!G61+SINDICATO!E61-SINDICATO!F61-SINDICATO!M61-SINDICATO!N61</f>
        <v>1407.4</v>
      </c>
      <c r="AB60" s="68">
        <f t="shared" si="27"/>
        <v>-219.92820000000006</v>
      </c>
      <c r="AC60" s="133" t="s">
        <v>386</v>
      </c>
      <c r="AD60" s="133" t="s">
        <v>447</v>
      </c>
      <c r="AE60" s="133"/>
      <c r="AF60" s="133" t="s">
        <v>116</v>
      </c>
      <c r="AG60" s="133" t="s">
        <v>448</v>
      </c>
      <c r="AH60" s="133"/>
      <c r="AI60" s="133"/>
      <c r="AJ60" s="133"/>
      <c r="AK60" s="157">
        <v>1100</v>
      </c>
      <c r="AL60" s="133"/>
      <c r="AM60" s="157">
        <f t="shared" si="3"/>
        <v>1100</v>
      </c>
      <c r="AN60" s="157">
        <v>307.39999999999998</v>
      </c>
      <c r="AO60" s="157"/>
      <c r="AP60" s="157"/>
      <c r="AQ60" s="173"/>
      <c r="AR60" s="151">
        <f t="shared" si="35"/>
        <v>1407.4</v>
      </c>
      <c r="AS60" s="157"/>
      <c r="AT60" s="157"/>
      <c r="AU60" s="157">
        <f>+AR60*1%</f>
        <v>14.074000000000002</v>
      </c>
      <c r="AV60" s="157">
        <f>+AR60*4.9%</f>
        <v>68.962600000000009</v>
      </c>
      <c r="AW60" s="157"/>
      <c r="AX60" s="157"/>
      <c r="AY60" s="110"/>
      <c r="AZ60" s="110"/>
      <c r="BA60" s="133"/>
      <c r="BB60" s="133">
        <v>0</v>
      </c>
      <c r="BC60" s="151">
        <f t="shared" si="29"/>
        <v>1324.3634000000002</v>
      </c>
      <c r="BD60" s="110">
        <f t="shared" si="28"/>
        <v>0</v>
      </c>
      <c r="BE60" s="151">
        <f t="shared" si="6"/>
        <v>1324.3634000000002</v>
      </c>
      <c r="BF60" s="110">
        <f t="shared" si="7"/>
        <v>140.74</v>
      </c>
      <c r="BG60" s="110">
        <v>10.23</v>
      </c>
      <c r="BH60" s="151">
        <f t="shared" si="8"/>
        <v>1558.3700000000001</v>
      </c>
      <c r="BI60" s="113"/>
      <c r="BJ60" s="114"/>
      <c r="BK60" s="113"/>
      <c r="BL60" s="113"/>
      <c r="BM60" s="114"/>
      <c r="BN60" s="113"/>
      <c r="BO60" s="113"/>
      <c r="BP60" s="113"/>
      <c r="BQ60" s="113"/>
      <c r="BR60" s="113"/>
      <c r="BS60" s="113"/>
      <c r="BT60" s="113"/>
      <c r="BU60" s="174">
        <v>-0.05</v>
      </c>
      <c r="BV60" s="59">
        <v>0</v>
      </c>
      <c r="BW60" s="59">
        <v>-66.12</v>
      </c>
      <c r="BX60" s="59">
        <v>577.4</v>
      </c>
    </row>
    <row r="61" spans="1:78" s="24" customFormat="1" hidden="1" x14ac:dyDescent="0.25">
      <c r="A61" s="23" t="s">
        <v>122</v>
      </c>
      <c r="B61" s="24" t="s">
        <v>123</v>
      </c>
      <c r="C61" s="25">
        <f t="shared" si="9"/>
        <v>511.28</v>
      </c>
      <c r="D61" s="25">
        <f>+AJ61</f>
        <v>0</v>
      </c>
      <c r="E61" s="25">
        <f t="shared" si="34"/>
        <v>1441.8</v>
      </c>
      <c r="F61" s="25">
        <f t="shared" si="31"/>
        <v>0</v>
      </c>
      <c r="G61" s="25">
        <f t="shared" si="11"/>
        <v>0</v>
      </c>
      <c r="H61" s="25">
        <f t="shared" si="12"/>
        <v>0</v>
      </c>
      <c r="I61" s="25">
        <f t="shared" si="13"/>
        <v>100</v>
      </c>
      <c r="J61" s="25">
        <f t="shared" si="14"/>
        <v>95.700919999999996</v>
      </c>
      <c r="K61" s="25">
        <f t="shared" si="15"/>
        <v>19.530799999999999</v>
      </c>
      <c r="L61" s="25">
        <f t="shared" si="16"/>
        <v>0</v>
      </c>
      <c r="M61" s="25">
        <f t="shared" si="17"/>
        <v>0</v>
      </c>
      <c r="N61" s="25">
        <f t="shared" si="18"/>
        <v>0</v>
      </c>
      <c r="O61" s="25">
        <f t="shared" si="19"/>
        <v>0</v>
      </c>
      <c r="P61" s="25"/>
      <c r="Q61" s="25">
        <f>+'C&amp;A'!I62</f>
        <v>0</v>
      </c>
      <c r="R61" s="25">
        <f t="shared" si="20"/>
        <v>1737.8482799999999</v>
      </c>
      <c r="S61" s="25">
        <f t="shared" si="21"/>
        <v>1953.08</v>
      </c>
      <c r="T61" s="25">
        <f t="shared" si="22"/>
        <v>195.30799999999999</v>
      </c>
      <c r="U61" s="25">
        <f>+'C&amp;A'!E62*0.02</f>
        <v>10.2256</v>
      </c>
      <c r="V61" s="25">
        <f t="shared" si="23"/>
        <v>95.700919999999996</v>
      </c>
      <c r="W61" s="25">
        <f t="shared" si="24"/>
        <v>2254.3145199999999</v>
      </c>
      <c r="X61" s="25">
        <f t="shared" si="25"/>
        <v>360.69032319999997</v>
      </c>
      <c r="Y61" s="25">
        <f t="shared" si="26"/>
        <v>2615.0048431999999</v>
      </c>
      <c r="Z61" s="65">
        <f>+R61-'C&amp;A'!K62-SINDICATO!P62</f>
        <v>0</v>
      </c>
      <c r="AA61" s="68">
        <f>+'C&amp;A'!K62+'C&amp;A'!I62+'C&amp;A'!G62+SINDICATO!E62-SINDICATO!F62-SINDICATO!M62-SINDICATO!N62</f>
        <v>1953.08</v>
      </c>
      <c r="AB61" s="68">
        <f t="shared" si="27"/>
        <v>-301.23451999999997</v>
      </c>
      <c r="AC61" s="133" t="s">
        <v>386</v>
      </c>
      <c r="AD61" s="133" t="s">
        <v>451</v>
      </c>
      <c r="AE61" s="133"/>
      <c r="AF61" s="133" t="s">
        <v>122</v>
      </c>
      <c r="AG61" s="133" t="s">
        <v>196</v>
      </c>
      <c r="AH61" s="133"/>
      <c r="AI61" s="133"/>
      <c r="AJ61" s="133"/>
      <c r="AK61" s="157">
        <v>511.28</v>
      </c>
      <c r="AL61" s="133"/>
      <c r="AM61" s="157">
        <f>+AK61+AL61</f>
        <v>511.28</v>
      </c>
      <c r="AN61" s="157">
        <v>1441.8</v>
      </c>
      <c r="AO61" s="157"/>
      <c r="AP61" s="157"/>
      <c r="AQ61" s="173"/>
      <c r="AR61" s="151">
        <f>SUM(AM61:AP61)-AQ61</f>
        <v>1953.08</v>
      </c>
      <c r="AS61" s="157"/>
      <c r="AT61" s="157"/>
      <c r="AU61" s="157">
        <v>100</v>
      </c>
      <c r="AV61" s="157">
        <f>AR61*4.9%</f>
        <v>95.700919999999996</v>
      </c>
      <c r="AW61" s="157">
        <f>AR61*1%</f>
        <v>19.530799999999999</v>
      </c>
      <c r="AX61" s="157"/>
      <c r="AY61" s="110"/>
      <c r="AZ61" s="110"/>
      <c r="BA61" s="133"/>
      <c r="BB61" s="133">
        <v>0</v>
      </c>
      <c r="BC61" s="151">
        <f>+AR61-SUM(AS61:BB61)</f>
        <v>1737.8482799999999</v>
      </c>
      <c r="BD61" s="110">
        <f>IF(AR61&gt;4500,AR61*0.1,0)</f>
        <v>0</v>
      </c>
      <c r="BE61" s="151">
        <f>+BC61-BD61</f>
        <v>1737.8482799999999</v>
      </c>
      <c r="BF61" s="110">
        <f>IF(AR61&lt;4500,AR61*0.1,0)</f>
        <v>195.30799999999999</v>
      </c>
      <c r="BG61" s="110">
        <v>10.23</v>
      </c>
      <c r="BH61" s="151">
        <f>+AR61+BF61+BG61</f>
        <v>2158.6179999999999</v>
      </c>
      <c r="BI61" s="113"/>
      <c r="BJ61" s="114"/>
      <c r="BK61" s="113"/>
      <c r="BL61" s="113"/>
      <c r="BM61" s="114"/>
      <c r="BN61" s="113"/>
      <c r="BO61" s="113"/>
      <c r="BP61" s="113"/>
      <c r="BQ61" s="113"/>
      <c r="BR61" s="113"/>
      <c r="BS61" s="113"/>
      <c r="BT61" s="113"/>
      <c r="BU61" s="174">
        <v>-0.05</v>
      </c>
      <c r="BV61" s="59">
        <v>0</v>
      </c>
      <c r="BW61" s="59">
        <v>-66.12</v>
      </c>
      <c r="BX61" s="59">
        <v>577.4</v>
      </c>
      <c r="BY61" s="26"/>
      <c r="BZ61" s="26"/>
    </row>
    <row r="62" spans="1:78" s="26" customFormat="1" hidden="1" x14ac:dyDescent="0.25">
      <c r="A62" s="23" t="s">
        <v>118</v>
      </c>
      <c r="B62" s="24" t="s">
        <v>119</v>
      </c>
      <c r="C62" s="25">
        <f t="shared" si="9"/>
        <v>739.23</v>
      </c>
      <c r="D62" s="25">
        <f>+AJ64</f>
        <v>0</v>
      </c>
      <c r="E62" s="25">
        <f t="shared" si="34"/>
        <v>0</v>
      </c>
      <c r="F62" s="25">
        <f t="shared" si="31"/>
        <v>0</v>
      </c>
      <c r="G62" s="25">
        <f t="shared" si="11"/>
        <v>0</v>
      </c>
      <c r="H62" s="25">
        <f t="shared" si="12"/>
        <v>0</v>
      </c>
      <c r="I62" s="25">
        <f t="shared" si="13"/>
        <v>0</v>
      </c>
      <c r="J62" s="25">
        <f t="shared" si="14"/>
        <v>0</v>
      </c>
      <c r="K62" s="25">
        <f t="shared" si="15"/>
        <v>0</v>
      </c>
      <c r="L62" s="25">
        <f t="shared" si="16"/>
        <v>0</v>
      </c>
      <c r="M62" s="25">
        <f t="shared" si="17"/>
        <v>0</v>
      </c>
      <c r="N62" s="25">
        <f t="shared" si="18"/>
        <v>0</v>
      </c>
      <c r="O62" s="25">
        <f t="shared" si="19"/>
        <v>0</v>
      </c>
      <c r="P62" s="25"/>
      <c r="Q62" s="25">
        <f>+'C&amp;A'!I63</f>
        <v>0</v>
      </c>
      <c r="R62" s="25">
        <f t="shared" si="20"/>
        <v>739.23</v>
      </c>
      <c r="S62" s="25">
        <f t="shared" si="21"/>
        <v>739.23</v>
      </c>
      <c r="T62" s="25">
        <f t="shared" si="22"/>
        <v>73.923000000000002</v>
      </c>
      <c r="U62" s="25">
        <f>+'C&amp;A'!E63*0.02</f>
        <v>10.2256</v>
      </c>
      <c r="V62" s="25">
        <f t="shared" si="23"/>
        <v>0</v>
      </c>
      <c r="W62" s="25">
        <f t="shared" si="24"/>
        <v>823.37860000000001</v>
      </c>
      <c r="X62" s="25">
        <f t="shared" si="25"/>
        <v>131.740576</v>
      </c>
      <c r="Y62" s="25">
        <f t="shared" si="26"/>
        <v>955.11917600000004</v>
      </c>
      <c r="Z62" s="65">
        <f>+R62-'C&amp;A'!K63-SINDICATO!P63</f>
        <v>0</v>
      </c>
      <c r="AA62" s="68">
        <f>+'C&amp;A'!K63+'C&amp;A'!I63+'C&amp;A'!G63+SINDICATO!E63-SINDICATO!F63-SINDICATO!M63-SINDICATO!N63</f>
        <v>739.23</v>
      </c>
      <c r="AB62" s="68">
        <f t="shared" si="27"/>
        <v>-84.148599999999988</v>
      </c>
      <c r="AC62" s="133" t="s">
        <v>388</v>
      </c>
      <c r="AD62" s="133" t="s">
        <v>449</v>
      </c>
      <c r="AE62" s="133"/>
      <c r="AF62" s="133" t="s">
        <v>118</v>
      </c>
      <c r="AG62" s="133" t="s">
        <v>178</v>
      </c>
      <c r="AH62" s="133"/>
      <c r="AI62" s="133"/>
      <c r="AJ62" s="133"/>
      <c r="AK62" s="157">
        <v>739.23</v>
      </c>
      <c r="AL62" s="133"/>
      <c r="AM62" s="157">
        <f t="shared" si="3"/>
        <v>739.23</v>
      </c>
      <c r="AN62" s="157"/>
      <c r="AO62" s="157"/>
      <c r="AP62" s="157"/>
      <c r="AQ62" s="173"/>
      <c r="AR62" s="151">
        <f t="shared" si="35"/>
        <v>739.23</v>
      </c>
      <c r="AS62" s="157"/>
      <c r="AT62" s="157"/>
      <c r="AU62" s="157">
        <v>0</v>
      </c>
      <c r="AV62" s="157"/>
      <c r="AW62" s="157"/>
      <c r="AX62" s="157"/>
      <c r="AY62" s="110"/>
      <c r="AZ62" s="110"/>
      <c r="BA62" s="133"/>
      <c r="BB62" s="133">
        <v>0</v>
      </c>
      <c r="BC62" s="151">
        <f t="shared" si="29"/>
        <v>739.23</v>
      </c>
      <c r="BD62" s="110">
        <f t="shared" si="28"/>
        <v>0</v>
      </c>
      <c r="BE62" s="151">
        <f t="shared" si="6"/>
        <v>739.23</v>
      </c>
      <c r="BF62" s="110">
        <f t="shared" si="7"/>
        <v>73.923000000000002</v>
      </c>
      <c r="BG62" s="110">
        <v>10.23</v>
      </c>
      <c r="BH62" s="151">
        <f t="shared" si="8"/>
        <v>823.38300000000004</v>
      </c>
      <c r="BI62" s="113"/>
      <c r="BJ62" s="114"/>
      <c r="BK62" s="113"/>
      <c r="BL62" s="113"/>
      <c r="BM62" s="114"/>
      <c r="BN62" s="113"/>
      <c r="BO62" s="113"/>
      <c r="BP62" s="113"/>
      <c r="BQ62" s="113"/>
      <c r="BR62" s="113"/>
      <c r="BS62" s="113"/>
      <c r="BT62" s="113"/>
      <c r="BU62" s="174">
        <v>-0.05</v>
      </c>
      <c r="BV62" s="59">
        <v>0</v>
      </c>
      <c r="BW62" s="59">
        <v>-66.12</v>
      </c>
      <c r="BX62" s="59">
        <v>577.4</v>
      </c>
      <c r="BY62" s="27"/>
      <c r="BZ62" s="27"/>
    </row>
    <row r="63" spans="1:78" s="27" customFormat="1" hidden="1" x14ac:dyDescent="0.25">
      <c r="A63" s="23" t="s">
        <v>120</v>
      </c>
      <c r="B63" s="24" t="s">
        <v>121</v>
      </c>
      <c r="C63" s="25">
        <f t="shared" si="9"/>
        <v>608.16</v>
      </c>
      <c r="D63" s="25">
        <f>+AJ65</f>
        <v>0</v>
      </c>
      <c r="E63" s="25">
        <f t="shared" si="34"/>
        <v>0</v>
      </c>
      <c r="F63" s="25">
        <f t="shared" si="31"/>
        <v>0</v>
      </c>
      <c r="G63" s="25">
        <f t="shared" si="11"/>
        <v>0</v>
      </c>
      <c r="H63" s="25">
        <f t="shared" si="12"/>
        <v>0</v>
      </c>
      <c r="I63" s="25">
        <f t="shared" si="13"/>
        <v>0</v>
      </c>
      <c r="J63" s="25">
        <f t="shared" si="14"/>
        <v>29.79984</v>
      </c>
      <c r="K63" s="25">
        <f t="shared" si="15"/>
        <v>6.0815999999999999</v>
      </c>
      <c r="L63" s="25">
        <f t="shared" si="16"/>
        <v>0</v>
      </c>
      <c r="M63" s="25">
        <f t="shared" si="17"/>
        <v>0</v>
      </c>
      <c r="N63" s="25">
        <f t="shared" si="18"/>
        <v>0</v>
      </c>
      <c r="O63" s="25">
        <f t="shared" si="19"/>
        <v>0</v>
      </c>
      <c r="P63" s="25"/>
      <c r="Q63" s="25">
        <f>+'C&amp;A'!I64</f>
        <v>0</v>
      </c>
      <c r="R63" s="25">
        <f t="shared" si="20"/>
        <v>572.27855999999997</v>
      </c>
      <c r="S63" s="25">
        <f t="shared" si="21"/>
        <v>608.16</v>
      </c>
      <c r="T63" s="25">
        <f t="shared" si="22"/>
        <v>60.816000000000003</v>
      </c>
      <c r="U63" s="25">
        <f>+'C&amp;A'!E64*0.02</f>
        <v>9.5866000000000007</v>
      </c>
      <c r="V63" s="25">
        <f t="shared" si="23"/>
        <v>29.79984</v>
      </c>
      <c r="W63" s="25">
        <f t="shared" si="24"/>
        <v>708.36243999999999</v>
      </c>
      <c r="X63" s="25">
        <f t="shared" si="25"/>
        <v>113.3379904</v>
      </c>
      <c r="Y63" s="25">
        <f t="shared" si="26"/>
        <v>821.70043039999996</v>
      </c>
      <c r="Z63" s="65">
        <f>+R63-'C&amp;A'!K64-SINDICATO!P64</f>
        <v>0</v>
      </c>
      <c r="AA63" s="68">
        <f>+'C&amp;A'!K64+'C&amp;A'!I64+'C&amp;A'!G64+SINDICATO!E64-SINDICATO!F64-SINDICATO!M64-SINDICATO!N64</f>
        <v>608.16</v>
      </c>
      <c r="AB63" s="68">
        <f t="shared" si="27"/>
        <v>-100.20244000000002</v>
      </c>
      <c r="AC63" s="133" t="s">
        <v>386</v>
      </c>
      <c r="AD63" s="133" t="s">
        <v>450</v>
      </c>
      <c r="AE63" s="133"/>
      <c r="AF63" s="133" t="s">
        <v>120</v>
      </c>
      <c r="AG63" s="133" t="s">
        <v>195</v>
      </c>
      <c r="AH63" s="133"/>
      <c r="AI63" s="133"/>
      <c r="AJ63" s="133"/>
      <c r="AK63" s="157">
        <v>608.16</v>
      </c>
      <c r="AL63" s="133"/>
      <c r="AM63" s="157">
        <f t="shared" si="3"/>
        <v>608.16</v>
      </c>
      <c r="AN63" s="157"/>
      <c r="AO63" s="157"/>
      <c r="AP63" s="157"/>
      <c r="AQ63" s="173"/>
      <c r="AR63" s="151">
        <f t="shared" si="35"/>
        <v>608.16</v>
      </c>
      <c r="AS63" s="157"/>
      <c r="AT63" s="157"/>
      <c r="AU63" s="157"/>
      <c r="AV63" s="157">
        <f>AR63*4.9%</f>
        <v>29.79984</v>
      </c>
      <c r="AW63" s="157">
        <f>AR63*1%</f>
        <v>6.0815999999999999</v>
      </c>
      <c r="AX63" s="157"/>
      <c r="AY63" s="110"/>
      <c r="AZ63" s="110"/>
      <c r="BA63" s="133"/>
      <c r="BB63" s="133">
        <v>0</v>
      </c>
      <c r="BC63" s="151">
        <f t="shared" si="29"/>
        <v>572.27855999999997</v>
      </c>
      <c r="BD63" s="110">
        <f t="shared" si="28"/>
        <v>0</v>
      </c>
      <c r="BE63" s="151">
        <f t="shared" si="6"/>
        <v>572.27855999999997</v>
      </c>
      <c r="BF63" s="110">
        <f t="shared" si="7"/>
        <v>60.816000000000003</v>
      </c>
      <c r="BG63" s="110">
        <v>10.23</v>
      </c>
      <c r="BH63" s="151">
        <f t="shared" si="8"/>
        <v>679.20600000000002</v>
      </c>
      <c r="BI63" s="113"/>
      <c r="BJ63" s="114"/>
      <c r="BK63" s="113"/>
      <c r="BL63" s="113"/>
      <c r="BM63" s="114"/>
      <c r="BN63" s="113"/>
      <c r="BO63" s="113"/>
      <c r="BP63" s="113"/>
      <c r="BQ63" s="113"/>
      <c r="BR63" s="113"/>
      <c r="BS63" s="113"/>
      <c r="BT63" s="113"/>
      <c r="BU63" s="174">
        <v>-0.05</v>
      </c>
      <c r="BV63" s="59">
        <v>0</v>
      </c>
      <c r="BW63" s="59">
        <v>-66.12</v>
      </c>
      <c r="BX63" s="59">
        <v>577.4</v>
      </c>
      <c r="BY63" s="24"/>
      <c r="BZ63" s="24"/>
    </row>
    <row r="64" spans="1:78" s="24" customFormat="1" hidden="1" x14ac:dyDescent="0.25">
      <c r="A64" s="23" t="s">
        <v>124</v>
      </c>
      <c r="B64" s="24" t="s">
        <v>125</v>
      </c>
      <c r="C64" s="25">
        <f t="shared" si="9"/>
        <v>513.33000000000004</v>
      </c>
      <c r="D64" s="25">
        <v>66.069999999999993</v>
      </c>
      <c r="E64" s="25">
        <f t="shared" si="34"/>
        <v>0</v>
      </c>
      <c r="F64" s="25">
        <f t="shared" si="31"/>
        <v>0</v>
      </c>
      <c r="G64" s="25">
        <f t="shared" si="11"/>
        <v>0</v>
      </c>
      <c r="H64" s="25">
        <f t="shared" si="12"/>
        <v>0</v>
      </c>
      <c r="I64" s="25">
        <f t="shared" si="13"/>
        <v>0</v>
      </c>
      <c r="J64" s="25">
        <f t="shared" si="14"/>
        <v>0</v>
      </c>
      <c r="K64" s="25">
        <f t="shared" si="15"/>
        <v>0</v>
      </c>
      <c r="L64" s="25">
        <f t="shared" si="16"/>
        <v>0</v>
      </c>
      <c r="M64" s="25">
        <f t="shared" si="17"/>
        <v>0</v>
      </c>
      <c r="N64" s="25">
        <f t="shared" si="18"/>
        <v>0</v>
      </c>
      <c r="O64" s="25">
        <f t="shared" si="19"/>
        <v>0</v>
      </c>
      <c r="P64" s="25"/>
      <c r="Q64" s="25">
        <f>+'C&amp;A'!I65</f>
        <v>0</v>
      </c>
      <c r="R64" s="25">
        <f t="shared" si="20"/>
        <v>579.40000000000009</v>
      </c>
      <c r="S64" s="25">
        <f t="shared" si="21"/>
        <v>579.40000000000009</v>
      </c>
      <c r="T64" s="25">
        <f t="shared" si="22"/>
        <v>51.333000000000006</v>
      </c>
      <c r="U64" s="25">
        <f>+'C&amp;A'!E65*0.02</f>
        <v>10.2256</v>
      </c>
      <c r="V64" s="25">
        <f t="shared" si="23"/>
        <v>0</v>
      </c>
      <c r="W64" s="25">
        <f t="shared" si="24"/>
        <v>640.95860000000005</v>
      </c>
      <c r="X64" s="25">
        <f t="shared" si="25"/>
        <v>102.55337600000001</v>
      </c>
      <c r="Y64" s="25">
        <f t="shared" si="26"/>
        <v>743.511976</v>
      </c>
      <c r="Z64" s="65">
        <f>+R64-'C&amp;A'!K65-SINDICATO!P65</f>
        <v>0</v>
      </c>
      <c r="AA64" s="68">
        <f>+'C&amp;A'!K65+'C&amp;A'!I65+'C&amp;A'!G65+SINDICATO!E65-SINDICATO!F65-SINDICATO!M65-SINDICATO!N65</f>
        <v>579.40000000000009</v>
      </c>
      <c r="AB64" s="68">
        <f t="shared" si="27"/>
        <v>-61.558599999999956</v>
      </c>
      <c r="AC64" s="133" t="s">
        <v>382</v>
      </c>
      <c r="AD64" s="133" t="s">
        <v>636</v>
      </c>
      <c r="AE64" s="133" t="s">
        <v>32</v>
      </c>
      <c r="AF64" s="133" t="s">
        <v>124</v>
      </c>
      <c r="AG64" s="133" t="s">
        <v>191</v>
      </c>
      <c r="AH64" s="133"/>
      <c r="AI64" s="133"/>
      <c r="AJ64" s="133"/>
      <c r="AK64" s="157">
        <v>513.33000000000004</v>
      </c>
      <c r="AL64" s="133"/>
      <c r="AM64" s="157">
        <f t="shared" si="3"/>
        <v>513.33000000000004</v>
      </c>
      <c r="AN64" s="157"/>
      <c r="AO64" s="157"/>
      <c r="AP64" s="157"/>
      <c r="AQ64" s="173"/>
      <c r="AR64" s="151">
        <f t="shared" si="35"/>
        <v>513.33000000000004</v>
      </c>
      <c r="AS64" s="157"/>
      <c r="AT64" s="157"/>
      <c r="AU64" s="157">
        <v>0</v>
      </c>
      <c r="AV64" s="157"/>
      <c r="AW64" s="157"/>
      <c r="AX64" s="157"/>
      <c r="AY64" s="110"/>
      <c r="AZ64" s="110"/>
      <c r="BA64" s="133"/>
      <c r="BB64" s="133">
        <v>0</v>
      </c>
      <c r="BC64" s="151">
        <f t="shared" si="29"/>
        <v>513.33000000000004</v>
      </c>
      <c r="BD64" s="110">
        <f t="shared" si="28"/>
        <v>0</v>
      </c>
      <c r="BE64" s="151">
        <f t="shared" si="6"/>
        <v>513.33000000000004</v>
      </c>
      <c r="BF64" s="110">
        <f t="shared" si="7"/>
        <v>51.333000000000006</v>
      </c>
      <c r="BG64" s="110">
        <v>10.23</v>
      </c>
      <c r="BH64" s="151">
        <f t="shared" si="8"/>
        <v>574.89300000000003</v>
      </c>
      <c r="BI64" s="113"/>
      <c r="BJ64" s="114"/>
      <c r="BK64" s="113"/>
      <c r="BL64" s="113"/>
      <c r="BM64" s="114"/>
      <c r="BN64" s="113"/>
      <c r="BO64" s="113"/>
      <c r="BP64" s="113"/>
      <c r="BQ64" s="113"/>
      <c r="BR64" s="113"/>
      <c r="BS64" s="113"/>
      <c r="BT64" s="113"/>
      <c r="BU64" s="174">
        <v>-0.05</v>
      </c>
      <c r="BV64" s="59">
        <v>0</v>
      </c>
      <c r="BW64" s="59">
        <v>-65.92</v>
      </c>
      <c r="BX64" s="59">
        <v>577.20000000000005</v>
      </c>
    </row>
    <row r="65" spans="1:76" s="24" customFormat="1" hidden="1" x14ac:dyDescent="0.25">
      <c r="A65" s="23" t="s">
        <v>126</v>
      </c>
      <c r="B65" s="24" t="s">
        <v>127</v>
      </c>
      <c r="C65" s="25">
        <f t="shared" si="9"/>
        <v>739.23</v>
      </c>
      <c r="D65" s="25">
        <f>+AJ67</f>
        <v>0</v>
      </c>
      <c r="E65" s="25">
        <f t="shared" si="34"/>
        <v>4006.07</v>
      </c>
      <c r="F65" s="25">
        <f t="shared" si="31"/>
        <v>0</v>
      </c>
      <c r="G65" s="25">
        <f t="shared" si="11"/>
        <v>0</v>
      </c>
      <c r="H65" s="25">
        <f t="shared" si="12"/>
        <v>0</v>
      </c>
      <c r="I65" s="25">
        <f t="shared" si="13"/>
        <v>0</v>
      </c>
      <c r="J65" s="25">
        <f t="shared" si="14"/>
        <v>0</v>
      </c>
      <c r="K65" s="25">
        <f t="shared" si="15"/>
        <v>0</v>
      </c>
      <c r="L65" s="25">
        <f t="shared" si="16"/>
        <v>0</v>
      </c>
      <c r="M65" s="25">
        <f t="shared" si="17"/>
        <v>0</v>
      </c>
      <c r="N65" s="25">
        <f t="shared" si="18"/>
        <v>474.53000000000003</v>
      </c>
      <c r="O65" s="25">
        <f t="shared" si="19"/>
        <v>0</v>
      </c>
      <c r="P65" s="25"/>
      <c r="Q65" s="25">
        <f>+'C&amp;A'!I66</f>
        <v>0</v>
      </c>
      <c r="R65" s="25">
        <f t="shared" si="20"/>
        <v>4270.7700000000004</v>
      </c>
      <c r="S65" s="25">
        <f t="shared" si="21"/>
        <v>4745.3</v>
      </c>
      <c r="T65" s="25">
        <f t="shared" si="22"/>
        <v>0</v>
      </c>
      <c r="U65" s="25">
        <f>+'C&amp;A'!E66*0.02</f>
        <v>10.2256</v>
      </c>
      <c r="V65" s="25">
        <f t="shared" si="23"/>
        <v>0</v>
      </c>
      <c r="W65" s="25">
        <f t="shared" si="24"/>
        <v>4755.5255999999999</v>
      </c>
      <c r="X65" s="25">
        <f t="shared" si="25"/>
        <v>760.884096</v>
      </c>
      <c r="Y65" s="25">
        <f t="shared" si="26"/>
        <v>5516.4096959999997</v>
      </c>
      <c r="Z65" s="65">
        <f>+R65-'C&amp;A'!K66-SINDICATO!P66</f>
        <v>0</v>
      </c>
      <c r="AA65" s="68">
        <f>+'C&amp;A'!K66+'C&amp;A'!I66+'C&amp;A'!G66+SINDICATO!E66-SINDICATO!F66-SINDICATO!M66-SINDICATO!N66</f>
        <v>4745.3</v>
      </c>
      <c r="AB65" s="68">
        <f t="shared" si="27"/>
        <v>-10.225599999999758</v>
      </c>
      <c r="AC65" s="133" t="s">
        <v>388</v>
      </c>
      <c r="AD65" s="133" t="s">
        <v>453</v>
      </c>
      <c r="AE65" s="133"/>
      <c r="AF65" s="133" t="s">
        <v>126</v>
      </c>
      <c r="AG65" s="133" t="s">
        <v>454</v>
      </c>
      <c r="AH65" s="133"/>
      <c r="AI65" s="133"/>
      <c r="AJ65" s="133"/>
      <c r="AK65" s="157">
        <v>739.23</v>
      </c>
      <c r="AL65" s="133"/>
      <c r="AM65" s="157">
        <f t="shared" si="3"/>
        <v>739.23</v>
      </c>
      <c r="AN65" s="157">
        <v>4006.07</v>
      </c>
      <c r="AO65" s="177"/>
      <c r="AP65" s="157"/>
      <c r="AQ65" s="173"/>
      <c r="AR65" s="151">
        <f t="shared" si="35"/>
        <v>4745.3</v>
      </c>
      <c r="AS65" s="157"/>
      <c r="AT65" s="157"/>
      <c r="AU65" s="157">
        <v>0</v>
      </c>
      <c r="AV65" s="157"/>
      <c r="AW65" s="157"/>
      <c r="AX65" s="157"/>
      <c r="AY65" s="110"/>
      <c r="AZ65" s="110"/>
      <c r="BA65" s="133"/>
      <c r="BB65" s="133">
        <v>0</v>
      </c>
      <c r="BC65" s="151">
        <f t="shared" si="29"/>
        <v>4745.3</v>
      </c>
      <c r="BD65" s="110">
        <f t="shared" si="28"/>
        <v>474.53000000000003</v>
      </c>
      <c r="BE65" s="151">
        <f t="shared" si="6"/>
        <v>4270.7700000000004</v>
      </c>
      <c r="BF65" s="110">
        <f t="shared" si="7"/>
        <v>0</v>
      </c>
      <c r="BG65" s="110">
        <v>10.23</v>
      </c>
      <c r="BH65" s="151">
        <f t="shared" si="8"/>
        <v>4755.53</v>
      </c>
      <c r="BI65" s="113"/>
      <c r="BJ65" s="114"/>
      <c r="BK65" s="113"/>
      <c r="BL65" s="113"/>
      <c r="BM65" s="114"/>
      <c r="BN65" s="113"/>
      <c r="BO65" s="113"/>
      <c r="BP65" s="113"/>
      <c r="BQ65" s="113"/>
      <c r="BR65" s="113"/>
      <c r="BS65" s="113"/>
      <c r="BT65" s="113"/>
      <c r="BU65" s="174">
        <v>-0.05</v>
      </c>
      <c r="BV65" s="59">
        <v>0</v>
      </c>
      <c r="BW65" s="59">
        <v>-66.12</v>
      </c>
      <c r="BX65" s="59">
        <v>577.4</v>
      </c>
    </row>
    <row r="66" spans="1:76" s="24" customFormat="1" hidden="1" x14ac:dyDescent="0.25">
      <c r="A66" s="23" t="s">
        <v>130</v>
      </c>
      <c r="B66" s="24" t="s">
        <v>131</v>
      </c>
      <c r="C66" s="25">
        <f t="shared" si="9"/>
        <v>739.23</v>
      </c>
      <c r="D66" s="25">
        <f>+AJ69</f>
        <v>0</v>
      </c>
      <c r="E66" s="25">
        <f t="shared" si="34"/>
        <v>3036.32</v>
      </c>
      <c r="F66" s="25">
        <f t="shared" si="31"/>
        <v>0</v>
      </c>
      <c r="G66" s="25">
        <f t="shared" si="11"/>
        <v>0</v>
      </c>
      <c r="H66" s="25">
        <f t="shared" si="12"/>
        <v>0</v>
      </c>
      <c r="I66" s="25">
        <f t="shared" si="13"/>
        <v>0</v>
      </c>
      <c r="J66" s="25">
        <f t="shared" si="14"/>
        <v>0</v>
      </c>
      <c r="K66" s="25">
        <f t="shared" si="15"/>
        <v>0</v>
      </c>
      <c r="L66" s="25">
        <f t="shared" si="16"/>
        <v>0</v>
      </c>
      <c r="M66" s="25">
        <f t="shared" si="17"/>
        <v>0</v>
      </c>
      <c r="N66" s="25">
        <f t="shared" si="18"/>
        <v>0</v>
      </c>
      <c r="O66" s="25">
        <f t="shared" si="19"/>
        <v>0</v>
      </c>
      <c r="P66" s="25"/>
      <c r="Q66" s="25">
        <f>+'C&amp;A'!I67</f>
        <v>0</v>
      </c>
      <c r="R66" s="25">
        <f t="shared" si="20"/>
        <v>3775.55</v>
      </c>
      <c r="S66" s="25">
        <f t="shared" si="21"/>
        <v>3775.55</v>
      </c>
      <c r="T66" s="25">
        <f t="shared" si="22"/>
        <v>377.55500000000006</v>
      </c>
      <c r="U66" s="25">
        <f>+'C&amp;A'!E67*0.02</f>
        <v>10.2256</v>
      </c>
      <c r="V66" s="25">
        <f t="shared" si="23"/>
        <v>0</v>
      </c>
      <c r="W66" s="25">
        <f t="shared" si="24"/>
        <v>4163.3306000000002</v>
      </c>
      <c r="X66" s="25">
        <f t="shared" si="25"/>
        <v>666.13289600000007</v>
      </c>
      <c r="Y66" s="25">
        <f t="shared" si="26"/>
        <v>4829.4634960000003</v>
      </c>
      <c r="Z66" s="65">
        <f>+R66-'C&amp;A'!K67-SINDICATO!P67</f>
        <v>0</v>
      </c>
      <c r="AA66" s="68">
        <f>+'C&amp;A'!K67+'C&amp;A'!I67+'C&amp;A'!G67+SINDICATO!E67-SINDICATO!F67-SINDICATO!M67-SINDICATO!N67</f>
        <v>3775.55</v>
      </c>
      <c r="AB66" s="68">
        <f t="shared" si="27"/>
        <v>-387.78060000000005</v>
      </c>
      <c r="AC66" s="133" t="s">
        <v>388</v>
      </c>
      <c r="AD66" s="133" t="s">
        <v>457</v>
      </c>
      <c r="AE66" s="133"/>
      <c r="AF66" s="133" t="s">
        <v>130</v>
      </c>
      <c r="AG66" s="133" t="s">
        <v>178</v>
      </c>
      <c r="AH66" s="133"/>
      <c r="AI66" s="133"/>
      <c r="AJ66" s="133"/>
      <c r="AK66" s="157">
        <v>739.23</v>
      </c>
      <c r="AL66" s="133"/>
      <c r="AM66" s="157">
        <f t="shared" si="3"/>
        <v>739.23</v>
      </c>
      <c r="AN66" s="157">
        <v>3036.32</v>
      </c>
      <c r="AO66" s="157"/>
      <c r="AP66" s="157"/>
      <c r="AQ66" s="173"/>
      <c r="AR66" s="151">
        <f t="shared" si="35"/>
        <v>3775.55</v>
      </c>
      <c r="AS66" s="157"/>
      <c r="AT66" s="157"/>
      <c r="AU66" s="157">
        <v>0</v>
      </c>
      <c r="AV66" s="157"/>
      <c r="AW66" s="157"/>
      <c r="AX66" s="157"/>
      <c r="AY66" s="110"/>
      <c r="AZ66" s="110"/>
      <c r="BA66" s="133"/>
      <c r="BB66" s="133">
        <v>0</v>
      </c>
      <c r="BC66" s="151">
        <f t="shared" si="29"/>
        <v>3775.55</v>
      </c>
      <c r="BD66" s="110">
        <f t="shared" si="28"/>
        <v>0</v>
      </c>
      <c r="BE66" s="151">
        <f t="shared" si="6"/>
        <v>3775.55</v>
      </c>
      <c r="BF66" s="110">
        <f t="shared" si="7"/>
        <v>377.55500000000006</v>
      </c>
      <c r="BG66" s="110">
        <v>10.23</v>
      </c>
      <c r="BH66" s="151">
        <f t="shared" si="8"/>
        <v>4163.335</v>
      </c>
      <c r="BI66" s="113"/>
      <c r="BJ66" s="114"/>
      <c r="BK66" s="113"/>
      <c r="BL66" s="113"/>
      <c r="BM66" s="114"/>
      <c r="BN66" s="113"/>
      <c r="BO66" s="113"/>
      <c r="BP66" s="113"/>
      <c r="BQ66" s="113"/>
      <c r="BR66" s="113"/>
      <c r="BS66" s="113"/>
      <c r="BT66" s="113"/>
      <c r="BU66" s="59">
        <v>0.15</v>
      </c>
      <c r="BV66" s="59">
        <v>0</v>
      </c>
      <c r="BW66" s="59">
        <v>-65.92</v>
      </c>
      <c r="BX66" s="59">
        <v>577.20000000000005</v>
      </c>
    </row>
    <row r="67" spans="1:76" s="24" customFormat="1" hidden="1" x14ac:dyDescent="0.25">
      <c r="A67" s="23"/>
      <c r="B67" s="133" t="s">
        <v>637</v>
      </c>
      <c r="C67" s="25">
        <f t="shared" si="9"/>
        <v>1136.73</v>
      </c>
      <c r="D67" s="25"/>
      <c r="E67" s="25">
        <f t="shared" si="34"/>
        <v>0</v>
      </c>
      <c r="F67" s="25">
        <f t="shared" si="31"/>
        <v>0</v>
      </c>
      <c r="G67" s="25">
        <f t="shared" si="11"/>
        <v>0</v>
      </c>
      <c r="H67" s="25">
        <f t="shared" si="12"/>
        <v>0</v>
      </c>
      <c r="I67" s="25">
        <f t="shared" si="13"/>
        <v>0</v>
      </c>
      <c r="J67" s="25">
        <f t="shared" si="14"/>
        <v>0</v>
      </c>
      <c r="K67" s="25">
        <f t="shared" si="15"/>
        <v>0</v>
      </c>
      <c r="L67" s="25">
        <f t="shared" si="16"/>
        <v>0</v>
      </c>
      <c r="M67" s="25">
        <f t="shared" si="17"/>
        <v>0</v>
      </c>
      <c r="N67" s="25">
        <f t="shared" si="18"/>
        <v>0</v>
      </c>
      <c r="O67" s="25">
        <f t="shared" si="19"/>
        <v>0</v>
      </c>
      <c r="P67" s="25"/>
      <c r="Q67" s="25">
        <f>+'C&amp;A'!I68</f>
        <v>0</v>
      </c>
      <c r="R67" s="25">
        <f t="shared" si="20"/>
        <v>1136.73</v>
      </c>
      <c r="S67" s="25">
        <f t="shared" si="21"/>
        <v>1136.73</v>
      </c>
      <c r="T67" s="25">
        <f t="shared" si="22"/>
        <v>113.673</v>
      </c>
      <c r="U67" s="25"/>
      <c r="V67" s="25">
        <f t="shared" si="23"/>
        <v>0</v>
      </c>
      <c r="W67" s="25">
        <f t="shared" si="24"/>
        <v>1250.403</v>
      </c>
      <c r="X67" s="25">
        <f t="shared" si="25"/>
        <v>200.06448</v>
      </c>
      <c r="Y67" s="25">
        <f t="shared" si="26"/>
        <v>1450.46748</v>
      </c>
      <c r="Z67" s="65">
        <f>+R67-'C&amp;A'!K68-SINDICATO!P68</f>
        <v>0</v>
      </c>
      <c r="AA67" s="68">
        <f>+'C&amp;A'!K68+'C&amp;A'!I68+'C&amp;A'!G68+SINDICATO!E68-SINDICATO!F68-SINDICATO!M68-SINDICATO!N68</f>
        <v>1136.73</v>
      </c>
      <c r="AB67" s="68">
        <f t="shared" si="27"/>
        <v>-113.673</v>
      </c>
      <c r="AC67" s="133" t="s">
        <v>388</v>
      </c>
      <c r="AD67" s="133" t="s">
        <v>637</v>
      </c>
      <c r="AE67" s="133"/>
      <c r="AF67" s="133"/>
      <c r="AG67" s="133" t="s">
        <v>178</v>
      </c>
      <c r="AH67" s="175">
        <v>42422</v>
      </c>
      <c r="AI67" s="133"/>
      <c r="AJ67" s="133"/>
      <c r="AK67" s="157">
        <v>0</v>
      </c>
      <c r="AL67" s="133">
        <v>1136.73</v>
      </c>
      <c r="AM67" s="157">
        <f t="shared" si="3"/>
        <v>1136.73</v>
      </c>
      <c r="AN67" s="157">
        <v>0</v>
      </c>
      <c r="AO67" s="157"/>
      <c r="AP67" s="157"/>
      <c r="AQ67" s="157"/>
      <c r="AR67" s="151">
        <f t="shared" si="35"/>
        <v>1136.73</v>
      </c>
      <c r="AS67" s="157"/>
      <c r="AT67" s="157"/>
      <c r="AU67" s="157"/>
      <c r="AV67" s="157"/>
      <c r="AW67" s="157"/>
      <c r="AX67" s="157"/>
      <c r="AY67" s="110"/>
      <c r="AZ67" s="110"/>
      <c r="BA67" s="133"/>
      <c r="BB67" s="133"/>
      <c r="BC67" s="151">
        <f t="shared" si="29"/>
        <v>1136.73</v>
      </c>
      <c r="BD67" s="110">
        <f t="shared" si="28"/>
        <v>0</v>
      </c>
      <c r="BE67" s="151">
        <f t="shared" si="6"/>
        <v>1136.73</v>
      </c>
      <c r="BF67" s="110">
        <f t="shared" si="7"/>
        <v>113.673</v>
      </c>
      <c r="BG67" s="110">
        <v>10.23</v>
      </c>
      <c r="BH67" s="151">
        <f t="shared" si="8"/>
        <v>1260.633</v>
      </c>
      <c r="BI67" s="113"/>
      <c r="BJ67" s="114"/>
      <c r="BK67" s="113"/>
      <c r="BL67" s="113"/>
      <c r="BM67" s="114"/>
      <c r="BN67" s="113">
        <v>2857006349</v>
      </c>
      <c r="BO67" s="94" t="s">
        <v>619</v>
      </c>
      <c r="BP67" s="113"/>
      <c r="BQ67" s="113"/>
      <c r="BR67" s="113"/>
      <c r="BS67" s="113"/>
      <c r="BT67" s="113"/>
      <c r="BU67" s="174">
        <v>-0.05</v>
      </c>
      <c r="BV67" s="59">
        <v>0</v>
      </c>
      <c r="BW67" s="59">
        <v>-65.92</v>
      </c>
      <c r="BX67" s="59">
        <v>577.20000000000005</v>
      </c>
    </row>
    <row r="68" spans="1:76" s="24" customFormat="1" hidden="1" x14ac:dyDescent="0.25">
      <c r="A68" s="23" t="s">
        <v>132</v>
      </c>
      <c r="B68" s="24" t="s">
        <v>133</v>
      </c>
      <c r="C68" s="25">
        <f t="shared" si="9"/>
        <v>608.16</v>
      </c>
      <c r="D68" s="25">
        <f>+AJ70</f>
        <v>0</v>
      </c>
      <c r="E68" s="25">
        <f t="shared" si="34"/>
        <v>1276.27</v>
      </c>
      <c r="F68" s="25">
        <f t="shared" si="31"/>
        <v>0</v>
      </c>
      <c r="G68" s="25">
        <f t="shared" si="11"/>
        <v>0</v>
      </c>
      <c r="H68" s="25">
        <f t="shared" si="12"/>
        <v>0</v>
      </c>
      <c r="I68" s="25">
        <f t="shared" si="13"/>
        <v>0</v>
      </c>
      <c r="J68" s="25">
        <f t="shared" si="14"/>
        <v>92.337069999999997</v>
      </c>
      <c r="K68" s="25">
        <f t="shared" si="15"/>
        <v>18.8443</v>
      </c>
      <c r="L68" s="25">
        <f t="shared" si="16"/>
        <v>0</v>
      </c>
      <c r="M68" s="25">
        <f t="shared" si="17"/>
        <v>0</v>
      </c>
      <c r="N68" s="25">
        <f t="shared" si="18"/>
        <v>0</v>
      </c>
      <c r="O68" s="25">
        <f t="shared" si="19"/>
        <v>0</v>
      </c>
      <c r="P68" s="25"/>
      <c r="Q68" s="25">
        <f>+'C&amp;A'!I69</f>
        <v>0</v>
      </c>
      <c r="R68" s="25">
        <f t="shared" si="20"/>
        <v>1773.2486299999998</v>
      </c>
      <c r="S68" s="25">
        <f t="shared" si="21"/>
        <v>1884.4299999999998</v>
      </c>
      <c r="T68" s="25">
        <f t="shared" si="22"/>
        <v>188.44299999999998</v>
      </c>
      <c r="U68" s="25">
        <f>+'C&amp;A'!E69*0.02</f>
        <v>10.2256</v>
      </c>
      <c r="V68" s="25">
        <f t="shared" si="23"/>
        <v>92.337069999999997</v>
      </c>
      <c r="W68" s="25">
        <f t="shared" si="24"/>
        <v>2175.4356699999998</v>
      </c>
      <c r="X68" s="25">
        <f t="shared" si="25"/>
        <v>348.06970719999998</v>
      </c>
      <c r="Y68" s="25">
        <f t="shared" si="26"/>
        <v>2523.5053771999997</v>
      </c>
      <c r="Z68" s="65">
        <f>+R68-'C&amp;A'!K69-SINDICATO!P69</f>
        <v>0</v>
      </c>
      <c r="AA68" s="68">
        <f>+'C&amp;A'!K69+'C&amp;A'!I69+'C&amp;A'!G69+SINDICATO!E69-SINDICATO!F69-SINDICATO!M69-SINDICATO!N69</f>
        <v>1884.4299999999998</v>
      </c>
      <c r="AB68" s="68">
        <f t="shared" si="27"/>
        <v>-291.00567000000001</v>
      </c>
      <c r="AC68" s="133" t="s">
        <v>386</v>
      </c>
      <c r="AD68" s="133" t="s">
        <v>458</v>
      </c>
      <c r="AE68" s="133"/>
      <c r="AF68" s="133" t="s">
        <v>132</v>
      </c>
      <c r="AG68" s="133" t="s">
        <v>459</v>
      </c>
      <c r="AH68" s="133"/>
      <c r="AI68" s="133"/>
      <c r="AJ68" s="133"/>
      <c r="AK68" s="157">
        <v>608.16</v>
      </c>
      <c r="AL68" s="133"/>
      <c r="AM68" s="157">
        <f t="shared" si="3"/>
        <v>608.16</v>
      </c>
      <c r="AN68" s="157">
        <v>1276.27</v>
      </c>
      <c r="AO68" s="157"/>
      <c r="AP68" s="157"/>
      <c r="AQ68" s="173"/>
      <c r="AR68" s="151">
        <f t="shared" si="35"/>
        <v>1884.4299999999998</v>
      </c>
      <c r="AS68" s="157"/>
      <c r="AT68" s="157"/>
      <c r="AU68" s="157"/>
      <c r="AV68" s="157">
        <f>AR68*4.9%</f>
        <v>92.337069999999997</v>
      </c>
      <c r="AW68" s="157">
        <f>AR68*1%</f>
        <v>18.8443</v>
      </c>
      <c r="AX68" s="157"/>
      <c r="AY68" s="110"/>
      <c r="AZ68" s="110"/>
      <c r="BA68" s="133"/>
      <c r="BB68" s="133">
        <v>0</v>
      </c>
      <c r="BC68" s="151">
        <f t="shared" si="29"/>
        <v>1773.2486299999998</v>
      </c>
      <c r="BD68" s="110">
        <f t="shared" si="28"/>
        <v>0</v>
      </c>
      <c r="BE68" s="151">
        <f t="shared" si="6"/>
        <v>1773.2486299999998</v>
      </c>
      <c r="BF68" s="110">
        <f t="shared" si="7"/>
        <v>188.44299999999998</v>
      </c>
      <c r="BG68" s="110">
        <v>10.23</v>
      </c>
      <c r="BH68" s="151">
        <f t="shared" si="8"/>
        <v>2083.1029999999996</v>
      </c>
      <c r="BI68" s="113"/>
      <c r="BJ68" s="114"/>
      <c r="BK68" s="113"/>
      <c r="BL68" s="113"/>
      <c r="BM68" s="114"/>
      <c r="BN68" s="113"/>
      <c r="BO68" s="113"/>
      <c r="BP68" s="113"/>
      <c r="BQ68" s="113"/>
      <c r="BR68" s="113"/>
      <c r="BS68" s="113"/>
      <c r="BT68" s="113"/>
      <c r="BU68" s="59">
        <v>0.15</v>
      </c>
      <c r="BV68" s="59">
        <v>0</v>
      </c>
      <c r="BW68" s="59">
        <v>-66.12</v>
      </c>
      <c r="BX68" s="59">
        <v>577.4</v>
      </c>
    </row>
    <row r="69" spans="1:76" s="24" customFormat="1" hidden="1" x14ac:dyDescent="0.25">
      <c r="A69" s="23" t="s">
        <v>134</v>
      </c>
      <c r="B69" s="24" t="s">
        <v>135</v>
      </c>
      <c r="C69" s="25">
        <f t="shared" si="9"/>
        <v>608.16</v>
      </c>
      <c r="D69" s="25">
        <f t="shared" ref="D69:D75" si="36">+AJ72</f>
        <v>0</v>
      </c>
      <c r="E69" s="25">
        <f t="shared" si="34"/>
        <v>3235.87</v>
      </c>
      <c r="F69" s="25">
        <f t="shared" si="31"/>
        <v>0</v>
      </c>
      <c r="G69" s="25">
        <f t="shared" si="11"/>
        <v>0</v>
      </c>
      <c r="H69" s="25">
        <f t="shared" si="12"/>
        <v>0</v>
      </c>
      <c r="I69" s="25">
        <f t="shared" si="13"/>
        <v>200</v>
      </c>
      <c r="J69" s="25">
        <f t="shared" si="14"/>
        <v>188.35747000000001</v>
      </c>
      <c r="K69" s="25">
        <f t="shared" si="15"/>
        <v>38.440300000000001</v>
      </c>
      <c r="L69" s="25">
        <f t="shared" si="16"/>
        <v>321.74</v>
      </c>
      <c r="M69" s="25">
        <f t="shared" si="17"/>
        <v>0</v>
      </c>
      <c r="N69" s="25">
        <f t="shared" si="18"/>
        <v>0</v>
      </c>
      <c r="O69" s="25">
        <f t="shared" si="19"/>
        <v>0</v>
      </c>
      <c r="P69" s="25"/>
      <c r="Q69" s="25">
        <f>+'C&amp;A'!I70</f>
        <v>0</v>
      </c>
      <c r="R69" s="25">
        <f t="shared" si="20"/>
        <v>3095.4922299999998</v>
      </c>
      <c r="S69" s="25">
        <f t="shared" si="21"/>
        <v>3844.0299999999997</v>
      </c>
      <c r="T69" s="25">
        <f t="shared" si="22"/>
        <v>384.40300000000002</v>
      </c>
      <c r="U69" s="25">
        <f>+'C&amp;A'!E70*0.02</f>
        <v>10.2256</v>
      </c>
      <c r="V69" s="25">
        <f t="shared" si="23"/>
        <v>188.35747000000001</v>
      </c>
      <c r="W69" s="25">
        <f t="shared" si="24"/>
        <v>4427.0160699999997</v>
      </c>
      <c r="X69" s="25">
        <f t="shared" si="25"/>
        <v>708.32257119999997</v>
      </c>
      <c r="Y69" s="25">
        <f t="shared" si="26"/>
        <v>5135.3386412</v>
      </c>
      <c r="Z69" s="65">
        <f>+R69-'C&amp;A'!K70-SINDICATO!P70</f>
        <v>0</v>
      </c>
      <c r="AA69" s="68">
        <f>+'C&amp;A'!K70+'C&amp;A'!I70+'C&amp;A'!G70+SINDICATO!E70-SINDICATO!F70-SINDICATO!M70-SINDICATO!N70</f>
        <v>3844.0299999999997</v>
      </c>
      <c r="AB69" s="68">
        <f t="shared" si="27"/>
        <v>-582.98606999999993</v>
      </c>
      <c r="AC69" s="133" t="s">
        <v>386</v>
      </c>
      <c r="AD69" s="133" t="s">
        <v>460</v>
      </c>
      <c r="AE69" s="133"/>
      <c r="AF69" s="133" t="s">
        <v>134</v>
      </c>
      <c r="AG69" s="133" t="s">
        <v>192</v>
      </c>
      <c r="AH69" s="133"/>
      <c r="AI69" s="133"/>
      <c r="AJ69" s="133"/>
      <c r="AK69" s="157">
        <v>608.16</v>
      </c>
      <c r="AL69" s="133"/>
      <c r="AM69" s="157">
        <f t="shared" si="3"/>
        <v>608.16</v>
      </c>
      <c r="AN69" s="157">
        <v>3235.87</v>
      </c>
      <c r="AO69" s="157"/>
      <c r="AP69" s="157"/>
      <c r="AQ69" s="173"/>
      <c r="AR69" s="151">
        <f t="shared" si="35"/>
        <v>3844.0299999999997</v>
      </c>
      <c r="AS69" s="157"/>
      <c r="AT69" s="157"/>
      <c r="AU69" s="157">
        <v>200</v>
      </c>
      <c r="AV69" s="157">
        <f>AR69*4.9%</f>
        <v>188.35747000000001</v>
      </c>
      <c r="AW69" s="157">
        <f>AR69*1%</f>
        <v>38.440300000000001</v>
      </c>
      <c r="AX69" s="157">
        <v>321.74</v>
      </c>
      <c r="AY69" s="110"/>
      <c r="AZ69" s="110"/>
      <c r="BA69" s="133"/>
      <c r="BB69" s="133">
        <v>0</v>
      </c>
      <c r="BC69" s="151">
        <f t="shared" si="29"/>
        <v>3095.4922299999998</v>
      </c>
      <c r="BD69" s="110">
        <f t="shared" si="28"/>
        <v>0</v>
      </c>
      <c r="BE69" s="151">
        <f t="shared" si="6"/>
        <v>3095.4922299999998</v>
      </c>
      <c r="BF69" s="110">
        <f t="shared" si="7"/>
        <v>384.40300000000002</v>
      </c>
      <c r="BG69" s="110">
        <v>10.23</v>
      </c>
      <c r="BH69" s="151">
        <f t="shared" si="8"/>
        <v>4238.6629999999996</v>
      </c>
      <c r="BI69" s="113"/>
      <c r="BJ69" s="114"/>
      <c r="BK69" s="113"/>
      <c r="BL69" s="113"/>
      <c r="BM69" s="114"/>
      <c r="BN69" s="113"/>
      <c r="BO69" s="113"/>
      <c r="BP69" s="113"/>
      <c r="BQ69" s="113"/>
      <c r="BR69" s="113"/>
      <c r="BS69" s="113"/>
      <c r="BT69" s="113"/>
      <c r="BU69" s="59">
        <v>0.15</v>
      </c>
      <c r="BV69" s="59">
        <v>0</v>
      </c>
      <c r="BW69" s="59">
        <v>-66.12</v>
      </c>
      <c r="BX69" s="59">
        <v>577.4</v>
      </c>
    </row>
    <row r="70" spans="1:76" s="24" customFormat="1" x14ac:dyDescent="0.25">
      <c r="A70" s="23" t="s">
        <v>136</v>
      </c>
      <c r="B70" s="24" t="s">
        <v>137</v>
      </c>
      <c r="C70" s="25">
        <f t="shared" si="9"/>
        <v>1400</v>
      </c>
      <c r="D70" s="25">
        <f t="shared" si="36"/>
        <v>0</v>
      </c>
      <c r="E70" s="25">
        <v>495.65</v>
      </c>
      <c r="F70" s="25">
        <f t="shared" si="31"/>
        <v>0</v>
      </c>
      <c r="G70" s="25">
        <f t="shared" si="11"/>
        <v>0</v>
      </c>
      <c r="H70" s="25">
        <f t="shared" si="12"/>
        <v>0</v>
      </c>
      <c r="I70" s="25">
        <f t="shared" si="13"/>
        <v>0</v>
      </c>
      <c r="J70" s="25">
        <f t="shared" si="14"/>
        <v>0</v>
      </c>
      <c r="K70" s="25">
        <f t="shared" si="15"/>
        <v>0</v>
      </c>
      <c r="L70" s="25">
        <f t="shared" si="16"/>
        <v>0</v>
      </c>
      <c r="M70" s="25">
        <f t="shared" si="17"/>
        <v>0</v>
      </c>
      <c r="N70" s="25">
        <f t="shared" si="18"/>
        <v>0</v>
      </c>
      <c r="O70" s="25">
        <f t="shared" si="19"/>
        <v>0</v>
      </c>
      <c r="P70" s="25"/>
      <c r="Q70" s="25">
        <f>+'C&amp;A'!I71</f>
        <v>0</v>
      </c>
      <c r="R70" s="25">
        <f t="shared" si="20"/>
        <v>1895.65</v>
      </c>
      <c r="S70" s="25">
        <f t="shared" si="21"/>
        <v>1895.65</v>
      </c>
      <c r="T70" s="25">
        <f t="shared" si="22"/>
        <v>140</v>
      </c>
      <c r="U70" s="25">
        <f>+'C&amp;A'!E71*0.02</f>
        <v>10.2256</v>
      </c>
      <c r="V70" s="25">
        <f t="shared" si="23"/>
        <v>0</v>
      </c>
      <c r="W70" s="25">
        <f t="shared" si="24"/>
        <v>2045.8756000000001</v>
      </c>
      <c r="X70" s="25">
        <f t="shared" si="25"/>
        <v>327.34009600000002</v>
      </c>
      <c r="Y70" s="25">
        <f t="shared" si="26"/>
        <v>2373.2156960000002</v>
      </c>
      <c r="Z70" s="65">
        <f>+R70-'C&amp;A'!K71-SINDICATO!P71</f>
        <v>0</v>
      </c>
      <c r="AA70" s="68">
        <f>+'C&amp;A'!K71+'C&amp;A'!I71+'C&amp;A'!G71+SINDICATO!E71-SINDICATO!F71-SINDICATO!M71-SINDICATO!N71</f>
        <v>1895.65</v>
      </c>
      <c r="AB70" s="68">
        <f t="shared" si="27"/>
        <v>-150.22559999999999</v>
      </c>
      <c r="AC70" s="133" t="s">
        <v>436</v>
      </c>
      <c r="AD70" s="133" t="s">
        <v>461</v>
      </c>
      <c r="AE70" s="133"/>
      <c r="AF70" s="133" t="s">
        <v>136</v>
      </c>
      <c r="AG70" s="133" t="s">
        <v>187</v>
      </c>
      <c r="AH70" s="133"/>
      <c r="AI70" s="133"/>
      <c r="AJ70" s="133"/>
      <c r="AK70" s="157">
        <v>1400</v>
      </c>
      <c r="AL70" s="133"/>
      <c r="AM70" s="157">
        <f t="shared" si="3"/>
        <v>1400</v>
      </c>
      <c r="AN70" s="157"/>
      <c r="AO70" s="157"/>
      <c r="AP70" s="157"/>
      <c r="AQ70" s="173"/>
      <c r="AR70" s="151">
        <f t="shared" si="35"/>
        <v>1400</v>
      </c>
      <c r="AS70" s="157"/>
      <c r="AT70" s="157"/>
      <c r="AU70" s="157">
        <v>0</v>
      </c>
      <c r="AV70" s="157"/>
      <c r="AW70" s="157"/>
      <c r="AX70" s="157"/>
      <c r="AY70" s="110"/>
      <c r="AZ70" s="110"/>
      <c r="BA70" s="133"/>
      <c r="BB70" s="133">
        <v>0</v>
      </c>
      <c r="BC70" s="151">
        <f t="shared" si="29"/>
        <v>1400</v>
      </c>
      <c r="BD70" s="110">
        <f t="shared" si="28"/>
        <v>0</v>
      </c>
      <c r="BE70" s="151">
        <f t="shared" si="6"/>
        <v>1400</v>
      </c>
      <c r="BF70" s="110">
        <f t="shared" si="7"/>
        <v>140</v>
      </c>
      <c r="BG70" s="110">
        <v>10.23</v>
      </c>
      <c r="BH70" s="151">
        <f t="shared" si="8"/>
        <v>1550.23</v>
      </c>
      <c r="BI70" s="113"/>
      <c r="BJ70" s="114"/>
      <c r="BK70" s="113"/>
      <c r="BL70" s="113"/>
      <c r="BM70" s="114"/>
      <c r="BN70" s="113"/>
      <c r="BO70" s="113"/>
      <c r="BP70" s="113"/>
      <c r="BQ70" s="113"/>
      <c r="BR70" s="113"/>
      <c r="BS70" s="113"/>
      <c r="BT70" s="113"/>
      <c r="BU70" s="174">
        <v>-0.05</v>
      </c>
      <c r="BV70" s="59">
        <v>0</v>
      </c>
      <c r="BW70" s="59">
        <v>-66.12</v>
      </c>
      <c r="BX70" s="59">
        <v>577.4</v>
      </c>
    </row>
    <row r="71" spans="1:76" s="24" customFormat="1" hidden="1" x14ac:dyDescent="0.25">
      <c r="A71" s="23" t="s">
        <v>202</v>
      </c>
      <c r="B71" s="24" t="s">
        <v>203</v>
      </c>
      <c r="C71" s="25">
        <f t="shared" si="9"/>
        <v>1166.6600000000001</v>
      </c>
      <c r="D71" s="25">
        <f t="shared" si="36"/>
        <v>0</v>
      </c>
      <c r="E71" s="25">
        <f>+AN71</f>
        <v>0</v>
      </c>
      <c r="F71" s="25">
        <f t="shared" si="31"/>
        <v>0</v>
      </c>
      <c r="G71" s="25">
        <f t="shared" si="11"/>
        <v>0</v>
      </c>
      <c r="H71" s="25">
        <f t="shared" si="12"/>
        <v>0</v>
      </c>
      <c r="I71" s="25">
        <f t="shared" si="13"/>
        <v>0</v>
      </c>
      <c r="J71" s="25">
        <f t="shared" si="14"/>
        <v>0</v>
      </c>
      <c r="K71" s="25">
        <f t="shared" si="15"/>
        <v>0</v>
      </c>
      <c r="L71" s="25">
        <f t="shared" si="16"/>
        <v>0</v>
      </c>
      <c r="M71" s="25">
        <f t="shared" si="17"/>
        <v>291.5</v>
      </c>
      <c r="N71" s="25">
        <f t="shared" si="18"/>
        <v>0</v>
      </c>
      <c r="O71" s="25">
        <f t="shared" si="19"/>
        <v>0</v>
      </c>
      <c r="P71" s="25"/>
      <c r="Q71" s="25">
        <f>+'C&amp;A'!I72</f>
        <v>0</v>
      </c>
      <c r="R71" s="25">
        <f t="shared" si="20"/>
        <v>875.16000000000008</v>
      </c>
      <c r="S71" s="25">
        <f t="shared" si="21"/>
        <v>1166.6600000000001</v>
      </c>
      <c r="T71" s="25">
        <f t="shared" si="22"/>
        <v>116.66600000000001</v>
      </c>
      <c r="U71" s="25">
        <f>+'C&amp;A'!E72*0.02</f>
        <v>10.2256</v>
      </c>
      <c r="V71" s="25">
        <f t="shared" si="23"/>
        <v>0</v>
      </c>
      <c r="W71" s="25">
        <f t="shared" si="24"/>
        <v>1293.5516</v>
      </c>
      <c r="X71" s="25">
        <f t="shared" si="25"/>
        <v>206.968256</v>
      </c>
      <c r="Y71" s="25">
        <f t="shared" si="26"/>
        <v>1500.5198559999999</v>
      </c>
      <c r="Z71" s="65">
        <f>+R71-'C&amp;A'!K72-SINDICATO!P72</f>
        <v>0</v>
      </c>
      <c r="AA71" s="68">
        <f>+'C&amp;A'!K72+'C&amp;A'!I72+'C&amp;A'!G72+SINDICATO!E72-SINDICATO!F72-SINDICATO!M72-SINDICATO!N72</f>
        <v>1166.6600000000001</v>
      </c>
      <c r="AB71" s="68">
        <f t="shared" si="27"/>
        <v>-126.89159999999993</v>
      </c>
      <c r="AC71" s="133" t="s">
        <v>382</v>
      </c>
      <c r="AD71" s="133" t="s">
        <v>485</v>
      </c>
      <c r="AE71" s="133" t="s">
        <v>33</v>
      </c>
      <c r="AF71" s="176" t="s">
        <v>202</v>
      </c>
      <c r="AG71" s="133" t="s">
        <v>191</v>
      </c>
      <c r="AH71" s="133"/>
      <c r="AI71" s="133"/>
      <c r="AJ71" s="133"/>
      <c r="AK71" s="157">
        <v>513.33000000000004</v>
      </c>
      <c r="AL71" s="133">
        <v>653.33000000000004</v>
      </c>
      <c r="AM71" s="157">
        <f>+AK71+AL71</f>
        <v>1166.6600000000001</v>
      </c>
      <c r="AN71" s="157"/>
      <c r="AO71" s="157"/>
      <c r="AP71" s="157"/>
      <c r="AQ71" s="173"/>
      <c r="AR71" s="151">
        <f>SUM(AM71:AP71)-AQ71</f>
        <v>1166.6600000000001</v>
      </c>
      <c r="AS71" s="157"/>
      <c r="AT71" s="157"/>
      <c r="AU71" s="157"/>
      <c r="AV71" s="157"/>
      <c r="AW71" s="157"/>
      <c r="AX71" s="157"/>
      <c r="AY71" s="110"/>
      <c r="AZ71" s="110"/>
      <c r="BA71" s="133"/>
      <c r="BB71" s="133">
        <v>291.5</v>
      </c>
      <c r="BC71" s="151">
        <f>+AR71-SUM(AS71:BB71)</f>
        <v>875.16000000000008</v>
      </c>
      <c r="BD71" s="110">
        <f>IF(AR71&gt;4500,AR71*0.1,0)</f>
        <v>0</v>
      </c>
      <c r="BE71" s="151">
        <f>+BC71-BD71</f>
        <v>875.16000000000008</v>
      </c>
      <c r="BF71" s="110">
        <f>IF(AR71&lt;4500,AR71*0.1,0)</f>
        <v>116.66600000000001</v>
      </c>
      <c r="BG71" s="110">
        <v>10.23</v>
      </c>
      <c r="BH71" s="151">
        <f>+AR71+BF71+BG71</f>
        <v>1293.556</v>
      </c>
      <c r="BI71" s="113"/>
      <c r="BJ71" s="114"/>
      <c r="BK71" s="113"/>
      <c r="BL71" s="113"/>
      <c r="BM71" s="114"/>
      <c r="BN71" s="113"/>
      <c r="BO71" s="113"/>
      <c r="BP71" s="113"/>
      <c r="BQ71" s="113"/>
      <c r="BR71" s="113"/>
      <c r="BS71" s="113"/>
      <c r="BT71" s="113"/>
      <c r="BU71" s="174"/>
      <c r="BV71" s="59"/>
      <c r="BW71" s="59"/>
      <c r="BX71" s="59"/>
    </row>
    <row r="72" spans="1:76" s="24" customFormat="1" hidden="1" x14ac:dyDescent="0.25">
      <c r="A72" s="23" t="s">
        <v>138</v>
      </c>
      <c r="B72" s="24" t="s">
        <v>139</v>
      </c>
      <c r="C72" s="25">
        <f t="shared" si="9"/>
        <v>608.16</v>
      </c>
      <c r="D72" s="25">
        <f t="shared" si="36"/>
        <v>0</v>
      </c>
      <c r="E72" s="25">
        <f>+AN72</f>
        <v>527.79999999999995</v>
      </c>
      <c r="F72" s="25">
        <f t="shared" si="31"/>
        <v>0</v>
      </c>
      <c r="G72" s="25">
        <f t="shared" si="11"/>
        <v>0</v>
      </c>
      <c r="H72" s="25">
        <f t="shared" si="12"/>
        <v>0</v>
      </c>
      <c r="I72" s="25">
        <f t="shared" si="13"/>
        <v>0</v>
      </c>
      <c r="J72" s="25">
        <f t="shared" si="14"/>
        <v>55.662040000000005</v>
      </c>
      <c r="K72" s="25">
        <f t="shared" si="15"/>
        <v>11.3596</v>
      </c>
      <c r="L72" s="25">
        <f t="shared" si="16"/>
        <v>0</v>
      </c>
      <c r="M72" s="25">
        <f t="shared" si="17"/>
        <v>0</v>
      </c>
      <c r="N72" s="25">
        <f t="shared" si="18"/>
        <v>0</v>
      </c>
      <c r="O72" s="25">
        <f t="shared" si="19"/>
        <v>0</v>
      </c>
      <c r="P72" s="25"/>
      <c r="Q72" s="25">
        <f>+'C&amp;A'!I73</f>
        <v>0</v>
      </c>
      <c r="R72" s="25">
        <f t="shared" si="20"/>
        <v>1068.9383600000001</v>
      </c>
      <c r="S72" s="25">
        <f t="shared" si="21"/>
        <v>1135.96</v>
      </c>
      <c r="T72" s="25">
        <f t="shared" si="22"/>
        <v>113.596</v>
      </c>
      <c r="U72" s="25">
        <f>+'C&amp;A'!E73*0.02</f>
        <v>10.2256</v>
      </c>
      <c r="V72" s="25">
        <f t="shared" si="23"/>
        <v>55.662040000000005</v>
      </c>
      <c r="W72" s="25">
        <f t="shared" si="24"/>
        <v>1315.44364</v>
      </c>
      <c r="X72" s="25">
        <f t="shared" si="25"/>
        <v>210.4709824</v>
      </c>
      <c r="Y72" s="25">
        <f t="shared" si="26"/>
        <v>1525.9146223999999</v>
      </c>
      <c r="Z72" s="65">
        <f>+R72-'C&amp;A'!K73-SINDICATO!P73</f>
        <v>0</v>
      </c>
      <c r="AA72" s="68">
        <f>+'C&amp;A'!K73+'C&amp;A'!I73+'C&amp;A'!G73+SINDICATO!E73-SINDICATO!F73-SINDICATO!M73-SINDICATO!N73</f>
        <v>1135.96</v>
      </c>
      <c r="AB72" s="68">
        <f t="shared" si="27"/>
        <v>-179.48363999999992</v>
      </c>
      <c r="AC72" s="133" t="s">
        <v>386</v>
      </c>
      <c r="AD72" s="133" t="s">
        <v>462</v>
      </c>
      <c r="AE72" s="133"/>
      <c r="AF72" s="133" t="s">
        <v>263</v>
      </c>
      <c r="AG72" s="133" t="s">
        <v>192</v>
      </c>
      <c r="AH72" s="133"/>
      <c r="AI72" s="133"/>
      <c r="AJ72" s="133"/>
      <c r="AK72" s="157">
        <v>608.16</v>
      </c>
      <c r="AL72" s="133"/>
      <c r="AM72" s="157">
        <f t="shared" si="3"/>
        <v>608.16</v>
      </c>
      <c r="AN72" s="157">
        <v>527.79999999999995</v>
      </c>
      <c r="AO72" s="157"/>
      <c r="AP72" s="157"/>
      <c r="AQ72" s="173"/>
      <c r="AR72" s="151">
        <f t="shared" si="35"/>
        <v>1135.96</v>
      </c>
      <c r="AS72" s="157"/>
      <c r="AT72" s="157"/>
      <c r="AU72" s="157">
        <v>0</v>
      </c>
      <c r="AV72" s="157">
        <f>AR72*4.9%</f>
        <v>55.662040000000005</v>
      </c>
      <c r="AW72" s="157">
        <f>AR72*1%</f>
        <v>11.3596</v>
      </c>
      <c r="AX72" s="157"/>
      <c r="AY72" s="110"/>
      <c r="AZ72" s="110"/>
      <c r="BA72" s="133"/>
      <c r="BB72" s="133">
        <v>0</v>
      </c>
      <c r="BC72" s="151">
        <f t="shared" si="29"/>
        <v>1068.9383600000001</v>
      </c>
      <c r="BD72" s="110">
        <f t="shared" si="28"/>
        <v>0</v>
      </c>
      <c r="BE72" s="151">
        <f t="shared" si="6"/>
        <v>1068.9383600000001</v>
      </c>
      <c r="BF72" s="110">
        <f t="shared" si="7"/>
        <v>113.596</v>
      </c>
      <c r="BG72" s="110">
        <v>10.23</v>
      </c>
      <c r="BH72" s="151">
        <f t="shared" si="8"/>
        <v>1259.7860000000001</v>
      </c>
      <c r="BI72" s="113"/>
      <c r="BJ72" s="114"/>
      <c r="BK72" s="113"/>
      <c r="BL72" s="113"/>
      <c r="BM72" s="114"/>
      <c r="BN72" s="113"/>
      <c r="BO72" s="113"/>
      <c r="BP72" s="113"/>
      <c r="BQ72" s="113"/>
      <c r="BR72" s="113"/>
      <c r="BS72" s="113"/>
      <c r="BT72" s="113"/>
      <c r="BU72" s="174">
        <v>-0.05</v>
      </c>
      <c r="BV72" s="59">
        <v>0</v>
      </c>
      <c r="BW72" s="59">
        <v>-65.92</v>
      </c>
      <c r="BX72" s="59">
        <v>577.20000000000005</v>
      </c>
    </row>
    <row r="73" spans="1:76" s="24" customFormat="1" hidden="1" x14ac:dyDescent="0.25">
      <c r="A73" s="23" t="s">
        <v>140</v>
      </c>
      <c r="B73" s="24" t="s">
        <v>141</v>
      </c>
      <c r="C73" s="25">
        <f t="shared" si="9"/>
        <v>1400</v>
      </c>
      <c r="D73" s="25">
        <f t="shared" si="36"/>
        <v>0</v>
      </c>
      <c r="E73" s="25">
        <f>+AN73</f>
        <v>0</v>
      </c>
      <c r="F73" s="25">
        <f>+((C73/7)/8)*14*2</f>
        <v>700</v>
      </c>
      <c r="G73" s="25">
        <f t="shared" si="11"/>
        <v>0</v>
      </c>
      <c r="H73" s="25">
        <f t="shared" si="12"/>
        <v>0</v>
      </c>
      <c r="I73" s="25">
        <f t="shared" si="13"/>
        <v>0</v>
      </c>
      <c r="J73" s="25">
        <f t="shared" si="14"/>
        <v>0</v>
      </c>
      <c r="K73" s="25">
        <f t="shared" si="15"/>
        <v>0</v>
      </c>
      <c r="L73" s="25">
        <f t="shared" si="16"/>
        <v>0</v>
      </c>
      <c r="M73" s="25">
        <f t="shared" si="17"/>
        <v>0</v>
      </c>
      <c r="N73" s="25">
        <f t="shared" si="18"/>
        <v>0</v>
      </c>
      <c r="O73" s="25">
        <f t="shared" si="19"/>
        <v>0</v>
      </c>
      <c r="P73" s="25"/>
      <c r="Q73" s="25">
        <f>+'C&amp;A'!I74</f>
        <v>0</v>
      </c>
      <c r="R73" s="25">
        <f t="shared" si="20"/>
        <v>2100</v>
      </c>
      <c r="S73" s="25">
        <f t="shared" si="21"/>
        <v>2100</v>
      </c>
      <c r="T73" s="25">
        <f t="shared" si="22"/>
        <v>140</v>
      </c>
      <c r="U73" s="25">
        <f>+'C&amp;A'!E74*0.02</f>
        <v>10.2256</v>
      </c>
      <c r="V73" s="25">
        <f t="shared" si="23"/>
        <v>0</v>
      </c>
      <c r="W73" s="25">
        <f t="shared" si="24"/>
        <v>2250.2256000000002</v>
      </c>
      <c r="X73" s="25">
        <f t="shared" si="25"/>
        <v>360.03609600000004</v>
      </c>
      <c r="Y73" s="25">
        <f t="shared" si="26"/>
        <v>2610.2616960000005</v>
      </c>
      <c r="Z73" s="65">
        <f>+R73-'C&amp;A'!K74-SINDICATO!P74</f>
        <v>0</v>
      </c>
      <c r="AA73" s="68">
        <f>+'C&amp;A'!K74+'C&amp;A'!I74+'C&amp;A'!G74+SINDICATO!E74-SINDICATO!F74-SINDICATO!M74-SINDICATO!N74</f>
        <v>2100</v>
      </c>
      <c r="AB73" s="68">
        <f t="shared" si="27"/>
        <v>-150.22560000000021</v>
      </c>
      <c r="AC73" s="133" t="s">
        <v>380</v>
      </c>
      <c r="AD73" s="133" t="s">
        <v>463</v>
      </c>
      <c r="AE73" s="133"/>
      <c r="AF73" s="133" t="s">
        <v>140</v>
      </c>
      <c r="AG73" s="133" t="s">
        <v>187</v>
      </c>
      <c r="AH73" s="133"/>
      <c r="AI73" s="133"/>
      <c r="AJ73" s="133"/>
      <c r="AK73" s="157">
        <v>1400</v>
      </c>
      <c r="AL73" s="133"/>
      <c r="AM73" s="157">
        <f t="shared" si="3"/>
        <v>1400</v>
      </c>
      <c r="AN73" s="157"/>
      <c r="AO73" s="157"/>
      <c r="AP73" s="157"/>
      <c r="AQ73" s="173"/>
      <c r="AR73" s="151">
        <f t="shared" si="35"/>
        <v>1400</v>
      </c>
      <c r="AS73" s="157"/>
      <c r="AT73" s="157"/>
      <c r="AU73" s="157">
        <v>0</v>
      </c>
      <c r="AV73" s="157"/>
      <c r="AW73" s="157"/>
      <c r="AX73" s="157"/>
      <c r="AY73" s="110"/>
      <c r="AZ73" s="110"/>
      <c r="BA73" s="133"/>
      <c r="BB73" s="133">
        <v>0</v>
      </c>
      <c r="BC73" s="151">
        <f t="shared" si="29"/>
        <v>1400</v>
      </c>
      <c r="BD73" s="110">
        <f t="shared" si="28"/>
        <v>0</v>
      </c>
      <c r="BE73" s="151">
        <f t="shared" si="6"/>
        <v>1400</v>
      </c>
      <c r="BF73" s="110">
        <f t="shared" si="7"/>
        <v>140</v>
      </c>
      <c r="BG73" s="110">
        <v>10.23</v>
      </c>
      <c r="BH73" s="151">
        <f t="shared" si="8"/>
        <v>1550.23</v>
      </c>
      <c r="BI73" s="113"/>
      <c r="BJ73" s="114"/>
      <c r="BK73" s="113"/>
      <c r="BL73" s="113"/>
      <c r="BM73" s="114"/>
      <c r="BN73" s="113"/>
      <c r="BO73" s="113" t="s">
        <v>638</v>
      </c>
      <c r="BP73" s="113"/>
      <c r="BQ73" s="113"/>
      <c r="BR73" s="113"/>
      <c r="BS73" s="113"/>
      <c r="BT73" s="113"/>
      <c r="BU73" s="174">
        <v>-0.05</v>
      </c>
      <c r="BV73" s="59">
        <v>0</v>
      </c>
      <c r="BW73" s="59">
        <v>-65.92</v>
      </c>
      <c r="BX73" s="59">
        <v>577.20000000000005</v>
      </c>
    </row>
    <row r="74" spans="1:76" s="24" customFormat="1" hidden="1" x14ac:dyDescent="0.25">
      <c r="A74" s="55" t="s">
        <v>515</v>
      </c>
      <c r="B74" s="56" t="s">
        <v>516</v>
      </c>
      <c r="C74" s="25">
        <f t="shared" ref="C74:C92" si="37">+AM74</f>
        <v>739.23</v>
      </c>
      <c r="D74" s="25">
        <f t="shared" si="36"/>
        <v>0</v>
      </c>
      <c r="E74" s="25">
        <f t="shared" ref="E74:E92" si="38">+AN74</f>
        <v>1692.78</v>
      </c>
      <c r="F74" s="25">
        <f t="shared" ref="F74:F92" si="39">+AP74</f>
        <v>0</v>
      </c>
      <c r="G74" s="25">
        <f t="shared" ref="G74:G92" si="40">+AQ74</f>
        <v>0</v>
      </c>
      <c r="H74" s="25">
        <f t="shared" ref="H74:H92" si="41">+BA74</f>
        <v>0</v>
      </c>
      <c r="I74" s="25">
        <f t="shared" ref="I74:I92" si="42">+AU74</f>
        <v>0</v>
      </c>
      <c r="J74" s="25">
        <f t="shared" ref="J74:J92" si="43">+AV74</f>
        <v>0</v>
      </c>
      <c r="K74" s="25">
        <f t="shared" ref="K74:K92" si="44">+AW74</f>
        <v>0</v>
      </c>
      <c r="L74" s="25">
        <f t="shared" ref="L74:L92" si="45">+AX74</f>
        <v>0</v>
      </c>
      <c r="M74" s="25">
        <f t="shared" ref="M74:M92" si="46">+BB74</f>
        <v>0</v>
      </c>
      <c r="N74" s="25">
        <f t="shared" ref="N74:N92" si="47">+BD74</f>
        <v>0</v>
      </c>
      <c r="O74" s="25">
        <f t="shared" ref="O74:O92" si="48">+AT74</f>
        <v>0</v>
      </c>
      <c r="P74" s="25"/>
      <c r="Q74" s="25">
        <f>+'C&amp;A'!I75</f>
        <v>0</v>
      </c>
      <c r="R74" s="25">
        <f t="shared" ref="R74:R91" si="49">+C74+D74+E74-G74-H74-I74-J74-K74-L74-M74-N74-O74-P74+F74-Q74</f>
        <v>2432.0100000000002</v>
      </c>
      <c r="S74" s="25">
        <f t="shared" ref="S74:S91" si="50">+C74+D74+E74+F74-G74-H74-O74-P74</f>
        <v>2432.0100000000002</v>
      </c>
      <c r="T74" s="25">
        <f t="shared" ref="T74:T92" si="51">+BF74</f>
        <v>243.20100000000002</v>
      </c>
      <c r="U74" s="25">
        <f>+'C&amp;A'!E75*0.02</f>
        <v>5.1128</v>
      </c>
      <c r="V74" s="25">
        <f t="shared" ref="V74:V92" si="52">+J74</f>
        <v>0</v>
      </c>
      <c r="W74" s="25">
        <f t="shared" ref="W74:W92" si="53">SUM(S74:V74)</f>
        <v>2680.3238000000001</v>
      </c>
      <c r="X74" s="25">
        <f t="shared" ref="X74:X92" si="54">+W74*0.16</f>
        <v>428.85180800000001</v>
      </c>
      <c r="Y74" s="25">
        <f t="shared" ref="Y74:Y92" si="55">+W74+X74</f>
        <v>3109.175608</v>
      </c>
      <c r="Z74" s="65">
        <f>+R74-'C&amp;A'!K75-SINDICATO!P75</f>
        <v>0</v>
      </c>
      <c r="AA74" s="68">
        <f>+'C&amp;A'!K75+'C&amp;A'!I75+'C&amp;A'!G75+SINDICATO!E75-SINDICATO!F75-SINDICATO!M75-SINDICATO!N75</f>
        <v>2432.0100000000002</v>
      </c>
      <c r="AB74" s="68">
        <f t="shared" ref="AB74:AB92" si="56">+AA74-W74</f>
        <v>-248.3137999999999</v>
      </c>
      <c r="AC74" s="133" t="s">
        <v>388</v>
      </c>
      <c r="AD74" s="133" t="s">
        <v>464</v>
      </c>
      <c r="AE74" s="133"/>
      <c r="AF74" s="133"/>
      <c r="AG74" s="133" t="s">
        <v>178</v>
      </c>
      <c r="AH74" s="175">
        <v>42416</v>
      </c>
      <c r="AI74" s="133"/>
      <c r="AJ74" s="133"/>
      <c r="AK74" s="157">
        <v>739.23</v>
      </c>
      <c r="AL74" s="133"/>
      <c r="AM74" s="157">
        <f t="shared" si="3"/>
        <v>739.23</v>
      </c>
      <c r="AN74" s="157">
        <v>1692.78</v>
      </c>
      <c r="AO74" s="157"/>
      <c r="AP74" s="157"/>
      <c r="AQ74" s="173"/>
      <c r="AR74" s="151">
        <f t="shared" si="35"/>
        <v>2432.0100000000002</v>
      </c>
      <c r="AS74" s="157"/>
      <c r="AT74" s="157"/>
      <c r="AU74" s="157"/>
      <c r="AV74" s="157"/>
      <c r="AW74" s="157"/>
      <c r="AX74" s="157"/>
      <c r="AY74" s="110"/>
      <c r="AZ74" s="110"/>
      <c r="BA74" s="133"/>
      <c r="BB74" s="133"/>
      <c r="BC74" s="151">
        <f t="shared" si="29"/>
        <v>2432.0100000000002</v>
      </c>
      <c r="BD74" s="110">
        <f t="shared" si="28"/>
        <v>0</v>
      </c>
      <c r="BE74" s="151">
        <f t="shared" si="6"/>
        <v>2432.0100000000002</v>
      </c>
      <c r="BF74" s="110">
        <f t="shared" si="7"/>
        <v>243.20100000000002</v>
      </c>
      <c r="BG74" s="110">
        <v>10.23</v>
      </c>
      <c r="BH74" s="151">
        <f t="shared" si="8"/>
        <v>2685.4410000000003</v>
      </c>
      <c r="BI74" s="113"/>
      <c r="BJ74" s="114"/>
      <c r="BK74" s="113"/>
      <c r="BL74" s="113"/>
      <c r="BM74" s="114"/>
      <c r="BN74" s="113"/>
      <c r="BO74" s="113"/>
      <c r="BP74" s="113"/>
      <c r="BQ74" s="113"/>
      <c r="BR74" s="113"/>
      <c r="BS74" s="113"/>
      <c r="BT74" s="113"/>
      <c r="BU74" s="59">
        <v>0.15</v>
      </c>
      <c r="BV74" s="59">
        <v>0</v>
      </c>
      <c r="BW74" s="59">
        <v>-66.12</v>
      </c>
      <c r="BX74" s="59">
        <v>577.4</v>
      </c>
    </row>
    <row r="75" spans="1:76" s="24" customFormat="1" hidden="1" x14ac:dyDescent="0.25">
      <c r="A75" s="23" t="s">
        <v>142</v>
      </c>
      <c r="B75" s="24" t="s">
        <v>143</v>
      </c>
      <c r="C75" s="25">
        <f t="shared" si="37"/>
        <v>511.28</v>
      </c>
      <c r="D75" s="25">
        <f t="shared" si="36"/>
        <v>0</v>
      </c>
      <c r="E75" s="25">
        <f t="shared" si="38"/>
        <v>2276.2799999999997</v>
      </c>
      <c r="F75" s="25">
        <f t="shared" si="39"/>
        <v>0</v>
      </c>
      <c r="G75" s="25">
        <f t="shared" si="40"/>
        <v>0</v>
      </c>
      <c r="H75" s="25">
        <f t="shared" si="41"/>
        <v>0</v>
      </c>
      <c r="I75" s="25">
        <f t="shared" si="42"/>
        <v>300</v>
      </c>
      <c r="J75" s="25">
        <f t="shared" si="43"/>
        <v>0</v>
      </c>
      <c r="K75" s="25">
        <f t="shared" si="44"/>
        <v>0</v>
      </c>
      <c r="L75" s="25">
        <f t="shared" si="45"/>
        <v>0</v>
      </c>
      <c r="M75" s="25">
        <f t="shared" si="46"/>
        <v>971.68</v>
      </c>
      <c r="N75" s="25">
        <f t="shared" si="47"/>
        <v>0</v>
      </c>
      <c r="O75" s="25">
        <f t="shared" si="48"/>
        <v>0</v>
      </c>
      <c r="P75" s="25"/>
      <c r="Q75" s="25">
        <f>+'C&amp;A'!I76</f>
        <v>0</v>
      </c>
      <c r="R75" s="25">
        <f t="shared" si="49"/>
        <v>1515.8799999999997</v>
      </c>
      <c r="S75" s="25">
        <f t="shared" si="50"/>
        <v>2787.5599999999995</v>
      </c>
      <c r="T75" s="25">
        <f t="shared" si="51"/>
        <v>278.75599999999997</v>
      </c>
      <c r="U75" s="25">
        <f>+'C&amp;A'!E76*0.02</f>
        <v>10.2256</v>
      </c>
      <c r="V75" s="25">
        <f t="shared" si="52"/>
        <v>0</v>
      </c>
      <c r="W75" s="25">
        <f t="shared" si="53"/>
        <v>3076.5415999999996</v>
      </c>
      <c r="X75" s="25">
        <f t="shared" si="54"/>
        <v>492.24665599999992</v>
      </c>
      <c r="Y75" s="25">
        <f t="shared" si="55"/>
        <v>3568.7882559999994</v>
      </c>
      <c r="Z75" s="65">
        <f>+R75-'C&amp;A'!K76-SINDICATO!P76</f>
        <v>0</v>
      </c>
      <c r="AA75" s="68">
        <f>+'C&amp;A'!K76+'C&amp;A'!I76+'C&amp;A'!G76+SINDICATO!E76-SINDICATO!F76-SINDICATO!M76-SINDICATO!N76</f>
        <v>2787.5599999999995</v>
      </c>
      <c r="AB75" s="68">
        <f t="shared" si="56"/>
        <v>-288.98160000000007</v>
      </c>
      <c r="AC75" s="133" t="s">
        <v>386</v>
      </c>
      <c r="AD75" s="133" t="s">
        <v>465</v>
      </c>
      <c r="AE75" s="133"/>
      <c r="AF75" s="133" t="s">
        <v>142</v>
      </c>
      <c r="AG75" s="133" t="s">
        <v>197</v>
      </c>
      <c r="AH75" s="133"/>
      <c r="AI75" s="133"/>
      <c r="AJ75" s="133"/>
      <c r="AK75" s="157">
        <v>511.28</v>
      </c>
      <c r="AL75" s="133"/>
      <c r="AM75" s="157">
        <f t="shared" ref="AM75:AM85" si="57">+AK75+AL75</f>
        <v>511.28</v>
      </c>
      <c r="AN75" s="157">
        <f>1826.28+250+200</f>
        <v>2276.2799999999997</v>
      </c>
      <c r="AO75" s="157"/>
      <c r="AP75" s="157"/>
      <c r="AQ75" s="173"/>
      <c r="AR75" s="151">
        <f t="shared" si="35"/>
        <v>2787.5599999999995</v>
      </c>
      <c r="AS75" s="157"/>
      <c r="AT75" s="157"/>
      <c r="AU75" s="157">
        <v>300</v>
      </c>
      <c r="AV75" s="157"/>
      <c r="AW75" s="157"/>
      <c r="AX75" s="157"/>
      <c r="AY75" s="110"/>
      <c r="AZ75" s="110"/>
      <c r="BA75" s="133"/>
      <c r="BB75" s="133">
        <f>831.77+139.91</f>
        <v>971.68</v>
      </c>
      <c r="BC75" s="151">
        <f t="shared" si="29"/>
        <v>1515.8799999999997</v>
      </c>
      <c r="BD75" s="110">
        <f t="shared" si="28"/>
        <v>0</v>
      </c>
      <c r="BE75" s="151">
        <f t="shared" ref="BE75:BE85" si="58">+BC75-BD75</f>
        <v>1515.8799999999997</v>
      </c>
      <c r="BF75" s="110">
        <f t="shared" ref="BF75:BF85" si="59">IF(AR75&lt;4500,AR75*0.1,0)</f>
        <v>278.75599999999997</v>
      </c>
      <c r="BG75" s="110">
        <v>10.23</v>
      </c>
      <c r="BH75" s="151">
        <f t="shared" ref="BH75:BH85" si="60">+AR75+BF75+BG75</f>
        <v>3076.5459999999994</v>
      </c>
      <c r="BI75" s="113"/>
      <c r="BJ75" s="114"/>
      <c r="BK75" s="113"/>
      <c r="BL75" s="113"/>
      <c r="BM75" s="114"/>
      <c r="BN75" s="113"/>
      <c r="BO75" s="113"/>
      <c r="BP75" s="113"/>
      <c r="BQ75" s="113"/>
      <c r="BR75" s="113"/>
      <c r="BS75" s="113"/>
      <c r="BT75" s="113"/>
      <c r="BU75" s="59">
        <v>0.15</v>
      </c>
      <c r="BV75" s="59">
        <v>0</v>
      </c>
      <c r="BW75" s="59">
        <v>-66.12</v>
      </c>
      <c r="BX75" s="59">
        <v>577.4</v>
      </c>
    </row>
    <row r="76" spans="1:76" s="24" customFormat="1" hidden="1" x14ac:dyDescent="0.25">
      <c r="A76" s="23" t="s">
        <v>144</v>
      </c>
      <c r="B76" s="24" t="s">
        <v>145</v>
      </c>
      <c r="C76" s="25">
        <f t="shared" si="37"/>
        <v>1166.26</v>
      </c>
      <c r="D76" s="25">
        <f t="shared" ref="D76:D77" si="61">+AJ79</f>
        <v>0</v>
      </c>
      <c r="E76" s="25">
        <f t="shared" si="38"/>
        <v>784.32</v>
      </c>
      <c r="F76" s="25">
        <f t="shared" si="39"/>
        <v>0</v>
      </c>
      <c r="G76" s="25">
        <f t="shared" si="40"/>
        <v>0</v>
      </c>
      <c r="H76" s="25">
        <f t="shared" si="41"/>
        <v>0</v>
      </c>
      <c r="I76" s="25">
        <f t="shared" si="42"/>
        <v>0</v>
      </c>
      <c r="J76" s="25">
        <f t="shared" si="43"/>
        <v>0</v>
      </c>
      <c r="K76" s="25">
        <f t="shared" si="44"/>
        <v>0</v>
      </c>
      <c r="L76" s="25">
        <f t="shared" si="45"/>
        <v>0</v>
      </c>
      <c r="M76" s="25">
        <f t="shared" si="46"/>
        <v>0</v>
      </c>
      <c r="N76" s="25">
        <f t="shared" si="47"/>
        <v>0</v>
      </c>
      <c r="O76" s="25">
        <f t="shared" si="48"/>
        <v>0</v>
      </c>
      <c r="P76" s="25"/>
      <c r="Q76" s="25">
        <f>+'C&amp;A'!I77</f>
        <v>0</v>
      </c>
      <c r="R76" s="25">
        <f t="shared" si="49"/>
        <v>1950.58</v>
      </c>
      <c r="S76" s="25">
        <f t="shared" si="50"/>
        <v>1950.58</v>
      </c>
      <c r="T76" s="25">
        <f t="shared" si="51"/>
        <v>195.05799999999999</v>
      </c>
      <c r="U76" s="25">
        <f>+'C&amp;A'!E77*0.02</f>
        <v>10.2256</v>
      </c>
      <c r="V76" s="25">
        <f t="shared" si="52"/>
        <v>0</v>
      </c>
      <c r="W76" s="25">
        <f t="shared" si="53"/>
        <v>2155.8636000000001</v>
      </c>
      <c r="X76" s="25">
        <f t="shared" si="54"/>
        <v>344.93817600000006</v>
      </c>
      <c r="Y76" s="25">
        <f t="shared" si="55"/>
        <v>2500.8017760000002</v>
      </c>
      <c r="Z76" s="65">
        <f>+R76-'C&amp;A'!K77-SINDICATO!P77</f>
        <v>0</v>
      </c>
      <c r="AA76" s="68">
        <f>+'C&amp;A'!K77+'C&amp;A'!I77+'C&amp;A'!G77+SINDICATO!E77-SINDICATO!F77-SINDICATO!M77-SINDICATO!N77</f>
        <v>1950.58</v>
      </c>
      <c r="AB76" s="68">
        <f t="shared" si="56"/>
        <v>-205.28360000000021</v>
      </c>
      <c r="AC76" s="133" t="s">
        <v>380</v>
      </c>
      <c r="AD76" s="133" t="s">
        <v>466</v>
      </c>
      <c r="AE76" s="133"/>
      <c r="AF76" s="133" t="s">
        <v>144</v>
      </c>
      <c r="AG76" s="133" t="s">
        <v>180</v>
      </c>
      <c r="AH76" s="133"/>
      <c r="AI76" s="133"/>
      <c r="AJ76" s="133"/>
      <c r="AK76" s="157">
        <v>1166.26</v>
      </c>
      <c r="AL76" s="172"/>
      <c r="AM76" s="157">
        <f t="shared" si="57"/>
        <v>1166.26</v>
      </c>
      <c r="AN76" s="157">
        <v>784.32</v>
      </c>
      <c r="AO76" s="157"/>
      <c r="AP76" s="157"/>
      <c r="AQ76" s="173"/>
      <c r="AR76" s="151">
        <f t="shared" ref="AR76:AR85" si="62">SUM(AM76:AP76)-AQ76</f>
        <v>1950.58</v>
      </c>
      <c r="AS76" s="157"/>
      <c r="AT76" s="157"/>
      <c r="AU76" s="157">
        <v>0</v>
      </c>
      <c r="AV76" s="157"/>
      <c r="AW76" s="157"/>
      <c r="AX76" s="157"/>
      <c r="AY76" s="110"/>
      <c r="AZ76" s="110"/>
      <c r="BA76" s="133"/>
      <c r="BB76" s="133">
        <v>0</v>
      </c>
      <c r="BC76" s="151">
        <f t="shared" si="29"/>
        <v>1950.58</v>
      </c>
      <c r="BD76" s="110">
        <f t="shared" si="28"/>
        <v>0</v>
      </c>
      <c r="BE76" s="151">
        <f t="shared" si="58"/>
        <v>1950.58</v>
      </c>
      <c r="BF76" s="110">
        <f t="shared" si="59"/>
        <v>195.05799999999999</v>
      </c>
      <c r="BG76" s="110">
        <v>10.23</v>
      </c>
      <c r="BH76" s="151">
        <f t="shared" si="60"/>
        <v>2155.8679999999999</v>
      </c>
      <c r="BI76" s="113"/>
      <c r="BJ76" s="114"/>
      <c r="BK76" s="113"/>
      <c r="BL76" s="113"/>
      <c r="BM76" s="114"/>
      <c r="BN76" s="113"/>
      <c r="BO76" s="113"/>
      <c r="BP76" s="113"/>
      <c r="BQ76" s="113"/>
      <c r="BR76" s="113"/>
      <c r="BS76" s="113"/>
      <c r="BT76" s="113"/>
      <c r="BU76" s="174">
        <v>-0.05</v>
      </c>
      <c r="BV76" s="59">
        <v>0</v>
      </c>
      <c r="BW76" s="59">
        <v>-82.56</v>
      </c>
      <c r="BX76" s="59">
        <v>338.2</v>
      </c>
    </row>
    <row r="77" spans="1:76" s="24" customFormat="1" x14ac:dyDescent="0.25">
      <c r="A77" s="23" t="s">
        <v>189</v>
      </c>
      <c r="B77" s="24" t="s">
        <v>190</v>
      </c>
      <c r="C77" s="25">
        <f t="shared" si="37"/>
        <v>1100</v>
      </c>
      <c r="D77" s="25">
        <f t="shared" si="61"/>
        <v>0</v>
      </c>
      <c r="E77" s="25">
        <f t="shared" si="38"/>
        <v>0</v>
      </c>
      <c r="F77" s="25">
        <f t="shared" si="39"/>
        <v>0</v>
      </c>
      <c r="G77" s="25">
        <f t="shared" si="40"/>
        <v>0</v>
      </c>
      <c r="H77" s="25">
        <f t="shared" si="41"/>
        <v>0</v>
      </c>
      <c r="I77" s="25">
        <f t="shared" si="42"/>
        <v>0</v>
      </c>
      <c r="J77" s="25">
        <f t="shared" si="43"/>
        <v>0</v>
      </c>
      <c r="K77" s="25">
        <f t="shared" si="44"/>
        <v>0</v>
      </c>
      <c r="L77" s="25">
        <f t="shared" si="45"/>
        <v>0</v>
      </c>
      <c r="M77" s="25">
        <f t="shared" si="46"/>
        <v>0</v>
      </c>
      <c r="N77" s="25">
        <f t="shared" si="47"/>
        <v>0</v>
      </c>
      <c r="O77" s="25">
        <f t="shared" si="48"/>
        <v>0</v>
      </c>
      <c r="P77" s="25"/>
      <c r="Q77" s="25">
        <f>+'C&amp;A'!I78</f>
        <v>0</v>
      </c>
      <c r="R77" s="25">
        <f t="shared" si="49"/>
        <v>1100</v>
      </c>
      <c r="S77" s="25">
        <f t="shared" si="50"/>
        <v>1100</v>
      </c>
      <c r="T77" s="25">
        <f t="shared" si="51"/>
        <v>110</v>
      </c>
      <c r="U77" s="25">
        <f>+'C&amp;A'!E78*0.02</f>
        <v>10.2256</v>
      </c>
      <c r="V77" s="25">
        <f t="shared" si="52"/>
        <v>0</v>
      </c>
      <c r="W77" s="25">
        <f t="shared" si="53"/>
        <v>1220.2256</v>
      </c>
      <c r="X77" s="25">
        <f t="shared" si="54"/>
        <v>195.236096</v>
      </c>
      <c r="Y77" s="25">
        <f t="shared" si="55"/>
        <v>1415.4616960000001</v>
      </c>
      <c r="Z77" s="65">
        <f>+R77-'C&amp;A'!K78-SINDICATO!P78</f>
        <v>0</v>
      </c>
      <c r="AA77" s="68">
        <f>+'C&amp;A'!K78+'C&amp;A'!I78+'C&amp;A'!G78+SINDICATO!E78-SINDICATO!F78-SINDICATO!M78-SINDICATO!N78</f>
        <v>1100</v>
      </c>
      <c r="AB77" s="68">
        <f t="shared" si="56"/>
        <v>-120.22559999999999</v>
      </c>
      <c r="AC77" s="133" t="s">
        <v>436</v>
      </c>
      <c r="AD77" s="133" t="s">
        <v>639</v>
      </c>
      <c r="AE77" s="133"/>
      <c r="AF77" s="133" t="s">
        <v>189</v>
      </c>
      <c r="AG77" s="133" t="s">
        <v>186</v>
      </c>
      <c r="AH77" s="133"/>
      <c r="AI77" s="133"/>
      <c r="AJ77" s="133"/>
      <c r="AK77" s="157">
        <v>1100</v>
      </c>
      <c r="AL77" s="133"/>
      <c r="AM77" s="157">
        <f t="shared" si="57"/>
        <v>1100</v>
      </c>
      <c r="AN77" s="157"/>
      <c r="AO77" s="157"/>
      <c r="AP77" s="157"/>
      <c r="AQ77" s="173"/>
      <c r="AR77" s="151">
        <f t="shared" si="62"/>
        <v>1100</v>
      </c>
      <c r="AS77" s="157"/>
      <c r="AT77" s="157"/>
      <c r="AU77" s="157">
        <v>0</v>
      </c>
      <c r="AV77" s="157"/>
      <c r="AW77" s="157"/>
      <c r="AX77" s="157"/>
      <c r="AY77" s="110"/>
      <c r="AZ77" s="110"/>
      <c r="BA77" s="133"/>
      <c r="BB77" s="133">
        <v>0</v>
      </c>
      <c r="BC77" s="151">
        <f t="shared" si="29"/>
        <v>1100</v>
      </c>
      <c r="BD77" s="110">
        <f t="shared" si="28"/>
        <v>0</v>
      </c>
      <c r="BE77" s="151">
        <f t="shared" si="58"/>
        <v>1100</v>
      </c>
      <c r="BF77" s="110">
        <f t="shared" si="59"/>
        <v>110</v>
      </c>
      <c r="BG77" s="110">
        <v>10.23</v>
      </c>
      <c r="BH77" s="151">
        <f t="shared" si="60"/>
        <v>1220.23</v>
      </c>
      <c r="BI77" s="113"/>
      <c r="BJ77" s="114"/>
      <c r="BK77" s="113"/>
      <c r="BL77" s="113"/>
      <c r="BM77" s="114"/>
      <c r="BN77" s="113"/>
      <c r="BO77" s="113"/>
      <c r="BP77" s="113"/>
      <c r="BQ77" s="113"/>
      <c r="BR77" s="113"/>
      <c r="BS77" s="113"/>
      <c r="BT77" s="113"/>
      <c r="BU77" s="174">
        <v>-0.05</v>
      </c>
      <c r="BV77" s="59">
        <v>0</v>
      </c>
      <c r="BW77" s="59">
        <v>-65.92</v>
      </c>
      <c r="BX77" s="59">
        <v>577.20000000000005</v>
      </c>
    </row>
    <row r="78" spans="1:76" s="24" customFormat="1" hidden="1" x14ac:dyDescent="0.25">
      <c r="A78" s="23" t="s">
        <v>149</v>
      </c>
      <c r="B78" s="24" t="s">
        <v>150</v>
      </c>
      <c r="C78" s="25">
        <f t="shared" si="37"/>
        <v>513.33000000000004</v>
      </c>
      <c r="D78" s="25">
        <f>+AJ82</f>
        <v>0</v>
      </c>
      <c r="E78" s="25">
        <f t="shared" si="38"/>
        <v>4568.43</v>
      </c>
      <c r="F78" s="25">
        <f t="shared" si="39"/>
        <v>0</v>
      </c>
      <c r="G78" s="25">
        <f t="shared" si="40"/>
        <v>0</v>
      </c>
      <c r="H78" s="25">
        <f t="shared" si="41"/>
        <v>0</v>
      </c>
      <c r="I78" s="25">
        <f t="shared" si="42"/>
        <v>0</v>
      </c>
      <c r="J78" s="25">
        <f t="shared" si="43"/>
        <v>0</v>
      </c>
      <c r="K78" s="25">
        <f t="shared" si="44"/>
        <v>0</v>
      </c>
      <c r="L78" s="25">
        <f t="shared" si="45"/>
        <v>0</v>
      </c>
      <c r="M78" s="25">
        <f t="shared" si="46"/>
        <v>0</v>
      </c>
      <c r="N78" s="25">
        <f t="shared" si="47"/>
        <v>508.17600000000004</v>
      </c>
      <c r="O78" s="25">
        <f t="shared" si="48"/>
        <v>58.91</v>
      </c>
      <c r="P78" s="25"/>
      <c r="Q78" s="25">
        <f>+'C&amp;A'!I79</f>
        <v>0</v>
      </c>
      <c r="R78" s="25">
        <f t="shared" si="49"/>
        <v>4514.674</v>
      </c>
      <c r="S78" s="25">
        <f t="shared" si="50"/>
        <v>5022.8500000000004</v>
      </c>
      <c r="T78" s="25">
        <f t="shared" si="51"/>
        <v>0</v>
      </c>
      <c r="U78" s="25">
        <f>+'C&amp;A'!E79*0.02</f>
        <v>10.2256</v>
      </c>
      <c r="V78" s="25">
        <f t="shared" si="52"/>
        <v>0</v>
      </c>
      <c r="W78" s="25">
        <f t="shared" si="53"/>
        <v>5033.0756000000001</v>
      </c>
      <c r="X78" s="25">
        <f t="shared" si="54"/>
        <v>805.29209600000002</v>
      </c>
      <c r="Y78" s="25">
        <f t="shared" si="55"/>
        <v>5838.3676960000003</v>
      </c>
      <c r="Z78" s="65">
        <f>+R78-'C&amp;A'!K79-SINDICATO!P79</f>
        <v>0</v>
      </c>
      <c r="AA78" s="68">
        <f>+'C&amp;A'!K79+'C&amp;A'!I79+'C&amp;A'!G79+SINDICATO!E79-SINDICATO!F79-SINDICATO!M79-SINDICATO!N79</f>
        <v>5022.8500000000004</v>
      </c>
      <c r="AB78" s="68">
        <f t="shared" si="56"/>
        <v>-10.225599999999758</v>
      </c>
      <c r="AC78" s="133" t="s">
        <v>382</v>
      </c>
      <c r="AD78" s="133" t="s">
        <v>469</v>
      </c>
      <c r="AE78" s="133" t="s">
        <v>31</v>
      </c>
      <c r="AF78" s="133" t="s">
        <v>149</v>
      </c>
      <c r="AG78" s="133" t="s">
        <v>191</v>
      </c>
      <c r="AH78" s="133"/>
      <c r="AI78" s="133"/>
      <c r="AJ78" s="133"/>
      <c r="AK78" s="157">
        <v>513.33000000000004</v>
      </c>
      <c r="AL78" s="133"/>
      <c r="AM78" s="157">
        <f t="shared" si="57"/>
        <v>513.33000000000004</v>
      </c>
      <c r="AN78" s="157">
        <f>513.33+4055.1</f>
        <v>4568.43</v>
      </c>
      <c r="AO78" s="157"/>
      <c r="AP78" s="157"/>
      <c r="AQ78" s="173"/>
      <c r="AR78" s="151">
        <f t="shared" si="62"/>
        <v>5081.76</v>
      </c>
      <c r="AS78" s="157"/>
      <c r="AT78" s="157">
        <v>58.91</v>
      </c>
      <c r="AU78" s="157">
        <v>0</v>
      </c>
      <c r="AV78" s="157"/>
      <c r="AW78" s="157"/>
      <c r="AX78" s="157"/>
      <c r="AY78" s="110"/>
      <c r="AZ78" s="110"/>
      <c r="BA78" s="133"/>
      <c r="BB78" s="133">
        <v>0</v>
      </c>
      <c r="BC78" s="151">
        <f t="shared" si="29"/>
        <v>5022.8500000000004</v>
      </c>
      <c r="BD78" s="110">
        <f t="shared" si="28"/>
        <v>508.17600000000004</v>
      </c>
      <c r="BE78" s="151">
        <f t="shared" si="58"/>
        <v>4514.674</v>
      </c>
      <c r="BF78" s="110">
        <f t="shared" si="59"/>
        <v>0</v>
      </c>
      <c r="BG78" s="110">
        <v>10.23</v>
      </c>
      <c r="BH78" s="151">
        <f t="shared" si="60"/>
        <v>5091.99</v>
      </c>
      <c r="BI78" s="113"/>
      <c r="BJ78" s="114"/>
      <c r="BK78" s="113"/>
      <c r="BL78" s="113"/>
      <c r="BM78" s="114"/>
      <c r="BN78" s="113"/>
      <c r="BO78" s="113"/>
      <c r="BP78" s="113"/>
      <c r="BQ78" s="113"/>
      <c r="BR78" s="113"/>
      <c r="BS78" s="113"/>
      <c r="BT78" s="113"/>
      <c r="BU78" s="174">
        <v>-0.08</v>
      </c>
      <c r="BV78" s="59">
        <v>0</v>
      </c>
      <c r="BW78" s="59">
        <v>-66.12</v>
      </c>
      <c r="BX78" s="59">
        <v>577.4</v>
      </c>
    </row>
    <row r="79" spans="1:76" s="24" customFormat="1" hidden="1" x14ac:dyDescent="0.25">
      <c r="A79" s="23" t="s">
        <v>151</v>
      </c>
      <c r="B79" s="24" t="s">
        <v>152</v>
      </c>
      <c r="C79" s="25">
        <f t="shared" si="37"/>
        <v>543.20000000000005</v>
      </c>
      <c r="D79" s="25">
        <f>+AJ83</f>
        <v>0</v>
      </c>
      <c r="E79" s="25">
        <f t="shared" si="38"/>
        <v>1059.4000000000001</v>
      </c>
      <c r="F79" s="25">
        <f t="shared" si="39"/>
        <v>0</v>
      </c>
      <c r="G79" s="25">
        <f t="shared" si="40"/>
        <v>0</v>
      </c>
      <c r="H79" s="25">
        <f t="shared" si="41"/>
        <v>0</v>
      </c>
      <c r="I79" s="25">
        <f t="shared" si="42"/>
        <v>0</v>
      </c>
      <c r="J79" s="25">
        <f t="shared" si="43"/>
        <v>78.527400000000014</v>
      </c>
      <c r="K79" s="25">
        <f t="shared" si="44"/>
        <v>16.026000000000003</v>
      </c>
      <c r="L79" s="25">
        <f t="shared" si="45"/>
        <v>0</v>
      </c>
      <c r="M79" s="25">
        <f t="shared" si="46"/>
        <v>0</v>
      </c>
      <c r="N79" s="25">
        <f t="shared" si="47"/>
        <v>0</v>
      </c>
      <c r="O79" s="25">
        <f t="shared" si="48"/>
        <v>0</v>
      </c>
      <c r="P79" s="25"/>
      <c r="Q79" s="25">
        <f>+'C&amp;A'!I80</f>
        <v>0</v>
      </c>
      <c r="R79" s="25">
        <f t="shared" si="49"/>
        <v>1508.0466000000001</v>
      </c>
      <c r="S79" s="25">
        <f t="shared" si="50"/>
        <v>1602.6000000000001</v>
      </c>
      <c r="T79" s="25">
        <f t="shared" si="51"/>
        <v>160.26000000000002</v>
      </c>
      <c r="U79" s="25">
        <f>+'C&amp;A'!E80*0.02</f>
        <v>10.2256</v>
      </c>
      <c r="V79" s="25">
        <f t="shared" si="52"/>
        <v>78.527400000000014</v>
      </c>
      <c r="W79" s="25">
        <f t="shared" si="53"/>
        <v>1851.6130000000001</v>
      </c>
      <c r="X79" s="25">
        <f t="shared" si="54"/>
        <v>296.25808000000001</v>
      </c>
      <c r="Y79" s="25">
        <f t="shared" si="55"/>
        <v>2147.8710799999999</v>
      </c>
      <c r="Z79" s="65">
        <f>+R79-'C&amp;A'!K80-SINDICATO!P80</f>
        <v>0</v>
      </c>
      <c r="AA79" s="68">
        <f>+'C&amp;A'!K80+'C&amp;A'!I80+'C&amp;A'!G80+SINDICATO!E80-SINDICATO!F80-SINDICATO!M80-SINDICATO!N80</f>
        <v>1602.6000000000004</v>
      </c>
      <c r="AB79" s="68">
        <f t="shared" si="56"/>
        <v>-249.01299999999969</v>
      </c>
      <c r="AC79" s="133" t="s">
        <v>386</v>
      </c>
      <c r="AD79" s="133" t="s">
        <v>470</v>
      </c>
      <c r="AE79" s="133"/>
      <c r="AF79" s="133" t="s">
        <v>265</v>
      </c>
      <c r="AG79" s="133" t="s">
        <v>471</v>
      </c>
      <c r="AH79" s="133"/>
      <c r="AI79" s="133"/>
      <c r="AJ79" s="133"/>
      <c r="AK79" s="157">
        <v>543.20000000000005</v>
      </c>
      <c r="AL79" s="133"/>
      <c r="AM79" s="157">
        <f t="shared" si="57"/>
        <v>543.20000000000005</v>
      </c>
      <c r="AN79" s="157">
        <v>1059.4000000000001</v>
      </c>
      <c r="AO79" s="157"/>
      <c r="AP79" s="157"/>
      <c r="AQ79" s="173"/>
      <c r="AR79" s="151">
        <f t="shared" si="62"/>
        <v>1602.6000000000001</v>
      </c>
      <c r="AS79" s="157"/>
      <c r="AT79" s="157"/>
      <c r="AU79" s="157">
        <v>0</v>
      </c>
      <c r="AV79" s="157">
        <f>AR79*4.9%</f>
        <v>78.527400000000014</v>
      </c>
      <c r="AW79" s="157">
        <f>AR79*1%</f>
        <v>16.026000000000003</v>
      </c>
      <c r="AX79" s="157"/>
      <c r="AY79" s="110"/>
      <c r="AZ79" s="110"/>
      <c r="BA79" s="133"/>
      <c r="BB79" s="133">
        <v>0</v>
      </c>
      <c r="BC79" s="151">
        <f t="shared" si="29"/>
        <v>1508.0466000000001</v>
      </c>
      <c r="BD79" s="110">
        <f t="shared" ref="BD79:BD85" si="63">IF(AR79&gt;4500,AR79*0.1,0)</f>
        <v>0</v>
      </c>
      <c r="BE79" s="151">
        <f t="shared" si="58"/>
        <v>1508.0466000000001</v>
      </c>
      <c r="BF79" s="110">
        <f t="shared" si="59"/>
        <v>160.26000000000002</v>
      </c>
      <c r="BG79" s="110">
        <v>10.23</v>
      </c>
      <c r="BH79" s="151">
        <f t="shared" si="60"/>
        <v>1773.0900000000001</v>
      </c>
      <c r="BI79" s="113"/>
      <c r="BJ79" s="114"/>
      <c r="BK79" s="113"/>
      <c r="BL79" s="113"/>
      <c r="BM79" s="114"/>
      <c r="BN79" s="113"/>
      <c r="BO79" s="113"/>
      <c r="BP79" s="113"/>
      <c r="BQ79" s="113"/>
      <c r="BR79" s="113"/>
      <c r="BS79" s="113"/>
      <c r="BT79" s="113"/>
      <c r="BU79" s="59">
        <v>0.15</v>
      </c>
      <c r="BV79" s="59">
        <v>0</v>
      </c>
      <c r="BW79" s="59">
        <v>-66.12</v>
      </c>
      <c r="BX79" s="59">
        <v>577.4</v>
      </c>
    </row>
    <row r="80" spans="1:76" s="24" customFormat="1" hidden="1" x14ac:dyDescent="0.25">
      <c r="A80" s="23" t="s">
        <v>153</v>
      </c>
      <c r="B80" s="24" t="s">
        <v>154</v>
      </c>
      <c r="C80" s="25">
        <f t="shared" si="37"/>
        <v>608.16</v>
      </c>
      <c r="D80" s="25">
        <f>+AJ84</f>
        <v>0</v>
      </c>
      <c r="E80" s="25">
        <f t="shared" si="38"/>
        <v>1325.5</v>
      </c>
      <c r="F80" s="25">
        <f t="shared" si="39"/>
        <v>0</v>
      </c>
      <c r="G80" s="25">
        <f t="shared" si="40"/>
        <v>0</v>
      </c>
      <c r="H80" s="25">
        <f t="shared" si="41"/>
        <v>201.24</v>
      </c>
      <c r="I80" s="25">
        <f t="shared" si="42"/>
        <v>200</v>
      </c>
      <c r="J80" s="25">
        <f t="shared" si="43"/>
        <v>94.749339999999989</v>
      </c>
      <c r="K80" s="25">
        <f t="shared" si="44"/>
        <v>19.336600000000001</v>
      </c>
      <c r="L80" s="25">
        <f t="shared" si="45"/>
        <v>257.64</v>
      </c>
      <c r="M80" s="25">
        <f t="shared" si="46"/>
        <v>0</v>
      </c>
      <c r="N80" s="25">
        <f t="shared" si="47"/>
        <v>0</v>
      </c>
      <c r="O80" s="25">
        <f t="shared" si="48"/>
        <v>0</v>
      </c>
      <c r="P80" s="25"/>
      <c r="Q80" s="25">
        <f>+'C&amp;A'!I81</f>
        <v>0</v>
      </c>
      <c r="R80" s="25">
        <f t="shared" si="49"/>
        <v>1160.6940599999998</v>
      </c>
      <c r="S80" s="25">
        <f t="shared" si="50"/>
        <v>1732.4199999999998</v>
      </c>
      <c r="T80" s="25">
        <f t="shared" si="51"/>
        <v>193.36599999999999</v>
      </c>
      <c r="U80" s="25">
        <f>+'C&amp;A'!E81*0.02</f>
        <v>10.2256</v>
      </c>
      <c r="V80" s="25">
        <f t="shared" si="52"/>
        <v>94.749339999999989</v>
      </c>
      <c r="W80" s="25">
        <f t="shared" si="53"/>
        <v>2030.7609399999999</v>
      </c>
      <c r="X80" s="25">
        <f t="shared" si="54"/>
        <v>324.92175040000001</v>
      </c>
      <c r="Y80" s="25">
        <f t="shared" si="55"/>
        <v>2355.6826904</v>
      </c>
      <c r="Z80" s="65">
        <f>+R80-'C&amp;A'!K81-SINDICATO!P81</f>
        <v>0</v>
      </c>
      <c r="AA80" s="68">
        <f>+'C&amp;A'!K81+'C&amp;A'!I81+'C&amp;A'!G81+SINDICATO!E81-SINDICATO!F81-SINDICATO!M81-SINDICATO!N81</f>
        <v>1732.4199999999998</v>
      </c>
      <c r="AB80" s="68">
        <f t="shared" si="56"/>
        <v>-298.34094000000005</v>
      </c>
      <c r="AC80" s="133" t="s">
        <v>386</v>
      </c>
      <c r="AD80" s="133" t="s">
        <v>472</v>
      </c>
      <c r="AE80" s="133"/>
      <c r="AF80" s="133" t="s">
        <v>153</v>
      </c>
      <c r="AG80" s="133" t="s">
        <v>192</v>
      </c>
      <c r="AH80" s="133"/>
      <c r="AI80" s="133"/>
      <c r="AJ80" s="133"/>
      <c r="AK80" s="157">
        <v>608.16</v>
      </c>
      <c r="AL80" s="133"/>
      <c r="AM80" s="157">
        <f t="shared" si="57"/>
        <v>608.16</v>
      </c>
      <c r="AN80" s="157">
        <v>1325.5</v>
      </c>
      <c r="AO80" s="157"/>
      <c r="AP80" s="157"/>
      <c r="AQ80" s="173"/>
      <c r="AR80" s="151">
        <f t="shared" si="62"/>
        <v>1933.6599999999999</v>
      </c>
      <c r="AS80" s="157"/>
      <c r="AT80" s="157"/>
      <c r="AU80" s="157">
        <v>200</v>
      </c>
      <c r="AV80" s="157">
        <f>AR80*4.9%</f>
        <v>94.749339999999989</v>
      </c>
      <c r="AW80" s="157">
        <f>AR80*1%</f>
        <v>19.336600000000001</v>
      </c>
      <c r="AX80" s="157">
        <v>257.64</v>
      </c>
      <c r="AY80" s="110"/>
      <c r="AZ80" s="110"/>
      <c r="BA80" s="133">
        <v>201.24</v>
      </c>
      <c r="BB80" s="133">
        <v>0</v>
      </c>
      <c r="BC80" s="151">
        <f t="shared" si="29"/>
        <v>1160.6940599999998</v>
      </c>
      <c r="BD80" s="110">
        <f t="shared" si="63"/>
        <v>0</v>
      </c>
      <c r="BE80" s="151">
        <f t="shared" si="58"/>
        <v>1160.6940599999998</v>
      </c>
      <c r="BF80" s="110">
        <f t="shared" si="59"/>
        <v>193.36599999999999</v>
      </c>
      <c r="BG80" s="110">
        <v>10.23</v>
      </c>
      <c r="BH80" s="151">
        <f t="shared" si="60"/>
        <v>2137.2559999999999</v>
      </c>
      <c r="BI80" s="113"/>
      <c r="BJ80" s="114"/>
      <c r="BK80" s="113"/>
      <c r="BL80" s="113"/>
      <c r="BM80" s="114"/>
      <c r="BN80" s="113"/>
      <c r="BO80" s="113"/>
      <c r="BP80" s="113"/>
      <c r="BQ80" s="113"/>
      <c r="BR80" s="113"/>
      <c r="BS80" s="113"/>
      <c r="BT80" s="113"/>
      <c r="BU80" s="174">
        <v>-0.05</v>
      </c>
      <c r="BV80" s="59">
        <v>0</v>
      </c>
      <c r="BW80" s="59">
        <v>-65.92</v>
      </c>
      <c r="BX80" s="59">
        <v>577.20000000000005</v>
      </c>
    </row>
    <row r="81" spans="1:76" s="24" customFormat="1" hidden="1" x14ac:dyDescent="0.25">
      <c r="A81" s="23" t="s">
        <v>321</v>
      </c>
      <c r="B81" s="24" t="s">
        <v>155</v>
      </c>
      <c r="C81" s="25">
        <f t="shared" si="37"/>
        <v>739.23</v>
      </c>
      <c r="D81" s="25">
        <f>+AJ85</f>
        <v>0</v>
      </c>
      <c r="E81" s="25">
        <f t="shared" si="38"/>
        <v>1998.23</v>
      </c>
      <c r="F81" s="25">
        <f t="shared" si="39"/>
        <v>0</v>
      </c>
      <c r="G81" s="25">
        <f t="shared" si="40"/>
        <v>0</v>
      </c>
      <c r="H81" s="25">
        <f t="shared" si="41"/>
        <v>0</v>
      </c>
      <c r="I81" s="25">
        <f t="shared" si="42"/>
        <v>150</v>
      </c>
      <c r="J81" s="25">
        <f t="shared" si="43"/>
        <v>0</v>
      </c>
      <c r="K81" s="25">
        <f t="shared" si="44"/>
        <v>0</v>
      </c>
      <c r="L81" s="25">
        <f t="shared" si="45"/>
        <v>0</v>
      </c>
      <c r="M81" s="25">
        <f t="shared" si="46"/>
        <v>0</v>
      </c>
      <c r="N81" s="25">
        <f t="shared" si="47"/>
        <v>0</v>
      </c>
      <c r="O81" s="25">
        <f t="shared" si="48"/>
        <v>0</v>
      </c>
      <c r="P81" s="25"/>
      <c r="Q81" s="25">
        <f>+'C&amp;A'!I82</f>
        <v>0</v>
      </c>
      <c r="R81" s="25">
        <f t="shared" si="49"/>
        <v>2587.46</v>
      </c>
      <c r="S81" s="25">
        <f t="shared" si="50"/>
        <v>2737.46</v>
      </c>
      <c r="T81" s="25">
        <f t="shared" si="51"/>
        <v>273.74600000000004</v>
      </c>
      <c r="U81" s="25">
        <f>+'C&amp;A'!E82*0.02</f>
        <v>10.2256</v>
      </c>
      <c r="V81" s="25">
        <f t="shared" si="52"/>
        <v>0</v>
      </c>
      <c r="W81" s="25">
        <f t="shared" si="53"/>
        <v>3021.4316000000003</v>
      </c>
      <c r="X81" s="25">
        <f t="shared" si="54"/>
        <v>483.42905600000006</v>
      </c>
      <c r="Y81" s="25">
        <f t="shared" si="55"/>
        <v>3504.8606560000003</v>
      </c>
      <c r="Z81" s="65">
        <f>+R81-'C&amp;A'!K82-SINDICATO!P82</f>
        <v>0</v>
      </c>
      <c r="AA81" s="68">
        <f>+'C&amp;A'!K82+'C&amp;A'!I82+'C&amp;A'!G82+SINDICATO!E82-SINDICATO!F82-SINDICATO!M82-SINDICATO!N82</f>
        <v>2737.46</v>
      </c>
      <c r="AB81" s="68">
        <f t="shared" si="56"/>
        <v>-283.97160000000031</v>
      </c>
      <c r="AC81" s="133" t="s">
        <v>388</v>
      </c>
      <c r="AD81" s="133" t="s">
        <v>473</v>
      </c>
      <c r="AE81" s="133"/>
      <c r="AF81" s="133" t="s">
        <v>183</v>
      </c>
      <c r="AG81" s="133" t="s">
        <v>184</v>
      </c>
      <c r="AH81" s="133"/>
      <c r="AI81" s="133"/>
      <c r="AJ81" s="133"/>
      <c r="AK81" s="157">
        <v>739.23</v>
      </c>
      <c r="AL81" s="133"/>
      <c r="AM81" s="157">
        <f t="shared" si="57"/>
        <v>739.23</v>
      </c>
      <c r="AN81" s="157">
        <v>1998.23</v>
      </c>
      <c r="AO81" s="157"/>
      <c r="AP81" s="157"/>
      <c r="AQ81" s="173"/>
      <c r="AR81" s="151">
        <f t="shared" si="62"/>
        <v>2737.46</v>
      </c>
      <c r="AS81" s="157"/>
      <c r="AT81" s="157"/>
      <c r="AU81" s="157">
        <v>150</v>
      </c>
      <c r="AV81" s="157"/>
      <c r="AW81" s="157"/>
      <c r="AX81" s="157"/>
      <c r="AY81" s="110"/>
      <c r="AZ81" s="110"/>
      <c r="BA81" s="133"/>
      <c r="BB81" s="133">
        <v>0</v>
      </c>
      <c r="BC81" s="151">
        <f t="shared" si="29"/>
        <v>2587.46</v>
      </c>
      <c r="BD81" s="110">
        <f t="shared" si="63"/>
        <v>0</v>
      </c>
      <c r="BE81" s="151">
        <f t="shared" si="58"/>
        <v>2587.46</v>
      </c>
      <c r="BF81" s="110">
        <f t="shared" si="59"/>
        <v>273.74600000000004</v>
      </c>
      <c r="BG81" s="110">
        <v>10.23</v>
      </c>
      <c r="BH81" s="151">
        <f t="shared" si="60"/>
        <v>3021.4360000000001</v>
      </c>
      <c r="BI81" s="113"/>
      <c r="BJ81" s="114"/>
      <c r="BK81" s="113"/>
      <c r="BL81" s="113"/>
      <c r="BM81" s="114"/>
      <c r="BN81" s="113"/>
      <c r="BO81" s="113"/>
      <c r="BP81" s="113"/>
      <c r="BQ81" s="113"/>
      <c r="BR81" s="113"/>
      <c r="BS81" s="113"/>
      <c r="BT81" s="113"/>
      <c r="BU81" s="174">
        <v>-0.05</v>
      </c>
      <c r="BV81" s="59">
        <v>0</v>
      </c>
      <c r="BW81" s="59">
        <v>-66.12</v>
      </c>
      <c r="BX81" s="59">
        <v>577.4</v>
      </c>
    </row>
    <row r="82" spans="1:76" s="24" customFormat="1" x14ac:dyDescent="0.25">
      <c r="A82" s="23" t="s">
        <v>156</v>
      </c>
      <c r="B82" s="24" t="s">
        <v>157</v>
      </c>
      <c r="C82" s="25">
        <f t="shared" si="37"/>
        <v>1400</v>
      </c>
      <c r="D82" s="25">
        <f>+AJ40</f>
        <v>0</v>
      </c>
      <c r="E82" s="25">
        <f t="shared" si="38"/>
        <v>0</v>
      </c>
      <c r="F82" s="25">
        <f t="shared" si="39"/>
        <v>0</v>
      </c>
      <c r="G82" s="25">
        <f t="shared" si="40"/>
        <v>0</v>
      </c>
      <c r="H82" s="25">
        <f t="shared" si="41"/>
        <v>0</v>
      </c>
      <c r="I82" s="25">
        <f t="shared" si="42"/>
        <v>0</v>
      </c>
      <c r="J82" s="25">
        <f t="shared" si="43"/>
        <v>0</v>
      </c>
      <c r="K82" s="25">
        <f t="shared" si="44"/>
        <v>0</v>
      </c>
      <c r="L82" s="25">
        <f t="shared" si="45"/>
        <v>0</v>
      </c>
      <c r="M82" s="25">
        <f t="shared" si="46"/>
        <v>427.03</v>
      </c>
      <c r="N82" s="25">
        <f t="shared" si="47"/>
        <v>0</v>
      </c>
      <c r="O82" s="25">
        <f t="shared" si="48"/>
        <v>0</v>
      </c>
      <c r="P82" s="25"/>
      <c r="Q82" s="25">
        <f>+'C&amp;A'!I83</f>
        <v>0</v>
      </c>
      <c r="R82" s="25">
        <f t="shared" si="49"/>
        <v>972.97</v>
      </c>
      <c r="S82" s="25">
        <f t="shared" si="50"/>
        <v>1400</v>
      </c>
      <c r="T82" s="25">
        <f t="shared" si="51"/>
        <v>140</v>
      </c>
      <c r="U82" s="25">
        <f>+'C&amp;A'!E83*0.02</f>
        <v>10.2256</v>
      </c>
      <c r="V82" s="25">
        <f t="shared" si="52"/>
        <v>0</v>
      </c>
      <c r="W82" s="25">
        <f t="shared" si="53"/>
        <v>1550.2256</v>
      </c>
      <c r="X82" s="25">
        <f t="shared" si="54"/>
        <v>248.03609600000001</v>
      </c>
      <c r="Y82" s="25">
        <f t="shared" si="55"/>
        <v>1798.261696</v>
      </c>
      <c r="Z82" s="65">
        <f>+R82-'C&amp;A'!K83-SINDICATO!P83</f>
        <v>0</v>
      </c>
      <c r="AA82" s="68">
        <f>+'C&amp;A'!K83+'C&amp;A'!I83+'C&amp;A'!G83+SINDICATO!E83-SINDICATO!F83-SINDICATO!M83-SINDICATO!N83</f>
        <v>1400</v>
      </c>
      <c r="AB82" s="68">
        <f t="shared" si="56"/>
        <v>-150.22559999999999</v>
      </c>
      <c r="AC82" s="133" t="s">
        <v>436</v>
      </c>
      <c r="AD82" s="133" t="s">
        <v>474</v>
      </c>
      <c r="AE82" s="133"/>
      <c r="AF82" s="133" t="s">
        <v>156</v>
      </c>
      <c r="AG82" s="133" t="s">
        <v>187</v>
      </c>
      <c r="AH82" s="133"/>
      <c r="AI82" s="133"/>
      <c r="AJ82" s="133"/>
      <c r="AK82" s="157">
        <v>1400</v>
      </c>
      <c r="AL82" s="133"/>
      <c r="AM82" s="157">
        <f t="shared" si="57"/>
        <v>1400</v>
      </c>
      <c r="AN82" s="157"/>
      <c r="AO82" s="157"/>
      <c r="AP82" s="157"/>
      <c r="AQ82" s="173"/>
      <c r="AR82" s="151">
        <f t="shared" si="62"/>
        <v>1400</v>
      </c>
      <c r="AS82" s="157"/>
      <c r="AT82" s="157"/>
      <c r="AU82" s="157">
        <v>0</v>
      </c>
      <c r="AV82" s="157"/>
      <c r="AW82" s="157"/>
      <c r="AX82" s="157"/>
      <c r="AY82" s="110"/>
      <c r="AZ82" s="110"/>
      <c r="BA82" s="133"/>
      <c r="BB82" s="133">
        <f>355.65+71.38</f>
        <v>427.03</v>
      </c>
      <c r="BC82" s="151">
        <f t="shared" ref="BC82:BC85" si="64">+AR82-SUM(AS82:BB82)</f>
        <v>972.97</v>
      </c>
      <c r="BD82" s="110">
        <f t="shared" si="63"/>
        <v>0</v>
      </c>
      <c r="BE82" s="151">
        <f t="shared" si="58"/>
        <v>972.97</v>
      </c>
      <c r="BF82" s="110">
        <f t="shared" si="59"/>
        <v>140</v>
      </c>
      <c r="BG82" s="110">
        <v>10.23</v>
      </c>
      <c r="BH82" s="151">
        <f t="shared" si="60"/>
        <v>1550.23</v>
      </c>
      <c r="BI82" s="113"/>
      <c r="BJ82" s="114"/>
      <c r="BK82" s="113"/>
      <c r="BL82" s="113"/>
      <c r="BM82" s="114"/>
      <c r="BN82" s="113"/>
      <c r="BO82" s="113"/>
      <c r="BP82" s="113"/>
      <c r="BQ82" s="113"/>
      <c r="BR82" s="113"/>
      <c r="BS82" s="113"/>
      <c r="BT82" s="113"/>
      <c r="BU82" s="59">
        <v>0.15</v>
      </c>
      <c r="BV82" s="59">
        <v>0</v>
      </c>
      <c r="BW82" s="59">
        <v>-66.12</v>
      </c>
      <c r="BX82" s="59">
        <v>577.4</v>
      </c>
    </row>
    <row r="83" spans="1:76" s="24" customFormat="1" x14ac:dyDescent="0.25">
      <c r="A83" s="55" t="s">
        <v>517</v>
      </c>
      <c r="B83" s="56" t="s">
        <v>518</v>
      </c>
      <c r="C83" s="25">
        <f t="shared" si="37"/>
        <v>1400</v>
      </c>
      <c r="D83" s="25">
        <f>+AJ71</f>
        <v>0</v>
      </c>
      <c r="E83" s="25">
        <f t="shared" si="38"/>
        <v>0</v>
      </c>
      <c r="F83" s="25">
        <f t="shared" si="39"/>
        <v>0</v>
      </c>
      <c r="G83" s="25">
        <f t="shared" si="40"/>
        <v>0</v>
      </c>
      <c r="H83" s="25">
        <f t="shared" si="41"/>
        <v>0</v>
      </c>
      <c r="I83" s="25">
        <f t="shared" si="42"/>
        <v>0</v>
      </c>
      <c r="J83" s="25">
        <f t="shared" si="43"/>
        <v>0</v>
      </c>
      <c r="K83" s="25">
        <f t="shared" si="44"/>
        <v>0</v>
      </c>
      <c r="L83" s="25">
        <f t="shared" si="45"/>
        <v>0</v>
      </c>
      <c r="M83" s="25">
        <f t="shared" si="46"/>
        <v>0</v>
      </c>
      <c r="N83" s="25">
        <f t="shared" si="47"/>
        <v>0</v>
      </c>
      <c r="O83" s="25">
        <f t="shared" si="48"/>
        <v>0</v>
      </c>
      <c r="P83" s="25"/>
      <c r="Q83" s="25">
        <f>+'C&amp;A'!I84</f>
        <v>0</v>
      </c>
      <c r="R83" s="25">
        <f t="shared" si="49"/>
        <v>1400</v>
      </c>
      <c r="S83" s="25">
        <f t="shared" si="50"/>
        <v>1400</v>
      </c>
      <c r="T83" s="25">
        <f t="shared" si="51"/>
        <v>140</v>
      </c>
      <c r="U83" s="25">
        <f>+'C&amp;A'!E84*0.02</f>
        <v>10.2256</v>
      </c>
      <c r="V83" s="25">
        <f t="shared" si="52"/>
        <v>0</v>
      </c>
      <c r="W83" s="25">
        <f t="shared" si="53"/>
        <v>1550.2256</v>
      </c>
      <c r="X83" s="25">
        <f t="shared" si="54"/>
        <v>248.03609600000001</v>
      </c>
      <c r="Y83" s="25">
        <f t="shared" si="55"/>
        <v>1798.261696</v>
      </c>
      <c r="Z83" s="65">
        <f>+R83-'C&amp;A'!K84-SINDICATO!P84</f>
        <v>0</v>
      </c>
      <c r="AA83" s="68">
        <f>+'C&amp;A'!K84+'C&amp;A'!I84+'C&amp;A'!G84+SINDICATO!E84-SINDICATO!F84-SINDICATO!M84-SINDICATO!N84</f>
        <v>1400</v>
      </c>
      <c r="AB83" s="68">
        <f t="shared" si="56"/>
        <v>-150.22559999999999</v>
      </c>
      <c r="AC83" s="133" t="s">
        <v>436</v>
      </c>
      <c r="AD83" s="133" t="s">
        <v>640</v>
      </c>
      <c r="AE83" s="133"/>
      <c r="AF83" s="133"/>
      <c r="AG83" s="133" t="s">
        <v>187</v>
      </c>
      <c r="AH83" s="175">
        <v>42410</v>
      </c>
      <c r="AI83" s="133"/>
      <c r="AJ83" s="133"/>
      <c r="AK83" s="157">
        <v>1400</v>
      </c>
      <c r="AL83" s="133"/>
      <c r="AM83" s="157">
        <f t="shared" si="57"/>
        <v>1400</v>
      </c>
      <c r="AN83" s="157"/>
      <c r="AO83" s="157"/>
      <c r="AP83" s="157"/>
      <c r="AQ83" s="173"/>
      <c r="AR83" s="151">
        <f t="shared" si="62"/>
        <v>1400</v>
      </c>
      <c r="AS83" s="157"/>
      <c r="AT83" s="157"/>
      <c r="AU83" s="157"/>
      <c r="AV83" s="157"/>
      <c r="AW83" s="157"/>
      <c r="AX83" s="157"/>
      <c r="AY83" s="110"/>
      <c r="AZ83" s="110"/>
      <c r="BA83" s="133"/>
      <c r="BB83" s="133"/>
      <c r="BC83" s="151">
        <f t="shared" si="64"/>
        <v>1400</v>
      </c>
      <c r="BD83" s="110">
        <f t="shared" si="63"/>
        <v>0</v>
      </c>
      <c r="BE83" s="151">
        <f t="shared" si="58"/>
        <v>1400</v>
      </c>
      <c r="BF83" s="110">
        <f t="shared" si="59"/>
        <v>140</v>
      </c>
      <c r="BG83" s="110">
        <v>10.23</v>
      </c>
      <c r="BH83" s="151">
        <f t="shared" si="60"/>
        <v>1550.23</v>
      </c>
      <c r="BI83" s="113"/>
      <c r="BJ83" s="114"/>
      <c r="BK83" s="113"/>
      <c r="BL83" s="113"/>
      <c r="BM83" s="114"/>
      <c r="BN83" s="113"/>
      <c r="BO83" s="113"/>
      <c r="BP83" s="113"/>
      <c r="BQ83" s="113"/>
      <c r="BR83" s="113"/>
      <c r="BS83" s="113"/>
      <c r="BT83" s="113"/>
      <c r="BU83" s="174">
        <v>-0.05</v>
      </c>
      <c r="BV83" s="59">
        <v>0</v>
      </c>
      <c r="BW83" s="59">
        <v>-66.12</v>
      </c>
      <c r="BX83" s="59">
        <v>577.4</v>
      </c>
    </row>
    <row r="84" spans="1:76" s="24" customFormat="1" hidden="1" x14ac:dyDescent="0.25">
      <c r="A84" s="23" t="s">
        <v>158</v>
      </c>
      <c r="B84" s="24" t="s">
        <v>159</v>
      </c>
      <c r="C84" s="25">
        <f t="shared" si="37"/>
        <v>739.23</v>
      </c>
      <c r="D84" s="25">
        <f t="shared" ref="D84:D90" si="65">+AJ86</f>
        <v>0</v>
      </c>
      <c r="E84" s="25">
        <f t="shared" si="38"/>
        <v>774.3</v>
      </c>
      <c r="F84" s="25">
        <f t="shared" si="39"/>
        <v>0</v>
      </c>
      <c r="G84" s="25">
        <f t="shared" si="40"/>
        <v>0</v>
      </c>
      <c r="H84" s="25">
        <f t="shared" si="41"/>
        <v>0</v>
      </c>
      <c r="I84" s="25">
        <f t="shared" si="42"/>
        <v>0</v>
      </c>
      <c r="J84" s="25">
        <f t="shared" si="43"/>
        <v>0</v>
      </c>
      <c r="K84" s="25">
        <f t="shared" si="44"/>
        <v>0</v>
      </c>
      <c r="L84" s="25">
        <f t="shared" si="45"/>
        <v>0</v>
      </c>
      <c r="M84" s="25">
        <f t="shared" si="46"/>
        <v>0</v>
      </c>
      <c r="N84" s="25">
        <f t="shared" si="47"/>
        <v>0</v>
      </c>
      <c r="O84" s="25">
        <f t="shared" si="48"/>
        <v>0</v>
      </c>
      <c r="P84" s="25"/>
      <c r="Q84" s="25">
        <f>+'C&amp;A'!I85</f>
        <v>0</v>
      </c>
      <c r="R84" s="25">
        <f t="shared" si="49"/>
        <v>1513.53</v>
      </c>
      <c r="S84" s="25">
        <f t="shared" si="50"/>
        <v>1513.53</v>
      </c>
      <c r="T84" s="25">
        <f t="shared" si="51"/>
        <v>151.35300000000001</v>
      </c>
      <c r="U84" s="25">
        <f>+'C&amp;A'!E85*0.02</f>
        <v>10.2256</v>
      </c>
      <c r="V84" s="25">
        <f t="shared" si="52"/>
        <v>0</v>
      </c>
      <c r="W84" s="25">
        <f t="shared" si="53"/>
        <v>1675.1086</v>
      </c>
      <c r="X84" s="25">
        <f t="shared" si="54"/>
        <v>268.01737600000001</v>
      </c>
      <c r="Y84" s="25">
        <f t="shared" si="55"/>
        <v>1943.125976</v>
      </c>
      <c r="Z84" s="65">
        <f>+R84-'C&amp;A'!K85-SINDICATO!P85</f>
        <v>0</v>
      </c>
      <c r="AA84" s="68">
        <f>+'C&amp;A'!K85+'C&amp;A'!I85+'C&amp;A'!G85+SINDICATO!E85-SINDICATO!F85-SINDICATO!M85-SINDICATO!N85</f>
        <v>1513.53</v>
      </c>
      <c r="AB84" s="68">
        <f t="shared" si="56"/>
        <v>-161.57860000000005</v>
      </c>
      <c r="AC84" s="133" t="s">
        <v>388</v>
      </c>
      <c r="AD84" s="133" t="s">
        <v>641</v>
      </c>
      <c r="AE84" s="133"/>
      <c r="AF84" s="133" t="s">
        <v>158</v>
      </c>
      <c r="AG84" s="133" t="s">
        <v>178</v>
      </c>
      <c r="AH84" s="133"/>
      <c r="AI84" s="133"/>
      <c r="AJ84" s="133"/>
      <c r="AK84" s="157">
        <v>739.23</v>
      </c>
      <c r="AL84" s="133"/>
      <c r="AM84" s="157">
        <f t="shared" si="57"/>
        <v>739.23</v>
      </c>
      <c r="AN84" s="157">
        <v>774.3</v>
      </c>
      <c r="AO84" s="157"/>
      <c r="AP84" s="157"/>
      <c r="AQ84" s="173"/>
      <c r="AR84" s="151">
        <f t="shared" si="62"/>
        <v>1513.53</v>
      </c>
      <c r="AS84" s="157"/>
      <c r="AT84" s="157"/>
      <c r="AU84" s="157">
        <v>0</v>
      </c>
      <c r="AV84" s="157"/>
      <c r="AW84" s="157"/>
      <c r="AX84" s="157"/>
      <c r="AY84" s="110"/>
      <c r="AZ84" s="110"/>
      <c r="BA84" s="133"/>
      <c r="BB84" s="133">
        <v>0</v>
      </c>
      <c r="BC84" s="151">
        <f t="shared" si="64"/>
        <v>1513.53</v>
      </c>
      <c r="BD84" s="110">
        <f t="shared" si="63"/>
        <v>0</v>
      </c>
      <c r="BE84" s="151">
        <f t="shared" si="58"/>
        <v>1513.53</v>
      </c>
      <c r="BF84" s="110">
        <f t="shared" si="59"/>
        <v>151.35300000000001</v>
      </c>
      <c r="BG84" s="110">
        <v>10.23</v>
      </c>
      <c r="BH84" s="151">
        <f t="shared" si="60"/>
        <v>1675.1130000000001</v>
      </c>
      <c r="BI84" s="113"/>
      <c r="BJ84" s="114"/>
      <c r="BK84" s="113"/>
      <c r="BL84" s="113"/>
      <c r="BM84" s="114"/>
      <c r="BN84" s="113"/>
      <c r="BO84" s="113"/>
      <c r="BP84" s="113"/>
      <c r="BQ84" s="113"/>
      <c r="BR84" s="113"/>
      <c r="BS84" s="113"/>
      <c r="BT84" s="113"/>
      <c r="BU84" s="174">
        <v>-0.05</v>
      </c>
      <c r="BV84" s="59">
        <v>0</v>
      </c>
      <c r="BW84" s="59">
        <v>-65.92</v>
      </c>
      <c r="BX84" s="59">
        <v>577.20000000000005</v>
      </c>
    </row>
    <row r="85" spans="1:76" s="24" customFormat="1" hidden="1" x14ac:dyDescent="0.25">
      <c r="A85" s="23" t="s">
        <v>160</v>
      </c>
      <c r="B85" s="24" t="s">
        <v>161</v>
      </c>
      <c r="C85" s="25">
        <f t="shared" si="37"/>
        <v>739.23</v>
      </c>
      <c r="D85" s="25">
        <f t="shared" si="65"/>
        <v>0</v>
      </c>
      <c r="E85" s="25">
        <f t="shared" si="38"/>
        <v>1939.52</v>
      </c>
      <c r="F85" s="25">
        <f t="shared" si="39"/>
        <v>0</v>
      </c>
      <c r="G85" s="25">
        <f t="shared" si="40"/>
        <v>0</v>
      </c>
      <c r="H85" s="25">
        <f t="shared" si="41"/>
        <v>0</v>
      </c>
      <c r="I85" s="25">
        <f t="shared" si="42"/>
        <v>0</v>
      </c>
      <c r="J85" s="25">
        <f t="shared" si="43"/>
        <v>0</v>
      </c>
      <c r="K85" s="25">
        <f t="shared" si="44"/>
        <v>0</v>
      </c>
      <c r="L85" s="25">
        <f t="shared" si="45"/>
        <v>0</v>
      </c>
      <c r="M85" s="25">
        <f t="shared" si="46"/>
        <v>0</v>
      </c>
      <c r="N85" s="25">
        <f t="shared" si="47"/>
        <v>0</v>
      </c>
      <c r="O85" s="25">
        <f t="shared" si="48"/>
        <v>0</v>
      </c>
      <c r="P85" s="25"/>
      <c r="Q85" s="25">
        <f>+'C&amp;A'!I86</f>
        <v>0</v>
      </c>
      <c r="R85" s="25">
        <f t="shared" si="49"/>
        <v>2678.75</v>
      </c>
      <c r="S85" s="25">
        <f t="shared" si="50"/>
        <v>2678.75</v>
      </c>
      <c r="T85" s="25">
        <f t="shared" si="51"/>
        <v>267.875</v>
      </c>
      <c r="U85" s="25">
        <f>+'C&amp;A'!E86*0.02</f>
        <v>10.2256</v>
      </c>
      <c r="V85" s="25">
        <f t="shared" si="52"/>
        <v>0</v>
      </c>
      <c r="W85" s="25">
        <f t="shared" si="53"/>
        <v>2956.8506000000002</v>
      </c>
      <c r="X85" s="25">
        <f t="shared" si="54"/>
        <v>473.09609600000005</v>
      </c>
      <c r="Y85" s="25">
        <f t="shared" si="55"/>
        <v>3429.9466960000004</v>
      </c>
      <c r="Z85" s="65">
        <f>+R85-'C&amp;A'!K86-SINDICATO!P86</f>
        <v>0</v>
      </c>
      <c r="AA85" s="68">
        <f>+'C&amp;A'!K86+'C&amp;A'!I86+'C&amp;A'!G86+SINDICATO!E86-SINDICATO!F86-SINDICATO!M86-SINDICATO!N86</f>
        <v>2678.75</v>
      </c>
      <c r="AB85" s="68">
        <f t="shared" si="56"/>
        <v>-278.10060000000021</v>
      </c>
      <c r="AC85" s="133" t="s">
        <v>388</v>
      </c>
      <c r="AD85" s="133" t="s">
        <v>477</v>
      </c>
      <c r="AE85" s="133"/>
      <c r="AF85" s="133" t="s">
        <v>160</v>
      </c>
      <c r="AG85" s="133" t="s">
        <v>185</v>
      </c>
      <c r="AH85" s="133"/>
      <c r="AI85" s="133"/>
      <c r="AJ85" s="133"/>
      <c r="AK85" s="157">
        <v>739.23</v>
      </c>
      <c r="AL85" s="133"/>
      <c r="AM85" s="157">
        <f t="shared" si="57"/>
        <v>739.23</v>
      </c>
      <c r="AN85" s="157">
        <v>1939.52</v>
      </c>
      <c r="AO85" s="157"/>
      <c r="AP85" s="157"/>
      <c r="AQ85" s="173"/>
      <c r="AR85" s="151">
        <f t="shared" si="62"/>
        <v>2678.75</v>
      </c>
      <c r="AS85" s="157"/>
      <c r="AT85" s="157"/>
      <c r="AU85" s="157">
        <v>0</v>
      </c>
      <c r="AV85" s="157"/>
      <c r="AW85" s="157"/>
      <c r="AX85" s="157"/>
      <c r="AY85" s="110"/>
      <c r="AZ85" s="110"/>
      <c r="BA85" s="133"/>
      <c r="BB85" s="133">
        <v>0</v>
      </c>
      <c r="BC85" s="151">
        <f t="shared" si="64"/>
        <v>2678.75</v>
      </c>
      <c r="BD85" s="110">
        <f t="shared" si="63"/>
        <v>0</v>
      </c>
      <c r="BE85" s="151">
        <f t="shared" si="58"/>
        <v>2678.75</v>
      </c>
      <c r="BF85" s="110">
        <f t="shared" si="59"/>
        <v>267.875</v>
      </c>
      <c r="BG85" s="110">
        <v>10.23</v>
      </c>
      <c r="BH85" s="151">
        <f t="shared" si="60"/>
        <v>2956.855</v>
      </c>
      <c r="BI85" s="113"/>
      <c r="BJ85" s="114"/>
      <c r="BK85" s="113"/>
      <c r="BL85" s="113"/>
      <c r="BM85" s="114"/>
      <c r="BN85" s="113"/>
      <c r="BO85" s="113"/>
      <c r="BP85" s="113"/>
      <c r="BQ85" s="113"/>
      <c r="BR85" s="113"/>
      <c r="BS85" s="113"/>
      <c r="BT85" s="113"/>
      <c r="BU85" s="174">
        <v>-0.05</v>
      </c>
      <c r="BV85" s="59">
        <v>0</v>
      </c>
      <c r="BW85" s="59">
        <v>-65.92</v>
      </c>
      <c r="BX85" s="59">
        <v>577.20000000000005</v>
      </c>
    </row>
    <row r="86" spans="1:76" s="24" customFormat="1" hidden="1" x14ac:dyDescent="0.25">
      <c r="A86" s="23" t="s">
        <v>162</v>
      </c>
      <c r="B86" s="24" t="s">
        <v>163</v>
      </c>
      <c r="C86" s="25">
        <f t="shared" si="37"/>
        <v>1166.26</v>
      </c>
      <c r="D86" s="25">
        <f t="shared" si="65"/>
        <v>0</v>
      </c>
      <c r="E86" s="25">
        <f t="shared" si="38"/>
        <v>2280.46</v>
      </c>
      <c r="F86" s="25">
        <f t="shared" si="39"/>
        <v>0</v>
      </c>
      <c r="G86" s="25">
        <f t="shared" si="40"/>
        <v>0</v>
      </c>
      <c r="H86" s="25">
        <f t="shared" si="41"/>
        <v>0</v>
      </c>
      <c r="I86" s="25">
        <f t="shared" si="42"/>
        <v>0</v>
      </c>
      <c r="J86" s="25">
        <f t="shared" si="43"/>
        <v>0</v>
      </c>
      <c r="K86" s="25">
        <f t="shared" si="44"/>
        <v>0</v>
      </c>
      <c r="L86" s="25">
        <f t="shared" si="45"/>
        <v>0</v>
      </c>
      <c r="M86" s="25">
        <f t="shared" si="46"/>
        <v>0</v>
      </c>
      <c r="N86" s="25">
        <f t="shared" si="47"/>
        <v>0</v>
      </c>
      <c r="O86" s="25">
        <f t="shared" si="48"/>
        <v>0</v>
      </c>
      <c r="P86" s="25"/>
      <c r="Q86" s="25">
        <f>+'C&amp;A'!I87</f>
        <v>0</v>
      </c>
      <c r="R86" s="25">
        <f t="shared" si="49"/>
        <v>3446.7200000000003</v>
      </c>
      <c r="S86" s="25">
        <f t="shared" si="50"/>
        <v>3446.7200000000003</v>
      </c>
      <c r="T86" s="25">
        <f t="shared" si="51"/>
        <v>344.67200000000003</v>
      </c>
      <c r="U86" s="25">
        <f>+'C&amp;A'!E87*0.02</f>
        <v>10.2256</v>
      </c>
      <c r="V86" s="25">
        <f t="shared" si="52"/>
        <v>0</v>
      </c>
      <c r="W86" s="25">
        <f t="shared" si="53"/>
        <v>3801.6176000000005</v>
      </c>
      <c r="X86" s="25">
        <f t="shared" si="54"/>
        <v>608.25881600000014</v>
      </c>
      <c r="Y86" s="25">
        <f t="shared" si="55"/>
        <v>4409.876416000001</v>
      </c>
      <c r="Z86" s="65">
        <f>+R86-'C&amp;A'!K87-SINDICATO!P87</f>
        <v>0</v>
      </c>
      <c r="AA86" s="68">
        <f>+'C&amp;A'!K87+'C&amp;A'!I87+'C&amp;A'!G87+SINDICATO!E87-SINDICATO!F87-SINDICATO!M87-SINDICATO!N87</f>
        <v>3446.7200000000003</v>
      </c>
      <c r="AB86" s="68">
        <f t="shared" si="56"/>
        <v>-354.89760000000024</v>
      </c>
      <c r="AC86" s="133" t="s">
        <v>380</v>
      </c>
      <c r="AD86" s="133" t="s">
        <v>486</v>
      </c>
      <c r="AE86" s="133"/>
      <c r="AF86" s="176"/>
      <c r="AG86" s="133" t="s">
        <v>487</v>
      </c>
      <c r="AH86" s="133"/>
      <c r="AI86" s="133"/>
      <c r="AJ86" s="133"/>
      <c r="AK86" s="157">
        <v>1166.26</v>
      </c>
      <c r="AL86" s="133"/>
      <c r="AM86" s="157">
        <f t="shared" ref="AM86:AM92" si="66">+AK86+AL86</f>
        <v>1166.26</v>
      </c>
      <c r="AN86" s="157">
        <v>2280.46</v>
      </c>
      <c r="AO86" s="157"/>
      <c r="AP86" s="157"/>
      <c r="AQ86" s="173"/>
      <c r="AR86" s="151">
        <f t="shared" ref="AR86:AR92" si="67">SUM(AM86:AP86)-AQ86</f>
        <v>3446.7200000000003</v>
      </c>
      <c r="AS86" s="157"/>
      <c r="AT86" s="157"/>
      <c r="AU86" s="157"/>
      <c r="AV86" s="157"/>
      <c r="AW86" s="157"/>
      <c r="AX86" s="157"/>
      <c r="AY86" s="110"/>
      <c r="AZ86" s="110"/>
      <c r="BA86" s="133"/>
      <c r="BB86" s="133">
        <v>0</v>
      </c>
      <c r="BC86" s="151">
        <f t="shared" ref="BC86:BC92" si="68">+AR86-SUM(AS86:BB86)</f>
        <v>3446.7200000000003</v>
      </c>
      <c r="BD86" s="110">
        <f t="shared" ref="BD86:BD92" si="69">IF(AR86&gt;4500,AR86*0.1,0)</f>
        <v>0</v>
      </c>
      <c r="BE86" s="151">
        <f t="shared" ref="BE86:BE92" si="70">+BC86-BD86</f>
        <v>3446.7200000000003</v>
      </c>
      <c r="BF86" s="110">
        <f t="shared" ref="BF86:BF92" si="71">IF(AR86&lt;4500,AR86*0.1,0)</f>
        <v>344.67200000000003</v>
      </c>
      <c r="BG86" s="110">
        <v>10.23</v>
      </c>
      <c r="BH86" s="151">
        <f t="shared" ref="BH86:BH92" si="72">+AR86+BF86+BG86</f>
        <v>3801.6220000000003</v>
      </c>
      <c r="BI86" s="113"/>
      <c r="BJ86" s="114"/>
      <c r="BK86" s="113"/>
      <c r="BL86" s="113"/>
      <c r="BM86" s="114"/>
      <c r="BN86" s="113"/>
      <c r="BO86" s="113"/>
      <c r="BP86" s="113"/>
      <c r="BQ86" s="113"/>
      <c r="BR86" s="113"/>
      <c r="BS86" s="113"/>
      <c r="BT86" s="113"/>
      <c r="BU86" s="59">
        <v>0.15</v>
      </c>
      <c r="BV86" s="59">
        <v>0</v>
      </c>
      <c r="BW86" s="59">
        <v>-66.12</v>
      </c>
      <c r="BX86" s="59">
        <v>577.4</v>
      </c>
    </row>
    <row r="87" spans="1:76" s="24" customFormat="1" hidden="1" x14ac:dyDescent="0.25">
      <c r="A87" s="23" t="s">
        <v>164</v>
      </c>
      <c r="B87" s="24" t="s">
        <v>165</v>
      </c>
      <c r="C87" s="25">
        <f t="shared" si="37"/>
        <v>1166.6600000000001</v>
      </c>
      <c r="D87" s="25">
        <f t="shared" si="65"/>
        <v>0</v>
      </c>
      <c r="E87" s="25">
        <f t="shared" si="38"/>
        <v>639.69000000000005</v>
      </c>
      <c r="F87" s="25">
        <f t="shared" si="39"/>
        <v>0</v>
      </c>
      <c r="G87" s="25">
        <f t="shared" si="40"/>
        <v>0</v>
      </c>
      <c r="H87" s="25">
        <f t="shared" si="41"/>
        <v>0</v>
      </c>
      <c r="I87" s="25">
        <f t="shared" si="42"/>
        <v>0</v>
      </c>
      <c r="J87" s="25">
        <f t="shared" si="43"/>
        <v>0</v>
      </c>
      <c r="K87" s="25">
        <f t="shared" si="44"/>
        <v>0</v>
      </c>
      <c r="L87" s="25">
        <f t="shared" si="45"/>
        <v>0</v>
      </c>
      <c r="M87" s="25">
        <f t="shared" si="46"/>
        <v>1049.17</v>
      </c>
      <c r="N87" s="25">
        <f t="shared" si="47"/>
        <v>0</v>
      </c>
      <c r="O87" s="25">
        <f t="shared" si="48"/>
        <v>0</v>
      </c>
      <c r="P87" s="25"/>
      <c r="Q87" s="25">
        <f>+'C&amp;A'!I88</f>
        <v>0</v>
      </c>
      <c r="R87" s="25">
        <f t="shared" si="49"/>
        <v>757.18000000000006</v>
      </c>
      <c r="S87" s="25">
        <f t="shared" si="50"/>
        <v>1806.3500000000001</v>
      </c>
      <c r="T87" s="25">
        <f t="shared" si="51"/>
        <v>180.63500000000002</v>
      </c>
      <c r="U87" s="25">
        <f>+'C&amp;A'!E88*0.02</f>
        <v>10.2256</v>
      </c>
      <c r="V87" s="25">
        <f t="shared" si="52"/>
        <v>0</v>
      </c>
      <c r="W87" s="25">
        <f t="shared" si="53"/>
        <v>1997.2106000000001</v>
      </c>
      <c r="X87" s="25">
        <f t="shared" si="54"/>
        <v>319.553696</v>
      </c>
      <c r="Y87" s="25">
        <f t="shared" si="55"/>
        <v>2316.7642960000003</v>
      </c>
      <c r="Z87" s="65">
        <f>+R87-'C&amp;A'!K88-SINDICATO!P88</f>
        <v>0</v>
      </c>
      <c r="AA87" s="68">
        <f>+'C&amp;A'!K88+'C&amp;A'!I88+'C&amp;A'!G88+SINDICATO!E88-SINDICATO!F88-SINDICATO!M88-SINDICATO!N88</f>
        <v>1806.3500000000004</v>
      </c>
      <c r="AB87" s="68">
        <f t="shared" si="56"/>
        <v>-190.86059999999975</v>
      </c>
      <c r="AC87" s="133" t="s">
        <v>382</v>
      </c>
      <c r="AD87" s="133" t="s">
        <v>642</v>
      </c>
      <c r="AE87" s="133" t="s">
        <v>33</v>
      </c>
      <c r="AF87" s="133" t="s">
        <v>164</v>
      </c>
      <c r="AG87" s="133" t="s">
        <v>191</v>
      </c>
      <c r="AH87" s="133"/>
      <c r="AI87" s="133"/>
      <c r="AJ87" s="133"/>
      <c r="AK87" s="157">
        <v>513.33000000000004</v>
      </c>
      <c r="AL87" s="133">
        <v>653.33000000000004</v>
      </c>
      <c r="AM87" s="157">
        <f t="shared" si="66"/>
        <v>1166.6600000000001</v>
      </c>
      <c r="AN87" s="157">
        <v>639.69000000000005</v>
      </c>
      <c r="AO87" s="157"/>
      <c r="AP87" s="157"/>
      <c r="AQ87" s="173"/>
      <c r="AR87" s="151">
        <f t="shared" si="67"/>
        <v>1806.3500000000001</v>
      </c>
      <c r="AS87" s="157"/>
      <c r="AT87" s="157"/>
      <c r="AU87" s="157">
        <v>0</v>
      </c>
      <c r="AV87" s="157"/>
      <c r="AW87" s="157"/>
      <c r="AX87" s="157"/>
      <c r="AY87" s="110"/>
      <c r="AZ87" s="110"/>
      <c r="BA87" s="133"/>
      <c r="BB87" s="133">
        <f>488.83+560.34</f>
        <v>1049.17</v>
      </c>
      <c r="BC87" s="151">
        <f t="shared" si="68"/>
        <v>757.18000000000006</v>
      </c>
      <c r="BD87" s="110">
        <f t="shared" si="69"/>
        <v>0</v>
      </c>
      <c r="BE87" s="151">
        <f t="shared" si="70"/>
        <v>757.18000000000006</v>
      </c>
      <c r="BF87" s="110">
        <f t="shared" si="71"/>
        <v>180.63500000000002</v>
      </c>
      <c r="BG87" s="110">
        <v>10.23</v>
      </c>
      <c r="BH87" s="151">
        <f t="shared" si="72"/>
        <v>1997.2150000000001</v>
      </c>
      <c r="BI87" s="113"/>
      <c r="BJ87" s="114"/>
      <c r="BK87" s="113"/>
      <c r="BL87" s="113"/>
      <c r="BM87" s="114"/>
      <c r="BN87" s="113"/>
      <c r="BO87" s="113"/>
      <c r="BP87" s="113"/>
      <c r="BQ87" s="113"/>
      <c r="BR87" s="113"/>
      <c r="BS87" s="113"/>
      <c r="BT87" s="113"/>
      <c r="BU87" s="59">
        <v>0.15</v>
      </c>
      <c r="BV87" s="59">
        <v>0</v>
      </c>
      <c r="BW87" s="59">
        <v>-66.12</v>
      </c>
      <c r="BX87" s="59">
        <v>577.4</v>
      </c>
    </row>
    <row r="88" spans="1:76" s="24" customFormat="1" hidden="1" x14ac:dyDescent="0.25">
      <c r="A88" s="23" t="s">
        <v>166</v>
      </c>
      <c r="B88" s="24" t="s">
        <v>167</v>
      </c>
      <c r="C88" s="25">
        <f t="shared" si="37"/>
        <v>1166.67</v>
      </c>
      <c r="D88" s="25">
        <f t="shared" si="65"/>
        <v>0</v>
      </c>
      <c r="E88" s="25">
        <f t="shared" si="38"/>
        <v>2500</v>
      </c>
      <c r="F88" s="25">
        <f t="shared" si="39"/>
        <v>0</v>
      </c>
      <c r="G88" s="25">
        <f t="shared" si="40"/>
        <v>0</v>
      </c>
      <c r="H88" s="25">
        <f t="shared" si="41"/>
        <v>0</v>
      </c>
      <c r="I88" s="25">
        <f t="shared" si="42"/>
        <v>0</v>
      </c>
      <c r="J88" s="25">
        <f t="shared" si="43"/>
        <v>0</v>
      </c>
      <c r="K88" s="25">
        <f t="shared" si="44"/>
        <v>0</v>
      </c>
      <c r="L88" s="25">
        <f t="shared" si="45"/>
        <v>0</v>
      </c>
      <c r="M88" s="25">
        <f t="shared" si="46"/>
        <v>0</v>
      </c>
      <c r="N88" s="25">
        <f t="shared" si="47"/>
        <v>0</v>
      </c>
      <c r="O88" s="25">
        <f t="shared" si="48"/>
        <v>58.91</v>
      </c>
      <c r="P88" s="25"/>
      <c r="Q88" s="25">
        <f>+'C&amp;A'!I89</f>
        <v>0</v>
      </c>
      <c r="R88" s="25">
        <f t="shared" si="49"/>
        <v>3607.76</v>
      </c>
      <c r="S88" s="25">
        <f t="shared" si="50"/>
        <v>3607.76</v>
      </c>
      <c r="T88" s="25">
        <f t="shared" si="51"/>
        <v>366.66700000000003</v>
      </c>
      <c r="U88" s="25">
        <f>+'C&amp;A'!E89*0.02</f>
        <v>10.2256</v>
      </c>
      <c r="V88" s="25">
        <f t="shared" si="52"/>
        <v>0</v>
      </c>
      <c r="W88" s="25">
        <f t="shared" si="53"/>
        <v>3984.6526000000003</v>
      </c>
      <c r="X88" s="25">
        <f t="shared" si="54"/>
        <v>637.54441600000007</v>
      </c>
      <c r="Y88" s="25">
        <f t="shared" si="55"/>
        <v>4622.1970160000001</v>
      </c>
      <c r="Z88" s="65">
        <f>+R88-'C&amp;A'!K89-SINDICATO!P89</f>
        <v>0</v>
      </c>
      <c r="AA88" s="68">
        <f>+'C&amp;A'!K89+'C&amp;A'!I89+'C&amp;A'!G89+SINDICATO!E89-SINDICATO!F89-SINDICATO!M89-SINDICATO!N89</f>
        <v>3607.76</v>
      </c>
      <c r="AB88" s="68">
        <f t="shared" si="56"/>
        <v>-376.89260000000013</v>
      </c>
      <c r="AC88" s="133" t="s">
        <v>394</v>
      </c>
      <c r="AD88" s="133" t="s">
        <v>643</v>
      </c>
      <c r="AE88" s="133" t="s">
        <v>396</v>
      </c>
      <c r="AF88" s="133" t="s">
        <v>166</v>
      </c>
      <c r="AG88" s="133" t="s">
        <v>397</v>
      </c>
      <c r="AH88" s="133"/>
      <c r="AI88" s="133"/>
      <c r="AJ88" s="133"/>
      <c r="AK88" s="157">
        <v>1166.67</v>
      </c>
      <c r="AL88" s="133"/>
      <c r="AM88" s="157">
        <f t="shared" si="66"/>
        <v>1166.67</v>
      </c>
      <c r="AN88" s="157">
        <v>2500</v>
      </c>
      <c r="AO88" s="157"/>
      <c r="AP88" s="157"/>
      <c r="AQ88" s="173"/>
      <c r="AR88" s="151">
        <f t="shared" si="67"/>
        <v>3666.67</v>
      </c>
      <c r="AS88" s="157"/>
      <c r="AT88" s="157">
        <v>58.91</v>
      </c>
      <c r="AU88" s="157">
        <v>0</v>
      </c>
      <c r="AV88" s="157"/>
      <c r="AW88" s="157"/>
      <c r="AX88" s="157"/>
      <c r="AY88" s="110"/>
      <c r="AZ88" s="110"/>
      <c r="BA88" s="133"/>
      <c r="BB88" s="133">
        <v>0</v>
      </c>
      <c r="BC88" s="151">
        <f t="shared" si="68"/>
        <v>3607.76</v>
      </c>
      <c r="BD88" s="110">
        <f t="shared" si="69"/>
        <v>0</v>
      </c>
      <c r="BE88" s="151">
        <f t="shared" si="70"/>
        <v>3607.76</v>
      </c>
      <c r="BF88" s="110">
        <f t="shared" si="71"/>
        <v>366.66700000000003</v>
      </c>
      <c r="BG88" s="110">
        <v>10.23</v>
      </c>
      <c r="BH88" s="151">
        <f t="shared" si="72"/>
        <v>4043.567</v>
      </c>
      <c r="BI88" s="113"/>
      <c r="BJ88" s="114"/>
      <c r="BK88" s="113"/>
      <c r="BL88" s="113"/>
      <c r="BM88" s="114"/>
      <c r="BN88" s="113"/>
      <c r="BO88" s="113"/>
      <c r="BP88" s="113"/>
      <c r="BQ88" s="113"/>
      <c r="BR88" s="113"/>
      <c r="BS88" s="113"/>
      <c r="BT88" s="113"/>
      <c r="BU88" s="174">
        <v>-0.05</v>
      </c>
      <c r="BV88" s="59">
        <v>0</v>
      </c>
      <c r="BW88" s="59">
        <v>-65.92</v>
      </c>
      <c r="BX88" s="59">
        <v>577.20000000000005</v>
      </c>
    </row>
    <row r="89" spans="1:76" s="24" customFormat="1" hidden="1" x14ac:dyDescent="0.25">
      <c r="A89" s="23" t="s">
        <v>168</v>
      </c>
      <c r="B89" s="24" t="s">
        <v>169</v>
      </c>
      <c r="C89" s="25">
        <f t="shared" si="37"/>
        <v>608.16</v>
      </c>
      <c r="D89" s="25">
        <f t="shared" si="65"/>
        <v>0</v>
      </c>
      <c r="E89" s="25">
        <f t="shared" si="38"/>
        <v>3752</v>
      </c>
      <c r="F89" s="25">
        <f t="shared" si="39"/>
        <v>0</v>
      </c>
      <c r="G89" s="25">
        <f t="shared" si="40"/>
        <v>0</v>
      </c>
      <c r="H89" s="25">
        <f t="shared" si="41"/>
        <v>0</v>
      </c>
      <c r="I89" s="25">
        <f t="shared" si="42"/>
        <v>200</v>
      </c>
      <c r="J89" s="25">
        <f t="shared" si="43"/>
        <v>213.64784</v>
      </c>
      <c r="K89" s="25">
        <f t="shared" si="44"/>
        <v>43.601599999999998</v>
      </c>
      <c r="L89" s="25">
        <f t="shared" si="45"/>
        <v>0</v>
      </c>
      <c r="M89" s="25">
        <f t="shared" si="46"/>
        <v>0</v>
      </c>
      <c r="N89" s="25">
        <f t="shared" si="47"/>
        <v>0</v>
      </c>
      <c r="O89" s="25">
        <f t="shared" si="48"/>
        <v>0</v>
      </c>
      <c r="P89" s="25"/>
      <c r="Q89" s="25">
        <f>+'C&amp;A'!I90</f>
        <v>0</v>
      </c>
      <c r="R89" s="25">
        <f t="shared" si="49"/>
        <v>3902.9105599999998</v>
      </c>
      <c r="S89" s="25">
        <f t="shared" si="50"/>
        <v>4360.16</v>
      </c>
      <c r="T89" s="25">
        <f t="shared" si="51"/>
        <v>436.01600000000002</v>
      </c>
      <c r="U89" s="25">
        <f>+'C&amp;A'!E90*0.02</f>
        <v>10.2256</v>
      </c>
      <c r="V89" s="25">
        <f t="shared" si="52"/>
        <v>213.64784</v>
      </c>
      <c r="W89" s="25">
        <f t="shared" si="53"/>
        <v>5020.0494399999989</v>
      </c>
      <c r="X89" s="25">
        <f t="shared" si="54"/>
        <v>803.20791039999983</v>
      </c>
      <c r="Y89" s="25">
        <f t="shared" si="55"/>
        <v>5823.2573503999984</v>
      </c>
      <c r="Z89" s="65">
        <f>+R89-'C&amp;A'!K90-SINDICATO!P90</f>
        <v>0</v>
      </c>
      <c r="AA89" s="68">
        <f>+'C&amp;A'!K90+'C&amp;A'!I90+'C&amp;A'!G90+SINDICATO!E90-SINDICATO!F90-SINDICATO!M90-SINDICATO!N90</f>
        <v>4360.16</v>
      </c>
      <c r="AB89" s="68">
        <f t="shared" si="56"/>
        <v>-659.88943999999901</v>
      </c>
      <c r="AC89" s="133" t="s">
        <v>386</v>
      </c>
      <c r="AD89" s="133" t="s">
        <v>480</v>
      </c>
      <c r="AE89" s="133"/>
      <c r="AF89" s="133" t="s">
        <v>168</v>
      </c>
      <c r="AG89" s="133" t="s">
        <v>195</v>
      </c>
      <c r="AH89" s="133"/>
      <c r="AI89" s="133"/>
      <c r="AJ89" s="133"/>
      <c r="AK89" s="157">
        <v>608.16</v>
      </c>
      <c r="AL89" s="133"/>
      <c r="AM89" s="157">
        <f t="shared" si="66"/>
        <v>608.16</v>
      </c>
      <c r="AN89" s="157">
        <v>3752</v>
      </c>
      <c r="AO89" s="157"/>
      <c r="AP89" s="157"/>
      <c r="AQ89" s="173"/>
      <c r="AR89" s="151">
        <f t="shared" si="67"/>
        <v>4360.16</v>
      </c>
      <c r="AS89" s="157"/>
      <c r="AT89" s="157"/>
      <c r="AU89" s="157">
        <v>200</v>
      </c>
      <c r="AV89" s="157">
        <f>AR89*4.9%</f>
        <v>213.64784</v>
      </c>
      <c r="AW89" s="157">
        <f>AR89*1%</f>
        <v>43.601599999999998</v>
      </c>
      <c r="AX89" s="157"/>
      <c r="AY89" s="110"/>
      <c r="AZ89" s="110"/>
      <c r="BA89" s="133"/>
      <c r="BB89" s="133">
        <v>0</v>
      </c>
      <c r="BC89" s="151">
        <f t="shared" si="68"/>
        <v>3902.9105599999998</v>
      </c>
      <c r="BD89" s="110">
        <f t="shared" si="69"/>
        <v>0</v>
      </c>
      <c r="BE89" s="151">
        <f t="shared" si="70"/>
        <v>3902.9105599999998</v>
      </c>
      <c r="BF89" s="110">
        <f t="shared" si="71"/>
        <v>436.01600000000002</v>
      </c>
      <c r="BG89" s="110">
        <v>10.23</v>
      </c>
      <c r="BH89" s="151">
        <f t="shared" si="72"/>
        <v>4806.405999999999</v>
      </c>
      <c r="BI89" s="113"/>
      <c r="BJ89" s="114"/>
      <c r="BK89" s="113"/>
      <c r="BL89" s="113"/>
      <c r="BM89" s="114"/>
      <c r="BN89" s="113"/>
      <c r="BO89" s="113"/>
      <c r="BP89" s="113"/>
      <c r="BQ89" s="113"/>
      <c r="BR89" s="113"/>
      <c r="BS89" s="113"/>
      <c r="BT89" s="113"/>
      <c r="BU89" s="174">
        <v>-0.05</v>
      </c>
      <c r="BV89" s="59">
        <v>0</v>
      </c>
      <c r="BW89" s="59">
        <v>-66.12</v>
      </c>
      <c r="BX89" s="59">
        <v>577.4</v>
      </c>
    </row>
    <row r="90" spans="1:76" s="24" customFormat="1" hidden="1" x14ac:dyDescent="0.25">
      <c r="A90" s="23" t="s">
        <v>170</v>
      </c>
      <c r="B90" s="24" t="s">
        <v>171</v>
      </c>
      <c r="C90" s="25">
        <f t="shared" si="37"/>
        <v>1100</v>
      </c>
      <c r="D90" s="25">
        <f t="shared" si="65"/>
        <v>0</v>
      </c>
      <c r="E90" s="25">
        <f t="shared" si="38"/>
        <v>0</v>
      </c>
      <c r="F90" s="25">
        <f t="shared" si="39"/>
        <v>0</v>
      </c>
      <c r="G90" s="25">
        <f t="shared" si="40"/>
        <v>0</v>
      </c>
      <c r="H90" s="25">
        <f t="shared" si="41"/>
        <v>0</v>
      </c>
      <c r="I90" s="25">
        <f t="shared" si="42"/>
        <v>0</v>
      </c>
      <c r="J90" s="25">
        <f t="shared" si="43"/>
        <v>0</v>
      </c>
      <c r="K90" s="25">
        <f t="shared" si="44"/>
        <v>0</v>
      </c>
      <c r="L90" s="25">
        <f t="shared" si="45"/>
        <v>0</v>
      </c>
      <c r="M90" s="25">
        <f t="shared" si="46"/>
        <v>0</v>
      </c>
      <c r="N90" s="25">
        <f t="shared" si="47"/>
        <v>0</v>
      </c>
      <c r="O90" s="25">
        <f t="shared" si="48"/>
        <v>0</v>
      </c>
      <c r="P90" s="25"/>
      <c r="Q90" s="25">
        <f>+'C&amp;A'!I91</f>
        <v>0</v>
      </c>
      <c r="R90" s="25">
        <f t="shared" si="49"/>
        <v>1100</v>
      </c>
      <c r="S90" s="25">
        <f t="shared" si="50"/>
        <v>1100</v>
      </c>
      <c r="T90" s="25">
        <f t="shared" si="51"/>
        <v>110</v>
      </c>
      <c r="U90" s="25">
        <f>+'C&amp;A'!E91*0.02</f>
        <v>10.2256</v>
      </c>
      <c r="V90" s="25">
        <f t="shared" si="52"/>
        <v>0</v>
      </c>
      <c r="W90" s="25">
        <f t="shared" si="53"/>
        <v>1220.2256</v>
      </c>
      <c r="X90" s="25">
        <f t="shared" si="54"/>
        <v>195.236096</v>
      </c>
      <c r="Y90" s="25">
        <f t="shared" si="55"/>
        <v>1415.4616960000001</v>
      </c>
      <c r="Z90" s="65">
        <f>+R90-'C&amp;A'!K91-SINDICATO!P91</f>
        <v>0</v>
      </c>
      <c r="AA90" s="68">
        <f>+'C&amp;A'!K91+'C&amp;A'!I91+'C&amp;A'!G91+SINDICATO!E91-SINDICATO!F91-SINDICATO!M91-SINDICATO!N91</f>
        <v>1100</v>
      </c>
      <c r="AB90" s="68">
        <f t="shared" si="56"/>
        <v>-120.22559999999999</v>
      </c>
      <c r="AC90" s="133" t="s">
        <v>380</v>
      </c>
      <c r="AD90" s="133" t="s">
        <v>481</v>
      </c>
      <c r="AE90" s="133"/>
      <c r="AF90" s="133" t="s">
        <v>170</v>
      </c>
      <c r="AG90" s="133" t="s">
        <v>186</v>
      </c>
      <c r="AH90" s="133"/>
      <c r="AI90" s="133"/>
      <c r="AJ90" s="133"/>
      <c r="AK90" s="157">
        <v>1100</v>
      </c>
      <c r="AL90" s="133"/>
      <c r="AM90" s="157">
        <f t="shared" si="66"/>
        <v>1100</v>
      </c>
      <c r="AN90" s="157"/>
      <c r="AO90" s="157"/>
      <c r="AP90" s="157"/>
      <c r="AQ90" s="173"/>
      <c r="AR90" s="151">
        <f t="shared" si="67"/>
        <v>1100</v>
      </c>
      <c r="AS90" s="157"/>
      <c r="AT90" s="157"/>
      <c r="AU90" s="157">
        <v>0</v>
      </c>
      <c r="AV90" s="157"/>
      <c r="AW90" s="157"/>
      <c r="AX90" s="157"/>
      <c r="AY90" s="110"/>
      <c r="AZ90" s="110"/>
      <c r="BA90" s="133"/>
      <c r="BB90" s="133">
        <v>0</v>
      </c>
      <c r="BC90" s="151">
        <f t="shared" si="68"/>
        <v>1100</v>
      </c>
      <c r="BD90" s="110">
        <f t="shared" si="69"/>
        <v>0</v>
      </c>
      <c r="BE90" s="151">
        <f t="shared" si="70"/>
        <v>1100</v>
      </c>
      <c r="BF90" s="110">
        <f t="shared" si="71"/>
        <v>110</v>
      </c>
      <c r="BG90" s="110">
        <v>10.23</v>
      </c>
      <c r="BH90" s="151">
        <f t="shared" si="72"/>
        <v>1220.23</v>
      </c>
      <c r="BI90" s="113"/>
      <c r="BJ90" s="114"/>
      <c r="BK90" s="113"/>
      <c r="BL90" s="113"/>
      <c r="BM90" s="114"/>
      <c r="BN90" s="113"/>
      <c r="BO90" s="113"/>
      <c r="BP90" s="113"/>
      <c r="BQ90" s="113"/>
      <c r="BR90" s="113"/>
      <c r="BS90" s="113"/>
      <c r="BT90" s="113"/>
      <c r="BU90" s="59">
        <v>0.15</v>
      </c>
      <c r="BV90" s="59">
        <v>0</v>
      </c>
      <c r="BW90" s="59">
        <v>-66.12</v>
      </c>
      <c r="BX90" s="59">
        <v>577.4</v>
      </c>
    </row>
    <row r="91" spans="1:76" s="24" customFormat="1" hidden="1" x14ac:dyDescent="0.25">
      <c r="A91" s="23" t="s">
        <v>172</v>
      </c>
      <c r="B91" s="24" t="s">
        <v>173</v>
      </c>
      <c r="C91" s="25">
        <f t="shared" si="37"/>
        <v>1166.6600000000001</v>
      </c>
      <c r="D91" s="25">
        <f>+AJ109</f>
        <v>0</v>
      </c>
      <c r="E91" s="25">
        <f t="shared" si="38"/>
        <v>0</v>
      </c>
      <c r="F91" s="25">
        <f t="shared" si="39"/>
        <v>0</v>
      </c>
      <c r="G91" s="25">
        <f t="shared" si="40"/>
        <v>0</v>
      </c>
      <c r="H91" s="25">
        <f t="shared" si="41"/>
        <v>0</v>
      </c>
      <c r="I91" s="25">
        <f t="shared" si="42"/>
        <v>0</v>
      </c>
      <c r="J91" s="25">
        <f t="shared" si="43"/>
        <v>0</v>
      </c>
      <c r="K91" s="25">
        <f t="shared" si="44"/>
        <v>0</v>
      </c>
      <c r="L91" s="25">
        <f t="shared" si="45"/>
        <v>0</v>
      </c>
      <c r="M91" s="25">
        <f t="shared" si="46"/>
        <v>0</v>
      </c>
      <c r="N91" s="25">
        <f t="shared" si="47"/>
        <v>0</v>
      </c>
      <c r="O91" s="25">
        <f t="shared" si="48"/>
        <v>0</v>
      </c>
      <c r="P91" s="25"/>
      <c r="Q91" s="25">
        <f>+'C&amp;A'!I92</f>
        <v>0</v>
      </c>
      <c r="R91" s="25">
        <f t="shared" si="49"/>
        <v>1166.6600000000001</v>
      </c>
      <c r="S91" s="25">
        <f t="shared" si="50"/>
        <v>1166.6600000000001</v>
      </c>
      <c r="T91" s="25">
        <f t="shared" si="51"/>
        <v>116.66600000000001</v>
      </c>
      <c r="U91" s="25">
        <f>+'C&amp;A'!E92*0.02</f>
        <v>10.2256</v>
      </c>
      <c r="V91" s="25">
        <f t="shared" si="52"/>
        <v>0</v>
      </c>
      <c r="W91" s="25">
        <f t="shared" si="53"/>
        <v>1293.5516</v>
      </c>
      <c r="X91" s="25">
        <f t="shared" si="54"/>
        <v>206.968256</v>
      </c>
      <c r="Y91" s="25">
        <f t="shared" si="55"/>
        <v>1500.5198559999999</v>
      </c>
      <c r="Z91" s="65">
        <f>+R91-'C&amp;A'!K92-SINDICATO!P92</f>
        <v>0</v>
      </c>
      <c r="AA91" s="68">
        <f>+'C&amp;A'!K92+'C&amp;A'!I92+'C&amp;A'!G92+SINDICATO!E92-SINDICATO!F92-SINDICATO!M92-SINDICATO!N92</f>
        <v>1166.6600000000001</v>
      </c>
      <c r="AB91" s="68">
        <f t="shared" si="56"/>
        <v>-126.89159999999993</v>
      </c>
      <c r="AC91" s="133" t="s">
        <v>382</v>
      </c>
      <c r="AD91" s="133" t="s">
        <v>482</v>
      </c>
      <c r="AE91" s="133" t="s">
        <v>32</v>
      </c>
      <c r="AF91" s="133" t="s">
        <v>172</v>
      </c>
      <c r="AG91" s="133" t="s">
        <v>191</v>
      </c>
      <c r="AH91" s="133"/>
      <c r="AI91" s="133"/>
      <c r="AJ91" s="133"/>
      <c r="AK91" s="219">
        <v>513.33000000000004</v>
      </c>
      <c r="AL91" s="133">
        <v>653.33000000000004</v>
      </c>
      <c r="AM91" s="157">
        <f t="shared" si="66"/>
        <v>1166.6600000000001</v>
      </c>
      <c r="AN91" s="157"/>
      <c r="AO91" s="157"/>
      <c r="AP91" s="157"/>
      <c r="AQ91" s="173"/>
      <c r="AR91" s="151">
        <f t="shared" si="67"/>
        <v>1166.6600000000001</v>
      </c>
      <c r="AS91" s="157"/>
      <c r="AT91" s="157"/>
      <c r="AU91" s="157">
        <v>0</v>
      </c>
      <c r="AV91" s="157"/>
      <c r="AW91" s="157"/>
      <c r="AX91" s="157"/>
      <c r="AY91" s="110"/>
      <c r="AZ91" s="110"/>
      <c r="BA91" s="133"/>
      <c r="BB91" s="133">
        <v>0</v>
      </c>
      <c r="BC91" s="151">
        <f t="shared" si="68"/>
        <v>1166.6600000000001</v>
      </c>
      <c r="BD91" s="110">
        <f t="shared" si="69"/>
        <v>0</v>
      </c>
      <c r="BE91" s="151">
        <f t="shared" si="70"/>
        <v>1166.6600000000001</v>
      </c>
      <c r="BF91" s="110">
        <f t="shared" si="71"/>
        <v>116.66600000000001</v>
      </c>
      <c r="BG91" s="110">
        <v>10.23</v>
      </c>
      <c r="BH91" s="151">
        <f t="shared" si="72"/>
        <v>1293.556</v>
      </c>
      <c r="BI91" s="113"/>
      <c r="BJ91" s="114"/>
      <c r="BK91" s="113"/>
      <c r="BL91" s="113"/>
      <c r="BM91" s="114"/>
      <c r="BN91" s="113"/>
      <c r="BO91" s="113"/>
      <c r="BP91" s="113"/>
      <c r="BQ91" s="113"/>
      <c r="BR91" s="113"/>
      <c r="BS91" s="113"/>
      <c r="BT91" s="113"/>
      <c r="BU91" s="174">
        <v>-0.05</v>
      </c>
      <c r="BV91" s="59">
        <v>0</v>
      </c>
      <c r="BW91" s="59">
        <v>-66.12</v>
      </c>
      <c r="BX91" s="59">
        <v>577.4</v>
      </c>
    </row>
    <row r="92" spans="1:76" s="24" customFormat="1" hidden="1" x14ac:dyDescent="0.25">
      <c r="A92" s="23" t="s">
        <v>174</v>
      </c>
      <c r="B92" s="24" t="s">
        <v>175</v>
      </c>
      <c r="C92" s="25">
        <f t="shared" si="37"/>
        <v>739.23</v>
      </c>
      <c r="D92" s="25">
        <f>+AJ94</f>
        <v>0</v>
      </c>
      <c r="E92" s="25">
        <f t="shared" si="38"/>
        <v>2851</v>
      </c>
      <c r="F92" s="25">
        <f t="shared" si="39"/>
        <v>0</v>
      </c>
      <c r="G92" s="25">
        <f t="shared" si="40"/>
        <v>0</v>
      </c>
      <c r="H92" s="25">
        <f t="shared" si="41"/>
        <v>0</v>
      </c>
      <c r="I92" s="25">
        <f t="shared" si="42"/>
        <v>500</v>
      </c>
      <c r="J92" s="25">
        <f t="shared" si="43"/>
        <v>0</v>
      </c>
      <c r="K92" s="25">
        <f t="shared" si="44"/>
        <v>0</v>
      </c>
      <c r="L92" s="25">
        <f t="shared" si="45"/>
        <v>0</v>
      </c>
      <c r="M92" s="25">
        <f t="shared" si="46"/>
        <v>0</v>
      </c>
      <c r="N92" s="25">
        <f t="shared" si="47"/>
        <v>0</v>
      </c>
      <c r="O92" s="25">
        <f t="shared" si="48"/>
        <v>0</v>
      </c>
      <c r="P92" s="25"/>
      <c r="Q92" s="25">
        <f>+'C&amp;A'!I93</f>
        <v>0</v>
      </c>
      <c r="R92" s="25">
        <f>+C92+D92+E92-G92-H92-I92-J92-K92-L92-M92-N92-O92-P92+F92-Q92</f>
        <v>3090.23</v>
      </c>
      <c r="S92" s="25">
        <f>+C92+D92+E92+F92-G92-H92-O92-P92</f>
        <v>3590.23</v>
      </c>
      <c r="T92" s="25">
        <f t="shared" si="51"/>
        <v>359.02300000000002</v>
      </c>
      <c r="U92" s="25">
        <f>+'C&amp;A'!E93*0.02</f>
        <v>10.2256</v>
      </c>
      <c r="V92" s="25">
        <f t="shared" si="52"/>
        <v>0</v>
      </c>
      <c r="W92" s="25">
        <f t="shared" si="53"/>
        <v>3959.4786000000004</v>
      </c>
      <c r="X92" s="25">
        <f t="shared" si="54"/>
        <v>633.5165760000001</v>
      </c>
      <c r="Y92" s="25">
        <f t="shared" si="55"/>
        <v>4592.9951760000004</v>
      </c>
      <c r="Z92" s="65">
        <f>+R92-'C&amp;A'!K93-SINDICATO!P93</f>
        <v>0</v>
      </c>
      <c r="AA92" s="68">
        <f>+'C&amp;A'!K93+'C&amp;A'!I93+'C&amp;A'!G93+SINDICATO!E93-SINDICATO!F93-SINDICATO!M93-SINDICATO!N93</f>
        <v>3590.23</v>
      </c>
      <c r="AB92" s="68">
        <f t="shared" si="56"/>
        <v>-369.24860000000035</v>
      </c>
      <c r="AC92" s="133" t="s">
        <v>388</v>
      </c>
      <c r="AD92" s="133" t="s">
        <v>483</v>
      </c>
      <c r="AE92" s="133"/>
      <c r="AF92" s="133" t="s">
        <v>174</v>
      </c>
      <c r="AG92" s="133" t="s">
        <v>390</v>
      </c>
      <c r="AH92" s="133"/>
      <c r="AI92" s="133"/>
      <c r="AJ92" s="133"/>
      <c r="AK92" s="219">
        <v>739.23</v>
      </c>
      <c r="AL92" s="133"/>
      <c r="AM92" s="157">
        <f t="shared" si="66"/>
        <v>739.23</v>
      </c>
      <c r="AN92" s="157">
        <v>2851</v>
      </c>
      <c r="AO92" s="157"/>
      <c r="AP92" s="157"/>
      <c r="AQ92" s="173"/>
      <c r="AR92" s="151">
        <f t="shared" si="67"/>
        <v>3590.23</v>
      </c>
      <c r="AS92" s="157"/>
      <c r="AT92" s="157"/>
      <c r="AU92" s="157">
        <v>500</v>
      </c>
      <c r="AV92" s="157"/>
      <c r="AW92" s="157"/>
      <c r="AX92" s="157"/>
      <c r="AY92" s="110"/>
      <c r="AZ92" s="110"/>
      <c r="BA92" s="133"/>
      <c r="BB92" s="133">
        <v>0</v>
      </c>
      <c r="BC92" s="151">
        <f t="shared" si="68"/>
        <v>3090.23</v>
      </c>
      <c r="BD92" s="110">
        <f t="shared" si="69"/>
        <v>0</v>
      </c>
      <c r="BE92" s="151">
        <f t="shared" si="70"/>
        <v>3090.23</v>
      </c>
      <c r="BF92" s="110">
        <f t="shared" si="71"/>
        <v>359.02300000000002</v>
      </c>
      <c r="BG92" s="110">
        <v>10.23</v>
      </c>
      <c r="BH92" s="151">
        <f t="shared" si="72"/>
        <v>3959.4830000000002</v>
      </c>
      <c r="BI92" s="113"/>
      <c r="BJ92" s="114"/>
      <c r="BK92" s="113"/>
      <c r="BL92" s="113"/>
      <c r="BM92" s="114"/>
      <c r="BN92" s="113"/>
      <c r="BO92" s="113"/>
      <c r="BP92" s="113"/>
      <c r="BQ92" s="113"/>
      <c r="BR92" s="113"/>
      <c r="BS92" s="113"/>
      <c r="BT92" s="113"/>
      <c r="BU92" s="174">
        <v>-0.05</v>
      </c>
      <c r="BV92" s="59">
        <v>0</v>
      </c>
      <c r="BW92" s="59">
        <v>-65.92</v>
      </c>
      <c r="BX92" s="59">
        <v>577.20000000000005</v>
      </c>
    </row>
    <row r="93" spans="1:76" s="24" customFormat="1" x14ac:dyDescent="0.25">
      <c r="A93" s="23"/>
      <c r="AC93" s="113"/>
      <c r="AD93" s="113"/>
      <c r="AE93" s="113"/>
      <c r="AF93" s="113"/>
      <c r="AG93" s="113"/>
      <c r="AH93" s="113"/>
      <c r="AI93" s="113"/>
      <c r="AJ93" s="113"/>
      <c r="AK93" s="92"/>
      <c r="AL93" s="113"/>
      <c r="AM93" s="92"/>
      <c r="AN93" s="92"/>
      <c r="AO93" s="92"/>
      <c r="AP93" s="92"/>
      <c r="AQ93" s="92"/>
      <c r="AR93" s="246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246"/>
      <c r="BD93" s="92"/>
      <c r="BE93" s="246"/>
      <c r="BF93" s="92"/>
      <c r="BG93" s="92"/>
      <c r="BH93" s="246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</row>
    <row r="94" spans="1:76" x14ac:dyDescent="0.25">
      <c r="A94" s="23"/>
      <c r="B94" s="24"/>
      <c r="C94" s="25"/>
      <c r="D94" s="25"/>
      <c r="E94" s="25"/>
      <c r="F94" s="25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5"/>
      <c r="S94" s="25"/>
      <c r="T94" s="25"/>
      <c r="U94" s="25"/>
      <c r="V94" s="25"/>
      <c r="W94" s="25"/>
      <c r="X94" s="25"/>
      <c r="Y94" s="25"/>
      <c r="Z94" s="24"/>
      <c r="AA94" s="24"/>
      <c r="AB94" s="68"/>
      <c r="AC94" s="98"/>
      <c r="AD94" s="98"/>
      <c r="AE94" s="98"/>
      <c r="AF94" s="139"/>
      <c r="AG94" s="98"/>
      <c r="AH94" s="98"/>
      <c r="AI94" s="99"/>
      <c r="AJ94" s="99"/>
      <c r="AK94" s="101"/>
      <c r="AL94" s="99"/>
      <c r="AM94" s="101"/>
      <c r="AN94" s="101"/>
      <c r="AO94" s="102"/>
      <c r="AP94" s="102"/>
      <c r="AQ94" s="103"/>
      <c r="AR94" s="104"/>
      <c r="AS94" s="147"/>
      <c r="AT94" s="143"/>
      <c r="AU94" s="143"/>
      <c r="AV94" s="143"/>
      <c r="AW94" s="143"/>
      <c r="AX94" s="143"/>
      <c r="AY94" s="148"/>
      <c r="AZ94" s="148"/>
      <c r="BA94" s="143"/>
      <c r="BB94" s="108"/>
      <c r="BC94" s="104"/>
      <c r="BD94" s="110"/>
      <c r="BE94" s="104"/>
      <c r="BF94" s="111"/>
      <c r="BG94" s="110"/>
      <c r="BH94" s="112"/>
      <c r="BI94" s="113"/>
      <c r="BJ94" s="114">
        <f t="shared" ref="BJ94:BJ96" si="73">+BE94-BI94</f>
        <v>0</v>
      </c>
      <c r="BK94" s="113"/>
      <c r="BL94" s="113"/>
      <c r="BM94" s="113"/>
      <c r="BN94" s="113"/>
      <c r="BO94" s="113"/>
      <c r="BU94" s="59">
        <v>0.15</v>
      </c>
      <c r="BV94" s="59">
        <v>0</v>
      </c>
      <c r="BW94" s="59">
        <v>-66.12</v>
      </c>
      <c r="BX94" s="59">
        <v>577.4</v>
      </c>
    </row>
    <row r="95" spans="1:76" ht="15.75" thickBot="1" x14ac:dyDescent="0.3">
      <c r="A95" s="28" t="s">
        <v>18</v>
      </c>
      <c r="B95" s="27" t="s">
        <v>19</v>
      </c>
      <c r="C95" s="29">
        <f>SUM(C9:C94)</f>
        <v>73736.400000000081</v>
      </c>
      <c r="D95" s="29">
        <f t="shared" ref="D95:Y95" si="74">SUM(D9:D94)</f>
        <v>320.85142857142853</v>
      </c>
      <c r="E95" s="29">
        <f t="shared" si="74"/>
        <v>261382.26</v>
      </c>
      <c r="F95" s="29">
        <f t="shared" si="74"/>
        <v>2000.0028571428572</v>
      </c>
      <c r="G95" s="29">
        <f t="shared" si="74"/>
        <v>0</v>
      </c>
      <c r="H95" s="29">
        <f t="shared" si="74"/>
        <v>406.94</v>
      </c>
      <c r="I95" s="29">
        <f t="shared" si="74"/>
        <v>4828.2170000000006</v>
      </c>
      <c r="J95" s="29">
        <f t="shared" si="74"/>
        <v>1976.21606</v>
      </c>
      <c r="K95" s="29">
        <f t="shared" si="74"/>
        <v>406.86949999999996</v>
      </c>
      <c r="L95" s="29">
        <f t="shared" si="74"/>
        <v>879.38</v>
      </c>
      <c r="M95" s="29">
        <f t="shared" si="74"/>
        <v>7279.3525000000009</v>
      </c>
      <c r="N95" s="29">
        <f t="shared" si="74"/>
        <v>20983.65</v>
      </c>
      <c r="O95" s="29">
        <f t="shared" si="74"/>
        <v>686.28999999999974</v>
      </c>
      <c r="P95" s="29">
        <f t="shared" si="74"/>
        <v>399.99857142857138</v>
      </c>
      <c r="Q95" s="29">
        <f>SUM(Q9:Q94)</f>
        <v>335.5</v>
      </c>
      <c r="R95" s="29">
        <f t="shared" si="74"/>
        <v>299257.10065428575</v>
      </c>
      <c r="S95" s="29">
        <f t="shared" ref="S95" si="75">SUM(S9:S94)</f>
        <v>335946.28571428556</v>
      </c>
      <c r="T95" s="29">
        <f t="shared" ref="T95" si="76">SUM(T9:T94)</f>
        <v>12478.650999999993</v>
      </c>
      <c r="U95" s="29">
        <f t="shared" si="74"/>
        <v>767.74179999999922</v>
      </c>
      <c r="V95" s="29">
        <f t="shared" si="74"/>
        <v>1976.21606</v>
      </c>
      <c r="W95" s="29">
        <f>SUM(W9:W94)</f>
        <v>351168.89457428566</v>
      </c>
      <c r="X95" s="29">
        <f t="shared" si="74"/>
        <v>56187.023131885733</v>
      </c>
      <c r="Y95" s="29">
        <f t="shared" si="74"/>
        <v>407355.9177061714</v>
      </c>
      <c r="Z95" s="29"/>
      <c r="AA95" s="29"/>
      <c r="AB95" s="68"/>
      <c r="AC95" s="145"/>
      <c r="AD95" s="98"/>
      <c r="AE95" s="98"/>
      <c r="AF95" s="99"/>
      <c r="AG95" s="98"/>
      <c r="AH95" s="98"/>
      <c r="AI95" s="98"/>
      <c r="AJ95" s="98"/>
      <c r="AK95" s="101"/>
      <c r="AL95" s="98"/>
      <c r="AM95" s="101"/>
      <c r="AN95" s="101"/>
      <c r="AO95" s="101"/>
      <c r="AP95" s="101"/>
      <c r="AQ95" s="103"/>
      <c r="AR95" s="104"/>
      <c r="AS95" s="147"/>
      <c r="AT95" s="143"/>
      <c r="AU95" s="143"/>
      <c r="AV95" s="143"/>
      <c r="AW95" s="143"/>
      <c r="AX95" s="143"/>
      <c r="AY95" s="148"/>
      <c r="AZ95" s="148"/>
      <c r="BA95" s="143"/>
      <c r="BB95" s="146"/>
      <c r="BC95" s="104"/>
      <c r="BD95" s="110"/>
      <c r="BE95" s="104"/>
      <c r="BF95" s="111"/>
      <c r="BG95" s="110"/>
      <c r="BH95" s="112"/>
      <c r="BI95" s="113"/>
      <c r="BJ95" s="114">
        <f t="shared" si="73"/>
        <v>0</v>
      </c>
      <c r="BK95" s="113"/>
      <c r="BL95" s="113"/>
      <c r="BM95" s="113"/>
      <c r="BN95" s="113"/>
      <c r="BO95" s="113"/>
      <c r="BU95" s="174">
        <v>-0.05</v>
      </c>
      <c r="BV95" s="59">
        <v>0</v>
      </c>
      <c r="BW95" s="59">
        <v>-66.12</v>
      </c>
      <c r="BX95" s="59">
        <v>577.4</v>
      </c>
    </row>
    <row r="96" spans="1:76" ht="15.75" thickTop="1" x14ac:dyDescent="0.25">
      <c r="A96" s="23"/>
      <c r="B96" s="24"/>
      <c r="C96" s="24"/>
      <c r="D96" s="24"/>
      <c r="E96" s="24"/>
      <c r="F96" s="24"/>
      <c r="G96" s="24"/>
      <c r="H96" s="24"/>
      <c r="I96" s="268" t="s">
        <v>527</v>
      </c>
      <c r="J96" s="268"/>
      <c r="K96" s="268"/>
      <c r="L96" s="268"/>
      <c r="M96" s="24"/>
      <c r="N96" s="24"/>
      <c r="O96" s="24"/>
      <c r="P96" s="24"/>
      <c r="Q96" s="24"/>
      <c r="R96" s="249">
        <f>+'C&amp;A'!K95+SINDICATO!P100</f>
        <v>299515.85065428575</v>
      </c>
      <c r="S96" s="249">
        <f>+'C&amp;A'!K95+SINDICATO!E100</f>
        <v>337362.76428571425</v>
      </c>
      <c r="T96" s="24"/>
      <c r="U96" s="24"/>
      <c r="V96" s="182" t="s">
        <v>527</v>
      </c>
      <c r="W96" s="39"/>
      <c r="X96" s="24"/>
      <c r="Y96" s="24"/>
      <c r="AA96" s="57"/>
      <c r="AB96" s="24"/>
      <c r="AC96" s="145"/>
      <c r="AD96" s="98"/>
      <c r="AE96" s="98"/>
      <c r="AF96" s="99"/>
      <c r="AG96" s="98"/>
      <c r="AH96" s="98"/>
      <c r="AI96" s="98"/>
      <c r="AJ96" s="98"/>
      <c r="AK96" s="101"/>
      <c r="AL96" s="98"/>
      <c r="AM96" s="101"/>
      <c r="AN96" s="101"/>
      <c r="AO96" s="101"/>
      <c r="AP96" s="101"/>
      <c r="AQ96" s="103"/>
      <c r="AR96" s="104"/>
      <c r="AS96" s="147"/>
      <c r="AT96" s="143"/>
      <c r="AU96" s="143"/>
      <c r="AV96" s="143"/>
      <c r="AW96" s="143"/>
      <c r="AX96" s="143"/>
      <c r="AY96" s="148"/>
      <c r="AZ96" s="148"/>
      <c r="BA96" s="148"/>
      <c r="BB96" s="148"/>
      <c r="BC96" s="104"/>
      <c r="BD96" s="110"/>
      <c r="BE96" s="104"/>
      <c r="BF96" s="111"/>
      <c r="BG96" s="110"/>
      <c r="BH96" s="112"/>
      <c r="BI96" s="113"/>
      <c r="BJ96" s="114">
        <f t="shared" si="73"/>
        <v>0</v>
      </c>
      <c r="BK96" s="113"/>
      <c r="BL96" s="113"/>
      <c r="BM96" s="113"/>
      <c r="BN96" s="113"/>
      <c r="BO96" s="113"/>
      <c r="BU96" s="174">
        <v>-0.05</v>
      </c>
      <c r="BV96" s="59">
        <v>0</v>
      </c>
      <c r="BW96" s="59">
        <v>-66.12</v>
      </c>
      <c r="BX96" s="59">
        <v>577.4</v>
      </c>
    </row>
    <row r="97" spans="1:76" ht="19.5" customHeight="1" thickBot="1" x14ac:dyDescent="0.3">
      <c r="A97" s="23"/>
      <c r="B97" s="24"/>
      <c r="C97" s="24" t="s">
        <v>19</v>
      </c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60">
        <f>+R95-R96</f>
        <v>-258.75</v>
      </c>
      <c r="S97" s="60">
        <f>+S95-S96</f>
        <v>-1416.4785714286845</v>
      </c>
      <c r="T97" s="24" t="s">
        <v>19</v>
      </c>
      <c r="U97" s="24" t="s">
        <v>19</v>
      </c>
      <c r="V97" s="267" t="s">
        <v>528</v>
      </c>
      <c r="W97" s="267"/>
      <c r="X97" s="267"/>
      <c r="Y97" s="24" t="s">
        <v>19</v>
      </c>
      <c r="AB97" s="29"/>
      <c r="AC97" s="145"/>
      <c r="AD97" s="149"/>
      <c r="AE97" s="149"/>
      <c r="AF97" s="149"/>
      <c r="AG97" s="149"/>
      <c r="AH97" s="149"/>
      <c r="AI97" s="149"/>
      <c r="AJ97" s="149"/>
      <c r="AK97" s="150"/>
      <c r="AL97" s="149"/>
      <c r="AM97" s="150"/>
      <c r="AN97" s="150"/>
      <c r="AO97" s="150"/>
      <c r="AP97" s="150"/>
      <c r="AQ97" s="150"/>
      <c r="AR97" s="151"/>
      <c r="AS97" s="150"/>
      <c r="AT97" s="150"/>
      <c r="AU97" s="150"/>
      <c r="AV97" s="150"/>
      <c r="AW97" s="150"/>
      <c r="AX97" s="150"/>
      <c r="AY97" s="110"/>
      <c r="AZ97" s="110"/>
      <c r="BA97" s="110"/>
      <c r="BB97" s="110"/>
      <c r="BC97" s="152"/>
      <c r="BD97" s="110"/>
      <c r="BE97" s="151"/>
      <c r="BF97" s="110"/>
      <c r="BG97" s="110"/>
      <c r="BH97" s="151"/>
      <c r="BI97" s="113"/>
      <c r="BJ97" s="113"/>
      <c r="BK97" s="113"/>
      <c r="BL97" s="113"/>
      <c r="BM97" s="113"/>
      <c r="BN97" s="113"/>
      <c r="BO97" s="113"/>
      <c r="BU97" s="174">
        <v>-0.05</v>
      </c>
      <c r="BV97" s="59">
        <v>0</v>
      </c>
      <c r="BW97" s="70"/>
      <c r="BX97" s="70"/>
    </row>
    <row r="98" spans="1:76" ht="16.5" thickTop="1" thickBot="1" x14ac:dyDescent="0.3">
      <c r="A98" s="23" t="s">
        <v>19</v>
      </c>
      <c r="B98" s="24" t="s">
        <v>19</v>
      </c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251">
        <f>+H95+O95+P95-Q95</f>
        <v>1157.7285714285713</v>
      </c>
      <c r="T98" s="30"/>
      <c r="U98" s="30"/>
      <c r="V98" s="267"/>
      <c r="W98" s="267"/>
      <c r="X98" s="267"/>
      <c r="Y98" s="30"/>
      <c r="AD98" s="153" t="s">
        <v>489</v>
      </c>
      <c r="AE98" s="153"/>
      <c r="AF98" s="153"/>
      <c r="AG98" s="153"/>
      <c r="AH98" s="153"/>
      <c r="AI98" s="153"/>
      <c r="AJ98" s="153"/>
      <c r="AK98" s="221"/>
      <c r="AL98" s="153"/>
      <c r="AM98" s="154">
        <f t="shared" ref="AM98:AS98" si="77">SUM(AM9:AM97)</f>
        <v>73736.400000000081</v>
      </c>
      <c r="AN98" s="154">
        <f t="shared" si="77"/>
        <v>260886.61000000002</v>
      </c>
      <c r="AO98" s="154">
        <f t="shared" si="77"/>
        <v>0</v>
      </c>
      <c r="AP98" s="154">
        <f t="shared" si="77"/>
        <v>0</v>
      </c>
      <c r="AQ98" s="154">
        <f t="shared" si="77"/>
        <v>0</v>
      </c>
      <c r="AR98" s="154">
        <f t="shared" si="77"/>
        <v>334623.00999999983</v>
      </c>
      <c r="AS98" s="154">
        <f t="shared" si="77"/>
        <v>0</v>
      </c>
      <c r="AT98" s="154"/>
      <c r="AU98" s="155">
        <f t="shared" ref="AU98:BM98" si="78">SUM(AU9:AU97)</f>
        <v>4828.2170000000006</v>
      </c>
      <c r="AV98" s="155">
        <f t="shared" si="78"/>
        <v>1976.21606</v>
      </c>
      <c r="AW98" s="155">
        <f t="shared" si="78"/>
        <v>406.86949999999996</v>
      </c>
      <c r="AX98" s="155">
        <f t="shared" si="78"/>
        <v>879.38</v>
      </c>
      <c r="AY98" s="154">
        <f t="shared" si="78"/>
        <v>0</v>
      </c>
      <c r="AZ98" s="154">
        <f t="shared" si="78"/>
        <v>0</v>
      </c>
      <c r="BA98" s="154">
        <f t="shared" si="78"/>
        <v>406.94</v>
      </c>
      <c r="BB98" s="154">
        <f t="shared" si="78"/>
        <v>7262.8375000000005</v>
      </c>
      <c r="BC98" s="154">
        <f t="shared" si="78"/>
        <v>318176.2599399999</v>
      </c>
      <c r="BD98" s="154">
        <f t="shared" si="78"/>
        <v>20983.65</v>
      </c>
      <c r="BE98" s="154">
        <f t="shared" si="78"/>
        <v>297192.60994000005</v>
      </c>
      <c r="BF98" s="154">
        <f t="shared" si="78"/>
        <v>12478.650999999993</v>
      </c>
      <c r="BG98" s="154">
        <f t="shared" si="78"/>
        <v>859.32000000000096</v>
      </c>
      <c r="BH98" s="154">
        <f t="shared" si="78"/>
        <v>347960.98099999991</v>
      </c>
      <c r="BI98" s="154">
        <f t="shared" si="78"/>
        <v>0</v>
      </c>
      <c r="BJ98" s="154">
        <f t="shared" si="78"/>
        <v>0</v>
      </c>
      <c r="BK98" s="154">
        <f t="shared" si="78"/>
        <v>0</v>
      </c>
      <c r="BL98" s="154">
        <f t="shared" si="78"/>
        <v>0</v>
      </c>
      <c r="BM98" s="154">
        <f t="shared" si="78"/>
        <v>0</v>
      </c>
      <c r="BU98" s="174">
        <v>-0.05</v>
      </c>
      <c r="BV98" s="70"/>
      <c r="BW98" s="70"/>
      <c r="BX98" s="70"/>
    </row>
    <row r="99" spans="1:76" ht="15.75" thickTop="1" x14ac:dyDescent="0.25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9"/>
      <c r="X99" s="24"/>
      <c r="Y99" s="24"/>
      <c r="AC99" s="145"/>
      <c r="AD99" s="98"/>
      <c r="AE99" s="98"/>
      <c r="AF99" s="99"/>
      <c r="AG99" s="98"/>
      <c r="AH99" s="98"/>
      <c r="AI99" s="98"/>
      <c r="AJ99" s="98"/>
      <c r="AK99" s="101"/>
      <c r="AL99" s="98"/>
      <c r="AM99" s="101"/>
      <c r="AN99" s="101"/>
      <c r="AO99" s="101"/>
      <c r="AP99" s="101"/>
      <c r="AQ99" s="101"/>
      <c r="AR99" s="104">
        <f>SUM(AM99:AQ99)</f>
        <v>0</v>
      </c>
      <c r="AS99" s="147"/>
      <c r="AT99" s="147"/>
      <c r="AU99" s="157"/>
      <c r="AV99" s="157"/>
      <c r="AW99" s="157"/>
      <c r="AX99" s="157"/>
      <c r="AY99" s="158"/>
      <c r="AZ99" s="158"/>
      <c r="BA99" s="158"/>
      <c r="BB99" s="158"/>
      <c r="BC99" s="104">
        <f>+AR99-AS99</f>
        <v>0</v>
      </c>
      <c r="BD99" s="110">
        <f>+BC99*0.05</f>
        <v>0</v>
      </c>
      <c r="BE99" s="104">
        <f>+BC99-AY99-BB99</f>
        <v>0</v>
      </c>
      <c r="BF99" s="111">
        <f>IF(BC99&lt;3000,BC99*0.1,0)</f>
        <v>0</v>
      </c>
      <c r="BG99" s="110">
        <v>0</v>
      </c>
      <c r="BH99" s="104">
        <f>+BC99+BF99+BG99</f>
        <v>0</v>
      </c>
      <c r="BI99" s="104">
        <f t="shared" ref="BI99:BM100" si="79">+BD99+BG99+BH99</f>
        <v>0</v>
      </c>
      <c r="BJ99" s="104">
        <f t="shared" si="79"/>
        <v>0</v>
      </c>
      <c r="BK99" s="104">
        <f t="shared" si="79"/>
        <v>0</v>
      </c>
      <c r="BL99" s="104">
        <f t="shared" si="79"/>
        <v>0</v>
      </c>
      <c r="BM99" s="104">
        <f t="shared" si="79"/>
        <v>0</v>
      </c>
      <c r="BU99" s="7" t="s">
        <v>17</v>
      </c>
      <c r="BV99" s="163">
        <v>335.5</v>
      </c>
      <c r="BW99" s="70"/>
      <c r="BX99" s="70"/>
    </row>
    <row r="100" spans="1:76" x14ac:dyDescent="0.25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60"/>
      <c r="X100" s="24"/>
      <c r="Y100" s="24"/>
      <c r="AB100" s="68"/>
      <c r="AC100" s="145"/>
      <c r="AD100" s="99"/>
      <c r="AE100" s="99"/>
      <c r="AF100" s="99"/>
      <c r="AG100" s="99"/>
      <c r="AH100" s="99"/>
      <c r="AI100" s="99"/>
      <c r="AJ100" s="99"/>
      <c r="AK100" s="102"/>
      <c r="AL100" s="99"/>
      <c r="AM100" s="102"/>
      <c r="AN100" s="102"/>
      <c r="AO100" s="102"/>
      <c r="AP100" s="102"/>
      <c r="AQ100" s="102"/>
      <c r="AR100" s="104">
        <f>SUM(AM100:AQ100)</f>
        <v>0</v>
      </c>
      <c r="AS100" s="147"/>
      <c r="AT100" s="147"/>
      <c r="AU100" s="157"/>
      <c r="AV100" s="157"/>
      <c r="AW100" s="157"/>
      <c r="AX100" s="157"/>
      <c r="AY100" s="158"/>
      <c r="AZ100" s="158"/>
      <c r="BA100" s="158"/>
      <c r="BB100" s="158"/>
      <c r="BC100" s="104">
        <f>+AR100-AS100</f>
        <v>0</v>
      </c>
      <c r="BD100" s="110">
        <f>+BC100*0.05</f>
        <v>0</v>
      </c>
      <c r="BE100" s="104">
        <f>+BC100-AY100-BB100</f>
        <v>0</v>
      </c>
      <c r="BF100" s="111">
        <f>IF(BC100&lt;3000,BC100*0.1,0)</f>
        <v>0</v>
      </c>
      <c r="BG100" s="110">
        <v>0</v>
      </c>
      <c r="BH100" s="104">
        <f>+BC100+BF100+BG100</f>
        <v>0</v>
      </c>
      <c r="BI100" s="104">
        <f t="shared" si="79"/>
        <v>0</v>
      </c>
      <c r="BJ100" s="104">
        <f t="shared" si="79"/>
        <v>0</v>
      </c>
      <c r="BK100" s="104">
        <f t="shared" si="79"/>
        <v>0</v>
      </c>
      <c r="BL100" s="104">
        <f t="shared" si="79"/>
        <v>0</v>
      </c>
      <c r="BM100" s="104">
        <f t="shared" si="79"/>
        <v>0</v>
      </c>
      <c r="BU100" s="164">
        <v>-0.57999999999999996</v>
      </c>
      <c r="BV100" s="70"/>
    </row>
    <row r="101" spans="1:76" x14ac:dyDescent="0.25">
      <c r="A101" s="23"/>
      <c r="B101" s="30" t="s">
        <v>340</v>
      </c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60"/>
      <c r="X101" s="24"/>
      <c r="Y101" s="24"/>
      <c r="BH101" s="91">
        <f>SUM(BH99:BH100)</f>
        <v>0</v>
      </c>
      <c r="BU101" s="70"/>
    </row>
    <row r="102" spans="1:76" ht="23.25" thickBot="1" x14ac:dyDescent="0.3">
      <c r="A102" s="32" t="s">
        <v>6</v>
      </c>
      <c r="B102" s="22" t="s">
        <v>7</v>
      </c>
      <c r="C102" s="22" t="s">
        <v>22</v>
      </c>
      <c r="D102" s="22" t="s">
        <v>27</v>
      </c>
      <c r="E102" s="22" t="s">
        <v>23</v>
      </c>
      <c r="F102" s="22"/>
      <c r="G102" s="22" t="s">
        <v>30</v>
      </c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 t="s">
        <v>9</v>
      </c>
      <c r="S102" s="250"/>
      <c r="T102" s="24"/>
      <c r="U102" s="24"/>
      <c r="V102" s="24"/>
      <c r="W102" s="60"/>
      <c r="X102" s="24"/>
      <c r="Y102" s="24"/>
      <c r="AD102" s="159" t="s">
        <v>491</v>
      </c>
      <c r="AE102" s="159"/>
      <c r="AF102" s="159"/>
      <c r="BH102" s="91">
        <f>+BH101*0.16</f>
        <v>0</v>
      </c>
    </row>
    <row r="103" spans="1:76" ht="15.75" thickTop="1" x14ac:dyDescent="0.25">
      <c r="A103" s="23"/>
      <c r="B103" s="24" t="s">
        <v>339</v>
      </c>
      <c r="C103" s="25">
        <v>0</v>
      </c>
      <c r="D103" s="25">
        <v>0</v>
      </c>
      <c r="E103" s="25">
        <v>6078.08</v>
      </c>
      <c r="F103" s="25"/>
      <c r="G103" s="25">
        <f>-SINDICATO!J109</f>
        <v>0</v>
      </c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>
        <f>SUM(C103:G103)</f>
        <v>6078.08</v>
      </c>
      <c r="S103" s="25"/>
      <c r="T103" s="24"/>
      <c r="U103" s="68">
        <f>+R103</f>
        <v>6078.08</v>
      </c>
      <c r="V103" s="68"/>
      <c r="W103" s="24"/>
      <c r="X103" s="68"/>
      <c r="Y103" s="68"/>
      <c r="AD103" s="159"/>
      <c r="AE103" s="159"/>
      <c r="AF103" s="159"/>
      <c r="BH103" s="91">
        <f>+BH101+BH102</f>
        <v>0</v>
      </c>
    </row>
    <row r="104" spans="1:76" x14ac:dyDescent="0.25">
      <c r="A104" s="19"/>
      <c r="Z104" s="65"/>
      <c r="AA104" s="68"/>
      <c r="AD104" s="159"/>
      <c r="AE104" s="159"/>
      <c r="AF104" s="159"/>
    </row>
    <row r="105" spans="1:76" s="224" customFormat="1" x14ac:dyDescent="0.25">
      <c r="A105" s="224" t="s">
        <v>646</v>
      </c>
      <c r="Z105" s="226"/>
      <c r="AA105" s="227"/>
      <c r="AC105" s="233"/>
      <c r="AD105" s="237"/>
      <c r="AE105" s="237"/>
      <c r="AF105" s="237"/>
      <c r="AG105" s="233"/>
      <c r="AH105" s="233"/>
      <c r="AI105" s="233"/>
      <c r="AJ105" s="233"/>
      <c r="AK105" s="238"/>
      <c r="AL105" s="233"/>
      <c r="AM105" s="238"/>
      <c r="AN105" s="238"/>
      <c r="AO105" s="238"/>
      <c r="AP105" s="238"/>
      <c r="AQ105" s="238"/>
      <c r="AR105" s="239"/>
      <c r="AS105" s="238"/>
      <c r="AT105" s="238"/>
      <c r="AU105" s="238"/>
      <c r="AV105" s="238"/>
      <c r="AW105" s="238"/>
      <c r="AX105" s="238"/>
      <c r="AY105" s="238"/>
      <c r="AZ105" s="238"/>
      <c r="BA105" s="238"/>
      <c r="BB105" s="238"/>
      <c r="BC105" s="239"/>
      <c r="BD105" s="238"/>
      <c r="BE105" s="239"/>
      <c r="BF105" s="238"/>
      <c r="BG105" s="238"/>
      <c r="BH105" s="239"/>
      <c r="BI105" s="233"/>
      <c r="BJ105" s="233"/>
      <c r="BK105" s="233"/>
      <c r="BL105" s="233"/>
      <c r="BM105" s="233"/>
      <c r="BN105" s="233"/>
      <c r="BO105" s="233"/>
      <c r="BP105" s="233"/>
      <c r="BQ105" s="233"/>
      <c r="BR105" s="233"/>
      <c r="BS105" s="233"/>
      <c r="BT105" s="233"/>
    </row>
    <row r="106" spans="1:76" s="224" customFormat="1" x14ac:dyDescent="0.25">
      <c r="A106" s="223" t="s">
        <v>85</v>
      </c>
      <c r="B106" s="224" t="s">
        <v>86</v>
      </c>
      <c r="C106" s="225">
        <f>+AM44</f>
        <v>513.33000000000004</v>
      </c>
      <c r="D106" s="225">
        <f>+AJ44</f>
        <v>0</v>
      </c>
      <c r="E106" s="225">
        <f>+AN44</f>
        <v>0</v>
      </c>
      <c r="F106" s="225"/>
      <c r="G106" s="225">
        <f>+AQ44</f>
        <v>0</v>
      </c>
      <c r="H106" s="225">
        <f>+AZ44</f>
        <v>0</v>
      </c>
      <c r="I106" s="225">
        <f>+AT44</f>
        <v>58.91</v>
      </c>
      <c r="J106" s="225">
        <f>+AU44</f>
        <v>0</v>
      </c>
      <c r="K106" s="225">
        <f>+AV44</f>
        <v>0</v>
      </c>
      <c r="L106" s="225">
        <f>+AW44</f>
        <v>0</v>
      </c>
      <c r="M106" s="225">
        <f>+BA44</f>
        <v>0</v>
      </c>
      <c r="N106" s="225">
        <f>+BC44</f>
        <v>454.42000000000007</v>
      </c>
      <c r="O106" s="225"/>
      <c r="P106" s="225"/>
      <c r="Q106" s="225"/>
      <c r="R106" s="225">
        <f>+C106+D106+E106-G106-H106-I106-J106-K106-L106-M106-N106</f>
        <v>0</v>
      </c>
      <c r="S106" s="225"/>
      <c r="T106" s="225">
        <f>+BE44</f>
        <v>454.42000000000007</v>
      </c>
      <c r="U106" s="225">
        <f>+'C&amp;A'!E107*0.02</f>
        <v>10.2256</v>
      </c>
      <c r="V106" s="225">
        <f>+J106</f>
        <v>0</v>
      </c>
      <c r="W106" s="225">
        <f>+C106+D106+E106-H106+T106+U106+V106</f>
        <v>977.9756000000001</v>
      </c>
      <c r="X106" s="225">
        <f>+W106*0.16</f>
        <v>156.47609600000001</v>
      </c>
      <c r="Y106" s="225">
        <f>+W106+X106</f>
        <v>1134.4516960000001</v>
      </c>
      <c r="Z106" s="226"/>
      <c r="AA106" s="227"/>
      <c r="AB106" s="227"/>
      <c r="AC106" s="233"/>
      <c r="AD106" s="237" t="s">
        <v>492</v>
      </c>
      <c r="AE106" s="237"/>
      <c r="AF106" s="237"/>
      <c r="AG106" s="233"/>
      <c r="AH106" s="233"/>
      <c r="AI106" s="233"/>
      <c r="AJ106" s="233"/>
      <c r="AK106" s="238"/>
      <c r="AL106" s="233"/>
      <c r="AM106" s="238"/>
      <c r="AN106" s="238"/>
      <c r="AO106" s="238"/>
      <c r="AP106" s="238"/>
      <c r="AQ106" s="238"/>
      <c r="AR106" s="239"/>
      <c r="AS106" s="238"/>
      <c r="AT106" s="238"/>
      <c r="AU106" s="238"/>
      <c r="AV106" s="238"/>
      <c r="AW106" s="238"/>
      <c r="AX106" s="238"/>
      <c r="AY106" s="238"/>
      <c r="AZ106" s="238"/>
      <c r="BA106" s="238"/>
      <c r="BB106" s="238"/>
      <c r="BC106" s="239"/>
      <c r="BD106" s="238"/>
      <c r="BE106" s="239"/>
      <c r="BF106" s="238"/>
      <c r="BG106" s="238"/>
      <c r="BH106" s="239" t="e">
        <f>+#REF!+BH103</f>
        <v>#REF!</v>
      </c>
      <c r="BI106" s="233"/>
      <c r="BJ106" s="233"/>
      <c r="BK106" s="233"/>
      <c r="BL106" s="233"/>
      <c r="BM106" s="233"/>
      <c r="BN106" s="233"/>
      <c r="BO106" s="233"/>
      <c r="BP106" s="233"/>
      <c r="BQ106" s="233"/>
      <c r="BR106" s="233"/>
      <c r="BS106" s="233"/>
      <c r="BT106" s="233"/>
    </row>
    <row r="107" spans="1:76" s="224" customFormat="1" x14ac:dyDescent="0.25">
      <c r="A107" s="223" t="s">
        <v>128</v>
      </c>
      <c r="B107" s="224" t="s">
        <v>129</v>
      </c>
      <c r="C107" s="225">
        <f>+AM68</f>
        <v>608.16</v>
      </c>
      <c r="D107" s="225">
        <f>+AJ68</f>
        <v>0</v>
      </c>
      <c r="E107" s="225">
        <f>+AN68</f>
        <v>1276.27</v>
      </c>
      <c r="F107" s="225"/>
      <c r="G107" s="225">
        <f>+AQ68</f>
        <v>0</v>
      </c>
      <c r="H107" s="225">
        <f>+AZ68</f>
        <v>0</v>
      </c>
      <c r="I107" s="225">
        <f>+AT68</f>
        <v>0</v>
      </c>
      <c r="J107" s="225">
        <f>+AU68</f>
        <v>0</v>
      </c>
      <c r="K107" s="225">
        <f>+AV68</f>
        <v>92.337069999999997</v>
      </c>
      <c r="L107" s="225">
        <f>+AW68</f>
        <v>18.8443</v>
      </c>
      <c r="M107" s="225">
        <f>+BA68</f>
        <v>0</v>
      </c>
      <c r="N107" s="225">
        <f>+BC68</f>
        <v>1773.2486299999998</v>
      </c>
      <c r="O107" s="225"/>
      <c r="P107" s="225"/>
      <c r="Q107" s="225"/>
      <c r="R107" s="225">
        <f>+C107+D107+E107-G107-H107-I107-J107-K107-L107-M107-N107</f>
        <v>0</v>
      </c>
      <c r="S107" s="225"/>
      <c r="T107" s="225">
        <f>+BE68</f>
        <v>1773.2486299999998</v>
      </c>
      <c r="U107" s="225">
        <f>+'C&amp;A'!E108*0.02</f>
        <v>10.2256</v>
      </c>
      <c r="V107" s="225">
        <f>+J107</f>
        <v>0</v>
      </c>
      <c r="W107" s="225">
        <f>+C107+D107+E107-H107+T107+U107+V107</f>
        <v>3667.9042299999996</v>
      </c>
      <c r="X107" s="225">
        <f>+W107*0.16</f>
        <v>586.86467679999998</v>
      </c>
      <c r="Y107" s="225">
        <f>+W107+X107</f>
        <v>4254.7689068</v>
      </c>
      <c r="Z107" s="226"/>
      <c r="AA107" s="227"/>
      <c r="AB107" s="227"/>
      <c r="AC107" s="233"/>
      <c r="AD107" s="233"/>
      <c r="AE107" s="233"/>
      <c r="AF107" s="233"/>
      <c r="AG107" s="233"/>
      <c r="AH107" s="233"/>
      <c r="AI107" s="233"/>
      <c r="AJ107" s="233"/>
      <c r="AK107" s="238"/>
      <c r="AL107" s="233"/>
      <c r="AM107" s="238"/>
      <c r="AN107" s="238"/>
      <c r="AO107" s="238"/>
      <c r="AP107" s="238"/>
      <c r="AQ107" s="238"/>
      <c r="AR107" s="239"/>
      <c r="AS107" s="238"/>
      <c r="AT107" s="238"/>
      <c r="AU107" s="238"/>
      <c r="AV107" s="238"/>
      <c r="AW107" s="238"/>
      <c r="AX107" s="238"/>
      <c r="AY107" s="238"/>
      <c r="AZ107" s="238"/>
      <c r="BA107" s="238"/>
      <c r="BB107" s="238"/>
      <c r="BC107" s="239"/>
      <c r="BD107" s="238"/>
      <c r="BE107" s="239"/>
      <c r="BF107" s="238"/>
      <c r="BG107" s="238"/>
      <c r="BH107" s="239"/>
      <c r="BI107" s="233"/>
      <c r="BJ107" s="233"/>
      <c r="BK107" s="233"/>
      <c r="BL107" s="233"/>
      <c r="BM107" s="233"/>
      <c r="BN107" s="233"/>
      <c r="BO107" s="233"/>
      <c r="BP107" s="233"/>
      <c r="BQ107" s="233"/>
      <c r="BR107" s="233"/>
      <c r="BS107" s="233"/>
      <c r="BT107" s="233"/>
    </row>
    <row r="108" spans="1:76" s="224" customFormat="1" x14ac:dyDescent="0.25">
      <c r="A108" s="223" t="s">
        <v>147</v>
      </c>
      <c r="B108" s="224" t="s">
        <v>148</v>
      </c>
      <c r="C108" s="225">
        <f>+AM81</f>
        <v>739.23</v>
      </c>
      <c r="D108" s="225">
        <f>+AJ81</f>
        <v>0</v>
      </c>
      <c r="E108" s="225">
        <f>+AN81</f>
        <v>1998.23</v>
      </c>
      <c r="F108" s="225"/>
      <c r="G108" s="225">
        <f>+AQ81</f>
        <v>0</v>
      </c>
      <c r="H108" s="225">
        <f>+AZ81</f>
        <v>0</v>
      </c>
      <c r="I108" s="225">
        <f>+AT81</f>
        <v>0</v>
      </c>
      <c r="J108" s="225">
        <f>+AU81</f>
        <v>150</v>
      </c>
      <c r="K108" s="225">
        <f>+AV81</f>
        <v>0</v>
      </c>
      <c r="L108" s="225">
        <f>+AW81</f>
        <v>0</v>
      </c>
      <c r="M108" s="225">
        <f>+BA81</f>
        <v>0</v>
      </c>
      <c r="N108" s="225">
        <f>+BC81</f>
        <v>2587.46</v>
      </c>
      <c r="O108" s="225"/>
      <c r="P108" s="225"/>
      <c r="Q108" s="225"/>
      <c r="R108" s="225">
        <f>+C108+D108+E108-G108-H108-I108-J108-K108-L108-M108-N108</f>
        <v>0</v>
      </c>
      <c r="S108" s="225"/>
      <c r="T108" s="225">
        <f>+BE81</f>
        <v>2587.46</v>
      </c>
      <c r="U108" s="225">
        <f>+'C&amp;A'!E109*0.02</f>
        <v>10.2256</v>
      </c>
      <c r="V108" s="225">
        <f>+J108</f>
        <v>150</v>
      </c>
      <c r="W108" s="225">
        <f>+C108+D108+E108-H108+T108+U108+V108</f>
        <v>5485.1455999999998</v>
      </c>
      <c r="X108" s="225">
        <f>+W108*0.16</f>
        <v>877.62329599999998</v>
      </c>
      <c r="Y108" s="225">
        <f>+W108+X108</f>
        <v>6362.7688959999996</v>
      </c>
      <c r="Z108" s="226"/>
      <c r="AA108" s="227"/>
      <c r="AB108" s="227"/>
      <c r="AC108" s="233"/>
      <c r="AD108" s="228"/>
      <c r="AE108" s="240"/>
      <c r="AF108" s="233"/>
      <c r="AG108" s="233"/>
      <c r="AH108" s="233"/>
      <c r="AI108" s="233"/>
      <c r="AJ108" s="233"/>
      <c r="AK108" s="238"/>
      <c r="AL108" s="233"/>
      <c r="AM108" s="238"/>
      <c r="AN108" s="238"/>
      <c r="AO108" s="238"/>
      <c r="AP108" s="238"/>
      <c r="AQ108" s="238"/>
      <c r="AR108" s="239"/>
      <c r="AS108" s="238"/>
      <c r="AT108" s="238"/>
      <c r="AU108" s="238"/>
      <c r="AV108" s="238"/>
      <c r="AW108" s="238"/>
      <c r="AX108" s="238"/>
      <c r="AY108" s="238"/>
      <c r="AZ108" s="238"/>
      <c r="BA108" s="238"/>
      <c r="BB108" s="238"/>
      <c r="BC108" s="239"/>
      <c r="BD108" s="238"/>
      <c r="BE108" s="239"/>
      <c r="BF108" s="238"/>
      <c r="BG108" s="238"/>
      <c r="BH108" s="239"/>
      <c r="BI108" s="233"/>
      <c r="BJ108" s="233"/>
      <c r="BK108" s="233"/>
      <c r="BL108" s="233"/>
      <c r="BM108" s="233"/>
      <c r="BN108" s="233"/>
      <c r="BO108" s="233"/>
      <c r="BP108" s="233"/>
      <c r="BQ108" s="233"/>
      <c r="BR108" s="233"/>
      <c r="BS108" s="233"/>
      <c r="BT108" s="233"/>
    </row>
    <row r="109" spans="1:76" s="224" customFormat="1" x14ac:dyDescent="0.25">
      <c r="A109" s="223" t="s">
        <v>176</v>
      </c>
      <c r="B109" s="224" t="s">
        <v>177</v>
      </c>
      <c r="C109" s="225">
        <f>+AM95</f>
        <v>0</v>
      </c>
      <c r="D109" s="225">
        <f>+AJ95</f>
        <v>0</v>
      </c>
      <c r="E109" s="225">
        <f>+AN95</f>
        <v>0</v>
      </c>
      <c r="F109" s="225"/>
      <c r="G109" s="225">
        <f>+AQ95</f>
        <v>0</v>
      </c>
      <c r="H109" s="225">
        <f>+AZ95</f>
        <v>0</v>
      </c>
      <c r="I109" s="225">
        <f>+AT95</f>
        <v>0</v>
      </c>
      <c r="J109" s="225">
        <f>+AU95</f>
        <v>0</v>
      </c>
      <c r="K109" s="225">
        <f>+AV95</f>
        <v>0</v>
      </c>
      <c r="L109" s="225">
        <f>+AW95</f>
        <v>0</v>
      </c>
      <c r="M109" s="225">
        <f>+BA95</f>
        <v>0</v>
      </c>
      <c r="N109" s="225">
        <f>+BC95</f>
        <v>0</v>
      </c>
      <c r="O109" s="225"/>
      <c r="P109" s="225"/>
      <c r="Q109" s="225"/>
      <c r="R109" s="225">
        <f>+C109+D109+E109-G109-H109-I109-J109-K109-L109-M109-N109</f>
        <v>0</v>
      </c>
      <c r="S109" s="225"/>
      <c r="T109" s="225">
        <f>+BE95</f>
        <v>0</v>
      </c>
      <c r="U109" s="225">
        <f>+'C&amp;A'!E110*0.02</f>
        <v>10.2256</v>
      </c>
      <c r="V109" s="225">
        <f>+J109</f>
        <v>0</v>
      </c>
      <c r="W109" s="225">
        <f>+C109+D109+E109-H109+T109+U109+V109</f>
        <v>10.2256</v>
      </c>
      <c r="X109" s="225">
        <f>+W109*0.16</f>
        <v>1.636096</v>
      </c>
      <c r="Y109" s="225">
        <f>+W109+X109</f>
        <v>11.861696</v>
      </c>
      <c r="Z109" s="226"/>
      <c r="AA109" s="227"/>
      <c r="AB109" s="227"/>
      <c r="AC109" s="228"/>
      <c r="AD109" s="228"/>
      <c r="AE109" s="228"/>
      <c r="AF109" s="241"/>
      <c r="AG109" s="228"/>
      <c r="AH109" s="228"/>
      <c r="AI109" s="228"/>
      <c r="AJ109" s="228"/>
      <c r="AK109" s="229"/>
      <c r="AL109" s="228"/>
      <c r="AM109" s="229"/>
      <c r="AN109" s="229"/>
      <c r="AO109" s="229"/>
      <c r="AP109" s="229"/>
      <c r="AQ109" s="230"/>
      <c r="AR109" s="231"/>
      <c r="AS109" s="229"/>
      <c r="AT109" s="229"/>
      <c r="AU109" s="229"/>
      <c r="AV109" s="229"/>
      <c r="AW109" s="229"/>
      <c r="AX109" s="229"/>
      <c r="AY109" s="232"/>
      <c r="AZ109" s="232"/>
      <c r="BA109" s="229"/>
      <c r="BB109" s="228"/>
      <c r="BC109" s="231"/>
      <c r="BD109" s="232"/>
      <c r="BE109" s="231"/>
      <c r="BF109" s="232"/>
      <c r="BG109" s="232"/>
      <c r="BH109" s="231"/>
      <c r="BI109" s="233"/>
      <c r="BJ109" s="234"/>
      <c r="BK109" s="233"/>
      <c r="BL109" s="233"/>
      <c r="BM109" s="233"/>
      <c r="BN109" s="233"/>
      <c r="BO109" s="233"/>
      <c r="BP109" s="233"/>
      <c r="BQ109" s="233"/>
      <c r="BR109" s="233"/>
      <c r="BS109" s="233"/>
      <c r="BT109" s="233"/>
      <c r="BU109" s="235">
        <v>-0.05</v>
      </c>
      <c r="BV109" s="236">
        <v>0</v>
      </c>
      <c r="BW109" s="236">
        <v>-66.12</v>
      </c>
      <c r="BX109" s="236">
        <v>577.4</v>
      </c>
    </row>
    <row r="110" spans="1:76" x14ac:dyDescent="0.25">
      <c r="A110" s="23" t="s">
        <v>75</v>
      </c>
      <c r="B110" s="224" t="s">
        <v>341</v>
      </c>
      <c r="C110" s="25">
        <f>+AM48</f>
        <v>608.16</v>
      </c>
      <c r="D110" s="25">
        <f>+AJ48</f>
        <v>0</v>
      </c>
      <c r="E110" s="25">
        <f>+AN48</f>
        <v>309.60000000000002</v>
      </c>
      <c r="F110" s="25"/>
      <c r="G110" s="25">
        <f>+AQ48</f>
        <v>0</v>
      </c>
      <c r="H110" s="25">
        <f>+AZ48</f>
        <v>0</v>
      </c>
      <c r="I110" s="25">
        <f>+AT48</f>
        <v>0</v>
      </c>
      <c r="J110" s="25">
        <f>+AU48</f>
        <v>100</v>
      </c>
      <c r="K110" s="25">
        <f>+AV48</f>
        <v>44.970240000000004</v>
      </c>
      <c r="L110" s="25">
        <f>+AW48</f>
        <v>9.1776</v>
      </c>
      <c r="M110" s="25">
        <f>+BA48</f>
        <v>0</v>
      </c>
      <c r="N110" s="25">
        <f>+BC48</f>
        <v>763.61216000000002</v>
      </c>
      <c r="O110" s="25"/>
      <c r="P110" s="25"/>
      <c r="Q110" s="25"/>
      <c r="R110" s="25">
        <f>+C110+D110+E110-G110-H110-I110-J110-K110-L110-M110-N110</f>
        <v>0</v>
      </c>
      <c r="S110" s="25"/>
      <c r="T110" s="25">
        <f>+BE48</f>
        <v>763.61216000000002</v>
      </c>
      <c r="U110" s="25">
        <f>+'C&amp;A'!E46*0.02</f>
        <v>10.2256</v>
      </c>
      <c r="V110" s="25">
        <f>+J110</f>
        <v>100</v>
      </c>
      <c r="W110" s="25">
        <f>+C110+D110+E110-H110+T110+U110+V110</f>
        <v>1791.5977599999999</v>
      </c>
      <c r="X110" s="25">
        <f>+W110*0.16</f>
        <v>286.65564159999997</v>
      </c>
      <c r="Y110" s="25">
        <f>+W110+X110</f>
        <v>2078.2534016</v>
      </c>
      <c r="Z110" s="65"/>
      <c r="AA110" s="68"/>
      <c r="AC110" s="253" t="s">
        <v>490</v>
      </c>
      <c r="AD110" s="253"/>
      <c r="AE110" s="156"/>
      <c r="BH110" s="91">
        <f>+BH108+BH109</f>
        <v>0</v>
      </c>
      <c r="BI110" s="91"/>
      <c r="BJ110" s="91"/>
      <c r="BK110" s="91"/>
      <c r="BL110" s="91"/>
      <c r="BM110" s="91"/>
      <c r="BU110" s="187"/>
      <c r="BV110" s="7" t="s">
        <v>17</v>
      </c>
      <c r="BW110" s="163">
        <v>-4926.76</v>
      </c>
      <c r="BX110" s="163">
        <v>46084.800000000003</v>
      </c>
    </row>
  </sheetData>
  <autoFilter ref="A8:BZ92">
    <filterColumn colId="28">
      <filters>
        <filter val="ADMINISTRACION"/>
      </filters>
    </filterColumn>
  </autoFilter>
  <sortState ref="AC85:BT93">
    <sortCondition ref="AD85:AD93"/>
  </sortState>
  <mergeCells count="45">
    <mergeCell ref="AC5:AC6"/>
    <mergeCell ref="V97:X98"/>
    <mergeCell ref="I96:L96"/>
    <mergeCell ref="B1:C1"/>
    <mergeCell ref="B2:G2"/>
    <mergeCell ref="B3:G3"/>
    <mergeCell ref="B4:G4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BB5:BB6"/>
    <mergeCell ref="BC5:BC6"/>
    <mergeCell ref="AS5:AS6"/>
    <mergeCell ref="AU5:AU6"/>
    <mergeCell ref="AV5:AV6"/>
    <mergeCell ref="AW5:AW6"/>
    <mergeCell ref="AX5:AX6"/>
    <mergeCell ref="BO5:BO6"/>
    <mergeCell ref="AC110:AD110"/>
    <mergeCell ref="S7:Y7"/>
    <mergeCell ref="BI5:BI6"/>
    <mergeCell ref="BJ5:BJ6"/>
    <mergeCell ref="BK5:BL5"/>
    <mergeCell ref="BM5:BM6"/>
    <mergeCell ref="BN5:BN6"/>
    <mergeCell ref="BD5:BD6"/>
    <mergeCell ref="BE5:BE6"/>
    <mergeCell ref="BF5:BF6"/>
    <mergeCell ref="BG5:BG6"/>
    <mergeCell ref="BH5:BH6"/>
    <mergeCell ref="AY5:AY6"/>
    <mergeCell ref="AZ5:AZ6"/>
    <mergeCell ref="BA5:BA6"/>
  </mergeCells>
  <pageMargins left="0.70866141732283472" right="0.70866141732283472" top="0.74803149606299213" bottom="0.74803149606299213" header="0.31496062992125984" footer="0.31496062992125984"/>
  <pageSetup scale="5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A20" sqref="A20:XFD2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9.5703125" style="1" customWidth="1"/>
    <col min="4" max="4" width="9.28515625" style="1" customWidth="1"/>
    <col min="5" max="5" width="14.42578125" style="1" customWidth="1"/>
    <col min="6" max="6" width="11.5703125" style="1" customWidth="1"/>
    <col min="7" max="7" width="9.5703125" style="1" customWidth="1"/>
    <col min="8" max="8" width="9.7109375" style="1" customWidth="1"/>
    <col min="9" max="9" width="10.28515625" style="1" customWidth="1"/>
    <col min="10" max="10" width="13" style="1" customWidth="1"/>
    <col min="11" max="11" width="14.28515625" style="1" customWidth="1"/>
    <col min="12" max="16384" width="11.42578125" style="1"/>
  </cols>
  <sheetData>
    <row r="1" spans="1:11" ht="18" customHeight="1" x14ac:dyDescent="0.25">
      <c r="A1" s="3" t="s">
        <v>0</v>
      </c>
      <c r="B1" s="276" t="s">
        <v>19</v>
      </c>
      <c r="C1" s="274"/>
    </row>
    <row r="2" spans="1:11" ht="24.95" customHeight="1" x14ac:dyDescent="0.2">
      <c r="A2" s="4" t="s">
        <v>1</v>
      </c>
      <c r="B2" s="271" t="s">
        <v>332</v>
      </c>
      <c r="C2" s="272"/>
      <c r="D2" s="272"/>
      <c r="E2" s="272"/>
      <c r="F2" s="272"/>
    </row>
    <row r="3" spans="1:11" ht="15.75" x14ac:dyDescent="0.25">
      <c r="B3" s="273" t="s">
        <v>3</v>
      </c>
      <c r="C3" s="274"/>
      <c r="D3" s="274"/>
      <c r="E3" s="274"/>
      <c r="F3" s="274"/>
    </row>
    <row r="4" spans="1:11" ht="15" x14ac:dyDescent="0.25">
      <c r="B4" s="275" t="s">
        <v>499</v>
      </c>
      <c r="C4" s="274"/>
      <c r="D4" s="274"/>
      <c r="E4" s="274"/>
      <c r="F4" s="274"/>
    </row>
    <row r="5" spans="1:11" ht="15" x14ac:dyDescent="0.25">
      <c r="B5" s="47" t="s">
        <v>333</v>
      </c>
      <c r="C5" s="45"/>
      <c r="D5" s="45"/>
      <c r="E5" s="45"/>
      <c r="F5" s="45"/>
    </row>
    <row r="6" spans="1:11" ht="15" x14ac:dyDescent="0.25">
      <c r="B6" s="47" t="s">
        <v>5</v>
      </c>
      <c r="C6" s="45"/>
      <c r="D6" s="45"/>
      <c r="E6" s="45"/>
      <c r="F6" s="45"/>
    </row>
    <row r="7" spans="1:11" x14ac:dyDescent="0.2">
      <c r="B7" s="46"/>
      <c r="C7" s="46"/>
      <c r="D7" s="46"/>
      <c r="E7" s="46"/>
      <c r="F7" s="46"/>
    </row>
    <row r="8" spans="1:11" s="52" customFormat="1" ht="23.25" thickBot="1" x14ac:dyDescent="0.3">
      <c r="A8" s="50" t="s">
        <v>6</v>
      </c>
      <c r="B8" s="16" t="s">
        <v>7</v>
      </c>
      <c r="C8" s="16" t="s">
        <v>8</v>
      </c>
      <c r="D8" s="16" t="s">
        <v>334</v>
      </c>
      <c r="E8" s="15" t="s">
        <v>9</v>
      </c>
      <c r="F8" s="16" t="s">
        <v>10</v>
      </c>
      <c r="G8" s="16" t="s">
        <v>335</v>
      </c>
      <c r="H8" s="16" t="s">
        <v>11</v>
      </c>
      <c r="I8" s="16" t="s">
        <v>336</v>
      </c>
      <c r="J8" s="15" t="s">
        <v>12</v>
      </c>
      <c r="K8" s="51" t="s">
        <v>13</v>
      </c>
    </row>
    <row r="9" spans="1:11" ht="12" thickTop="1" x14ac:dyDescent="0.2">
      <c r="A9" s="10" t="s">
        <v>14</v>
      </c>
    </row>
    <row r="10" spans="1:11" s="42" customFormat="1" x14ac:dyDescent="0.2">
      <c r="A10" s="41" t="s">
        <v>35</v>
      </c>
      <c r="B10" s="42" t="s">
        <v>36</v>
      </c>
      <c r="C10" s="53">
        <v>438.24</v>
      </c>
      <c r="D10" s="53">
        <v>73.040000000000006</v>
      </c>
      <c r="E10" s="53">
        <f>SUM(C10:D10)</f>
        <v>511.28000000000003</v>
      </c>
      <c r="F10" s="54">
        <v>-66.069999999999993</v>
      </c>
      <c r="G10" s="53">
        <v>0</v>
      </c>
      <c r="H10" s="54">
        <v>-0.05</v>
      </c>
      <c r="I10" s="53">
        <v>0</v>
      </c>
      <c r="J10" s="53">
        <f>SUM(F10:I10)</f>
        <v>-66.11999999999999</v>
      </c>
      <c r="K10" s="53">
        <f>+E10-J10</f>
        <v>577.4</v>
      </c>
    </row>
    <row r="11" spans="1:11" s="42" customFormat="1" x14ac:dyDescent="0.2">
      <c r="A11" s="41" t="s">
        <v>37</v>
      </c>
      <c r="B11" s="42" t="s">
        <v>38</v>
      </c>
      <c r="C11" s="53">
        <v>438.24</v>
      </c>
      <c r="D11" s="53">
        <v>73.040000000000006</v>
      </c>
      <c r="E11" s="53">
        <f t="shared" ref="E11:E76" si="0">SUM(C11:D11)</f>
        <v>511.28000000000003</v>
      </c>
      <c r="F11" s="54">
        <v>-66.069999999999993</v>
      </c>
      <c r="G11" s="53">
        <v>0</v>
      </c>
      <c r="H11" s="54">
        <v>-0.05</v>
      </c>
      <c r="I11" s="53">
        <v>0</v>
      </c>
      <c r="J11" s="53">
        <f t="shared" ref="J11:J76" si="1">SUM(F11:I11)</f>
        <v>-66.11999999999999</v>
      </c>
      <c r="K11" s="53">
        <f t="shared" ref="K11:K76" si="2">+E11-J11</f>
        <v>577.4</v>
      </c>
    </row>
    <row r="12" spans="1:11" s="42" customFormat="1" x14ac:dyDescent="0.2">
      <c r="A12" s="41" t="s">
        <v>39</v>
      </c>
      <c r="B12" s="42" t="s">
        <v>40</v>
      </c>
      <c r="C12" s="53">
        <v>438.24</v>
      </c>
      <c r="D12" s="53">
        <v>73.040000000000006</v>
      </c>
      <c r="E12" s="53">
        <f t="shared" si="0"/>
        <v>511.28000000000003</v>
      </c>
      <c r="F12" s="54">
        <v>-66.069999999999993</v>
      </c>
      <c r="G12" s="53">
        <v>0</v>
      </c>
      <c r="H12" s="54">
        <v>-0.05</v>
      </c>
      <c r="I12" s="53">
        <v>0</v>
      </c>
      <c r="J12" s="53">
        <f t="shared" si="1"/>
        <v>-66.11999999999999</v>
      </c>
      <c r="K12" s="53">
        <f t="shared" si="2"/>
        <v>577.4</v>
      </c>
    </row>
    <row r="13" spans="1:11" s="42" customFormat="1" x14ac:dyDescent="0.2">
      <c r="A13" s="41" t="s">
        <v>293</v>
      </c>
      <c r="B13" s="42" t="s">
        <v>179</v>
      </c>
      <c r="C13" s="53">
        <v>438.24</v>
      </c>
      <c r="D13" s="53">
        <v>73.040000000000006</v>
      </c>
      <c r="E13" s="53">
        <f t="shared" si="0"/>
        <v>511.28000000000003</v>
      </c>
      <c r="F13" s="54">
        <v>-66.069999999999993</v>
      </c>
      <c r="G13" s="53">
        <v>0</v>
      </c>
      <c r="H13" s="54">
        <v>-0.05</v>
      </c>
      <c r="I13" s="53">
        <v>0</v>
      </c>
      <c r="J13" s="53">
        <f t="shared" si="1"/>
        <v>-66.11999999999999</v>
      </c>
      <c r="K13" s="53">
        <f t="shared" si="2"/>
        <v>577.4</v>
      </c>
    </row>
    <row r="14" spans="1:11" s="42" customFormat="1" x14ac:dyDescent="0.2">
      <c r="A14" s="41" t="s">
        <v>41</v>
      </c>
      <c r="B14" s="42" t="s">
        <v>42</v>
      </c>
      <c r="C14" s="53">
        <v>438.24</v>
      </c>
      <c r="D14" s="53">
        <v>73.040000000000006</v>
      </c>
      <c r="E14" s="53">
        <f t="shared" si="0"/>
        <v>511.28000000000003</v>
      </c>
      <c r="F14" s="54">
        <v>-66.069999999999993</v>
      </c>
      <c r="G14" s="53">
        <v>0</v>
      </c>
      <c r="H14" s="54">
        <v>-0.05</v>
      </c>
      <c r="I14" s="53">
        <v>0</v>
      </c>
      <c r="J14" s="53">
        <f t="shared" si="1"/>
        <v>-66.11999999999999</v>
      </c>
      <c r="K14" s="53">
        <f t="shared" si="2"/>
        <v>577.4</v>
      </c>
    </row>
    <row r="15" spans="1:11" s="42" customFormat="1" x14ac:dyDescent="0.2">
      <c r="A15" s="41" t="s">
        <v>43</v>
      </c>
      <c r="B15" s="42" t="s">
        <v>44</v>
      </c>
      <c r="C15" s="53">
        <v>438.24</v>
      </c>
      <c r="D15" s="53">
        <v>73.040000000000006</v>
      </c>
      <c r="E15" s="53">
        <f t="shared" si="0"/>
        <v>511.28000000000003</v>
      </c>
      <c r="F15" s="54">
        <v>-66.069999999999993</v>
      </c>
      <c r="G15" s="53">
        <v>0</v>
      </c>
      <c r="H15" s="54">
        <v>-0.05</v>
      </c>
      <c r="I15" s="53">
        <v>0</v>
      </c>
      <c r="J15" s="53">
        <f t="shared" si="1"/>
        <v>-66.11999999999999</v>
      </c>
      <c r="K15" s="53">
        <f t="shared" si="2"/>
        <v>577.4</v>
      </c>
    </row>
    <row r="16" spans="1:11" s="56" customFormat="1" ht="15" x14ac:dyDescent="0.25">
      <c r="A16" s="41"/>
      <c r="B16" s="133" t="s">
        <v>617</v>
      </c>
      <c r="C16" s="53">
        <v>0</v>
      </c>
      <c r="D16" s="53">
        <v>0</v>
      </c>
      <c r="E16" s="53">
        <v>0</v>
      </c>
      <c r="F16" s="54">
        <v>0</v>
      </c>
      <c r="G16" s="53">
        <v>0</v>
      </c>
      <c r="H16" s="54">
        <v>0</v>
      </c>
      <c r="I16" s="53">
        <v>0</v>
      </c>
      <c r="J16" s="53">
        <v>0</v>
      </c>
      <c r="K16" s="53">
        <v>0</v>
      </c>
    </row>
    <row r="17" spans="1:11" s="42" customFormat="1" x14ac:dyDescent="0.2">
      <c r="A17" s="41" t="s">
        <v>45</v>
      </c>
      <c r="B17" s="42" t="s">
        <v>46</v>
      </c>
      <c r="C17" s="53">
        <v>438.24</v>
      </c>
      <c r="D17" s="53">
        <v>73.040000000000006</v>
      </c>
      <c r="E17" s="53">
        <f t="shared" si="0"/>
        <v>511.28000000000003</v>
      </c>
      <c r="F17" s="54">
        <v>-66.069999999999993</v>
      </c>
      <c r="G17" s="53">
        <v>0</v>
      </c>
      <c r="H17" s="53">
        <v>0.15</v>
      </c>
      <c r="I17" s="53">
        <v>0</v>
      </c>
      <c r="J17" s="53">
        <f t="shared" si="1"/>
        <v>-65.919999999999987</v>
      </c>
      <c r="K17" s="53">
        <f t="shared" si="2"/>
        <v>577.20000000000005</v>
      </c>
    </row>
    <row r="18" spans="1:11" s="42" customFormat="1" x14ac:dyDescent="0.2">
      <c r="A18" s="41" t="s">
        <v>524</v>
      </c>
      <c r="B18" s="42" t="s">
        <v>523</v>
      </c>
      <c r="C18" s="53">
        <v>73.040000000000006</v>
      </c>
      <c r="D18" s="53">
        <v>0</v>
      </c>
      <c r="E18" s="53">
        <f t="shared" si="0"/>
        <v>73.040000000000006</v>
      </c>
      <c r="F18" s="54">
        <v>-9.48</v>
      </c>
      <c r="G18" s="53">
        <v>0</v>
      </c>
      <c r="H18" s="53">
        <v>-0.08</v>
      </c>
      <c r="I18" s="53">
        <v>0</v>
      </c>
      <c r="J18" s="53">
        <f t="shared" si="1"/>
        <v>-9.56</v>
      </c>
      <c r="K18" s="53">
        <f t="shared" si="2"/>
        <v>82.600000000000009</v>
      </c>
    </row>
    <row r="19" spans="1:11" s="42" customFormat="1" x14ac:dyDescent="0.2">
      <c r="A19" s="41" t="s">
        <v>294</v>
      </c>
      <c r="B19" s="42" t="s">
        <v>47</v>
      </c>
      <c r="C19" s="53">
        <v>292.16000000000003</v>
      </c>
      <c r="D19" s="53">
        <v>48.69</v>
      </c>
      <c r="E19" s="53">
        <f t="shared" si="0"/>
        <v>340.85</v>
      </c>
      <c r="F19" s="54">
        <f>-66.07/7*5</f>
        <v>-47.192857142857136</v>
      </c>
      <c r="G19" s="53">
        <v>0</v>
      </c>
      <c r="H19" s="54">
        <v>0.04</v>
      </c>
      <c r="I19" s="53">
        <v>0</v>
      </c>
      <c r="J19" s="53">
        <f t="shared" si="1"/>
        <v>-47.152857142857137</v>
      </c>
      <c r="K19" s="53">
        <f t="shared" si="2"/>
        <v>388.00285714285718</v>
      </c>
    </row>
    <row r="20" spans="1:11" s="42" customFormat="1" x14ac:dyDescent="0.2">
      <c r="A20" s="41" t="s">
        <v>15</v>
      </c>
      <c r="B20" s="42" t="s">
        <v>48</v>
      </c>
      <c r="C20" s="53">
        <v>438.24</v>
      </c>
      <c r="D20" s="53">
        <v>73.040000000000006</v>
      </c>
      <c r="E20" s="53">
        <f t="shared" si="0"/>
        <v>511.28000000000003</v>
      </c>
      <c r="F20" s="54">
        <v>-66.069999999999993</v>
      </c>
      <c r="G20" s="53">
        <v>0</v>
      </c>
      <c r="H20" s="54">
        <v>-0.05</v>
      </c>
      <c r="I20" s="53">
        <v>0</v>
      </c>
      <c r="J20" s="53">
        <f t="shared" si="1"/>
        <v>-66.11999999999999</v>
      </c>
      <c r="K20" s="53">
        <f t="shared" si="2"/>
        <v>577.4</v>
      </c>
    </row>
    <row r="21" spans="1:11" s="42" customFormat="1" x14ac:dyDescent="0.2">
      <c r="A21" s="41" t="s">
        <v>49</v>
      </c>
      <c r="B21" s="42" t="s">
        <v>50</v>
      </c>
      <c r="C21" s="53">
        <v>438.24</v>
      </c>
      <c r="D21" s="53">
        <v>73.040000000000006</v>
      </c>
      <c r="E21" s="53">
        <f t="shared" si="0"/>
        <v>511.28000000000003</v>
      </c>
      <c r="F21" s="54">
        <v>-66.069999999999993</v>
      </c>
      <c r="G21" s="53">
        <v>0</v>
      </c>
      <c r="H21" s="54">
        <v>-0.05</v>
      </c>
      <c r="I21" s="53">
        <v>0</v>
      </c>
      <c r="J21" s="53">
        <f t="shared" si="1"/>
        <v>-66.11999999999999</v>
      </c>
      <c r="K21" s="53">
        <f t="shared" si="2"/>
        <v>577.4</v>
      </c>
    </row>
    <row r="22" spans="1:11" s="42" customFormat="1" x14ac:dyDescent="0.2">
      <c r="A22" s="41" t="s">
        <v>51</v>
      </c>
      <c r="B22" s="42" t="s">
        <v>52</v>
      </c>
      <c r="C22" s="53">
        <v>438.24</v>
      </c>
      <c r="D22" s="53">
        <v>73.040000000000006</v>
      </c>
      <c r="E22" s="53">
        <f t="shared" si="0"/>
        <v>511.28000000000003</v>
      </c>
      <c r="F22" s="54">
        <v>-66.069999999999993</v>
      </c>
      <c r="G22" s="53">
        <v>0</v>
      </c>
      <c r="H22" s="53">
        <v>-0.09</v>
      </c>
      <c r="I22" s="53">
        <v>167.44</v>
      </c>
      <c r="J22" s="53">
        <f t="shared" si="1"/>
        <v>101.28</v>
      </c>
      <c r="K22" s="53">
        <f t="shared" si="2"/>
        <v>410</v>
      </c>
    </row>
    <row r="23" spans="1:11" s="42" customFormat="1" x14ac:dyDescent="0.2">
      <c r="A23" s="41" t="s">
        <v>295</v>
      </c>
      <c r="B23" s="42" t="s">
        <v>53</v>
      </c>
      <c r="C23" s="53">
        <v>438.24</v>
      </c>
      <c r="D23" s="53">
        <v>73.040000000000006</v>
      </c>
      <c r="E23" s="53">
        <f t="shared" si="0"/>
        <v>511.28000000000003</v>
      </c>
      <c r="F23" s="54">
        <v>-66.069999999999993</v>
      </c>
      <c r="G23" s="53">
        <v>0</v>
      </c>
      <c r="H23" s="54">
        <v>-0.05</v>
      </c>
      <c r="I23" s="53">
        <v>0</v>
      </c>
      <c r="J23" s="53">
        <f t="shared" si="1"/>
        <v>-66.11999999999999</v>
      </c>
      <c r="K23" s="53">
        <f t="shared" si="2"/>
        <v>577.4</v>
      </c>
    </row>
    <row r="24" spans="1:11" s="42" customFormat="1" x14ac:dyDescent="0.2">
      <c r="A24" s="41" t="s">
        <v>54</v>
      </c>
      <c r="B24" s="42" t="s">
        <v>55</v>
      </c>
      <c r="C24" s="53">
        <v>438.24</v>
      </c>
      <c r="D24" s="53">
        <v>73.040000000000006</v>
      </c>
      <c r="E24" s="53">
        <f t="shared" si="0"/>
        <v>511.28000000000003</v>
      </c>
      <c r="F24" s="54">
        <v>-66.069999999999993</v>
      </c>
      <c r="G24" s="53">
        <v>0</v>
      </c>
      <c r="H24" s="53">
        <v>0.15</v>
      </c>
      <c r="I24" s="53">
        <v>0</v>
      </c>
      <c r="J24" s="53">
        <f t="shared" si="1"/>
        <v>-65.919999999999987</v>
      </c>
      <c r="K24" s="53">
        <f t="shared" si="2"/>
        <v>577.20000000000005</v>
      </c>
    </row>
    <row r="25" spans="1:11" s="42" customFormat="1" x14ac:dyDescent="0.2">
      <c r="A25" s="41" t="s">
        <v>16</v>
      </c>
      <c r="B25" s="42" t="s">
        <v>56</v>
      </c>
      <c r="C25" s="53">
        <v>438.24</v>
      </c>
      <c r="D25" s="53">
        <v>73.040000000000006</v>
      </c>
      <c r="E25" s="53">
        <f t="shared" si="0"/>
        <v>511.28000000000003</v>
      </c>
      <c r="F25" s="54">
        <v>-66.069999999999993</v>
      </c>
      <c r="G25" s="53">
        <v>0</v>
      </c>
      <c r="H25" s="54">
        <v>-0.05</v>
      </c>
      <c r="I25" s="53">
        <v>0</v>
      </c>
      <c r="J25" s="53">
        <f t="shared" si="1"/>
        <v>-66.11999999999999</v>
      </c>
      <c r="K25" s="53">
        <f t="shared" si="2"/>
        <v>577.4</v>
      </c>
    </row>
    <row r="26" spans="1:11" s="42" customFormat="1" x14ac:dyDescent="0.2">
      <c r="A26" s="41" t="s">
        <v>57</v>
      </c>
      <c r="B26" s="42" t="s">
        <v>58</v>
      </c>
      <c r="C26" s="53">
        <v>438.24</v>
      </c>
      <c r="D26" s="53">
        <v>73.040000000000006</v>
      </c>
      <c r="E26" s="53">
        <f t="shared" si="0"/>
        <v>511.28000000000003</v>
      </c>
      <c r="F26" s="54">
        <v>-66.069999999999993</v>
      </c>
      <c r="G26" s="53">
        <v>0</v>
      </c>
      <c r="H26" s="54">
        <v>-0.05</v>
      </c>
      <c r="I26" s="53">
        <v>0</v>
      </c>
      <c r="J26" s="53">
        <f t="shared" si="1"/>
        <v>-66.11999999999999</v>
      </c>
      <c r="K26" s="53">
        <f t="shared" si="2"/>
        <v>577.4</v>
      </c>
    </row>
    <row r="27" spans="1:11" s="42" customFormat="1" x14ac:dyDescent="0.2">
      <c r="A27" s="41" t="s">
        <v>59</v>
      </c>
      <c r="B27" s="42" t="s">
        <v>60</v>
      </c>
      <c r="C27" s="53">
        <v>438.24</v>
      </c>
      <c r="D27" s="53">
        <v>73.040000000000006</v>
      </c>
      <c r="E27" s="53">
        <f t="shared" si="0"/>
        <v>511.28000000000003</v>
      </c>
      <c r="F27" s="54">
        <v>-66.069999999999993</v>
      </c>
      <c r="G27" s="53">
        <v>0</v>
      </c>
      <c r="H27" s="54">
        <v>-0.05</v>
      </c>
      <c r="I27" s="53">
        <v>0</v>
      </c>
      <c r="J27" s="53">
        <f t="shared" si="1"/>
        <v>-66.11999999999999</v>
      </c>
      <c r="K27" s="53">
        <f t="shared" si="2"/>
        <v>577.4</v>
      </c>
    </row>
    <row r="28" spans="1:11" s="42" customFormat="1" x14ac:dyDescent="0.2">
      <c r="A28" s="41" t="s">
        <v>61</v>
      </c>
      <c r="B28" s="42" t="s">
        <v>62</v>
      </c>
      <c r="C28" s="53">
        <v>438.24</v>
      </c>
      <c r="D28" s="53">
        <v>73.040000000000006</v>
      </c>
      <c r="E28" s="53">
        <f t="shared" si="0"/>
        <v>511.28000000000003</v>
      </c>
      <c r="F28" s="54">
        <v>-66.069999999999993</v>
      </c>
      <c r="G28" s="53">
        <v>0</v>
      </c>
      <c r="H28" s="54">
        <v>-0.05</v>
      </c>
      <c r="I28" s="53">
        <v>0</v>
      </c>
      <c r="J28" s="53">
        <f t="shared" si="1"/>
        <v>-66.11999999999999</v>
      </c>
      <c r="K28" s="53">
        <f t="shared" si="2"/>
        <v>577.4</v>
      </c>
    </row>
    <row r="29" spans="1:11" s="42" customFormat="1" x14ac:dyDescent="0.2">
      <c r="A29" s="41" t="s">
        <v>63</v>
      </c>
      <c r="B29" s="42" t="s">
        <v>64</v>
      </c>
      <c r="C29" s="53">
        <v>438.24</v>
      </c>
      <c r="D29" s="53">
        <v>73.040000000000006</v>
      </c>
      <c r="E29" s="53">
        <f t="shared" si="0"/>
        <v>511.28000000000003</v>
      </c>
      <c r="F29" s="54">
        <v>-66.069999999999993</v>
      </c>
      <c r="G29" s="53">
        <v>0</v>
      </c>
      <c r="H29" s="54">
        <v>-0.05</v>
      </c>
      <c r="I29" s="53">
        <v>0</v>
      </c>
      <c r="J29" s="53">
        <f t="shared" si="1"/>
        <v>-66.11999999999999</v>
      </c>
      <c r="K29" s="53">
        <f t="shared" si="2"/>
        <v>577.4</v>
      </c>
    </row>
    <row r="30" spans="1:11" s="42" customFormat="1" x14ac:dyDescent="0.2">
      <c r="A30" s="41" t="s">
        <v>65</v>
      </c>
      <c r="B30" s="42" t="s">
        <v>66</v>
      </c>
      <c r="C30" s="53">
        <v>438.24</v>
      </c>
      <c r="D30" s="53">
        <v>73.040000000000006</v>
      </c>
      <c r="E30" s="53">
        <f t="shared" si="0"/>
        <v>511.28000000000003</v>
      </c>
      <c r="F30" s="54">
        <v>-66.069999999999993</v>
      </c>
      <c r="G30" s="53">
        <v>0</v>
      </c>
      <c r="H30" s="53">
        <v>0.15</v>
      </c>
      <c r="I30" s="53">
        <v>0</v>
      </c>
      <c r="J30" s="53">
        <f t="shared" si="1"/>
        <v>-65.919999999999987</v>
      </c>
      <c r="K30" s="53">
        <f t="shared" si="2"/>
        <v>577.20000000000005</v>
      </c>
    </row>
    <row r="31" spans="1:11" s="42" customFormat="1" x14ac:dyDescent="0.2">
      <c r="A31" s="41" t="s">
        <v>67</v>
      </c>
      <c r="B31" s="42" t="s">
        <v>68</v>
      </c>
      <c r="C31" s="53">
        <v>438.24</v>
      </c>
      <c r="D31" s="53">
        <v>73.040000000000006</v>
      </c>
      <c r="E31" s="53">
        <f t="shared" si="0"/>
        <v>511.28000000000003</v>
      </c>
      <c r="F31" s="54">
        <v>-66.069999999999993</v>
      </c>
      <c r="G31" s="53">
        <v>0</v>
      </c>
      <c r="H31" s="53">
        <v>0.15</v>
      </c>
      <c r="I31" s="53">
        <v>0</v>
      </c>
      <c r="J31" s="53">
        <f t="shared" si="1"/>
        <v>-65.919999999999987</v>
      </c>
      <c r="K31" s="53">
        <f t="shared" si="2"/>
        <v>577.20000000000005</v>
      </c>
    </row>
    <row r="32" spans="1:11" s="42" customFormat="1" x14ac:dyDescent="0.2">
      <c r="A32" s="41" t="s">
        <v>69</v>
      </c>
      <c r="B32" s="42" t="s">
        <v>70</v>
      </c>
      <c r="C32" s="53">
        <v>438.24</v>
      </c>
      <c r="D32" s="53">
        <v>73.040000000000006</v>
      </c>
      <c r="E32" s="53">
        <f t="shared" si="0"/>
        <v>511.28000000000003</v>
      </c>
      <c r="F32" s="54">
        <v>-66.069999999999993</v>
      </c>
      <c r="G32" s="53">
        <v>0</v>
      </c>
      <c r="H32" s="53">
        <v>0.15</v>
      </c>
      <c r="I32" s="53">
        <v>0</v>
      </c>
      <c r="J32" s="53">
        <f t="shared" si="1"/>
        <v>-65.919999999999987</v>
      </c>
      <c r="K32" s="53">
        <f t="shared" si="2"/>
        <v>577.20000000000005</v>
      </c>
    </row>
    <row r="33" spans="1:11" s="42" customFormat="1" x14ac:dyDescent="0.2">
      <c r="A33" s="41" t="s">
        <v>71</v>
      </c>
      <c r="B33" s="42" t="s">
        <v>72</v>
      </c>
      <c r="C33" s="53">
        <v>438.24</v>
      </c>
      <c r="D33" s="53">
        <v>73.040000000000006</v>
      </c>
      <c r="E33" s="53">
        <f t="shared" si="0"/>
        <v>511.28000000000003</v>
      </c>
      <c r="F33" s="54">
        <v>-66.069999999999993</v>
      </c>
      <c r="G33" s="53">
        <v>0</v>
      </c>
      <c r="H33" s="54">
        <v>-0.11</v>
      </c>
      <c r="I33" s="53">
        <f>168.06</f>
        <v>168.06</v>
      </c>
      <c r="J33" s="53">
        <f t="shared" si="1"/>
        <v>101.88000000000001</v>
      </c>
      <c r="K33" s="53">
        <f t="shared" si="2"/>
        <v>409.40000000000003</v>
      </c>
    </row>
    <row r="34" spans="1:11" s="42" customFormat="1" x14ac:dyDescent="0.2">
      <c r="A34" s="41" t="s">
        <v>73</v>
      </c>
      <c r="B34" s="42" t="s">
        <v>74</v>
      </c>
      <c r="C34" s="53">
        <v>438.24</v>
      </c>
      <c r="D34" s="53">
        <v>73.040000000000006</v>
      </c>
      <c r="E34" s="53">
        <f t="shared" si="0"/>
        <v>511.28000000000003</v>
      </c>
      <c r="F34" s="54">
        <v>-66.069999999999993</v>
      </c>
      <c r="G34" s="53">
        <v>0</v>
      </c>
      <c r="H34" s="54">
        <v>-0.05</v>
      </c>
      <c r="I34" s="53">
        <v>0</v>
      </c>
      <c r="J34" s="53">
        <f t="shared" si="1"/>
        <v>-66.11999999999999</v>
      </c>
      <c r="K34" s="53">
        <f t="shared" si="2"/>
        <v>577.4</v>
      </c>
    </row>
    <row r="35" spans="1:11" s="42" customFormat="1" x14ac:dyDescent="0.2">
      <c r="A35" s="41" t="s">
        <v>77</v>
      </c>
      <c r="B35" s="42" t="s">
        <v>78</v>
      </c>
      <c r="C35" s="53">
        <v>438.24</v>
      </c>
      <c r="D35" s="53">
        <v>73.040000000000006</v>
      </c>
      <c r="E35" s="53">
        <f t="shared" si="0"/>
        <v>511.28000000000003</v>
      </c>
      <c r="F35" s="54">
        <v>-66.069999999999993</v>
      </c>
      <c r="G35" s="53">
        <v>0</v>
      </c>
      <c r="H35" s="54">
        <v>-0.05</v>
      </c>
      <c r="I35" s="53">
        <v>0</v>
      </c>
      <c r="J35" s="53">
        <f t="shared" si="1"/>
        <v>-66.11999999999999</v>
      </c>
      <c r="K35" s="53">
        <f t="shared" si="2"/>
        <v>577.4</v>
      </c>
    </row>
    <row r="36" spans="1:11" s="42" customFormat="1" x14ac:dyDescent="0.2">
      <c r="A36" s="41" t="s">
        <v>79</v>
      </c>
      <c r="B36" s="42" t="s">
        <v>80</v>
      </c>
      <c r="C36" s="53">
        <v>438.24</v>
      </c>
      <c r="D36" s="53">
        <v>73.040000000000006</v>
      </c>
      <c r="E36" s="53">
        <f t="shared" si="0"/>
        <v>511.28000000000003</v>
      </c>
      <c r="F36" s="54">
        <v>-66.069999999999993</v>
      </c>
      <c r="G36" s="53">
        <v>0</v>
      </c>
      <c r="H36" s="54">
        <v>-0.05</v>
      </c>
      <c r="I36" s="53">
        <v>0</v>
      </c>
      <c r="J36" s="53">
        <f t="shared" si="1"/>
        <v>-66.11999999999999</v>
      </c>
      <c r="K36" s="53">
        <f t="shared" si="2"/>
        <v>577.4</v>
      </c>
    </row>
    <row r="37" spans="1:11" s="56" customFormat="1" ht="15" x14ac:dyDescent="0.25">
      <c r="A37" s="41"/>
      <c r="B37" s="133" t="s">
        <v>627</v>
      </c>
      <c r="C37" s="53">
        <v>0</v>
      </c>
      <c r="D37" s="53">
        <v>0</v>
      </c>
      <c r="E37" s="53">
        <v>0</v>
      </c>
      <c r="F37" s="54">
        <v>0</v>
      </c>
      <c r="G37" s="53">
        <v>0</v>
      </c>
      <c r="H37" s="54">
        <v>0</v>
      </c>
      <c r="I37" s="53">
        <v>0</v>
      </c>
      <c r="J37" s="53">
        <f t="shared" ref="J37" si="3">SUM(F37:I37)</f>
        <v>0</v>
      </c>
      <c r="K37" s="53">
        <f t="shared" ref="K37" si="4">+E37-J37</f>
        <v>0</v>
      </c>
    </row>
    <row r="38" spans="1:11" s="42" customFormat="1" x14ac:dyDescent="0.2">
      <c r="A38" s="41" t="s">
        <v>506</v>
      </c>
      <c r="B38" s="42" t="s">
        <v>507</v>
      </c>
      <c r="C38" s="53">
        <v>219.12</v>
      </c>
      <c r="D38" s="53">
        <v>36.520000000000003</v>
      </c>
      <c r="E38" s="53">
        <f t="shared" si="0"/>
        <v>255.64000000000001</v>
      </c>
      <c r="F38" s="54">
        <v>-82.48</v>
      </c>
      <c r="G38" s="53">
        <v>0</v>
      </c>
      <c r="H38" s="54">
        <v>-0.08</v>
      </c>
      <c r="I38" s="53">
        <v>0</v>
      </c>
      <c r="J38" s="53">
        <f t="shared" si="1"/>
        <v>-82.56</v>
      </c>
      <c r="K38" s="53">
        <f t="shared" si="2"/>
        <v>338.20000000000005</v>
      </c>
    </row>
    <row r="39" spans="1:11" s="42" customFormat="1" x14ac:dyDescent="0.2">
      <c r="A39" s="41" t="s">
        <v>81</v>
      </c>
      <c r="B39" s="42" t="s">
        <v>82</v>
      </c>
      <c r="C39" s="53">
        <v>438.24</v>
      </c>
      <c r="D39" s="53">
        <v>73.040000000000006</v>
      </c>
      <c r="E39" s="53">
        <f t="shared" si="0"/>
        <v>511.28000000000003</v>
      </c>
      <c r="F39" s="54">
        <v>-66.069999999999993</v>
      </c>
      <c r="G39" s="53">
        <v>0</v>
      </c>
      <c r="H39" s="54">
        <v>-0.05</v>
      </c>
      <c r="I39" s="53">
        <v>0</v>
      </c>
      <c r="J39" s="53">
        <f t="shared" si="1"/>
        <v>-66.11999999999999</v>
      </c>
      <c r="K39" s="53">
        <f t="shared" si="2"/>
        <v>577.4</v>
      </c>
    </row>
    <row r="40" spans="1:11" s="42" customFormat="1" x14ac:dyDescent="0.2">
      <c r="A40" s="41" t="s">
        <v>83</v>
      </c>
      <c r="B40" s="42" t="s">
        <v>84</v>
      </c>
      <c r="C40" s="53">
        <v>438.24</v>
      </c>
      <c r="D40" s="53">
        <v>73.040000000000006</v>
      </c>
      <c r="E40" s="53">
        <f t="shared" si="0"/>
        <v>511.28000000000003</v>
      </c>
      <c r="F40" s="54">
        <v>-66.069999999999993</v>
      </c>
      <c r="G40" s="53">
        <v>0</v>
      </c>
      <c r="H40" s="54">
        <v>-0.05</v>
      </c>
      <c r="I40" s="53">
        <v>0</v>
      </c>
      <c r="J40" s="53">
        <f t="shared" si="1"/>
        <v>-66.11999999999999</v>
      </c>
      <c r="K40" s="53">
        <f t="shared" si="2"/>
        <v>577.4</v>
      </c>
    </row>
    <row r="41" spans="1:11" s="42" customFormat="1" x14ac:dyDescent="0.2">
      <c r="A41" s="41" t="s">
        <v>200</v>
      </c>
      <c r="B41" s="42" t="s">
        <v>201</v>
      </c>
      <c r="C41" s="53">
        <v>438.24</v>
      </c>
      <c r="D41" s="53">
        <v>73.040000000000006</v>
      </c>
      <c r="E41" s="53">
        <f t="shared" si="0"/>
        <v>511.28000000000003</v>
      </c>
      <c r="F41" s="54">
        <v>-66.069999999999993</v>
      </c>
      <c r="G41" s="53">
        <v>0</v>
      </c>
      <c r="H41" s="54">
        <v>-0.05</v>
      </c>
      <c r="I41" s="53">
        <v>0</v>
      </c>
      <c r="J41" s="53">
        <f t="shared" si="1"/>
        <v>-66.11999999999999</v>
      </c>
      <c r="K41" s="53">
        <f t="shared" si="2"/>
        <v>577.4</v>
      </c>
    </row>
    <row r="42" spans="1:11" s="42" customFormat="1" x14ac:dyDescent="0.2">
      <c r="A42" s="41" t="s">
        <v>87</v>
      </c>
      <c r="B42" s="42" t="s">
        <v>88</v>
      </c>
      <c r="C42" s="53">
        <v>438.24</v>
      </c>
      <c r="D42" s="53">
        <v>73.040000000000006</v>
      </c>
      <c r="E42" s="53">
        <f t="shared" si="0"/>
        <v>511.28000000000003</v>
      </c>
      <c r="F42" s="54">
        <v>-66.069999999999993</v>
      </c>
      <c r="G42" s="53">
        <v>0</v>
      </c>
      <c r="H42" s="53">
        <v>0.15</v>
      </c>
      <c r="I42" s="53">
        <v>0</v>
      </c>
      <c r="J42" s="53">
        <f t="shared" si="1"/>
        <v>-65.919999999999987</v>
      </c>
      <c r="K42" s="53">
        <f t="shared" si="2"/>
        <v>577.20000000000005</v>
      </c>
    </row>
    <row r="43" spans="1:11" s="42" customFormat="1" x14ac:dyDescent="0.2">
      <c r="A43" s="41" t="s">
        <v>89</v>
      </c>
      <c r="B43" s="42" t="s">
        <v>90</v>
      </c>
      <c r="C43" s="53">
        <v>438.24</v>
      </c>
      <c r="D43" s="53">
        <v>73.040000000000006</v>
      </c>
      <c r="E43" s="53">
        <f t="shared" si="0"/>
        <v>511.28000000000003</v>
      </c>
      <c r="F43" s="54">
        <v>-66.069999999999993</v>
      </c>
      <c r="G43" s="53">
        <v>0</v>
      </c>
      <c r="H43" s="54">
        <v>-0.05</v>
      </c>
      <c r="I43" s="53">
        <v>0</v>
      </c>
      <c r="J43" s="53">
        <f t="shared" si="1"/>
        <v>-66.11999999999999</v>
      </c>
      <c r="K43" s="53">
        <f t="shared" si="2"/>
        <v>577.4</v>
      </c>
    </row>
    <row r="44" spans="1:11" s="42" customFormat="1" x14ac:dyDescent="0.2">
      <c r="A44" s="41" t="s">
        <v>91</v>
      </c>
      <c r="B44" s="42" t="s">
        <v>92</v>
      </c>
      <c r="C44" s="53">
        <v>438.24</v>
      </c>
      <c r="D44" s="53">
        <v>73.040000000000006</v>
      </c>
      <c r="E44" s="53">
        <f t="shared" si="0"/>
        <v>511.28000000000003</v>
      </c>
      <c r="F44" s="54">
        <v>-66.069999999999993</v>
      </c>
      <c r="G44" s="53">
        <v>0</v>
      </c>
      <c r="H44" s="54">
        <v>-0.03</v>
      </c>
      <c r="I44" s="53">
        <v>0</v>
      </c>
      <c r="J44" s="53">
        <f t="shared" si="1"/>
        <v>-66.099999999999994</v>
      </c>
      <c r="K44" s="53">
        <f t="shared" si="2"/>
        <v>577.38</v>
      </c>
    </row>
    <row r="45" spans="1:11" s="42" customFormat="1" x14ac:dyDescent="0.2">
      <c r="A45" s="41" t="s">
        <v>93</v>
      </c>
      <c r="B45" s="42" t="s">
        <v>94</v>
      </c>
      <c r="C45" s="53">
        <v>365.2</v>
      </c>
      <c r="D45" s="53">
        <v>60.87</v>
      </c>
      <c r="E45" s="53">
        <f t="shared" si="0"/>
        <v>426.07</v>
      </c>
      <c r="F45" s="54">
        <f>-66.07/7*6</f>
        <v>-56.631428571428557</v>
      </c>
      <c r="G45" s="53">
        <v>0</v>
      </c>
      <c r="H45" s="54">
        <v>0.1</v>
      </c>
      <c r="I45" s="53">
        <v>0</v>
      </c>
      <c r="J45" s="53">
        <f t="shared" si="1"/>
        <v>-56.531428571428556</v>
      </c>
      <c r="K45" s="53">
        <f t="shared" si="2"/>
        <v>482.60142857142853</v>
      </c>
    </row>
    <row r="46" spans="1:11" s="42" customFormat="1" x14ac:dyDescent="0.2">
      <c r="A46" s="41" t="s">
        <v>95</v>
      </c>
      <c r="B46" s="42" t="s">
        <v>96</v>
      </c>
      <c r="C46" s="53">
        <v>438.24</v>
      </c>
      <c r="D46" s="53">
        <v>73.040000000000006</v>
      </c>
      <c r="E46" s="53">
        <f t="shared" si="0"/>
        <v>511.28000000000003</v>
      </c>
      <c r="F46" s="54">
        <v>-66.069999999999993</v>
      </c>
      <c r="G46" s="53">
        <v>0</v>
      </c>
      <c r="H46" s="53">
        <v>0.15</v>
      </c>
      <c r="I46" s="53">
        <v>0</v>
      </c>
      <c r="J46" s="53">
        <f t="shared" si="1"/>
        <v>-65.919999999999987</v>
      </c>
      <c r="K46" s="53">
        <f t="shared" si="2"/>
        <v>577.20000000000005</v>
      </c>
    </row>
    <row r="47" spans="1:11" s="42" customFormat="1" x14ac:dyDescent="0.2">
      <c r="A47" s="41" t="s">
        <v>97</v>
      </c>
      <c r="B47" s="42" t="s">
        <v>98</v>
      </c>
      <c r="C47" s="53">
        <v>438.24</v>
      </c>
      <c r="D47" s="53">
        <v>73.040000000000006</v>
      </c>
      <c r="E47" s="53">
        <f t="shared" si="0"/>
        <v>511.28000000000003</v>
      </c>
      <c r="F47" s="54">
        <v>-66.069999999999993</v>
      </c>
      <c r="G47" s="53">
        <v>0</v>
      </c>
      <c r="H47" s="54">
        <v>-0.05</v>
      </c>
      <c r="I47" s="53">
        <v>0</v>
      </c>
      <c r="J47" s="53">
        <f t="shared" si="1"/>
        <v>-66.11999999999999</v>
      </c>
      <c r="K47" s="53">
        <f t="shared" si="2"/>
        <v>577.4</v>
      </c>
    </row>
    <row r="48" spans="1:11" s="42" customFormat="1" x14ac:dyDescent="0.2">
      <c r="A48" s="41" t="s">
        <v>100</v>
      </c>
      <c r="B48" s="42" t="s">
        <v>101</v>
      </c>
      <c r="C48" s="53">
        <v>438.24</v>
      </c>
      <c r="D48" s="53">
        <v>73.040000000000006</v>
      </c>
      <c r="E48" s="53">
        <f t="shared" si="0"/>
        <v>511.28000000000003</v>
      </c>
      <c r="F48" s="54">
        <v>-66.069999999999993</v>
      </c>
      <c r="G48" s="53">
        <v>0</v>
      </c>
      <c r="H48" s="54">
        <v>-0.05</v>
      </c>
      <c r="I48" s="53">
        <v>0</v>
      </c>
      <c r="J48" s="53">
        <f t="shared" si="1"/>
        <v>-66.11999999999999</v>
      </c>
      <c r="K48" s="53">
        <f t="shared" si="2"/>
        <v>577.4</v>
      </c>
    </row>
    <row r="49" spans="1:11" s="42" customFormat="1" x14ac:dyDescent="0.2">
      <c r="A49" s="41" t="s">
        <v>102</v>
      </c>
      <c r="B49" s="42" t="s">
        <v>103</v>
      </c>
      <c r="C49" s="53">
        <v>438.24</v>
      </c>
      <c r="D49" s="53">
        <v>73.040000000000006</v>
      </c>
      <c r="E49" s="53">
        <f t="shared" si="0"/>
        <v>511.28000000000003</v>
      </c>
      <c r="F49" s="54">
        <v>-66.069999999999993</v>
      </c>
      <c r="G49" s="53">
        <v>0</v>
      </c>
      <c r="H49" s="54">
        <v>-0.05</v>
      </c>
      <c r="I49" s="53">
        <v>0</v>
      </c>
      <c r="J49" s="53">
        <f t="shared" si="1"/>
        <v>-66.11999999999999</v>
      </c>
      <c r="K49" s="53">
        <f t="shared" si="2"/>
        <v>577.4</v>
      </c>
    </row>
    <row r="50" spans="1:11" s="56" customFormat="1" ht="15" x14ac:dyDescent="0.25">
      <c r="A50" s="41"/>
      <c r="B50" s="133" t="s">
        <v>629</v>
      </c>
      <c r="C50" s="53">
        <v>438.24</v>
      </c>
      <c r="D50" s="53">
        <v>73.040000000000006</v>
      </c>
      <c r="E50" s="53">
        <f t="shared" ref="E50" si="5">SUM(C50:D50)</f>
        <v>511.28000000000003</v>
      </c>
      <c r="F50" s="54">
        <v>-66.069999999999993</v>
      </c>
      <c r="G50" s="53">
        <v>0</v>
      </c>
      <c r="H50" s="54">
        <v>-0.05</v>
      </c>
      <c r="I50" s="53">
        <v>0</v>
      </c>
      <c r="J50" s="53">
        <f t="shared" ref="J50" si="6">SUM(F50:I50)</f>
        <v>-66.11999999999999</v>
      </c>
      <c r="K50" s="53">
        <f t="shared" ref="K50" si="7">+E50-J50</f>
        <v>577.4</v>
      </c>
    </row>
    <row r="51" spans="1:11" s="42" customFormat="1" x14ac:dyDescent="0.2">
      <c r="A51" s="41" t="s">
        <v>104</v>
      </c>
      <c r="B51" s="42" t="s">
        <v>105</v>
      </c>
      <c r="C51" s="53">
        <v>438.24</v>
      </c>
      <c r="D51" s="53">
        <v>73.040000000000006</v>
      </c>
      <c r="E51" s="53">
        <f t="shared" si="0"/>
        <v>511.28000000000003</v>
      </c>
      <c r="F51" s="54">
        <v>-66.069999999999993</v>
      </c>
      <c r="G51" s="53">
        <v>0</v>
      </c>
      <c r="H51" s="54">
        <v>-0.05</v>
      </c>
      <c r="I51" s="53">
        <v>0</v>
      </c>
      <c r="J51" s="53">
        <f t="shared" si="1"/>
        <v>-66.11999999999999</v>
      </c>
      <c r="K51" s="53">
        <f t="shared" si="2"/>
        <v>577.4</v>
      </c>
    </row>
    <row r="52" spans="1:11" s="42" customFormat="1" x14ac:dyDescent="0.2">
      <c r="A52" s="41" t="s">
        <v>106</v>
      </c>
      <c r="B52" s="42" t="s">
        <v>107</v>
      </c>
      <c r="C52" s="53">
        <v>438.24</v>
      </c>
      <c r="D52" s="53">
        <v>73.040000000000006</v>
      </c>
      <c r="E52" s="53">
        <f t="shared" si="0"/>
        <v>511.28000000000003</v>
      </c>
      <c r="F52" s="54">
        <v>-66.069999999999993</v>
      </c>
      <c r="G52" s="53">
        <v>0</v>
      </c>
      <c r="H52" s="54">
        <v>-0.05</v>
      </c>
      <c r="I52" s="53">
        <v>0</v>
      </c>
      <c r="J52" s="53">
        <f t="shared" si="1"/>
        <v>-66.11999999999999</v>
      </c>
      <c r="K52" s="53">
        <f t="shared" si="2"/>
        <v>577.4</v>
      </c>
    </row>
    <row r="53" spans="1:11" s="42" customFormat="1" x14ac:dyDescent="0.2">
      <c r="A53" s="41" t="s">
        <v>522</v>
      </c>
      <c r="B53" s="42" t="s">
        <v>521</v>
      </c>
      <c r="C53" s="53">
        <v>73.040000000000006</v>
      </c>
      <c r="D53" s="53">
        <v>0</v>
      </c>
      <c r="E53" s="53">
        <f t="shared" si="0"/>
        <v>73.040000000000006</v>
      </c>
      <c r="F53" s="54">
        <v>-9.48</v>
      </c>
      <c r="G53" s="53">
        <v>0</v>
      </c>
      <c r="H53" s="53">
        <v>-0.08</v>
      </c>
      <c r="I53" s="53">
        <v>0</v>
      </c>
      <c r="J53" s="53">
        <f t="shared" si="1"/>
        <v>-9.56</v>
      </c>
      <c r="K53" s="53">
        <f t="shared" si="2"/>
        <v>82.600000000000009</v>
      </c>
    </row>
    <row r="54" spans="1:11" s="42" customFormat="1" x14ac:dyDescent="0.2">
      <c r="A54" s="41" t="s">
        <v>510</v>
      </c>
      <c r="B54" s="42" t="s">
        <v>511</v>
      </c>
      <c r="C54" s="53">
        <v>219.12</v>
      </c>
      <c r="D54" s="53">
        <v>36.520000000000003</v>
      </c>
      <c r="E54" s="53">
        <f t="shared" si="0"/>
        <v>255.64000000000001</v>
      </c>
      <c r="F54" s="54">
        <v>-82.48</v>
      </c>
      <c r="G54" s="53">
        <v>0</v>
      </c>
      <c r="H54" s="54">
        <v>-0.08</v>
      </c>
      <c r="I54" s="53">
        <v>0</v>
      </c>
      <c r="J54" s="53">
        <f t="shared" si="1"/>
        <v>-82.56</v>
      </c>
      <c r="K54" s="53">
        <f t="shared" si="2"/>
        <v>338.20000000000005</v>
      </c>
    </row>
    <row r="55" spans="1:11" s="42" customFormat="1" x14ac:dyDescent="0.2">
      <c r="A55" s="41" t="s">
        <v>108</v>
      </c>
      <c r="B55" s="42" t="s">
        <v>109</v>
      </c>
      <c r="C55" s="53">
        <v>438.24</v>
      </c>
      <c r="D55" s="53">
        <v>73.040000000000006</v>
      </c>
      <c r="E55" s="53">
        <f t="shared" si="0"/>
        <v>511.28000000000003</v>
      </c>
      <c r="F55" s="54">
        <v>-66.069999999999993</v>
      </c>
      <c r="G55" s="53">
        <v>0</v>
      </c>
      <c r="H55" s="54">
        <v>-0.05</v>
      </c>
      <c r="I55" s="53">
        <v>0</v>
      </c>
      <c r="J55" s="53">
        <f t="shared" si="1"/>
        <v>-66.11999999999999</v>
      </c>
      <c r="K55" s="53">
        <f t="shared" si="2"/>
        <v>577.4</v>
      </c>
    </row>
    <row r="56" spans="1:11" s="42" customFormat="1" ht="12.75" customHeight="1" x14ac:dyDescent="0.2">
      <c r="A56" s="41" t="s">
        <v>110</v>
      </c>
      <c r="B56" s="42" t="s">
        <v>111</v>
      </c>
      <c r="C56" s="53">
        <v>438.24</v>
      </c>
      <c r="D56" s="53">
        <v>73.040000000000006</v>
      </c>
      <c r="E56" s="53">
        <f t="shared" si="0"/>
        <v>511.28000000000003</v>
      </c>
      <c r="F56" s="54">
        <v>-66.069999999999993</v>
      </c>
      <c r="G56" s="53">
        <v>0</v>
      </c>
      <c r="H56" s="54">
        <v>-0.05</v>
      </c>
      <c r="I56" s="53">
        <v>0</v>
      </c>
      <c r="J56" s="53">
        <f t="shared" si="1"/>
        <v>-66.11999999999999</v>
      </c>
      <c r="K56" s="53">
        <f t="shared" si="2"/>
        <v>577.4</v>
      </c>
    </row>
    <row r="57" spans="1:11" s="42" customFormat="1" x14ac:dyDescent="0.2">
      <c r="A57" s="41" t="s">
        <v>198</v>
      </c>
      <c r="B57" s="42" t="s">
        <v>300</v>
      </c>
      <c r="C57" s="53">
        <v>438.24</v>
      </c>
      <c r="D57" s="53">
        <v>73.040000000000006</v>
      </c>
      <c r="E57" s="53">
        <f t="shared" si="0"/>
        <v>511.28000000000003</v>
      </c>
      <c r="F57" s="54">
        <v>-66.069999999999993</v>
      </c>
      <c r="G57" s="53">
        <v>0</v>
      </c>
      <c r="H57" s="54">
        <v>-0.05</v>
      </c>
      <c r="I57" s="53">
        <v>0</v>
      </c>
      <c r="J57" s="53">
        <f t="shared" si="1"/>
        <v>-66.11999999999999</v>
      </c>
      <c r="K57" s="53">
        <f t="shared" si="2"/>
        <v>577.4</v>
      </c>
    </row>
    <row r="58" spans="1:11" s="42" customFormat="1" x14ac:dyDescent="0.2">
      <c r="A58" s="41" t="s">
        <v>112</v>
      </c>
      <c r="B58" s="42" t="s">
        <v>113</v>
      </c>
      <c r="C58" s="53">
        <v>438.24</v>
      </c>
      <c r="D58" s="53">
        <v>73.040000000000006</v>
      </c>
      <c r="E58" s="53">
        <f t="shared" si="0"/>
        <v>511.28000000000003</v>
      </c>
      <c r="F58" s="54">
        <v>-66.069999999999993</v>
      </c>
      <c r="G58" s="53">
        <v>0</v>
      </c>
      <c r="H58" s="54">
        <v>-0.05</v>
      </c>
      <c r="I58" s="53">
        <v>0</v>
      </c>
      <c r="J58" s="53">
        <f t="shared" si="1"/>
        <v>-66.11999999999999</v>
      </c>
      <c r="K58" s="53">
        <f t="shared" si="2"/>
        <v>577.4</v>
      </c>
    </row>
    <row r="59" spans="1:11" s="56" customFormat="1" ht="15" x14ac:dyDescent="0.25">
      <c r="A59" s="41"/>
      <c r="B59" s="133" t="s">
        <v>633</v>
      </c>
      <c r="C59" s="53">
        <v>438.24</v>
      </c>
      <c r="D59" s="53">
        <v>73.040000000000006</v>
      </c>
      <c r="E59" s="53">
        <f t="shared" ref="E59" si="8">SUM(C59:D59)</f>
        <v>511.28000000000003</v>
      </c>
      <c r="F59" s="54">
        <v>-66.069999999999993</v>
      </c>
      <c r="G59" s="53">
        <v>0</v>
      </c>
      <c r="H59" s="54">
        <v>-0.05</v>
      </c>
      <c r="I59" s="53">
        <v>0</v>
      </c>
      <c r="J59" s="53">
        <f t="shared" ref="J59" si="9">SUM(F59:I59)</f>
        <v>-66.11999999999999</v>
      </c>
      <c r="K59" s="53">
        <f t="shared" ref="K59" si="10">+E59-J59</f>
        <v>577.4</v>
      </c>
    </row>
    <row r="60" spans="1:11" s="42" customFormat="1" x14ac:dyDescent="0.2">
      <c r="A60" s="41" t="s">
        <v>114</v>
      </c>
      <c r="B60" s="42" t="s">
        <v>115</v>
      </c>
      <c r="C60" s="53">
        <v>438.24</v>
      </c>
      <c r="D60" s="53">
        <v>73.040000000000006</v>
      </c>
      <c r="E60" s="53">
        <f t="shared" si="0"/>
        <v>511.28000000000003</v>
      </c>
      <c r="F60" s="54">
        <v>-66.069999999999993</v>
      </c>
      <c r="G60" s="53">
        <v>0</v>
      </c>
      <c r="H60" s="54">
        <v>-0.05</v>
      </c>
      <c r="I60" s="53">
        <v>0</v>
      </c>
      <c r="J60" s="53">
        <f t="shared" si="1"/>
        <v>-66.11999999999999</v>
      </c>
      <c r="K60" s="53">
        <f t="shared" si="2"/>
        <v>577.4</v>
      </c>
    </row>
    <row r="61" spans="1:11" s="42" customFormat="1" x14ac:dyDescent="0.2">
      <c r="A61" s="41" t="s">
        <v>116</v>
      </c>
      <c r="B61" s="42" t="s">
        <v>117</v>
      </c>
      <c r="C61" s="53">
        <v>438.24</v>
      </c>
      <c r="D61" s="53">
        <v>73.040000000000006</v>
      </c>
      <c r="E61" s="53">
        <f t="shared" si="0"/>
        <v>511.28000000000003</v>
      </c>
      <c r="F61" s="54">
        <v>-66.069999999999993</v>
      </c>
      <c r="G61" s="53">
        <v>0</v>
      </c>
      <c r="H61" s="54">
        <v>-0.05</v>
      </c>
      <c r="I61" s="53">
        <v>0</v>
      </c>
      <c r="J61" s="53">
        <f t="shared" si="1"/>
        <v>-66.11999999999999</v>
      </c>
      <c r="K61" s="53">
        <f t="shared" si="2"/>
        <v>577.4</v>
      </c>
    </row>
    <row r="62" spans="1:11" s="42" customFormat="1" x14ac:dyDescent="0.2">
      <c r="A62" s="41" t="s">
        <v>122</v>
      </c>
      <c r="B62" s="42" t="s">
        <v>123</v>
      </c>
      <c r="C62" s="53">
        <v>438.24</v>
      </c>
      <c r="D62" s="53">
        <v>73.040000000000006</v>
      </c>
      <c r="E62" s="53">
        <f t="shared" si="0"/>
        <v>511.28000000000003</v>
      </c>
      <c r="F62" s="54">
        <v>-66.069999999999993</v>
      </c>
      <c r="G62" s="53">
        <v>0</v>
      </c>
      <c r="H62" s="54">
        <v>-0.05</v>
      </c>
      <c r="I62" s="53">
        <v>0</v>
      </c>
      <c r="J62" s="53">
        <f t="shared" si="1"/>
        <v>-66.11999999999999</v>
      </c>
      <c r="K62" s="53">
        <f t="shared" si="2"/>
        <v>577.4</v>
      </c>
    </row>
    <row r="63" spans="1:11" s="42" customFormat="1" x14ac:dyDescent="0.2">
      <c r="A63" s="41" t="s">
        <v>118</v>
      </c>
      <c r="B63" s="42" t="s">
        <v>119</v>
      </c>
      <c r="C63" s="53">
        <v>438.24</v>
      </c>
      <c r="D63" s="53">
        <v>73.040000000000006</v>
      </c>
      <c r="E63" s="53">
        <f t="shared" si="0"/>
        <v>511.28000000000003</v>
      </c>
      <c r="F63" s="54">
        <v>-66.069999999999993</v>
      </c>
      <c r="G63" s="53">
        <v>0</v>
      </c>
      <c r="H63" s="54">
        <v>-0.05</v>
      </c>
      <c r="I63" s="53">
        <v>0</v>
      </c>
      <c r="J63" s="53">
        <f t="shared" si="1"/>
        <v>-66.11999999999999</v>
      </c>
      <c r="K63" s="53">
        <f t="shared" si="2"/>
        <v>577.4</v>
      </c>
    </row>
    <row r="64" spans="1:11" s="42" customFormat="1" x14ac:dyDescent="0.2">
      <c r="A64" s="41" t="s">
        <v>120</v>
      </c>
      <c r="B64" s="42" t="s">
        <v>121</v>
      </c>
      <c r="C64" s="53">
        <v>410.85</v>
      </c>
      <c r="D64" s="53">
        <v>68.48</v>
      </c>
      <c r="E64" s="53">
        <f t="shared" si="0"/>
        <v>479.33000000000004</v>
      </c>
      <c r="F64" s="54">
        <v>-68.12</v>
      </c>
      <c r="G64" s="53">
        <v>0</v>
      </c>
      <c r="H64" s="53">
        <v>-0.15</v>
      </c>
      <c r="I64" s="53">
        <v>0</v>
      </c>
      <c r="J64" s="53">
        <f t="shared" si="1"/>
        <v>-68.27000000000001</v>
      </c>
      <c r="K64" s="53">
        <f t="shared" si="2"/>
        <v>547.6</v>
      </c>
    </row>
    <row r="65" spans="1:11" s="42" customFormat="1" x14ac:dyDescent="0.2">
      <c r="A65" s="41" t="s">
        <v>124</v>
      </c>
      <c r="B65" s="42" t="s">
        <v>125</v>
      </c>
      <c r="C65" s="53">
        <v>438.24</v>
      </c>
      <c r="D65" s="53">
        <v>73.040000000000006</v>
      </c>
      <c r="E65" s="53">
        <f t="shared" si="0"/>
        <v>511.28000000000003</v>
      </c>
      <c r="F65" s="54">
        <v>-66.069999999999993</v>
      </c>
      <c r="G65" s="53">
        <v>0</v>
      </c>
      <c r="H65" s="54">
        <v>-0.05</v>
      </c>
      <c r="I65" s="53">
        <v>0</v>
      </c>
      <c r="J65" s="53">
        <f t="shared" si="1"/>
        <v>-66.11999999999999</v>
      </c>
      <c r="K65" s="53">
        <f t="shared" si="2"/>
        <v>577.4</v>
      </c>
    </row>
    <row r="66" spans="1:11" s="42" customFormat="1" x14ac:dyDescent="0.2">
      <c r="A66" s="41" t="s">
        <v>126</v>
      </c>
      <c r="B66" s="42" t="s">
        <v>127</v>
      </c>
      <c r="C66" s="53">
        <v>438.24</v>
      </c>
      <c r="D66" s="53">
        <v>73.040000000000006</v>
      </c>
      <c r="E66" s="53">
        <f t="shared" si="0"/>
        <v>511.28000000000003</v>
      </c>
      <c r="F66" s="54">
        <v>-66.069999999999993</v>
      </c>
      <c r="G66" s="53">
        <v>0</v>
      </c>
      <c r="H66" s="53">
        <v>0.15</v>
      </c>
      <c r="I66" s="53">
        <v>0</v>
      </c>
      <c r="J66" s="53">
        <f t="shared" si="1"/>
        <v>-65.919999999999987</v>
      </c>
      <c r="K66" s="53">
        <f t="shared" si="2"/>
        <v>577.20000000000005</v>
      </c>
    </row>
    <row r="67" spans="1:11" s="247" customFormat="1" x14ac:dyDescent="0.2">
      <c r="A67" s="55" t="s">
        <v>130</v>
      </c>
      <c r="B67" s="56" t="s">
        <v>131</v>
      </c>
      <c r="C67" s="59">
        <v>438.24</v>
      </c>
      <c r="D67" s="59">
        <v>73.040000000000006</v>
      </c>
      <c r="E67" s="59">
        <f>SUM(C67:D67)</f>
        <v>511.28000000000003</v>
      </c>
      <c r="F67" s="174">
        <v>-66.069999999999993</v>
      </c>
      <c r="G67" s="59">
        <v>0</v>
      </c>
      <c r="H67" s="174">
        <v>-0.05</v>
      </c>
      <c r="I67" s="59">
        <v>0</v>
      </c>
      <c r="J67" s="59">
        <f>SUM(F67:I67)</f>
        <v>-66.11999999999999</v>
      </c>
      <c r="K67" s="59">
        <f>+E67-J67</f>
        <v>577.4</v>
      </c>
    </row>
    <row r="68" spans="1:11" s="63" customFormat="1" ht="15" x14ac:dyDescent="0.25">
      <c r="A68" s="41"/>
      <c r="B68" s="133" t="s">
        <v>637</v>
      </c>
      <c r="C68" s="53">
        <v>438.24</v>
      </c>
      <c r="D68" s="53">
        <v>73.040000000000006</v>
      </c>
      <c r="E68" s="53">
        <f t="shared" ref="E68" si="11">SUM(C68:D68)</f>
        <v>511.28000000000003</v>
      </c>
      <c r="F68" s="54">
        <v>-66.069999999999993</v>
      </c>
      <c r="G68" s="53">
        <v>0</v>
      </c>
      <c r="H68" s="54">
        <v>-0.05</v>
      </c>
      <c r="I68" s="53">
        <v>0</v>
      </c>
      <c r="J68" s="53">
        <f t="shared" ref="J68" si="12">SUM(F68:I68)</f>
        <v>-66.11999999999999</v>
      </c>
      <c r="K68" s="53">
        <f t="shared" ref="K68" si="13">+E68-J68</f>
        <v>577.4</v>
      </c>
    </row>
    <row r="69" spans="1:11" s="42" customFormat="1" x14ac:dyDescent="0.2">
      <c r="A69" s="41" t="s">
        <v>132</v>
      </c>
      <c r="B69" s="42" t="s">
        <v>133</v>
      </c>
      <c r="C69" s="53">
        <v>438.24</v>
      </c>
      <c r="D69" s="53">
        <v>73.040000000000006</v>
      </c>
      <c r="E69" s="53">
        <f t="shared" si="0"/>
        <v>511.28000000000003</v>
      </c>
      <c r="F69" s="54">
        <v>-66.069999999999993</v>
      </c>
      <c r="G69" s="53">
        <v>0</v>
      </c>
      <c r="H69" s="54">
        <v>-0.05</v>
      </c>
      <c r="I69" s="53">
        <v>0</v>
      </c>
      <c r="J69" s="53">
        <f t="shared" si="1"/>
        <v>-66.11999999999999</v>
      </c>
      <c r="K69" s="53">
        <f t="shared" si="2"/>
        <v>577.4</v>
      </c>
    </row>
    <row r="70" spans="1:11" s="42" customFormat="1" x14ac:dyDescent="0.2">
      <c r="A70" s="41" t="s">
        <v>134</v>
      </c>
      <c r="B70" s="42" t="s">
        <v>135</v>
      </c>
      <c r="C70" s="53">
        <v>438.24</v>
      </c>
      <c r="D70" s="53">
        <v>73.040000000000006</v>
      </c>
      <c r="E70" s="53">
        <f t="shared" si="0"/>
        <v>511.28000000000003</v>
      </c>
      <c r="F70" s="54">
        <v>-66.069999999999993</v>
      </c>
      <c r="G70" s="53">
        <v>0</v>
      </c>
      <c r="H70" s="54">
        <v>-0.05</v>
      </c>
      <c r="I70" s="53">
        <v>0</v>
      </c>
      <c r="J70" s="53">
        <f t="shared" si="1"/>
        <v>-66.11999999999999</v>
      </c>
      <c r="K70" s="53">
        <f t="shared" si="2"/>
        <v>577.4</v>
      </c>
    </row>
    <row r="71" spans="1:11" s="42" customFormat="1" x14ac:dyDescent="0.2">
      <c r="A71" s="41" t="s">
        <v>136</v>
      </c>
      <c r="B71" s="42" t="s">
        <v>137</v>
      </c>
      <c r="C71" s="53">
        <v>438.24</v>
      </c>
      <c r="D71" s="53">
        <v>73.040000000000006</v>
      </c>
      <c r="E71" s="53">
        <f t="shared" si="0"/>
        <v>511.28000000000003</v>
      </c>
      <c r="F71" s="54">
        <v>-66.069999999999993</v>
      </c>
      <c r="G71" s="53">
        <v>0</v>
      </c>
      <c r="H71" s="53">
        <v>0.15</v>
      </c>
      <c r="I71" s="53">
        <v>0</v>
      </c>
      <c r="J71" s="53">
        <f t="shared" si="1"/>
        <v>-65.919999999999987</v>
      </c>
      <c r="K71" s="53">
        <f t="shared" si="2"/>
        <v>577.20000000000005</v>
      </c>
    </row>
    <row r="72" spans="1:11" s="42" customFormat="1" x14ac:dyDescent="0.2">
      <c r="A72" s="39" t="s">
        <v>202</v>
      </c>
      <c r="B72" s="39" t="s">
        <v>313</v>
      </c>
      <c r="C72" s="53">
        <v>438.24</v>
      </c>
      <c r="D72" s="53">
        <v>73.040000000000006</v>
      </c>
      <c r="E72" s="53">
        <f t="shared" si="0"/>
        <v>511.28000000000003</v>
      </c>
      <c r="F72" s="54">
        <v>-66.069999999999993</v>
      </c>
      <c r="G72" s="53">
        <v>0</v>
      </c>
      <c r="H72" s="53">
        <v>0.15</v>
      </c>
      <c r="I72" s="53">
        <v>0</v>
      </c>
      <c r="J72" s="53">
        <f t="shared" si="1"/>
        <v>-65.919999999999987</v>
      </c>
      <c r="K72" s="53">
        <f t="shared" si="2"/>
        <v>577.20000000000005</v>
      </c>
    </row>
    <row r="73" spans="1:11" s="42" customFormat="1" x14ac:dyDescent="0.2">
      <c r="A73" s="41" t="s">
        <v>138</v>
      </c>
      <c r="B73" s="42" t="s">
        <v>139</v>
      </c>
      <c r="C73" s="53">
        <v>438.24</v>
      </c>
      <c r="D73" s="53">
        <v>73.040000000000006</v>
      </c>
      <c r="E73" s="53">
        <f t="shared" si="0"/>
        <v>511.28000000000003</v>
      </c>
      <c r="F73" s="54">
        <v>-66.069999999999993</v>
      </c>
      <c r="G73" s="53">
        <v>0</v>
      </c>
      <c r="H73" s="54">
        <v>-0.05</v>
      </c>
      <c r="I73" s="53">
        <v>0</v>
      </c>
      <c r="J73" s="53">
        <f t="shared" si="1"/>
        <v>-66.11999999999999</v>
      </c>
      <c r="K73" s="53">
        <f t="shared" si="2"/>
        <v>577.4</v>
      </c>
    </row>
    <row r="74" spans="1:11" s="42" customFormat="1" x14ac:dyDescent="0.2">
      <c r="A74" s="41" t="s">
        <v>140</v>
      </c>
      <c r="B74" s="42" t="s">
        <v>141</v>
      </c>
      <c r="C74" s="53">
        <v>438.24</v>
      </c>
      <c r="D74" s="53">
        <v>73.040000000000006</v>
      </c>
      <c r="E74" s="53">
        <f t="shared" si="0"/>
        <v>511.28000000000003</v>
      </c>
      <c r="F74" s="54">
        <v>-66.069999999999993</v>
      </c>
      <c r="G74" s="53">
        <v>0</v>
      </c>
      <c r="H74" s="54">
        <v>-0.05</v>
      </c>
      <c r="I74" s="53">
        <v>0</v>
      </c>
      <c r="J74" s="53">
        <f t="shared" si="1"/>
        <v>-66.11999999999999</v>
      </c>
      <c r="K74" s="53">
        <f t="shared" si="2"/>
        <v>577.4</v>
      </c>
    </row>
    <row r="75" spans="1:11" s="42" customFormat="1" x14ac:dyDescent="0.2">
      <c r="A75" s="41" t="s">
        <v>515</v>
      </c>
      <c r="B75" s="42" t="s">
        <v>516</v>
      </c>
      <c r="C75" s="53">
        <v>219.12</v>
      </c>
      <c r="D75" s="53">
        <v>36.520000000000003</v>
      </c>
      <c r="E75" s="53">
        <f t="shared" si="0"/>
        <v>255.64000000000001</v>
      </c>
      <c r="F75" s="54">
        <v>-82.48</v>
      </c>
      <c r="G75" s="53">
        <v>0</v>
      </c>
      <c r="H75" s="54">
        <v>-0.08</v>
      </c>
      <c r="I75" s="53">
        <v>0</v>
      </c>
      <c r="J75" s="53">
        <f t="shared" si="1"/>
        <v>-82.56</v>
      </c>
      <c r="K75" s="53">
        <f t="shared" si="2"/>
        <v>338.20000000000005</v>
      </c>
    </row>
    <row r="76" spans="1:11" s="42" customFormat="1" x14ac:dyDescent="0.2">
      <c r="A76" s="41" t="s">
        <v>142</v>
      </c>
      <c r="B76" s="42" t="s">
        <v>143</v>
      </c>
      <c r="C76" s="53">
        <v>438.24</v>
      </c>
      <c r="D76" s="53">
        <v>73.040000000000006</v>
      </c>
      <c r="E76" s="53">
        <f t="shared" si="0"/>
        <v>511.28000000000003</v>
      </c>
      <c r="F76" s="54">
        <v>-66.069999999999993</v>
      </c>
      <c r="G76" s="53">
        <v>0</v>
      </c>
      <c r="H76" s="53">
        <v>0.15</v>
      </c>
      <c r="I76" s="53">
        <v>0</v>
      </c>
      <c r="J76" s="53">
        <f t="shared" si="1"/>
        <v>-65.919999999999987</v>
      </c>
      <c r="K76" s="53">
        <f t="shared" si="2"/>
        <v>577.20000000000005</v>
      </c>
    </row>
    <row r="77" spans="1:11" s="42" customFormat="1" x14ac:dyDescent="0.2">
      <c r="A77" s="41" t="s">
        <v>144</v>
      </c>
      <c r="B77" s="42" t="s">
        <v>145</v>
      </c>
      <c r="C77" s="53">
        <v>438.24</v>
      </c>
      <c r="D77" s="53">
        <v>73.040000000000006</v>
      </c>
      <c r="E77" s="53">
        <f t="shared" ref="E77:E93" si="14">SUM(C77:D77)</f>
        <v>511.28000000000003</v>
      </c>
      <c r="F77" s="54">
        <v>-66.069999999999993</v>
      </c>
      <c r="G77" s="53">
        <v>0</v>
      </c>
      <c r="H77" s="54">
        <v>-0.05</v>
      </c>
      <c r="I77" s="53">
        <v>0</v>
      </c>
      <c r="J77" s="53">
        <f t="shared" ref="J77:J93" si="15">SUM(F77:I77)</f>
        <v>-66.11999999999999</v>
      </c>
      <c r="K77" s="53">
        <f t="shared" ref="K77:K93" si="16">+E77-J77</f>
        <v>577.4</v>
      </c>
    </row>
    <row r="78" spans="1:11" s="42" customFormat="1" x14ac:dyDescent="0.2">
      <c r="A78" s="41" t="s">
        <v>189</v>
      </c>
      <c r="B78" s="42" t="s">
        <v>318</v>
      </c>
      <c r="C78" s="53">
        <v>438.24</v>
      </c>
      <c r="D78" s="53">
        <v>73.040000000000006</v>
      </c>
      <c r="E78" s="53">
        <f t="shared" si="14"/>
        <v>511.28000000000003</v>
      </c>
      <c r="F78" s="54">
        <v>-66.069999999999993</v>
      </c>
      <c r="G78" s="53">
        <v>0</v>
      </c>
      <c r="H78" s="54">
        <v>-0.05</v>
      </c>
      <c r="I78" s="53">
        <v>0</v>
      </c>
      <c r="J78" s="53">
        <f t="shared" si="15"/>
        <v>-66.11999999999999</v>
      </c>
      <c r="K78" s="53">
        <f t="shared" si="16"/>
        <v>577.4</v>
      </c>
    </row>
    <row r="79" spans="1:11" s="42" customFormat="1" x14ac:dyDescent="0.2">
      <c r="A79" s="41" t="s">
        <v>149</v>
      </c>
      <c r="B79" s="42" t="s">
        <v>150</v>
      </c>
      <c r="C79" s="53">
        <v>438.24</v>
      </c>
      <c r="D79" s="53">
        <v>73.040000000000006</v>
      </c>
      <c r="E79" s="53">
        <f t="shared" si="14"/>
        <v>511.28000000000003</v>
      </c>
      <c r="F79" s="54">
        <v>-66.069999999999993</v>
      </c>
      <c r="G79" s="53">
        <v>0</v>
      </c>
      <c r="H79" s="54">
        <v>-0.05</v>
      </c>
      <c r="I79" s="53">
        <v>0</v>
      </c>
      <c r="J79" s="53">
        <f t="shared" si="15"/>
        <v>-66.11999999999999</v>
      </c>
      <c r="K79" s="53">
        <f t="shared" si="16"/>
        <v>577.4</v>
      </c>
    </row>
    <row r="80" spans="1:11" s="42" customFormat="1" x14ac:dyDescent="0.2">
      <c r="A80" s="41" t="s">
        <v>151</v>
      </c>
      <c r="B80" s="42" t="s">
        <v>152</v>
      </c>
      <c r="C80" s="53">
        <v>438.24</v>
      </c>
      <c r="D80" s="53">
        <v>73.040000000000006</v>
      </c>
      <c r="E80" s="53">
        <f t="shared" si="14"/>
        <v>511.28000000000003</v>
      </c>
      <c r="F80" s="54">
        <v>-66.069999999999993</v>
      </c>
      <c r="G80" s="53">
        <v>0</v>
      </c>
      <c r="H80" s="54">
        <v>-0.05</v>
      </c>
      <c r="I80" s="53">
        <v>0</v>
      </c>
      <c r="J80" s="53">
        <f t="shared" si="15"/>
        <v>-66.11999999999999</v>
      </c>
      <c r="K80" s="53">
        <f t="shared" si="16"/>
        <v>577.4</v>
      </c>
    </row>
    <row r="81" spans="1:11" s="42" customFormat="1" x14ac:dyDescent="0.2">
      <c r="A81" s="41" t="s">
        <v>153</v>
      </c>
      <c r="B81" s="42" t="s">
        <v>154</v>
      </c>
      <c r="C81" s="53">
        <v>438.24</v>
      </c>
      <c r="D81" s="53">
        <v>73.040000000000006</v>
      </c>
      <c r="E81" s="53">
        <f t="shared" si="14"/>
        <v>511.28000000000003</v>
      </c>
      <c r="F81" s="54">
        <v>-66.069999999999993</v>
      </c>
      <c r="G81" s="53">
        <v>0</v>
      </c>
      <c r="H81" s="54">
        <v>-0.05</v>
      </c>
      <c r="I81" s="53">
        <v>0</v>
      </c>
      <c r="J81" s="53">
        <f t="shared" si="15"/>
        <v>-66.11999999999999</v>
      </c>
      <c r="K81" s="53">
        <f t="shared" si="16"/>
        <v>577.4</v>
      </c>
    </row>
    <row r="82" spans="1:11" s="42" customFormat="1" x14ac:dyDescent="0.2">
      <c r="A82" s="41" t="s">
        <v>321</v>
      </c>
      <c r="B82" s="42" t="s">
        <v>155</v>
      </c>
      <c r="C82" s="53">
        <v>438.24</v>
      </c>
      <c r="D82" s="53">
        <v>73.040000000000006</v>
      </c>
      <c r="E82" s="53">
        <f t="shared" si="14"/>
        <v>511.28000000000003</v>
      </c>
      <c r="F82" s="54">
        <v>-66.069999999999993</v>
      </c>
      <c r="G82" s="53">
        <v>0</v>
      </c>
      <c r="H82" s="53">
        <v>0.15</v>
      </c>
      <c r="I82" s="53">
        <v>0</v>
      </c>
      <c r="J82" s="53">
        <f t="shared" si="15"/>
        <v>-65.919999999999987</v>
      </c>
      <c r="K82" s="53">
        <f t="shared" si="16"/>
        <v>577.20000000000005</v>
      </c>
    </row>
    <row r="83" spans="1:11" s="42" customFormat="1" x14ac:dyDescent="0.2">
      <c r="A83" s="41" t="s">
        <v>156</v>
      </c>
      <c r="B83" s="42" t="s">
        <v>157</v>
      </c>
      <c r="C83" s="53">
        <v>438.24</v>
      </c>
      <c r="D83" s="53">
        <v>73.040000000000006</v>
      </c>
      <c r="E83" s="53">
        <f t="shared" si="14"/>
        <v>511.28000000000003</v>
      </c>
      <c r="F83" s="54">
        <v>-66.069999999999993</v>
      </c>
      <c r="G83" s="53">
        <v>0</v>
      </c>
      <c r="H83" s="53">
        <v>0.15</v>
      </c>
      <c r="I83" s="53">
        <v>0</v>
      </c>
      <c r="J83" s="53">
        <f t="shared" si="15"/>
        <v>-65.919999999999987</v>
      </c>
      <c r="K83" s="53">
        <f t="shared" si="16"/>
        <v>577.20000000000005</v>
      </c>
    </row>
    <row r="84" spans="1:11" s="42" customFormat="1" x14ac:dyDescent="0.2">
      <c r="A84" s="41" t="s">
        <v>517</v>
      </c>
      <c r="B84" s="42" t="s">
        <v>518</v>
      </c>
      <c r="C84" s="53">
        <v>438.24</v>
      </c>
      <c r="D84" s="53">
        <v>73.040000000000006</v>
      </c>
      <c r="E84" s="53">
        <f t="shared" si="14"/>
        <v>511.28000000000003</v>
      </c>
      <c r="F84" s="54">
        <v>-66.069999999999993</v>
      </c>
      <c r="G84" s="53">
        <v>0</v>
      </c>
      <c r="H84" s="54">
        <v>-0.05</v>
      </c>
      <c r="I84" s="53">
        <v>0</v>
      </c>
      <c r="J84" s="53">
        <f t="shared" si="15"/>
        <v>-66.11999999999999</v>
      </c>
      <c r="K84" s="53">
        <f t="shared" si="16"/>
        <v>577.4</v>
      </c>
    </row>
    <row r="85" spans="1:11" s="42" customFormat="1" x14ac:dyDescent="0.2">
      <c r="A85" s="41" t="s">
        <v>158</v>
      </c>
      <c r="B85" s="42" t="s">
        <v>159</v>
      </c>
      <c r="C85" s="53">
        <v>438.24</v>
      </c>
      <c r="D85" s="53">
        <v>73.040000000000006</v>
      </c>
      <c r="E85" s="53">
        <f t="shared" si="14"/>
        <v>511.28000000000003</v>
      </c>
      <c r="F85" s="54">
        <v>-66.069999999999993</v>
      </c>
      <c r="G85" s="53">
        <v>0</v>
      </c>
      <c r="H85" s="54">
        <v>-0.05</v>
      </c>
      <c r="I85" s="53">
        <v>0</v>
      </c>
      <c r="J85" s="53">
        <f t="shared" si="15"/>
        <v>-66.11999999999999</v>
      </c>
      <c r="K85" s="53">
        <f t="shared" si="16"/>
        <v>577.4</v>
      </c>
    </row>
    <row r="86" spans="1:11" s="42" customFormat="1" x14ac:dyDescent="0.2">
      <c r="A86" s="41" t="s">
        <v>160</v>
      </c>
      <c r="B86" s="42" t="s">
        <v>161</v>
      </c>
      <c r="C86" s="53">
        <v>438.24</v>
      </c>
      <c r="D86" s="53">
        <v>73.040000000000006</v>
      </c>
      <c r="E86" s="53">
        <f t="shared" si="14"/>
        <v>511.28000000000003</v>
      </c>
      <c r="F86" s="54">
        <v>-66.069999999999993</v>
      </c>
      <c r="G86" s="53">
        <v>0</v>
      </c>
      <c r="H86" s="53">
        <v>0.15</v>
      </c>
      <c r="I86" s="53">
        <v>0</v>
      </c>
      <c r="J86" s="53">
        <f t="shared" si="15"/>
        <v>-65.919999999999987</v>
      </c>
      <c r="K86" s="53">
        <f t="shared" si="16"/>
        <v>577.20000000000005</v>
      </c>
    </row>
    <row r="87" spans="1:11" s="42" customFormat="1" x14ac:dyDescent="0.2">
      <c r="A87" s="41" t="s">
        <v>162</v>
      </c>
      <c r="B87" s="42" t="s">
        <v>163</v>
      </c>
      <c r="C87" s="53">
        <v>438.24</v>
      </c>
      <c r="D87" s="53">
        <v>73.040000000000006</v>
      </c>
      <c r="E87" s="53">
        <f t="shared" si="14"/>
        <v>511.28000000000003</v>
      </c>
      <c r="F87" s="54">
        <v>-66.069999999999993</v>
      </c>
      <c r="G87" s="53">
        <v>0</v>
      </c>
      <c r="H87" s="54">
        <v>-0.05</v>
      </c>
      <c r="I87" s="53">
        <v>0</v>
      </c>
      <c r="J87" s="53">
        <f t="shared" si="15"/>
        <v>-66.11999999999999</v>
      </c>
      <c r="K87" s="53">
        <f t="shared" si="16"/>
        <v>577.4</v>
      </c>
    </row>
    <row r="88" spans="1:11" s="42" customFormat="1" x14ac:dyDescent="0.2">
      <c r="A88" s="41" t="s">
        <v>164</v>
      </c>
      <c r="B88" s="42" t="s">
        <v>165</v>
      </c>
      <c r="C88" s="53">
        <v>438.24</v>
      </c>
      <c r="D88" s="53">
        <v>73.040000000000006</v>
      </c>
      <c r="E88" s="53">
        <f t="shared" si="14"/>
        <v>511.28000000000003</v>
      </c>
      <c r="F88" s="54">
        <v>-66.069999999999993</v>
      </c>
      <c r="G88" s="53">
        <v>0</v>
      </c>
      <c r="H88" s="54">
        <v>-0.05</v>
      </c>
      <c r="I88" s="53">
        <v>0</v>
      </c>
      <c r="J88" s="53">
        <f t="shared" si="15"/>
        <v>-66.11999999999999</v>
      </c>
      <c r="K88" s="53">
        <f t="shared" si="16"/>
        <v>577.4</v>
      </c>
    </row>
    <row r="89" spans="1:11" s="42" customFormat="1" x14ac:dyDescent="0.2">
      <c r="A89" s="41" t="s">
        <v>166</v>
      </c>
      <c r="B89" s="42" t="s">
        <v>167</v>
      </c>
      <c r="C89" s="53">
        <v>438.24</v>
      </c>
      <c r="D89" s="53">
        <v>73.040000000000006</v>
      </c>
      <c r="E89" s="53">
        <f t="shared" si="14"/>
        <v>511.28000000000003</v>
      </c>
      <c r="F89" s="54">
        <v>-66.069999999999993</v>
      </c>
      <c r="G89" s="53">
        <v>0</v>
      </c>
      <c r="H89" s="54">
        <v>-0.05</v>
      </c>
      <c r="I89" s="53">
        <v>0</v>
      </c>
      <c r="J89" s="53">
        <f t="shared" si="15"/>
        <v>-66.11999999999999</v>
      </c>
      <c r="K89" s="53">
        <f t="shared" si="16"/>
        <v>577.4</v>
      </c>
    </row>
    <row r="90" spans="1:11" s="42" customFormat="1" x14ac:dyDescent="0.2">
      <c r="A90" s="41" t="s">
        <v>168</v>
      </c>
      <c r="B90" s="42" t="s">
        <v>169</v>
      </c>
      <c r="C90" s="53">
        <v>438.24</v>
      </c>
      <c r="D90" s="53">
        <v>73.040000000000006</v>
      </c>
      <c r="E90" s="53">
        <f t="shared" si="14"/>
        <v>511.28000000000003</v>
      </c>
      <c r="F90" s="54">
        <v>-66.069999999999993</v>
      </c>
      <c r="G90" s="53">
        <v>0</v>
      </c>
      <c r="H90" s="53">
        <v>0.15</v>
      </c>
      <c r="I90" s="53">
        <v>0</v>
      </c>
      <c r="J90" s="53">
        <f t="shared" si="15"/>
        <v>-65.919999999999987</v>
      </c>
      <c r="K90" s="53">
        <f t="shared" si="16"/>
        <v>577.20000000000005</v>
      </c>
    </row>
    <row r="91" spans="1:11" s="42" customFormat="1" x14ac:dyDescent="0.2">
      <c r="A91" s="41" t="s">
        <v>170</v>
      </c>
      <c r="B91" s="42" t="s">
        <v>171</v>
      </c>
      <c r="C91" s="53">
        <v>438.24</v>
      </c>
      <c r="D91" s="53">
        <v>73.040000000000006</v>
      </c>
      <c r="E91" s="53">
        <f t="shared" si="14"/>
        <v>511.28000000000003</v>
      </c>
      <c r="F91" s="54">
        <v>-66.069999999999993</v>
      </c>
      <c r="G91" s="53">
        <v>0</v>
      </c>
      <c r="H91" s="54">
        <v>-0.05</v>
      </c>
      <c r="I91" s="53">
        <v>0</v>
      </c>
      <c r="J91" s="53">
        <f t="shared" si="15"/>
        <v>-66.11999999999999</v>
      </c>
      <c r="K91" s="53">
        <f t="shared" si="16"/>
        <v>577.4</v>
      </c>
    </row>
    <row r="92" spans="1:11" s="42" customFormat="1" x14ac:dyDescent="0.2">
      <c r="A92" s="41" t="s">
        <v>172</v>
      </c>
      <c r="B92" s="42" t="s">
        <v>173</v>
      </c>
      <c r="C92" s="53">
        <v>438.24</v>
      </c>
      <c r="D92" s="53">
        <v>73.040000000000006</v>
      </c>
      <c r="E92" s="53">
        <f t="shared" si="14"/>
        <v>511.28000000000003</v>
      </c>
      <c r="F92" s="54">
        <v>-66.069999999999993</v>
      </c>
      <c r="G92" s="53">
        <v>0</v>
      </c>
      <c r="H92" s="54">
        <v>-0.05</v>
      </c>
      <c r="I92" s="53">
        <v>0</v>
      </c>
      <c r="J92" s="53">
        <f t="shared" si="15"/>
        <v>-66.11999999999999</v>
      </c>
      <c r="K92" s="53">
        <f t="shared" si="16"/>
        <v>577.4</v>
      </c>
    </row>
    <row r="93" spans="1:11" s="42" customFormat="1" x14ac:dyDescent="0.2">
      <c r="A93" s="41" t="s">
        <v>174</v>
      </c>
      <c r="B93" s="42" t="s">
        <v>175</v>
      </c>
      <c r="C93" s="53">
        <v>438.24</v>
      </c>
      <c r="D93" s="53">
        <v>73.040000000000006</v>
      </c>
      <c r="E93" s="53">
        <f t="shared" si="14"/>
        <v>511.28000000000003</v>
      </c>
      <c r="F93" s="54">
        <v>-66.069999999999993</v>
      </c>
      <c r="G93" s="53">
        <v>0</v>
      </c>
      <c r="H93" s="54">
        <v>-0.05</v>
      </c>
      <c r="I93" s="53">
        <v>0</v>
      </c>
      <c r="J93" s="53">
        <f t="shared" si="15"/>
        <v>-66.11999999999999</v>
      </c>
      <c r="K93" s="53">
        <f t="shared" si="16"/>
        <v>577.4</v>
      </c>
    </row>
    <row r="94" spans="1:11" s="56" customFormat="1" x14ac:dyDescent="0.2"/>
    <row r="95" spans="1:11" s="56" customFormat="1" ht="12.75" thickBot="1" x14ac:dyDescent="0.25">
      <c r="A95" s="55"/>
      <c r="C95" s="178">
        <f>SUM(C10:C93)</f>
        <v>34301.41000000004</v>
      </c>
      <c r="D95" s="178">
        <f t="shared" ref="D95:J95" si="17">SUM(D10:D93)</f>
        <v>5692.5599999999986</v>
      </c>
      <c r="E95" s="178">
        <f t="shared" si="17"/>
        <v>39993.969999999958</v>
      </c>
      <c r="F95" s="178">
        <f t="shared" si="17"/>
        <v>-5327.524285714283</v>
      </c>
      <c r="G95" s="178">
        <f t="shared" si="17"/>
        <v>0</v>
      </c>
      <c r="H95" s="178">
        <f t="shared" si="17"/>
        <v>-1.1900000000000017</v>
      </c>
      <c r="I95" s="178">
        <f t="shared" si="17"/>
        <v>335.5</v>
      </c>
      <c r="J95" s="178">
        <f t="shared" si="17"/>
        <v>-4993.2142857142817</v>
      </c>
      <c r="K95" s="178">
        <f>SUM(K10:K93)</f>
        <v>44987.18428571432</v>
      </c>
    </row>
    <row r="96" spans="1:11" s="56" customFormat="1" ht="12" thickTop="1" x14ac:dyDescent="0.2">
      <c r="A96" s="55"/>
      <c r="K96" s="59"/>
    </row>
    <row r="97" spans="1:11" s="56" customFormat="1" x14ac:dyDescent="0.2">
      <c r="A97" s="55"/>
      <c r="K97" s="59"/>
    </row>
    <row r="98" spans="1:11" x14ac:dyDescent="0.2">
      <c r="A98" s="55"/>
      <c r="B98" s="56"/>
      <c r="C98" s="56"/>
      <c r="D98" s="56"/>
      <c r="E98" s="56"/>
      <c r="F98" s="56"/>
      <c r="G98" s="56"/>
      <c r="H98" s="56"/>
      <c r="I98" s="56"/>
      <c r="J98" s="56"/>
      <c r="K98" s="56"/>
    </row>
    <row r="104" spans="1:11" x14ac:dyDescent="0.2">
      <c r="A104" s="71"/>
      <c r="B104" s="70"/>
      <c r="C104" s="72"/>
      <c r="D104" s="72"/>
      <c r="E104" s="72"/>
      <c r="F104" s="48"/>
      <c r="G104" s="72"/>
      <c r="H104" s="72"/>
      <c r="I104" s="72"/>
      <c r="J104" s="72"/>
      <c r="K104" s="72"/>
    </row>
    <row r="105" spans="1:11" x14ac:dyDescent="0.2">
      <c r="A105" s="71"/>
      <c r="B105" s="70"/>
      <c r="C105" s="72"/>
      <c r="D105" s="72"/>
      <c r="E105" s="72"/>
      <c r="F105" s="48"/>
      <c r="G105" s="72"/>
      <c r="H105" s="72"/>
      <c r="I105" s="72"/>
      <c r="J105" s="72"/>
      <c r="K105" s="72"/>
    </row>
    <row r="106" spans="1:11" x14ac:dyDescent="0.2">
      <c r="A106" s="41" t="s">
        <v>75</v>
      </c>
      <c r="B106" s="42" t="s">
        <v>76</v>
      </c>
      <c r="C106" s="53">
        <v>438.24</v>
      </c>
      <c r="D106" s="53">
        <v>73.040000000000006</v>
      </c>
      <c r="E106" s="53">
        <f>SUM(C106:D106)</f>
        <v>511.28000000000003</v>
      </c>
      <c r="F106" s="54">
        <v>-66.069999999999993</v>
      </c>
      <c r="G106" s="53">
        <v>0</v>
      </c>
      <c r="H106" s="54">
        <v>-0.05</v>
      </c>
      <c r="I106" s="53">
        <v>0</v>
      </c>
      <c r="J106" s="53">
        <f>SUM(F106:I106)</f>
        <v>-66.11999999999999</v>
      </c>
      <c r="K106" s="53">
        <f>+E106-J106</f>
        <v>577.4</v>
      </c>
    </row>
    <row r="107" spans="1:11" x14ac:dyDescent="0.2">
      <c r="A107" s="55" t="s">
        <v>85</v>
      </c>
      <c r="B107" s="56" t="s">
        <v>86</v>
      </c>
      <c r="C107" s="59">
        <v>438.24</v>
      </c>
      <c r="D107" s="59">
        <v>73.040000000000006</v>
      </c>
      <c r="E107" s="59">
        <f>SUM(C107:D107)</f>
        <v>511.28000000000003</v>
      </c>
      <c r="F107" s="174">
        <v>-66.069999999999993</v>
      </c>
      <c r="G107" s="59">
        <v>0</v>
      </c>
      <c r="H107" s="174">
        <v>-0.05</v>
      </c>
      <c r="I107" s="59">
        <v>0</v>
      </c>
      <c r="J107" s="59">
        <f>SUM(F107:I107)</f>
        <v>-66.11999999999999</v>
      </c>
      <c r="K107" s="59">
        <f>+E107-J107</f>
        <v>577.4</v>
      </c>
    </row>
    <row r="108" spans="1:11" x14ac:dyDescent="0.2">
      <c r="A108" s="41" t="s">
        <v>128</v>
      </c>
      <c r="B108" s="42" t="s">
        <v>129</v>
      </c>
      <c r="C108" s="53">
        <v>438.24</v>
      </c>
      <c r="D108" s="53">
        <v>73.040000000000006</v>
      </c>
      <c r="E108" s="53">
        <f>SUM(C108:D108)</f>
        <v>511.28000000000003</v>
      </c>
      <c r="F108" s="54">
        <v>-66.069999999999993</v>
      </c>
      <c r="G108" s="53">
        <v>0</v>
      </c>
      <c r="H108" s="53">
        <v>0.15</v>
      </c>
      <c r="I108" s="53">
        <v>0</v>
      </c>
      <c r="J108" s="53">
        <f>SUM(F108:I108)</f>
        <v>-65.919999999999987</v>
      </c>
      <c r="K108" s="53">
        <f>+E108-J108</f>
        <v>577.20000000000005</v>
      </c>
    </row>
    <row r="109" spans="1:11" x14ac:dyDescent="0.2">
      <c r="A109" s="55" t="s">
        <v>147</v>
      </c>
      <c r="B109" s="56" t="s">
        <v>148</v>
      </c>
      <c r="C109" s="59">
        <v>438.24</v>
      </c>
      <c r="D109" s="59">
        <v>73.040000000000006</v>
      </c>
      <c r="E109" s="59">
        <f>SUM(C109:D109)</f>
        <v>511.28000000000003</v>
      </c>
      <c r="F109" s="174">
        <v>-66.069999999999993</v>
      </c>
      <c r="G109" s="59">
        <v>0</v>
      </c>
      <c r="H109" s="59">
        <v>0.15</v>
      </c>
      <c r="I109" s="59">
        <v>0</v>
      </c>
      <c r="J109" s="59">
        <f>SUM(F109:I109)</f>
        <v>-65.919999999999987</v>
      </c>
      <c r="K109" s="59">
        <f>+E109-J109</f>
        <v>577.20000000000005</v>
      </c>
    </row>
    <row r="110" spans="1:11" x14ac:dyDescent="0.2">
      <c r="A110" s="55" t="s">
        <v>176</v>
      </c>
      <c r="B110" s="56" t="s">
        <v>177</v>
      </c>
      <c r="C110" s="59">
        <v>438.24</v>
      </c>
      <c r="D110" s="59">
        <v>73.040000000000006</v>
      </c>
      <c r="E110" s="59">
        <f>SUM(C110:D110)</f>
        <v>511.28000000000003</v>
      </c>
      <c r="F110" s="174">
        <v>-66.069999999999993</v>
      </c>
      <c r="G110" s="59">
        <v>0</v>
      </c>
      <c r="H110" s="174">
        <v>-0.05</v>
      </c>
      <c r="I110" s="59">
        <v>0</v>
      </c>
      <c r="J110" s="59">
        <f>SUM(F110:I110)</f>
        <v>-66.11999999999999</v>
      </c>
      <c r="K110" s="59">
        <f>+E110-J110</f>
        <v>577.4</v>
      </c>
    </row>
  </sheetData>
  <mergeCells count="4">
    <mergeCell ref="B2:F2"/>
    <mergeCell ref="B3:F3"/>
    <mergeCell ref="B4:F4"/>
    <mergeCell ref="B1:C1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="115" zoomScaleNormal="115" workbookViewId="0">
      <pane xSplit="2" ySplit="9" topLeftCell="J76" activePane="bottomRight" state="frozen"/>
      <selection pane="topRight" activeCell="C1" sqref="C1"/>
      <selection pane="bottomLeft" activeCell="A10" sqref="A10"/>
      <selection pane="bottomRight" activeCell="P100" sqref="P10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" style="1" bestFit="1" customWidth="1"/>
    <col min="4" max="4" width="13.5703125" style="1" bestFit="1" customWidth="1"/>
    <col min="5" max="5" width="13" style="1" bestFit="1" customWidth="1"/>
    <col min="6" max="9" width="13" style="70" customWidth="1"/>
    <col min="10" max="13" width="13" style="1" bestFit="1" customWidth="1"/>
    <col min="14" max="14" width="12.7109375" style="1" customWidth="1"/>
    <col min="15" max="15" width="11.42578125" style="1"/>
    <col min="16" max="16" width="13" style="1" bestFit="1" customWidth="1"/>
    <col min="17" max="16384" width="11.42578125" style="1"/>
  </cols>
  <sheetData>
    <row r="1" spans="1:16" ht="18" customHeight="1" x14ac:dyDescent="0.25">
      <c r="A1" s="3" t="s">
        <v>0</v>
      </c>
      <c r="B1" s="276" t="s">
        <v>19</v>
      </c>
      <c r="C1" s="274"/>
    </row>
    <row r="2" spans="1:16" ht="24.95" customHeight="1" x14ac:dyDescent="0.2">
      <c r="A2" s="4" t="s">
        <v>1</v>
      </c>
      <c r="B2" s="11" t="s">
        <v>2</v>
      </c>
      <c r="C2" s="12"/>
    </row>
    <row r="3" spans="1:16" ht="15.75" x14ac:dyDescent="0.25">
      <c r="B3" s="273" t="s">
        <v>3</v>
      </c>
      <c r="C3" s="274"/>
    </row>
    <row r="4" spans="1:16" ht="15" x14ac:dyDescent="0.25">
      <c r="B4" s="13" t="str">
        <f>+FACTURACIÓN!B4</f>
        <v>Periodo 7 al 7 Semanal del 10/02/2016 al 16/02/2016</v>
      </c>
      <c r="C4" s="14"/>
    </row>
    <row r="5" spans="1:16" x14ac:dyDescent="0.2">
      <c r="B5" s="6" t="s">
        <v>4</v>
      </c>
    </row>
    <row r="6" spans="1:16" x14ac:dyDescent="0.2">
      <c r="B6" s="6" t="s">
        <v>5</v>
      </c>
    </row>
    <row r="7" spans="1:16" ht="23.25" thickBot="1" x14ac:dyDescent="0.25">
      <c r="F7" s="22" t="s">
        <v>368</v>
      </c>
      <c r="G7" s="22" t="s">
        <v>362</v>
      </c>
      <c r="H7" s="22" t="s">
        <v>363</v>
      </c>
      <c r="I7" s="22" t="s">
        <v>364</v>
      </c>
      <c r="J7" s="22" t="s">
        <v>365</v>
      </c>
      <c r="K7" s="22" t="s">
        <v>337</v>
      </c>
      <c r="L7" s="22" t="s">
        <v>526</v>
      </c>
      <c r="M7" s="22" t="s">
        <v>616</v>
      </c>
      <c r="N7" s="22" t="s">
        <v>644</v>
      </c>
    </row>
    <row r="8" spans="1:16" s="5" customFormat="1" ht="35.25" thickTop="1" thickBot="1" x14ac:dyDescent="0.25">
      <c r="A8" s="8" t="s">
        <v>6</v>
      </c>
      <c r="B8" s="9" t="s">
        <v>7</v>
      </c>
      <c r="C8" s="16" t="s">
        <v>28</v>
      </c>
      <c r="D8" s="16" t="s">
        <v>29</v>
      </c>
      <c r="E8" s="15" t="s">
        <v>9</v>
      </c>
      <c r="F8" s="22" t="s">
        <v>368</v>
      </c>
      <c r="G8" s="22" t="s">
        <v>362</v>
      </c>
      <c r="H8" s="22" t="s">
        <v>363</v>
      </c>
      <c r="I8" s="22" t="s">
        <v>364</v>
      </c>
      <c r="J8" s="22" t="s">
        <v>365</v>
      </c>
      <c r="K8" s="22" t="s">
        <v>337</v>
      </c>
      <c r="L8" s="22" t="s">
        <v>526</v>
      </c>
      <c r="M8" s="22" t="s">
        <v>616</v>
      </c>
      <c r="N8" s="22" t="s">
        <v>644</v>
      </c>
      <c r="O8" s="15" t="s">
        <v>12</v>
      </c>
      <c r="P8" s="31" t="s">
        <v>13</v>
      </c>
    </row>
    <row r="9" spans="1:16" ht="12" thickTop="1" x14ac:dyDescent="0.2">
      <c r="M9" s="187"/>
      <c r="N9" s="187"/>
    </row>
    <row r="10" spans="1:16" s="56" customFormat="1" x14ac:dyDescent="0.2">
      <c r="A10" s="41" t="s">
        <v>35</v>
      </c>
      <c r="B10" s="42" t="s">
        <v>36</v>
      </c>
      <c r="C10" s="58">
        <f>+FACTURACIÓN!C9+FACTURACIÓN!D9+FACTURACIÓN!E9+FACTURACIÓN!F9-'C&amp;A'!K10-'C&amp;A'!G10-'C&amp;A'!I10</f>
        <v>4543.0300000000007</v>
      </c>
      <c r="D10" s="59">
        <v>0</v>
      </c>
      <c r="E10" s="60">
        <f>SUM(C10:D10)</f>
        <v>4543.0300000000007</v>
      </c>
      <c r="F10" s="60">
        <f>+FACTURACIÓN!H9</f>
        <v>0</v>
      </c>
      <c r="G10" s="60">
        <f>+FACTURACIÓN!I9</f>
        <v>0</v>
      </c>
      <c r="H10" s="60">
        <f>+FACTURACIÓN!J9</f>
        <v>0</v>
      </c>
      <c r="I10" s="60">
        <f>+FACTURACIÓN!K9</f>
        <v>0</v>
      </c>
      <c r="J10" s="60">
        <f>+FACTURACIÓN!L9</f>
        <v>0</v>
      </c>
      <c r="K10" s="60">
        <f>+FACTURACIÓN!M9</f>
        <v>0</v>
      </c>
      <c r="L10" s="60">
        <f>+FACTURACIÓN!N9</f>
        <v>512.04300000000001</v>
      </c>
      <c r="M10" s="60">
        <f>+FACTURACIÓN!O9</f>
        <v>0</v>
      </c>
      <c r="N10" s="60">
        <f>+FACTURACIÓN!P9</f>
        <v>0</v>
      </c>
      <c r="O10" s="59">
        <f>SUM(F10:N10)</f>
        <v>512.04300000000001</v>
      </c>
      <c r="P10" s="64">
        <f>+E10-O10</f>
        <v>4030.9870000000005</v>
      </c>
    </row>
    <row r="11" spans="1:16" s="56" customFormat="1" x14ac:dyDescent="0.2">
      <c r="A11" s="41" t="s">
        <v>37</v>
      </c>
      <c r="B11" s="42" t="s">
        <v>38</v>
      </c>
      <c r="C11" s="58">
        <f>+FACTURACIÓN!C10+FACTURACIÓN!D10+FACTURACIÓN!E10+FACTURACIÓN!F10-'C&amp;A'!K11-'C&amp;A'!G11-'C&amp;A'!I11</f>
        <v>61762.38</v>
      </c>
      <c r="D11" s="59">
        <v>0</v>
      </c>
      <c r="E11" s="60">
        <f t="shared" ref="E11:E74" si="0">SUM(C11:D11)</f>
        <v>61762.38</v>
      </c>
      <c r="F11" s="60">
        <f>+FACTURACIÓN!H10</f>
        <v>0</v>
      </c>
      <c r="G11" s="60">
        <f>+FACTURACIÓN!I10</f>
        <v>0</v>
      </c>
      <c r="H11" s="60">
        <f>+FACTURACIÓN!J10</f>
        <v>0</v>
      </c>
      <c r="I11" s="60">
        <f>+FACTURACIÓN!K10</f>
        <v>0</v>
      </c>
      <c r="J11" s="60">
        <f>+FACTURACIÓN!L10</f>
        <v>0</v>
      </c>
      <c r="K11" s="60">
        <f>+FACTURACIÓN!M10</f>
        <v>0</v>
      </c>
      <c r="L11" s="60">
        <f>+FACTURACIÓN!N10</f>
        <v>6233.9780000000001</v>
      </c>
      <c r="M11" s="60">
        <f>+FACTURACIÓN!O10</f>
        <v>0</v>
      </c>
      <c r="N11" s="60">
        <f>+FACTURACIÓN!P10</f>
        <v>0</v>
      </c>
      <c r="O11" s="59">
        <f t="shared" ref="O11:O74" si="1">SUM(F11:N11)</f>
        <v>6233.9780000000001</v>
      </c>
      <c r="P11" s="64">
        <f t="shared" ref="P11:P74" si="2">+E11-O11</f>
        <v>55528.401999999995</v>
      </c>
    </row>
    <row r="12" spans="1:16" s="56" customFormat="1" x14ac:dyDescent="0.2">
      <c r="A12" s="41" t="s">
        <v>39</v>
      </c>
      <c r="B12" s="42" t="s">
        <v>40</v>
      </c>
      <c r="C12" s="58">
        <f>+FACTURACIÓN!C11+FACTURACIÓN!D11+FACTURACIÓN!E11+FACTURACIÓN!F11-'C&amp;A'!K12-'C&amp;A'!G12-'C&amp;A'!I12</f>
        <v>5023.97</v>
      </c>
      <c r="D12" s="59">
        <v>0</v>
      </c>
      <c r="E12" s="60">
        <f t="shared" si="0"/>
        <v>5023.97</v>
      </c>
      <c r="F12" s="60">
        <f>+FACTURACIÓN!H11</f>
        <v>0</v>
      </c>
      <c r="G12" s="60">
        <f>+FACTURACIÓN!I11</f>
        <v>0</v>
      </c>
      <c r="H12" s="60">
        <f>+FACTURACIÓN!J11</f>
        <v>274.46713</v>
      </c>
      <c r="I12" s="60">
        <f>+FACTURACIÓN!K11</f>
        <v>56.0137</v>
      </c>
      <c r="J12" s="60">
        <f>+FACTURACIÓN!L11</f>
        <v>0</v>
      </c>
      <c r="K12" s="60">
        <f>+FACTURACIÓN!M11</f>
        <v>0</v>
      </c>
      <c r="L12" s="60">
        <f>+FACTURACIÓN!N11</f>
        <v>560.13700000000006</v>
      </c>
      <c r="M12" s="60">
        <f>+FACTURACIÓN!O11</f>
        <v>0</v>
      </c>
      <c r="N12" s="60">
        <f>+FACTURACIÓN!P11</f>
        <v>0</v>
      </c>
      <c r="O12" s="59">
        <f t="shared" si="1"/>
        <v>890.61783000000003</v>
      </c>
      <c r="P12" s="64">
        <f t="shared" si="2"/>
        <v>4133.3521700000001</v>
      </c>
    </row>
    <row r="13" spans="1:16" s="56" customFormat="1" x14ac:dyDescent="0.2">
      <c r="A13" s="41" t="s">
        <v>293</v>
      </c>
      <c r="B13" s="42" t="s">
        <v>179</v>
      </c>
      <c r="C13" s="58">
        <f>+FACTURACIÓN!C12+FACTURACIÓN!D12+FACTURACIÓN!E12+FACTURACIÓN!F12-'C&amp;A'!K13-'C&amp;A'!G13-'C&amp;A'!I13</f>
        <v>161.83000000000004</v>
      </c>
      <c r="D13" s="59">
        <v>0</v>
      </c>
      <c r="E13" s="60">
        <f t="shared" si="0"/>
        <v>161.83000000000004</v>
      </c>
      <c r="F13" s="60">
        <f>+FACTURACIÓN!H12</f>
        <v>0</v>
      </c>
      <c r="G13" s="60">
        <f>+FACTURACIÓN!I12</f>
        <v>0</v>
      </c>
      <c r="H13" s="60">
        <f>+FACTURACIÓN!J12</f>
        <v>0</v>
      </c>
      <c r="I13" s="60">
        <f>+FACTURACIÓN!K12</f>
        <v>0</v>
      </c>
      <c r="J13" s="60">
        <f>+FACTURACIÓN!L12</f>
        <v>0</v>
      </c>
      <c r="K13" s="60">
        <f>+FACTURACIÓN!M12</f>
        <v>0</v>
      </c>
      <c r="L13" s="60">
        <f>+FACTURACIÓN!N12</f>
        <v>0</v>
      </c>
      <c r="M13" s="60">
        <f>+FACTURACIÓN!O12</f>
        <v>0</v>
      </c>
      <c r="N13" s="60">
        <f>+FACTURACIÓN!P12</f>
        <v>0</v>
      </c>
      <c r="O13" s="59">
        <f t="shared" si="1"/>
        <v>0</v>
      </c>
      <c r="P13" s="64">
        <f t="shared" si="2"/>
        <v>161.83000000000004</v>
      </c>
    </row>
    <row r="14" spans="1:16" s="56" customFormat="1" x14ac:dyDescent="0.2">
      <c r="A14" s="41" t="s">
        <v>41</v>
      </c>
      <c r="B14" s="42" t="s">
        <v>42</v>
      </c>
      <c r="C14" s="58">
        <f>+FACTURACIÓN!C13+FACTURACIÓN!D13+FACTURACIÓN!E13+FACTURACIÓN!F13-'C&amp;A'!K14-'C&amp;A'!G14-'C&amp;A'!I14</f>
        <v>2022.9</v>
      </c>
      <c r="D14" s="59">
        <v>0</v>
      </c>
      <c r="E14" s="60">
        <f t="shared" si="0"/>
        <v>2022.9</v>
      </c>
      <c r="F14" s="60">
        <f>+FACTURACIÓN!H13</f>
        <v>0</v>
      </c>
      <c r="G14" s="60">
        <f>+FACTURACIÓN!I13</f>
        <v>0</v>
      </c>
      <c r="H14" s="60">
        <f>+FACTURACIÓN!J13</f>
        <v>0</v>
      </c>
      <c r="I14" s="60">
        <f>+FACTURACIÓN!K13</f>
        <v>0</v>
      </c>
      <c r="J14" s="60">
        <f>+FACTURACIÓN!L13</f>
        <v>0</v>
      </c>
      <c r="K14" s="60">
        <f>+FACTURACIÓN!M13</f>
        <v>0</v>
      </c>
      <c r="L14" s="60">
        <f>+FACTURACIÓN!N13</f>
        <v>0</v>
      </c>
      <c r="M14" s="60">
        <f>+FACTURACIÓN!O13</f>
        <v>0</v>
      </c>
      <c r="N14" s="60">
        <f>+FACTURACIÓN!P13</f>
        <v>0</v>
      </c>
      <c r="O14" s="59">
        <f t="shared" si="1"/>
        <v>0</v>
      </c>
      <c r="P14" s="64">
        <f t="shared" si="2"/>
        <v>2022.9</v>
      </c>
    </row>
    <row r="15" spans="1:16" s="56" customFormat="1" x14ac:dyDescent="0.2">
      <c r="A15" s="41" t="s">
        <v>43</v>
      </c>
      <c r="B15" s="42" t="s">
        <v>44</v>
      </c>
      <c r="C15" s="58">
        <f>+FACTURACIÓN!C14+FACTURACIÓN!D14+FACTURACIÓN!E14+FACTURACIÓN!F14-'C&amp;A'!K15-'C&amp;A'!G15-'C&amp;A'!I15</f>
        <v>14687.81</v>
      </c>
      <c r="D15" s="59">
        <v>0</v>
      </c>
      <c r="E15" s="60">
        <f t="shared" si="0"/>
        <v>14687.81</v>
      </c>
      <c r="F15" s="60">
        <f>+FACTURACIÓN!H14</f>
        <v>0</v>
      </c>
      <c r="G15" s="60">
        <f>+FACTURACIÓN!I14</f>
        <v>0</v>
      </c>
      <c r="H15" s="60">
        <f>+FACTURACIÓN!J14</f>
        <v>0</v>
      </c>
      <c r="I15" s="60">
        <f>+FACTURACIÓN!K14</f>
        <v>0</v>
      </c>
      <c r="J15" s="60">
        <f>+FACTURACIÓN!L14</f>
        <v>0</v>
      </c>
      <c r="K15" s="60">
        <f>+FACTURACIÓN!M14</f>
        <v>0</v>
      </c>
      <c r="L15" s="60">
        <f>+FACTURACIÓN!N14</f>
        <v>1526.521</v>
      </c>
      <c r="M15" s="60">
        <f>+FACTURACIÓN!O14</f>
        <v>0</v>
      </c>
      <c r="N15" s="60">
        <f>+FACTURACIÓN!P14</f>
        <v>0</v>
      </c>
      <c r="O15" s="59">
        <f t="shared" si="1"/>
        <v>1526.521</v>
      </c>
      <c r="P15" s="64">
        <f t="shared" si="2"/>
        <v>13161.288999999999</v>
      </c>
    </row>
    <row r="16" spans="1:16" s="56" customFormat="1" ht="15" x14ac:dyDescent="0.25">
      <c r="A16" s="41"/>
      <c r="B16" s="133" t="s">
        <v>617</v>
      </c>
      <c r="C16" s="58">
        <f>+FACTURACIÓN!C15+FACTURACIÓN!D15+FACTURACIÓN!E15+FACTURACIÓN!F15-'C&amp;A'!K16-'C&amp;A'!G16-'C&amp;A'!I16</f>
        <v>483.75</v>
      </c>
      <c r="D16" s="59">
        <v>0</v>
      </c>
      <c r="E16" s="60">
        <f t="shared" si="0"/>
        <v>483.75</v>
      </c>
      <c r="F16" s="60">
        <f>+FACTURACIÓN!H15</f>
        <v>0</v>
      </c>
      <c r="G16" s="60">
        <f>+FACTURACIÓN!I15</f>
        <v>0</v>
      </c>
      <c r="H16" s="60">
        <f>+FACTURACIÓN!J15</f>
        <v>0</v>
      </c>
      <c r="I16" s="60">
        <f>+FACTURACIÓN!K15</f>
        <v>0</v>
      </c>
      <c r="J16" s="60">
        <f>+FACTURACIÓN!L15</f>
        <v>0</v>
      </c>
      <c r="K16" s="60">
        <f>+FACTURACIÓN!M15</f>
        <v>0</v>
      </c>
      <c r="L16" s="60">
        <f>+FACTURACIÓN!N15</f>
        <v>0</v>
      </c>
      <c r="M16" s="60">
        <f>+FACTURACIÓN!O15</f>
        <v>0</v>
      </c>
      <c r="N16" s="60">
        <f>+FACTURACIÓN!P15</f>
        <v>0</v>
      </c>
      <c r="O16" s="59">
        <f t="shared" si="1"/>
        <v>0</v>
      </c>
      <c r="P16" s="64">
        <f t="shared" si="2"/>
        <v>483.75</v>
      </c>
    </row>
    <row r="17" spans="1:16" s="56" customFormat="1" x14ac:dyDescent="0.2">
      <c r="A17" s="41" t="s">
        <v>45</v>
      </c>
      <c r="B17" s="42" t="s">
        <v>46</v>
      </c>
      <c r="C17" s="58">
        <f>+FACTURACIÓN!C16+FACTURACIÓN!D16+FACTURACIÓN!E16+FACTURACIÓN!F16-'C&amp;A'!K17-'C&amp;A'!G17-'C&amp;A'!I17</f>
        <v>2097.9499999999998</v>
      </c>
      <c r="D17" s="59">
        <v>0</v>
      </c>
      <c r="E17" s="60">
        <f t="shared" si="0"/>
        <v>2097.9499999999998</v>
      </c>
      <c r="F17" s="60">
        <f>+FACTURACIÓN!H16</f>
        <v>0</v>
      </c>
      <c r="G17" s="60">
        <f>+FACTURACIÓN!I16</f>
        <v>0</v>
      </c>
      <c r="H17" s="60">
        <f>+FACTURACIÓN!J16</f>
        <v>0</v>
      </c>
      <c r="I17" s="60">
        <f>+FACTURACIÓN!K16</f>
        <v>0</v>
      </c>
      <c r="J17" s="60">
        <f>+FACTURACIÓN!L16</f>
        <v>0</v>
      </c>
      <c r="K17" s="60">
        <f>+FACTURACIÓN!M16</f>
        <v>368.35</v>
      </c>
      <c r="L17" s="60">
        <f>+FACTURACIÓN!N16</f>
        <v>0</v>
      </c>
      <c r="M17" s="60">
        <f>+FACTURACIÓN!O16</f>
        <v>0</v>
      </c>
      <c r="N17" s="60">
        <f>+FACTURACIÓN!P16</f>
        <v>0</v>
      </c>
      <c r="O17" s="59">
        <f t="shared" si="1"/>
        <v>368.35</v>
      </c>
      <c r="P17" s="64">
        <f t="shared" si="2"/>
        <v>1729.6</v>
      </c>
    </row>
    <row r="18" spans="1:16" s="75" customFormat="1" x14ac:dyDescent="0.2">
      <c r="A18" s="41" t="s">
        <v>524</v>
      </c>
      <c r="B18" s="42" t="s">
        <v>523</v>
      </c>
      <c r="C18" s="58">
        <f>+FACTURACIÓN!C17+FACTURACIÓN!D17+FACTURACIÓN!E17+FACTURACIÓN!F17-'C&amp;A'!K18-'C&amp;A'!G18-'C&amp;A'!I18</f>
        <v>1248.0600000000002</v>
      </c>
      <c r="D18" s="59">
        <v>0</v>
      </c>
      <c r="E18" s="60">
        <f t="shared" si="0"/>
        <v>1248.0600000000002</v>
      </c>
      <c r="F18" s="60">
        <f>+FACTURACIÓN!H17</f>
        <v>0</v>
      </c>
      <c r="G18" s="60">
        <f>+FACTURACIÓN!I17</f>
        <v>0</v>
      </c>
      <c r="H18" s="60">
        <f>+FACTURACIÓN!J17</f>
        <v>0</v>
      </c>
      <c r="I18" s="60">
        <f>+FACTURACIÓN!K17</f>
        <v>0</v>
      </c>
      <c r="J18" s="60">
        <f>+FACTURACIÓN!L17</f>
        <v>0</v>
      </c>
      <c r="K18" s="60">
        <f>+FACTURACIÓN!M17</f>
        <v>0</v>
      </c>
      <c r="L18" s="60">
        <f>+FACTURACIÓN!N17</f>
        <v>0</v>
      </c>
      <c r="M18" s="60">
        <f>+FACTURACIÓN!O17</f>
        <v>0</v>
      </c>
      <c r="N18" s="60">
        <f>+FACTURACIÓN!P17</f>
        <v>0</v>
      </c>
      <c r="O18" s="59">
        <f t="shared" si="1"/>
        <v>0</v>
      </c>
      <c r="P18" s="64">
        <f t="shared" si="2"/>
        <v>1248.0600000000002</v>
      </c>
    </row>
    <row r="19" spans="1:16" s="56" customFormat="1" x14ac:dyDescent="0.2">
      <c r="A19" s="41" t="s">
        <v>294</v>
      </c>
      <c r="B19" s="42" t="s">
        <v>47</v>
      </c>
      <c r="C19" s="58">
        <f>+FACTURACIÓN!C18+FACTURACIÓN!D18+FACTURACIÓN!E18+FACTURACIÓN!F18-'C&amp;A'!K19-'C&amp;A'!G19-'C&amp;A'!I19</f>
        <v>220.15714285714279</v>
      </c>
      <c r="D19" s="59">
        <v>0</v>
      </c>
      <c r="E19" s="60">
        <f t="shared" si="0"/>
        <v>220.15714285714279</v>
      </c>
      <c r="F19" s="60">
        <f>+FACTURACIÓN!H18</f>
        <v>0</v>
      </c>
      <c r="G19" s="60">
        <f>+FACTURACIÓN!I18</f>
        <v>150</v>
      </c>
      <c r="H19" s="60">
        <f>+FACTURACIÓN!J18</f>
        <v>29.79984</v>
      </c>
      <c r="I19" s="60">
        <f>+FACTURACIÓN!K18</f>
        <v>6.0815999999999999</v>
      </c>
      <c r="J19" s="60">
        <f>+FACTURACIÓN!L18</f>
        <v>0</v>
      </c>
      <c r="K19" s="60">
        <f>+FACTURACIÓN!M18</f>
        <v>0</v>
      </c>
      <c r="L19" s="60">
        <f>+FACTURACIÓN!N18</f>
        <v>0</v>
      </c>
      <c r="M19" s="60">
        <f>+FACTURACIÓN!O18</f>
        <v>0</v>
      </c>
      <c r="N19" s="60">
        <f>+FACTURACIÓN!P18</f>
        <v>0</v>
      </c>
      <c r="O19" s="59">
        <f t="shared" si="1"/>
        <v>185.88144</v>
      </c>
      <c r="P19" s="64">
        <f t="shared" si="2"/>
        <v>34.27570285714279</v>
      </c>
    </row>
    <row r="20" spans="1:16" s="56" customFormat="1" x14ac:dyDescent="0.2">
      <c r="A20" s="41" t="s">
        <v>15</v>
      </c>
      <c r="B20" s="42" t="s">
        <v>48</v>
      </c>
      <c r="C20" s="58">
        <f>+FACTURACIÓN!C19+FACTURACIÓN!D19+FACTURACIÓN!E19+FACTURACIÓN!F19-'C&amp;A'!K20-'C&amp;A'!G20-'C&amp;A'!I20</f>
        <v>515.33000000000004</v>
      </c>
      <c r="D20" s="59">
        <v>0</v>
      </c>
      <c r="E20" s="60">
        <f t="shared" si="0"/>
        <v>515.33000000000004</v>
      </c>
      <c r="F20" s="60">
        <f>+FACTURACIÓN!H19</f>
        <v>0</v>
      </c>
      <c r="G20" s="60">
        <f>+FACTURACIÓN!I19</f>
        <v>0</v>
      </c>
      <c r="H20" s="60">
        <f>+FACTURACIÓN!J19</f>
        <v>0</v>
      </c>
      <c r="I20" s="60">
        <f>+FACTURACIÓN!K19</f>
        <v>0</v>
      </c>
      <c r="J20" s="60">
        <f>+FACTURACIÓN!L19</f>
        <v>0</v>
      </c>
      <c r="K20" s="60">
        <f>+FACTURACIÓN!M19</f>
        <v>398.18</v>
      </c>
      <c r="L20" s="60">
        <f>+FACTURACIÓN!N19</f>
        <v>0</v>
      </c>
      <c r="M20" s="60">
        <f>+FACTURACIÓN!O19</f>
        <v>0</v>
      </c>
      <c r="N20" s="60">
        <f>+FACTURACIÓN!P19</f>
        <v>0</v>
      </c>
      <c r="O20" s="59">
        <f t="shared" si="1"/>
        <v>398.18</v>
      </c>
      <c r="P20" s="64">
        <f t="shared" si="2"/>
        <v>117.15000000000003</v>
      </c>
    </row>
    <row r="21" spans="1:16" s="56" customFormat="1" x14ac:dyDescent="0.2">
      <c r="A21" s="41" t="s">
        <v>49</v>
      </c>
      <c r="B21" s="42" t="s">
        <v>50</v>
      </c>
      <c r="C21" s="58">
        <f>+FACTURACIÓN!C20+FACTURACIÓN!D20+FACTURACIÓN!E20+FACTURACIÓN!F20-'C&amp;A'!K21-'C&amp;A'!G21-'C&amp;A'!I21</f>
        <v>905.93</v>
      </c>
      <c r="D21" s="59">
        <v>0</v>
      </c>
      <c r="E21" s="60">
        <f t="shared" si="0"/>
        <v>905.93</v>
      </c>
      <c r="F21" s="60">
        <f>+FACTURACIÓN!H20</f>
        <v>0</v>
      </c>
      <c r="G21" s="60">
        <f>+FACTURACIÓN!I20</f>
        <v>0</v>
      </c>
      <c r="H21" s="60">
        <f>+FACTURACIÓN!J20</f>
        <v>0</v>
      </c>
      <c r="I21" s="60">
        <f>+FACTURACIÓN!K20</f>
        <v>0</v>
      </c>
      <c r="J21" s="60">
        <f>+FACTURACIÓN!L20</f>
        <v>0</v>
      </c>
      <c r="K21" s="60">
        <f>+FACTURACIÓN!M20</f>
        <v>0</v>
      </c>
      <c r="L21" s="60">
        <f>+FACTURACIÓN!N20</f>
        <v>0</v>
      </c>
      <c r="M21" s="60">
        <f>+FACTURACIÓN!O20</f>
        <v>58.91</v>
      </c>
      <c r="N21" s="60">
        <f>+FACTURACIÓN!P20</f>
        <v>133.33285714285714</v>
      </c>
      <c r="O21" s="59">
        <f t="shared" si="1"/>
        <v>192.24285714285713</v>
      </c>
      <c r="P21" s="64">
        <f t="shared" si="2"/>
        <v>713.68714285714282</v>
      </c>
    </row>
    <row r="22" spans="1:16" s="56" customFormat="1" x14ac:dyDescent="0.2">
      <c r="A22" s="41" t="s">
        <v>51</v>
      </c>
      <c r="B22" s="42" t="s">
        <v>52</v>
      </c>
      <c r="C22" s="58">
        <f>+FACTURACIÓN!C21+FACTURACIÓN!D21+FACTURACIÓN!E21+FACTURACIÓN!F21-'C&amp;A'!K22-'C&amp;A'!G22-'C&amp;A'!I22</f>
        <v>10874.71</v>
      </c>
      <c r="D22" s="59">
        <v>0</v>
      </c>
      <c r="E22" s="60">
        <f t="shared" si="0"/>
        <v>10874.71</v>
      </c>
      <c r="F22" s="60">
        <f>+FACTURACIÓN!H21</f>
        <v>0</v>
      </c>
      <c r="G22" s="60">
        <f>+FACTURACIÓN!I21</f>
        <v>500</v>
      </c>
      <c r="H22" s="60">
        <f>+FACTURACIÓN!J21</f>
        <v>0</v>
      </c>
      <c r="I22" s="60">
        <f>+FACTURACIÓN!K21</f>
        <v>0</v>
      </c>
      <c r="J22" s="60">
        <f>+FACTURACIÓN!L21</f>
        <v>0</v>
      </c>
      <c r="K22" s="60">
        <f>+FACTURACIÓN!M21</f>
        <v>1697.06</v>
      </c>
      <c r="L22" s="60">
        <f>+FACTURACIÓN!N21</f>
        <v>1145.2149999999999</v>
      </c>
      <c r="M22" s="60">
        <f>+FACTURACIÓN!O21</f>
        <v>58.91</v>
      </c>
      <c r="N22" s="60">
        <f>+FACTURACIÓN!P21</f>
        <v>0</v>
      </c>
      <c r="O22" s="59">
        <f t="shared" si="1"/>
        <v>3401.1849999999995</v>
      </c>
      <c r="P22" s="64">
        <f t="shared" si="2"/>
        <v>7473.5249999999996</v>
      </c>
    </row>
    <row r="23" spans="1:16" s="56" customFormat="1" x14ac:dyDescent="0.2">
      <c r="A23" s="41" t="s">
        <v>295</v>
      </c>
      <c r="B23" s="42" t="s">
        <v>53</v>
      </c>
      <c r="C23" s="58">
        <f>+FACTURACIÓN!C22+FACTURACIÓN!D22+FACTURACIÓN!E22+FACTURACIÓN!F22-'C&amp;A'!K23-'C&amp;A'!G23-'C&amp;A'!I23</f>
        <v>588.86</v>
      </c>
      <c r="D23" s="59">
        <v>0</v>
      </c>
      <c r="E23" s="60">
        <f t="shared" si="0"/>
        <v>588.86</v>
      </c>
      <c r="F23" s="60">
        <f>+FACTURACIÓN!H22</f>
        <v>0</v>
      </c>
      <c r="G23" s="60">
        <f>+FACTURACIÓN!I22</f>
        <v>0</v>
      </c>
      <c r="H23" s="60">
        <f>+FACTURACIÓN!J22</f>
        <v>0</v>
      </c>
      <c r="I23" s="60">
        <f>+FACTURACIÓN!K22</f>
        <v>0</v>
      </c>
      <c r="J23" s="60">
        <f>+FACTURACIÓN!L22</f>
        <v>0</v>
      </c>
      <c r="K23" s="60">
        <f>+FACTURACIÓN!M22</f>
        <v>0</v>
      </c>
      <c r="L23" s="60">
        <f>+FACTURACIÓN!N22</f>
        <v>0</v>
      </c>
      <c r="M23" s="60">
        <f>+FACTURACIÓN!O22</f>
        <v>0</v>
      </c>
      <c r="N23" s="60">
        <f>+FACTURACIÓN!P22</f>
        <v>0</v>
      </c>
      <c r="O23" s="59">
        <f t="shared" si="1"/>
        <v>0</v>
      </c>
      <c r="P23" s="64">
        <f t="shared" si="2"/>
        <v>588.86</v>
      </c>
    </row>
    <row r="24" spans="1:16" s="56" customFormat="1" x14ac:dyDescent="0.2">
      <c r="A24" s="41" t="s">
        <v>54</v>
      </c>
      <c r="B24" s="42" t="s">
        <v>55</v>
      </c>
      <c r="C24" s="58">
        <f>+FACTURACIÓN!C23+FACTURACIÓN!D23+FACTURACIÓN!E23+FACTURACIÓN!F23-'C&amp;A'!K24-'C&amp;A'!G24-'C&amp;A'!I24</f>
        <v>2177.41</v>
      </c>
      <c r="D24" s="59">
        <v>0</v>
      </c>
      <c r="E24" s="60">
        <f t="shared" si="0"/>
        <v>2177.41</v>
      </c>
      <c r="F24" s="60">
        <f>+FACTURACIÓN!H23</f>
        <v>0</v>
      </c>
      <c r="G24" s="60">
        <f>+FACTURACIÓN!I23</f>
        <v>0</v>
      </c>
      <c r="H24" s="60">
        <f>+FACTURACIÓN!J23</f>
        <v>134.97588999999999</v>
      </c>
      <c r="I24" s="60">
        <f>+FACTURACIÓN!K23</f>
        <v>27.546099999999996</v>
      </c>
      <c r="J24" s="60">
        <f>+FACTURACIÓN!L23</f>
        <v>0</v>
      </c>
      <c r="K24" s="60">
        <f>+FACTURACIÓN!M23</f>
        <v>0</v>
      </c>
      <c r="L24" s="60">
        <f>+FACTURACIÓN!N23</f>
        <v>0</v>
      </c>
      <c r="M24" s="60">
        <f>+FACTURACIÓN!O23</f>
        <v>0</v>
      </c>
      <c r="N24" s="60">
        <f>+FACTURACIÓN!P23</f>
        <v>0</v>
      </c>
      <c r="O24" s="59">
        <f t="shared" si="1"/>
        <v>162.52198999999999</v>
      </c>
      <c r="P24" s="64">
        <f t="shared" si="2"/>
        <v>2014.8880099999999</v>
      </c>
    </row>
    <row r="25" spans="1:16" s="56" customFormat="1" x14ac:dyDescent="0.2">
      <c r="A25" s="41" t="s">
        <v>16</v>
      </c>
      <c r="B25" s="42" t="s">
        <v>56</v>
      </c>
      <c r="C25" s="58">
        <f>+FACTURACIÓN!C24+FACTURACIÓN!D24+FACTURACIÓN!E24+FACTURACIÓN!F24-'C&amp;A'!K25-'C&amp;A'!G25-'C&amp;A'!I25</f>
        <v>15026.95</v>
      </c>
      <c r="D25" s="59">
        <v>0</v>
      </c>
      <c r="E25" s="60">
        <f t="shared" si="0"/>
        <v>15026.95</v>
      </c>
      <c r="F25" s="60">
        <f>+FACTURACIÓN!H24</f>
        <v>205.7</v>
      </c>
      <c r="G25" s="60">
        <f>+FACTURACIÓN!I24</f>
        <v>700</v>
      </c>
      <c r="H25" s="60">
        <f>+FACTURACIÓN!J24</f>
        <v>0</v>
      </c>
      <c r="I25" s="60">
        <f>+FACTURACIÓN!K24</f>
        <v>0</v>
      </c>
      <c r="J25" s="60">
        <f>+FACTURACIÓN!L24</f>
        <v>0</v>
      </c>
      <c r="K25" s="60">
        <f>+FACTURACIÓN!M24</f>
        <v>0</v>
      </c>
      <c r="L25" s="60">
        <f>+FACTURACIÓN!N24</f>
        <v>1560.4350000000002</v>
      </c>
      <c r="M25" s="60">
        <f>+FACTURACIÓN!O24</f>
        <v>0</v>
      </c>
      <c r="N25" s="60">
        <f>+FACTURACIÓN!P24</f>
        <v>0</v>
      </c>
      <c r="O25" s="59">
        <f t="shared" si="1"/>
        <v>2466.1350000000002</v>
      </c>
      <c r="P25" s="64">
        <f t="shared" si="2"/>
        <v>12560.815000000001</v>
      </c>
    </row>
    <row r="26" spans="1:16" s="56" customFormat="1" x14ac:dyDescent="0.2">
      <c r="A26" s="41" t="s">
        <v>57</v>
      </c>
      <c r="B26" s="42" t="s">
        <v>58</v>
      </c>
      <c r="C26" s="58">
        <f>+FACTURACIÓN!C25+FACTURACIÓN!D25+FACTURACIÓN!E25+FACTURACIÓN!F25-'C&amp;A'!K26-'C&amp;A'!G26-'C&amp;A'!I26</f>
        <v>836.9</v>
      </c>
      <c r="D26" s="59">
        <v>0</v>
      </c>
      <c r="E26" s="60">
        <f t="shared" si="0"/>
        <v>836.9</v>
      </c>
      <c r="F26" s="60">
        <f>+FACTURACIÓN!H25</f>
        <v>0</v>
      </c>
      <c r="G26" s="60">
        <f>+FACTURACIÓN!I25</f>
        <v>14.143000000000001</v>
      </c>
      <c r="H26" s="60">
        <f>+FACTURACIÓN!J25</f>
        <v>69.300700000000006</v>
      </c>
      <c r="I26" s="60">
        <f>+FACTURACIÓN!K25</f>
        <v>0</v>
      </c>
      <c r="J26" s="60">
        <f>+FACTURACIÓN!L25</f>
        <v>0</v>
      </c>
      <c r="K26" s="60">
        <f>+FACTURACIÓN!M25</f>
        <v>0</v>
      </c>
      <c r="L26" s="60">
        <f>+FACTURACIÓN!N25</f>
        <v>0</v>
      </c>
      <c r="M26" s="60">
        <f>+FACTURACIÓN!O25</f>
        <v>0</v>
      </c>
      <c r="N26" s="60">
        <f>+FACTURACIÓN!P25</f>
        <v>0</v>
      </c>
      <c r="O26" s="59">
        <f t="shared" si="1"/>
        <v>83.443700000000007</v>
      </c>
      <c r="P26" s="64">
        <f t="shared" si="2"/>
        <v>753.45629999999994</v>
      </c>
    </row>
    <row r="27" spans="1:16" s="56" customFormat="1" x14ac:dyDescent="0.2">
      <c r="A27" s="41" t="s">
        <v>59</v>
      </c>
      <c r="B27" s="42" t="s">
        <v>60</v>
      </c>
      <c r="C27" s="58">
        <f>+FACTURACIÓN!C26+FACTURACIÓN!D26+FACTURACIÓN!E26+FACTURACIÓN!F26-'C&amp;A'!K27-'C&amp;A'!G27-'C&amp;A'!I27</f>
        <v>905.93</v>
      </c>
      <c r="D27" s="59">
        <v>0</v>
      </c>
      <c r="E27" s="60">
        <f t="shared" si="0"/>
        <v>905.93</v>
      </c>
      <c r="F27" s="60">
        <f>+FACTURACIÓN!H26</f>
        <v>0</v>
      </c>
      <c r="G27" s="60">
        <f>+FACTURACIÓN!I26</f>
        <v>0</v>
      </c>
      <c r="H27" s="60">
        <f>+FACTURACIÓN!J26</f>
        <v>0</v>
      </c>
      <c r="I27" s="60">
        <f>+FACTURACIÓN!K26</f>
        <v>0</v>
      </c>
      <c r="J27" s="60">
        <f>+FACTURACIÓN!L26</f>
        <v>0</v>
      </c>
      <c r="K27" s="60">
        <f>+FACTURACIÓN!M26</f>
        <v>506.20000000000005</v>
      </c>
      <c r="L27" s="60">
        <f>+FACTURACIÓN!N26</f>
        <v>0</v>
      </c>
      <c r="M27" s="60">
        <f>+FACTURACIÓN!O26</f>
        <v>38.28</v>
      </c>
      <c r="N27" s="60">
        <f>+FACTURACIÓN!P26</f>
        <v>133.33285714285714</v>
      </c>
      <c r="O27" s="59">
        <f t="shared" si="1"/>
        <v>677.81285714285718</v>
      </c>
      <c r="P27" s="64">
        <f t="shared" si="2"/>
        <v>228.11714285714277</v>
      </c>
    </row>
    <row r="28" spans="1:16" s="56" customFormat="1" x14ac:dyDescent="0.2">
      <c r="A28" s="41" t="s">
        <v>61</v>
      </c>
      <c r="B28" s="42" t="s">
        <v>62</v>
      </c>
      <c r="C28" s="58">
        <f>+FACTURACIÓN!C27+FACTURACIÓN!D27+FACTURACIÓN!E27+FACTURACIÓN!F27-'C&amp;A'!K28-'C&amp;A'!G28-'C&amp;A'!I28</f>
        <v>4881.7000000000007</v>
      </c>
      <c r="D28" s="59">
        <v>0</v>
      </c>
      <c r="E28" s="60">
        <f t="shared" si="0"/>
        <v>4881.7000000000007</v>
      </c>
      <c r="F28" s="60">
        <f>+FACTURACIÓN!H27</f>
        <v>0</v>
      </c>
      <c r="G28" s="60">
        <f>+FACTURACIÓN!I27</f>
        <v>0</v>
      </c>
      <c r="H28" s="60">
        <f>+FACTURACIÓN!J27</f>
        <v>0</v>
      </c>
      <c r="I28" s="60">
        <f>+FACTURACIÓN!K27</f>
        <v>0</v>
      </c>
      <c r="J28" s="60">
        <f>+FACTURACIÓN!L27</f>
        <v>0</v>
      </c>
      <c r="K28" s="60">
        <f>+FACTURACIÓN!M27</f>
        <v>797.62</v>
      </c>
      <c r="L28" s="60">
        <f>+FACTURACIÓN!N27</f>
        <v>545.91000000000008</v>
      </c>
      <c r="M28" s="60">
        <f>+FACTURACIÓN!O27</f>
        <v>0</v>
      </c>
      <c r="N28" s="60">
        <f>+FACTURACIÓN!P27</f>
        <v>0</v>
      </c>
      <c r="O28" s="59">
        <f t="shared" si="1"/>
        <v>1343.5300000000002</v>
      </c>
      <c r="P28" s="64">
        <f t="shared" si="2"/>
        <v>3538.1700000000005</v>
      </c>
    </row>
    <row r="29" spans="1:16" s="56" customFormat="1" x14ac:dyDescent="0.2">
      <c r="A29" s="41" t="s">
        <v>63</v>
      </c>
      <c r="B29" s="42" t="s">
        <v>64</v>
      </c>
      <c r="C29" s="58">
        <f>+FACTURACIÓN!C28+FACTURACIÓN!D28+FACTURACIÓN!E28+FACTURACIÓN!F28-'C&amp;A'!K29-'C&amp;A'!G29-'C&amp;A'!I29</f>
        <v>2669.71</v>
      </c>
      <c r="D29" s="59">
        <v>0</v>
      </c>
      <c r="E29" s="60">
        <f t="shared" si="0"/>
        <v>2669.71</v>
      </c>
      <c r="F29" s="60">
        <f>+FACTURACIÓN!H28</f>
        <v>0</v>
      </c>
      <c r="G29" s="60">
        <f>+FACTURACIÓN!I28</f>
        <v>0</v>
      </c>
      <c r="H29" s="60">
        <f>+FACTURACIÓN!J28</f>
        <v>0</v>
      </c>
      <c r="I29" s="60">
        <f>+FACTURACIÓN!K28</f>
        <v>0</v>
      </c>
      <c r="J29" s="60">
        <f>+FACTURACIÓN!L28</f>
        <v>0</v>
      </c>
      <c r="K29" s="60">
        <f>+FACTURACIÓN!M28</f>
        <v>0</v>
      </c>
      <c r="L29" s="60">
        <f>+FACTURACIÓN!N28</f>
        <v>0</v>
      </c>
      <c r="M29" s="60">
        <f>+FACTURACIÓN!O28</f>
        <v>0</v>
      </c>
      <c r="N29" s="60">
        <f>+FACTURACIÓN!P28</f>
        <v>0</v>
      </c>
      <c r="O29" s="59">
        <f t="shared" si="1"/>
        <v>0</v>
      </c>
      <c r="P29" s="64">
        <f t="shared" si="2"/>
        <v>2669.71</v>
      </c>
    </row>
    <row r="30" spans="1:16" s="56" customFormat="1" x14ac:dyDescent="0.2">
      <c r="A30" s="41" t="s">
        <v>65</v>
      </c>
      <c r="B30" s="42" t="s">
        <v>66</v>
      </c>
      <c r="C30" s="58">
        <f>+FACTURACIÓN!C29+FACTURACIÓN!D29+FACTURACIÓN!E29+FACTURACIÓN!F29-'C&amp;A'!K30-'C&amp;A'!G30-'C&amp;A'!I30</f>
        <v>515.53</v>
      </c>
      <c r="D30" s="59">
        <v>0</v>
      </c>
      <c r="E30" s="60">
        <f t="shared" si="0"/>
        <v>515.53</v>
      </c>
      <c r="F30" s="60">
        <f>+FACTURACIÓN!H29</f>
        <v>0</v>
      </c>
      <c r="G30" s="60">
        <f>+FACTURACIÓN!I29</f>
        <v>0</v>
      </c>
      <c r="H30" s="60">
        <f>+FACTURACIÓN!J29</f>
        <v>0</v>
      </c>
      <c r="I30" s="60">
        <f>+FACTURACIÓN!K29</f>
        <v>0</v>
      </c>
      <c r="J30" s="60">
        <f>+FACTURACIÓN!L29</f>
        <v>0</v>
      </c>
      <c r="K30" s="60">
        <f>+FACTURACIÓN!M29</f>
        <v>0</v>
      </c>
      <c r="L30" s="60">
        <f>+FACTURACIÓN!N29</f>
        <v>0</v>
      </c>
      <c r="M30" s="60">
        <f>+FACTURACIÓN!O29</f>
        <v>0</v>
      </c>
      <c r="N30" s="60">
        <f>+FACTURACIÓN!P29</f>
        <v>0</v>
      </c>
      <c r="O30" s="59">
        <f t="shared" si="1"/>
        <v>0</v>
      </c>
      <c r="P30" s="64">
        <f t="shared" si="2"/>
        <v>515.53</v>
      </c>
    </row>
    <row r="31" spans="1:16" s="56" customFormat="1" x14ac:dyDescent="0.2">
      <c r="A31" s="41" t="s">
        <v>67</v>
      </c>
      <c r="B31" s="42" t="s">
        <v>68</v>
      </c>
      <c r="C31" s="58">
        <f>+FACTURACIÓN!C30+FACTURACIÓN!D30+FACTURACIÓN!E30+FACTURACIÓN!F30-'C&amp;A'!K31-'C&amp;A'!G31-'C&amp;A'!I31</f>
        <v>1575.7700000000002</v>
      </c>
      <c r="D31" s="59">
        <v>0</v>
      </c>
      <c r="E31" s="60">
        <f t="shared" si="0"/>
        <v>1575.7700000000002</v>
      </c>
      <c r="F31" s="60">
        <f>+FACTURACIÓN!H30</f>
        <v>0</v>
      </c>
      <c r="G31" s="60">
        <f>+FACTURACIÓN!I30</f>
        <v>0</v>
      </c>
      <c r="H31" s="60">
        <f>+FACTURACIÓN!J30</f>
        <v>0</v>
      </c>
      <c r="I31" s="60">
        <f>+FACTURACIÓN!K30</f>
        <v>0</v>
      </c>
      <c r="J31" s="60">
        <f>+FACTURACIÓN!L30</f>
        <v>0</v>
      </c>
      <c r="K31" s="60">
        <f>+FACTURACIÓN!M30</f>
        <v>0</v>
      </c>
      <c r="L31" s="60">
        <f>+FACTURACIÓN!N30</f>
        <v>0</v>
      </c>
      <c r="M31" s="60">
        <f>+FACTURACIÓN!O30</f>
        <v>0</v>
      </c>
      <c r="N31" s="60">
        <f>+FACTURACIÓN!P30</f>
        <v>0</v>
      </c>
      <c r="O31" s="59">
        <f t="shared" si="1"/>
        <v>0</v>
      </c>
      <c r="P31" s="64">
        <f t="shared" si="2"/>
        <v>1575.7700000000002</v>
      </c>
    </row>
    <row r="32" spans="1:16" s="56" customFormat="1" x14ac:dyDescent="0.2">
      <c r="A32" s="41" t="s">
        <v>69</v>
      </c>
      <c r="B32" s="42" t="s">
        <v>70</v>
      </c>
      <c r="C32" s="58">
        <f>+FACTURACIÓN!C31+FACTURACIÓN!D31+FACTURACIÓN!E31+FACTURACIÓN!F31-'C&amp;A'!K32-'C&amp;A'!G32-'C&amp;A'!I32</f>
        <v>906.12999999999988</v>
      </c>
      <c r="D32" s="59">
        <v>0</v>
      </c>
      <c r="E32" s="60">
        <f t="shared" si="0"/>
        <v>906.12999999999988</v>
      </c>
      <c r="F32" s="60">
        <f>+FACTURACIÓN!H31</f>
        <v>0</v>
      </c>
      <c r="G32" s="60">
        <f>+FACTURACIÓN!I31</f>
        <v>0</v>
      </c>
      <c r="H32" s="60">
        <f>+FACTURACIÓN!J31</f>
        <v>0</v>
      </c>
      <c r="I32" s="60">
        <f>+FACTURACIÓN!K31</f>
        <v>0</v>
      </c>
      <c r="J32" s="60">
        <f>+FACTURACIÓN!L31</f>
        <v>0</v>
      </c>
      <c r="K32" s="60">
        <f>+FACTURACIÓN!M31</f>
        <v>0</v>
      </c>
      <c r="L32" s="60">
        <f>+FACTURACIÓN!N31</f>
        <v>0</v>
      </c>
      <c r="M32" s="60">
        <f>+FACTURACIÓN!O31</f>
        <v>58.91</v>
      </c>
      <c r="N32" s="60">
        <f>+FACTURACIÓN!P31</f>
        <v>133.33285714285714</v>
      </c>
      <c r="O32" s="59">
        <f t="shared" si="1"/>
        <v>192.24285714285713</v>
      </c>
      <c r="P32" s="64">
        <f t="shared" si="2"/>
        <v>713.88714285714275</v>
      </c>
    </row>
    <row r="33" spans="1:17" s="56" customFormat="1" x14ac:dyDescent="0.2">
      <c r="A33" s="41" t="s">
        <v>71</v>
      </c>
      <c r="B33" s="42" t="s">
        <v>72</v>
      </c>
      <c r="C33" s="58">
        <f>+FACTURACIÓN!C32+FACTURACIÓN!D32+FACTURACIÓN!E32+FACTURACIÓN!F32-'C&amp;A'!K33-'C&amp;A'!G33-'C&amp;A'!I33</f>
        <v>2239.2128571428575</v>
      </c>
      <c r="D33" s="59">
        <v>0</v>
      </c>
      <c r="E33" s="60">
        <f t="shared" si="0"/>
        <v>2239.2128571428575</v>
      </c>
      <c r="F33" s="60">
        <f>+FACTURACIÓN!H32</f>
        <v>0</v>
      </c>
      <c r="G33" s="60">
        <f>+FACTURACIÓN!I32</f>
        <v>200</v>
      </c>
      <c r="H33" s="60">
        <f>+FACTURACIÓN!J32</f>
        <v>0</v>
      </c>
      <c r="I33" s="60">
        <f>+FACTURACIÓN!K32</f>
        <v>0</v>
      </c>
      <c r="J33" s="60">
        <f>+FACTURACIÓN!L32</f>
        <v>0</v>
      </c>
      <c r="K33" s="60">
        <f>+FACTURACIÓN!M32</f>
        <v>0</v>
      </c>
      <c r="L33" s="60">
        <f>+FACTURACIÓN!N32</f>
        <v>0</v>
      </c>
      <c r="M33" s="60">
        <f>+FACTURACIÓN!O32</f>
        <v>0</v>
      </c>
      <c r="N33" s="60">
        <f>+FACTURACIÓN!P32</f>
        <v>0</v>
      </c>
      <c r="O33" s="59">
        <f t="shared" si="1"/>
        <v>200</v>
      </c>
      <c r="P33" s="64">
        <f t="shared" si="2"/>
        <v>2039.2128571428575</v>
      </c>
    </row>
    <row r="34" spans="1:17" s="56" customFormat="1" x14ac:dyDescent="0.2">
      <c r="A34" s="41" t="s">
        <v>73</v>
      </c>
      <c r="B34" s="42" t="s">
        <v>74</v>
      </c>
      <c r="C34" s="58">
        <f>+FACTURACIÓN!C33+FACTURACIÓN!D33+FACTURACIÓN!E33+FACTURACIÓN!F33-'C&amp;A'!K34-'C&amp;A'!G34-'C&amp;A'!I34</f>
        <v>3625.98</v>
      </c>
      <c r="D34" s="59">
        <v>0</v>
      </c>
      <c r="E34" s="60">
        <f t="shared" si="0"/>
        <v>3625.98</v>
      </c>
      <c r="F34" s="60">
        <f>+FACTURACIÓN!H33</f>
        <v>0</v>
      </c>
      <c r="G34" s="60">
        <f>+FACTURACIÓN!I33</f>
        <v>500</v>
      </c>
      <c r="H34" s="60">
        <f>+FACTURACIÓN!J33</f>
        <v>205.96562</v>
      </c>
      <c r="I34" s="60">
        <f>+FACTURACIÓN!K33</f>
        <v>42.033799999999999</v>
      </c>
      <c r="J34" s="60">
        <f>+FACTURACIÓN!L33</f>
        <v>0</v>
      </c>
      <c r="K34" s="60">
        <f>+FACTURACIÓN!M33</f>
        <v>0</v>
      </c>
      <c r="L34" s="60">
        <f>+FACTURACIÓN!N33</f>
        <v>0</v>
      </c>
      <c r="M34" s="60">
        <f>+FACTURACIÓN!O33</f>
        <v>0</v>
      </c>
      <c r="N34" s="60">
        <f>+FACTURACIÓN!P33</f>
        <v>0</v>
      </c>
      <c r="O34" s="59">
        <f t="shared" si="1"/>
        <v>747.99941999999999</v>
      </c>
      <c r="P34" s="64">
        <f t="shared" si="2"/>
        <v>2877.9805799999999</v>
      </c>
    </row>
    <row r="35" spans="1:17" s="56" customFormat="1" x14ac:dyDescent="0.2">
      <c r="A35" s="41" t="s">
        <v>77</v>
      </c>
      <c r="B35" s="42" t="s">
        <v>78</v>
      </c>
      <c r="C35" s="58">
        <f>+FACTURACIÓN!C34+FACTURACIÓN!D34+FACTURACIÓN!E34+FACTURACIÓN!F34-'C&amp;A'!K35-'C&amp;A'!G35-'C&amp;A'!I35</f>
        <v>3029.7</v>
      </c>
      <c r="D35" s="59">
        <v>0</v>
      </c>
      <c r="E35" s="60">
        <f t="shared" si="0"/>
        <v>3029.7</v>
      </c>
      <c r="F35" s="60">
        <f>+FACTURACIÓN!H34</f>
        <v>0</v>
      </c>
      <c r="G35" s="60">
        <f>+FACTURACIÓN!I34</f>
        <v>1000</v>
      </c>
      <c r="H35" s="60">
        <f>+FACTURACIÓN!J34</f>
        <v>176.74790000000002</v>
      </c>
      <c r="I35" s="60">
        <f>+FACTURACIÓN!K34</f>
        <v>36.070999999999998</v>
      </c>
      <c r="J35" s="60">
        <f>+FACTURACIÓN!L34</f>
        <v>300</v>
      </c>
      <c r="K35" s="60">
        <f>+FACTURACIÓN!M34</f>
        <v>0</v>
      </c>
      <c r="L35" s="60">
        <f>+FACTURACIÓN!N34</f>
        <v>0</v>
      </c>
      <c r="M35" s="60">
        <f>+FACTURACIÓN!O34</f>
        <v>0</v>
      </c>
      <c r="N35" s="60">
        <f>+FACTURACIÓN!P34</f>
        <v>0</v>
      </c>
      <c r="O35" s="59">
        <f t="shared" si="1"/>
        <v>1512.8189</v>
      </c>
      <c r="P35" s="64">
        <f t="shared" si="2"/>
        <v>1516.8810999999998</v>
      </c>
    </row>
    <row r="36" spans="1:17" s="56" customFormat="1" x14ac:dyDescent="0.2">
      <c r="A36" s="41" t="s">
        <v>79</v>
      </c>
      <c r="B36" s="42" t="s">
        <v>80</v>
      </c>
      <c r="C36" s="58">
        <f>+FACTURACIÓN!C35+FACTURACIÓN!D35+FACTURACIÓN!E35+FACTURACIÓN!F35-'C&amp;A'!K36-'C&amp;A'!G36-'C&amp;A'!I36</f>
        <v>1806.8899999999999</v>
      </c>
      <c r="D36" s="59">
        <v>0</v>
      </c>
      <c r="E36" s="60">
        <f t="shared" si="0"/>
        <v>1806.8899999999999</v>
      </c>
      <c r="F36" s="60">
        <f>+FACTURACIÓN!H35</f>
        <v>0</v>
      </c>
      <c r="G36" s="60">
        <f>+FACTURACIÓN!I35</f>
        <v>0</v>
      </c>
      <c r="H36" s="60">
        <f>+FACTURACIÓN!J35</f>
        <v>0</v>
      </c>
      <c r="I36" s="60">
        <f>+FACTURACIÓN!K35</f>
        <v>0</v>
      </c>
      <c r="J36" s="60">
        <f>+FACTURACIÓN!L35</f>
        <v>0</v>
      </c>
      <c r="K36" s="60">
        <f>+FACTURACIÓN!M35</f>
        <v>0</v>
      </c>
      <c r="L36" s="60">
        <f>+FACTURACIÓN!N35</f>
        <v>0</v>
      </c>
      <c r="M36" s="60">
        <f>+FACTURACIÓN!O35</f>
        <v>0</v>
      </c>
      <c r="N36" s="60">
        <f>+FACTURACIÓN!P35</f>
        <v>0</v>
      </c>
      <c r="O36" s="59">
        <f t="shared" si="1"/>
        <v>0</v>
      </c>
      <c r="P36" s="64">
        <f t="shared" si="2"/>
        <v>1806.8899999999999</v>
      </c>
    </row>
    <row r="37" spans="1:17" s="56" customFormat="1" ht="15" x14ac:dyDescent="0.25">
      <c r="A37" s="41"/>
      <c r="B37" s="133" t="s">
        <v>627</v>
      </c>
      <c r="C37" s="58">
        <f>+FACTURACIÓN!C36+FACTURACIÓN!D36+FACTURACIÓN!E36+FACTURACIÓN!F36-'C&amp;A'!K37-'C&amp;A'!G37-'C&amp;A'!I37</f>
        <v>475.39</v>
      </c>
      <c r="D37" s="59">
        <v>0</v>
      </c>
      <c r="E37" s="60">
        <f t="shared" si="0"/>
        <v>475.39</v>
      </c>
      <c r="F37" s="60">
        <f>+FACTURACIÓN!H36</f>
        <v>0</v>
      </c>
      <c r="G37" s="60">
        <f>+FACTURACIÓN!I36</f>
        <v>0</v>
      </c>
      <c r="H37" s="60">
        <f>+FACTURACIÓN!J36</f>
        <v>0</v>
      </c>
      <c r="I37" s="60">
        <f>+FACTURACIÓN!K36</f>
        <v>0</v>
      </c>
      <c r="J37" s="60">
        <f>+FACTURACIÓN!L36</f>
        <v>0</v>
      </c>
      <c r="K37" s="60">
        <f>+FACTURACIÓN!M36</f>
        <v>0</v>
      </c>
      <c r="L37" s="60">
        <f>+FACTURACIÓN!N36</f>
        <v>0</v>
      </c>
      <c r="M37" s="60">
        <f>+FACTURACIÓN!O36</f>
        <v>0</v>
      </c>
      <c r="N37" s="60">
        <f>+FACTURACIÓN!P36</f>
        <v>0</v>
      </c>
      <c r="O37" s="59">
        <f t="shared" si="1"/>
        <v>0</v>
      </c>
      <c r="P37" s="64">
        <f t="shared" si="2"/>
        <v>475.39</v>
      </c>
    </row>
    <row r="38" spans="1:17" s="56" customFormat="1" x14ac:dyDescent="0.2">
      <c r="A38" s="41" t="s">
        <v>506</v>
      </c>
      <c r="B38" s="42" t="s">
        <v>507</v>
      </c>
      <c r="C38" s="58">
        <f>+FACTURACIÓN!C37+FACTURACIÓN!D37+FACTURACIÓN!E37+FACTURACIÓN!F37-'C&amp;A'!K38-'C&amp;A'!G38-'C&amp;A'!I38</f>
        <v>828.46</v>
      </c>
      <c r="D38" s="59">
        <v>0</v>
      </c>
      <c r="E38" s="60">
        <f t="shared" si="0"/>
        <v>828.46</v>
      </c>
      <c r="F38" s="60">
        <f>+FACTURACIÓN!H37</f>
        <v>0</v>
      </c>
      <c r="G38" s="60">
        <f>+FACTURACIÓN!I37</f>
        <v>0</v>
      </c>
      <c r="H38" s="60">
        <f>+FACTURACIÓN!J37</f>
        <v>0</v>
      </c>
      <c r="I38" s="60">
        <f>+FACTURACIÓN!K37</f>
        <v>0</v>
      </c>
      <c r="J38" s="60">
        <f>+FACTURACIÓN!L37</f>
        <v>0</v>
      </c>
      <c r="K38" s="60">
        <f>+FACTURACIÓN!M37</f>
        <v>0</v>
      </c>
      <c r="L38" s="60">
        <f>+FACTURACIÓN!N37</f>
        <v>0</v>
      </c>
      <c r="M38" s="60">
        <f>+FACTURACIÓN!O37</f>
        <v>0</v>
      </c>
      <c r="N38" s="60">
        <f>+FACTURACIÓN!P37</f>
        <v>0</v>
      </c>
      <c r="O38" s="59">
        <f t="shared" si="1"/>
        <v>0</v>
      </c>
      <c r="P38" s="64">
        <f t="shared" si="2"/>
        <v>828.46</v>
      </c>
    </row>
    <row r="39" spans="1:17" s="56" customFormat="1" x14ac:dyDescent="0.2">
      <c r="A39" s="41" t="s">
        <v>81</v>
      </c>
      <c r="B39" s="42" t="s">
        <v>82</v>
      </c>
      <c r="C39" s="58">
        <f>+FACTURACIÓN!C38+FACTURACIÓN!D38+FACTURACIÓN!E38+FACTURACIÓN!F38-'C&amp;A'!K39-'C&amp;A'!G39-'C&amp;A'!I39</f>
        <v>11335.94</v>
      </c>
      <c r="D39" s="59">
        <v>258.75</v>
      </c>
      <c r="E39" s="60">
        <f t="shared" si="0"/>
        <v>11594.69</v>
      </c>
      <c r="F39" s="60">
        <f>+FACTURACIÓN!H38</f>
        <v>0</v>
      </c>
      <c r="G39" s="60">
        <f>+FACTURACIÓN!I38</f>
        <v>0</v>
      </c>
      <c r="H39" s="60">
        <f>+FACTURACIÓN!J38</f>
        <v>0</v>
      </c>
      <c r="I39" s="60">
        <f>+FACTURACIÓN!K38</f>
        <v>0</v>
      </c>
      <c r="J39" s="60">
        <f>+FACTURACIÓN!L38</f>
        <v>0</v>
      </c>
      <c r="K39" s="60">
        <f>+FACTURACIÓN!M38</f>
        <v>349.07</v>
      </c>
      <c r="L39" s="60">
        <f>+FACTURACIÓN!N38</f>
        <v>1191.3340000000001</v>
      </c>
      <c r="M39" s="60">
        <f>+FACTURACIÓN!O38</f>
        <v>58.91</v>
      </c>
      <c r="N39" s="60">
        <f>+FACTURACIÓN!P38</f>
        <v>0</v>
      </c>
      <c r="O39" s="59">
        <f t="shared" si="1"/>
        <v>1599.3140000000001</v>
      </c>
      <c r="P39" s="64">
        <f t="shared" si="2"/>
        <v>9995.3760000000002</v>
      </c>
      <c r="Q39" s="58"/>
    </row>
    <row r="40" spans="1:17" s="56" customFormat="1" x14ac:dyDescent="0.2">
      <c r="A40" s="41" t="s">
        <v>83</v>
      </c>
      <c r="B40" s="42" t="s">
        <v>84</v>
      </c>
      <c r="C40" s="58">
        <f>+FACTURACIÓN!C39+FACTURACIÓN!D39+FACTURACIÓN!E39+FACTURACIÓN!F39-'C&amp;A'!K40-'C&amp;A'!G40-'C&amp;A'!I40</f>
        <v>718.56000000000006</v>
      </c>
      <c r="D40" s="59">
        <v>0</v>
      </c>
      <c r="E40" s="60">
        <f t="shared" si="0"/>
        <v>718.56000000000006</v>
      </c>
      <c r="F40" s="60">
        <f>+FACTURACIÓN!H39</f>
        <v>0</v>
      </c>
      <c r="G40" s="60">
        <f>+FACTURACIÓN!I39</f>
        <v>0</v>
      </c>
      <c r="H40" s="60">
        <f>+FACTURACIÓN!J39</f>
        <v>0</v>
      </c>
      <c r="I40" s="60">
        <f>+FACTURACIÓN!K39</f>
        <v>0</v>
      </c>
      <c r="J40" s="60">
        <f>+FACTURACIÓN!L39</f>
        <v>0</v>
      </c>
      <c r="K40" s="60">
        <f>+FACTURACIÓN!M39</f>
        <v>0</v>
      </c>
      <c r="L40" s="60">
        <f>+FACTURACIÓN!N39</f>
        <v>0</v>
      </c>
      <c r="M40" s="60">
        <f>+FACTURACIÓN!O39</f>
        <v>58.91</v>
      </c>
      <c r="N40" s="60">
        <f>+FACTURACIÓN!P39</f>
        <v>0</v>
      </c>
      <c r="O40" s="59">
        <f t="shared" si="1"/>
        <v>58.91</v>
      </c>
      <c r="P40" s="64">
        <f t="shared" si="2"/>
        <v>659.65000000000009</v>
      </c>
    </row>
    <row r="41" spans="1:17" s="56" customFormat="1" x14ac:dyDescent="0.2">
      <c r="A41" s="41" t="s">
        <v>200</v>
      </c>
      <c r="B41" s="42" t="s">
        <v>201</v>
      </c>
      <c r="C41" s="58">
        <f>+FACTURACIÓN!C40+FACTURACIÓN!D40+FACTURACIÓN!E40+FACTURACIÓN!F40-'C&amp;A'!K41-'C&amp;A'!G41-'C&amp;A'!I41</f>
        <v>588.86</v>
      </c>
      <c r="D41" s="59">
        <v>0</v>
      </c>
      <c r="E41" s="60">
        <f t="shared" si="0"/>
        <v>588.86</v>
      </c>
      <c r="F41" s="60">
        <f>+FACTURACIÓN!H40</f>
        <v>0</v>
      </c>
      <c r="G41" s="60">
        <f>+FACTURACIÓN!I40</f>
        <v>0</v>
      </c>
      <c r="H41" s="60">
        <f>+FACTURACIÓN!J40</f>
        <v>0</v>
      </c>
      <c r="I41" s="60">
        <f>+FACTURACIÓN!K40</f>
        <v>0</v>
      </c>
      <c r="J41" s="60">
        <f>+FACTURACIÓN!L40</f>
        <v>0</v>
      </c>
      <c r="K41" s="60">
        <f>+FACTURACIÓN!M40</f>
        <v>0</v>
      </c>
      <c r="L41" s="60">
        <f>+FACTURACIÓN!N40</f>
        <v>0</v>
      </c>
      <c r="M41" s="60">
        <f>+FACTURACIÓN!O40</f>
        <v>58.91</v>
      </c>
      <c r="N41" s="60">
        <f>+FACTURACIÓN!P40</f>
        <v>0</v>
      </c>
      <c r="O41" s="59">
        <f t="shared" si="1"/>
        <v>58.91</v>
      </c>
      <c r="P41" s="64">
        <f t="shared" si="2"/>
        <v>529.95000000000005</v>
      </c>
    </row>
    <row r="42" spans="1:17" s="56" customFormat="1" x14ac:dyDescent="0.2">
      <c r="A42" s="41" t="s">
        <v>87</v>
      </c>
      <c r="B42" s="42" t="s">
        <v>88</v>
      </c>
      <c r="C42" s="58">
        <f>+FACTURACIÓN!C41+FACTURACIÓN!D41+FACTURACIÓN!E41+FACTURACIÓN!F41-'C&amp;A'!K42-'C&amp;A'!G42-'C&amp;A'!I42</f>
        <v>2055.59</v>
      </c>
      <c r="D42" s="59">
        <v>0</v>
      </c>
      <c r="E42" s="60">
        <f t="shared" si="0"/>
        <v>2055.59</v>
      </c>
      <c r="F42" s="60">
        <f>+FACTURACIÓN!H41</f>
        <v>0</v>
      </c>
      <c r="G42" s="60">
        <f>+FACTURACIÓN!I41</f>
        <v>0</v>
      </c>
      <c r="H42" s="60">
        <f>+FACTURACIÓN!J41</f>
        <v>0</v>
      </c>
      <c r="I42" s="60">
        <f>+FACTURACIÓN!K41</f>
        <v>0</v>
      </c>
      <c r="J42" s="60">
        <f>+FACTURACIÓN!L41</f>
        <v>0</v>
      </c>
      <c r="K42" s="60">
        <f>+FACTURACIÓN!M41</f>
        <v>0</v>
      </c>
      <c r="L42" s="60">
        <f>+FACTURACIÓN!N41</f>
        <v>0</v>
      </c>
      <c r="M42" s="60">
        <f>+FACTURACIÓN!O41</f>
        <v>0</v>
      </c>
      <c r="N42" s="60">
        <f>+FACTURACIÓN!P41</f>
        <v>0</v>
      </c>
      <c r="O42" s="59">
        <f t="shared" si="1"/>
        <v>0</v>
      </c>
      <c r="P42" s="64">
        <f t="shared" si="2"/>
        <v>2055.59</v>
      </c>
    </row>
    <row r="43" spans="1:17" s="42" customFormat="1" x14ac:dyDescent="0.2">
      <c r="A43" s="41" t="s">
        <v>89</v>
      </c>
      <c r="B43" s="42" t="s">
        <v>90</v>
      </c>
      <c r="C43" s="58">
        <f>+FACTURACIÓN!C42+FACTURACIÓN!D42+FACTURACIÓN!E42+FACTURACIÓN!F42-'C&amp;A'!K43-'C&amp;A'!G43-'C&amp;A'!I43</f>
        <v>5699.56</v>
      </c>
      <c r="D43" s="59">
        <v>0</v>
      </c>
      <c r="E43" s="60">
        <f t="shared" si="0"/>
        <v>5699.56</v>
      </c>
      <c r="F43" s="60">
        <f>+FACTURACIÓN!H42</f>
        <v>0</v>
      </c>
      <c r="G43" s="60">
        <f>+FACTURACIÓN!I42</f>
        <v>0</v>
      </c>
      <c r="H43" s="60">
        <f>+FACTURACIÓN!J42</f>
        <v>0</v>
      </c>
      <c r="I43" s="60">
        <f>+FACTURACIÓN!K42</f>
        <v>0</v>
      </c>
      <c r="J43" s="60">
        <f>+FACTURACIÓN!L42</f>
        <v>0</v>
      </c>
      <c r="K43" s="60">
        <f>+FACTURACIÓN!M42</f>
        <v>0</v>
      </c>
      <c r="L43" s="60">
        <f>+FACTURACIÓN!N42</f>
        <v>627.69600000000003</v>
      </c>
      <c r="M43" s="60">
        <f>+FACTURACIÓN!O42</f>
        <v>58.91</v>
      </c>
      <c r="N43" s="60">
        <f>+FACTURACIÓN!P42</f>
        <v>0</v>
      </c>
      <c r="O43" s="59">
        <f t="shared" si="1"/>
        <v>686.60599999999999</v>
      </c>
      <c r="P43" s="64">
        <f t="shared" si="2"/>
        <v>5012.9540000000006</v>
      </c>
    </row>
    <row r="44" spans="1:17" s="56" customFormat="1" x14ac:dyDescent="0.2">
      <c r="A44" s="41" t="s">
        <v>91</v>
      </c>
      <c r="B44" s="42" t="s">
        <v>92</v>
      </c>
      <c r="C44" s="58">
        <f>+FACTURACIÓN!C43+FACTURACIÓN!D43+FACTURACIÓN!E43+FACTURACIÓN!F43-'C&amp;A'!K44-'C&amp;A'!G44-'C&amp;A'!I44</f>
        <v>8663.84</v>
      </c>
      <c r="D44" s="59">
        <v>0</v>
      </c>
      <c r="E44" s="60">
        <f t="shared" si="0"/>
        <v>8663.84</v>
      </c>
      <c r="F44" s="60">
        <f>+FACTURACIÓN!H43</f>
        <v>0</v>
      </c>
      <c r="G44" s="60">
        <f>+FACTURACIÓN!I43</f>
        <v>0</v>
      </c>
      <c r="H44" s="60">
        <f>+FACTURACIÓN!J43</f>
        <v>0</v>
      </c>
      <c r="I44" s="60">
        <f>+FACTURACIÓN!K43</f>
        <v>0</v>
      </c>
      <c r="J44" s="60">
        <f>+FACTURACIÓN!L43</f>
        <v>0</v>
      </c>
      <c r="K44" s="60">
        <f>+FACTURACIÓN!M43</f>
        <v>208.6</v>
      </c>
      <c r="L44" s="60">
        <f>+FACTURACIÓN!N43</f>
        <v>924.12199999999996</v>
      </c>
      <c r="M44" s="60">
        <f>+FACTURACIÓN!O43</f>
        <v>0</v>
      </c>
      <c r="N44" s="60">
        <f>+FACTURACIÓN!P43</f>
        <v>0</v>
      </c>
      <c r="O44" s="59">
        <f t="shared" si="1"/>
        <v>1132.722</v>
      </c>
      <c r="P44" s="64">
        <f t="shared" si="2"/>
        <v>7531.1180000000004</v>
      </c>
    </row>
    <row r="45" spans="1:17" s="56" customFormat="1" x14ac:dyDescent="0.2">
      <c r="A45" s="41" t="s">
        <v>93</v>
      </c>
      <c r="B45" s="42" t="s">
        <v>94</v>
      </c>
      <c r="C45" s="58">
        <f>+FACTURACIÓN!C44+FACTURACIÓN!D44+FACTURACIÓN!E44+FACTURACIÓN!F44-'C&amp;A'!K45-'C&amp;A'!G45-'C&amp;A'!I45</f>
        <v>87.360000000000014</v>
      </c>
      <c r="D45" s="59">
        <v>0</v>
      </c>
      <c r="E45" s="60">
        <f t="shared" si="0"/>
        <v>87.360000000000014</v>
      </c>
      <c r="F45" s="60">
        <f>+FACTURACIÓN!H44</f>
        <v>0</v>
      </c>
      <c r="G45" s="60">
        <f>+FACTURACIÓN!I44</f>
        <v>0</v>
      </c>
      <c r="H45" s="60">
        <f>+FACTURACIÓN!J44</f>
        <v>0</v>
      </c>
      <c r="I45" s="60">
        <f>+FACTURACIÓN!K44</f>
        <v>0</v>
      </c>
      <c r="J45" s="60">
        <f>+FACTURACIÓN!L44</f>
        <v>0</v>
      </c>
      <c r="K45" s="60">
        <f>+FACTURACIÓN!M44</f>
        <v>0</v>
      </c>
      <c r="L45" s="60">
        <f>+FACTURACIÓN!N44</f>
        <v>0</v>
      </c>
      <c r="M45" s="60">
        <f>+FACTURACIÓN!O44</f>
        <v>58.91</v>
      </c>
      <c r="N45" s="60">
        <f>+FACTURACIÓN!P44</f>
        <v>0</v>
      </c>
      <c r="O45" s="59">
        <f t="shared" si="1"/>
        <v>58.91</v>
      </c>
      <c r="P45" s="64">
        <f t="shared" si="2"/>
        <v>28.450000000000017</v>
      </c>
    </row>
    <row r="46" spans="1:17" s="56" customFormat="1" x14ac:dyDescent="0.2">
      <c r="A46" s="41" t="s">
        <v>95</v>
      </c>
      <c r="B46" s="42" t="s">
        <v>96</v>
      </c>
      <c r="C46" s="58">
        <f>+FACTURACIÓN!C45+FACTURACIÓN!D45+FACTURACIÓN!E45+FACTURACIÓN!F45-'C&amp;A'!K46-'C&amp;A'!G46-'C&amp;A'!I46</f>
        <v>4908.97</v>
      </c>
      <c r="D46" s="59">
        <v>0</v>
      </c>
      <c r="E46" s="60">
        <f t="shared" si="0"/>
        <v>4908.97</v>
      </c>
      <c r="F46" s="60">
        <f>+FACTURACIÓN!H45</f>
        <v>0</v>
      </c>
      <c r="G46" s="60">
        <f>+FACTURACIÓN!I45</f>
        <v>0</v>
      </c>
      <c r="H46" s="60">
        <f>+FACTURACIÓN!J45</f>
        <v>0</v>
      </c>
      <c r="I46" s="60">
        <f>+FACTURACIÓN!K45</f>
        <v>0</v>
      </c>
      <c r="J46" s="60">
        <f>+FACTURACIÓN!L45</f>
        <v>0</v>
      </c>
      <c r="K46" s="60">
        <f>+FACTURACIÓN!M45</f>
        <v>0</v>
      </c>
      <c r="L46" s="60">
        <f>+FACTURACIÓN!N45</f>
        <v>548.61700000000008</v>
      </c>
      <c r="M46" s="60">
        <f>+FACTURACIÓN!O45</f>
        <v>0</v>
      </c>
      <c r="N46" s="60">
        <f>+FACTURACIÓN!P45</f>
        <v>0</v>
      </c>
      <c r="O46" s="59">
        <f t="shared" si="1"/>
        <v>548.61700000000008</v>
      </c>
      <c r="P46" s="64">
        <f t="shared" si="2"/>
        <v>4360.3530000000001</v>
      </c>
    </row>
    <row r="47" spans="1:17" s="56" customFormat="1" x14ac:dyDescent="0.2">
      <c r="A47" s="41" t="s">
        <v>97</v>
      </c>
      <c r="B47" s="42" t="s">
        <v>98</v>
      </c>
      <c r="C47" s="58">
        <f>+FACTURACIÓN!C46+FACTURACIÓN!D46+FACTURACIÓN!E46+FACTURACIÓN!F46-'C&amp;A'!K47-'C&amp;A'!G47-'C&amp;A'!I47</f>
        <v>1055.9299999999998</v>
      </c>
      <c r="D47" s="59">
        <v>0</v>
      </c>
      <c r="E47" s="60">
        <f t="shared" si="0"/>
        <v>1055.9299999999998</v>
      </c>
      <c r="F47" s="60">
        <f>+FACTURACIÓN!H46</f>
        <v>0</v>
      </c>
      <c r="G47" s="60">
        <f>+FACTURACIÓN!I46</f>
        <v>0</v>
      </c>
      <c r="H47" s="60">
        <f>+FACTURACIÓN!J46</f>
        <v>0</v>
      </c>
      <c r="I47" s="60">
        <f>+FACTURACIÓN!K46</f>
        <v>0</v>
      </c>
      <c r="J47" s="60">
        <f>+FACTURACIÓN!L46</f>
        <v>0</v>
      </c>
      <c r="K47" s="60">
        <f>+FACTURACIÓN!M46</f>
        <v>0</v>
      </c>
      <c r="L47" s="60">
        <f>+FACTURACIÓN!N46</f>
        <v>0</v>
      </c>
      <c r="M47" s="60">
        <f>+FACTURACIÓN!O46</f>
        <v>0</v>
      </c>
      <c r="N47" s="60">
        <f>+FACTURACIÓN!P46</f>
        <v>0</v>
      </c>
      <c r="O47" s="59">
        <f t="shared" si="1"/>
        <v>0</v>
      </c>
      <c r="P47" s="64">
        <f t="shared" si="2"/>
        <v>1055.9299999999998</v>
      </c>
    </row>
    <row r="48" spans="1:17" s="56" customFormat="1" x14ac:dyDescent="0.2">
      <c r="A48" s="41" t="s">
        <v>100</v>
      </c>
      <c r="B48" s="42" t="s">
        <v>101</v>
      </c>
      <c r="C48" s="58">
        <f>+FACTURACIÓN!C47+FACTURACIÓN!D47+FACTURACIÓN!E47+FACTURACIÓN!F47-'C&amp;A'!K48-'C&amp;A'!G48-'C&amp;A'!I48</f>
        <v>14769</v>
      </c>
      <c r="D48" s="59">
        <v>0</v>
      </c>
      <c r="E48" s="60">
        <f t="shared" si="0"/>
        <v>14769</v>
      </c>
      <c r="F48" s="60">
        <f>+FACTURACIÓN!H47</f>
        <v>0</v>
      </c>
      <c r="G48" s="60">
        <f>+FACTURACIÓN!I47</f>
        <v>0</v>
      </c>
      <c r="H48" s="60">
        <f>+FACTURACIÓN!J47</f>
        <v>0</v>
      </c>
      <c r="I48" s="60">
        <f>+FACTURACIÓN!K47</f>
        <v>0</v>
      </c>
      <c r="J48" s="60">
        <f>+FACTURACIÓN!L47</f>
        <v>0</v>
      </c>
      <c r="K48" s="60">
        <f>+FACTURACIÓN!M47</f>
        <v>0</v>
      </c>
      <c r="L48" s="60">
        <f>+FACTURACIÓN!N47</f>
        <v>1534.64</v>
      </c>
      <c r="M48" s="60">
        <f>+FACTURACIÓN!O47</f>
        <v>0</v>
      </c>
      <c r="N48" s="60">
        <f>+FACTURACIÓN!P47</f>
        <v>0</v>
      </c>
      <c r="O48" s="59">
        <f t="shared" si="1"/>
        <v>1534.64</v>
      </c>
      <c r="P48" s="64">
        <f t="shared" si="2"/>
        <v>13234.36</v>
      </c>
    </row>
    <row r="49" spans="1:16" s="56" customFormat="1" x14ac:dyDescent="0.2">
      <c r="A49" s="41" t="s">
        <v>102</v>
      </c>
      <c r="B49" s="42" t="s">
        <v>103</v>
      </c>
      <c r="C49" s="58">
        <f>+FACTURACIÓN!C48+FACTURACIÓN!D48+FACTURACIÓN!E48+FACTURACIÓN!F48-'C&amp;A'!K49-'C&amp;A'!G49-'C&amp;A'!I49</f>
        <v>340.36</v>
      </c>
      <c r="D49" s="59">
        <v>0</v>
      </c>
      <c r="E49" s="60">
        <f t="shared" si="0"/>
        <v>340.36</v>
      </c>
      <c r="F49" s="60">
        <f>+FACTURACIÓN!H48</f>
        <v>0</v>
      </c>
      <c r="G49" s="60">
        <f>+FACTURACIÓN!I48</f>
        <v>100</v>
      </c>
      <c r="H49" s="60">
        <f>+FACTURACIÓN!J48</f>
        <v>44.970240000000004</v>
      </c>
      <c r="I49" s="60">
        <f>+FACTURACIÓN!K48</f>
        <v>9.1776</v>
      </c>
      <c r="J49" s="60">
        <f>+FACTURACIÓN!L48</f>
        <v>0</v>
      </c>
      <c r="K49" s="60">
        <f>+FACTURACIÓN!M48</f>
        <v>0</v>
      </c>
      <c r="L49" s="60">
        <f>+FACTURACIÓN!N48</f>
        <v>0</v>
      </c>
      <c r="M49" s="60">
        <f>+FACTURACIÓN!O48</f>
        <v>0</v>
      </c>
      <c r="N49" s="60">
        <f>+FACTURACIÓN!P48</f>
        <v>0</v>
      </c>
      <c r="O49" s="59">
        <f t="shared" si="1"/>
        <v>154.14784</v>
      </c>
      <c r="P49" s="64">
        <f t="shared" si="2"/>
        <v>186.21216000000001</v>
      </c>
    </row>
    <row r="50" spans="1:16" s="56" customFormat="1" ht="15" x14ac:dyDescent="0.25">
      <c r="A50" s="41"/>
      <c r="B50" s="133" t="s">
        <v>629</v>
      </c>
      <c r="C50" s="58">
        <f>+FACTURACIÓN!C49+FACTURACIÓN!D49+FACTURACIÓN!E49+FACTURACIÓN!F49-'C&amp;A'!K50-'C&amp;A'!G50-'C&amp;A'!I50</f>
        <v>831.79000000000008</v>
      </c>
      <c r="D50" s="59">
        <v>0</v>
      </c>
      <c r="E50" s="60">
        <f t="shared" si="0"/>
        <v>831.79000000000008</v>
      </c>
      <c r="F50" s="60">
        <f>+FACTURACIÓN!H49</f>
        <v>0</v>
      </c>
      <c r="G50" s="60">
        <f>+FACTURACIÓN!I49</f>
        <v>0</v>
      </c>
      <c r="H50" s="60">
        <f>+FACTURACIÓN!J49</f>
        <v>0</v>
      </c>
      <c r="I50" s="60">
        <f>+FACTURACIÓN!K49</f>
        <v>0</v>
      </c>
      <c r="J50" s="60">
        <f>+FACTURACIÓN!L49</f>
        <v>0</v>
      </c>
      <c r="K50" s="60">
        <f>+FACTURACIÓN!M49</f>
        <v>0</v>
      </c>
      <c r="L50" s="60">
        <f>+FACTURACIÓN!N49</f>
        <v>0</v>
      </c>
      <c r="M50" s="60">
        <f>+FACTURACIÓN!O49</f>
        <v>0</v>
      </c>
      <c r="N50" s="60">
        <f>+FACTURACIÓN!P49</f>
        <v>0</v>
      </c>
      <c r="O50" s="59">
        <f t="shared" si="1"/>
        <v>0</v>
      </c>
      <c r="P50" s="64">
        <f t="shared" si="2"/>
        <v>831.79000000000008</v>
      </c>
    </row>
    <row r="51" spans="1:16" s="56" customFormat="1" x14ac:dyDescent="0.2">
      <c r="A51" s="41" t="s">
        <v>104</v>
      </c>
      <c r="B51" s="42" t="s">
        <v>105</v>
      </c>
      <c r="C51" s="58">
        <f>+FACTURACIÓN!C50+FACTURACIÓN!D50+FACTURACIÓN!E50+FACTURACIÓN!F50-'C&amp;A'!K51-'C&amp;A'!G51-'C&amp;A'!I51</f>
        <v>1917.3799999999997</v>
      </c>
      <c r="D51" s="59">
        <v>0</v>
      </c>
      <c r="E51" s="60">
        <f t="shared" si="0"/>
        <v>1917.3799999999997</v>
      </c>
      <c r="F51" s="60">
        <f>+FACTURACIÓN!H50</f>
        <v>0</v>
      </c>
      <c r="G51" s="60">
        <f>+FACTURACIÓN!I50</f>
        <v>0</v>
      </c>
      <c r="H51" s="60">
        <f>+FACTURACIÓN!J50</f>
        <v>122.24422</v>
      </c>
      <c r="I51" s="60">
        <f>+FACTURACIÓN!K50</f>
        <v>24.947799999999997</v>
      </c>
      <c r="J51" s="60">
        <f>+FACTURACIÓN!L50</f>
        <v>0</v>
      </c>
      <c r="K51" s="60">
        <f>+FACTURACIÓN!M50</f>
        <v>0</v>
      </c>
      <c r="L51" s="60">
        <f>+FACTURACIÓN!N50</f>
        <v>0</v>
      </c>
      <c r="M51" s="60">
        <f>+FACTURACIÓN!O50</f>
        <v>0</v>
      </c>
      <c r="N51" s="60">
        <f>+FACTURACIÓN!P50</f>
        <v>0</v>
      </c>
      <c r="O51" s="59">
        <f t="shared" si="1"/>
        <v>147.19201999999999</v>
      </c>
      <c r="P51" s="64">
        <f t="shared" si="2"/>
        <v>1770.1879799999997</v>
      </c>
    </row>
    <row r="52" spans="1:16" s="56" customFormat="1" x14ac:dyDescent="0.2">
      <c r="A52" s="41" t="s">
        <v>106</v>
      </c>
      <c r="B52" s="42" t="s">
        <v>107</v>
      </c>
      <c r="C52" s="58">
        <f>+FACTURACIÓN!C51+FACTURACIÓN!D51+FACTURACIÓN!E51+FACTURACIÓN!F51-'C&amp;A'!K52-'C&amp;A'!G52-'C&amp;A'!I52</f>
        <v>3027.89</v>
      </c>
      <c r="D52" s="59">
        <v>0</v>
      </c>
      <c r="E52" s="60">
        <f t="shared" si="0"/>
        <v>3027.89</v>
      </c>
      <c r="F52" s="60">
        <f>+FACTURACIÓN!H51</f>
        <v>0</v>
      </c>
      <c r="G52" s="60">
        <f>+FACTURACIÓN!I51</f>
        <v>0</v>
      </c>
      <c r="H52" s="60">
        <f>+FACTURACIÓN!J51</f>
        <v>0</v>
      </c>
      <c r="I52" s="60">
        <f>+FACTURACIÓN!K51</f>
        <v>0</v>
      </c>
      <c r="J52" s="60">
        <f>+FACTURACIÓN!L51</f>
        <v>0</v>
      </c>
      <c r="K52" s="60">
        <f>+FACTURACIÓN!M51</f>
        <v>0</v>
      </c>
      <c r="L52" s="60">
        <f>+FACTURACIÓN!N51</f>
        <v>0</v>
      </c>
      <c r="M52" s="60">
        <f>+FACTURACIÓN!O51</f>
        <v>0</v>
      </c>
      <c r="N52" s="60">
        <f>+FACTURACIÓN!P51</f>
        <v>0</v>
      </c>
      <c r="O52" s="59">
        <f t="shared" si="1"/>
        <v>0</v>
      </c>
      <c r="P52" s="64">
        <f t="shared" si="2"/>
        <v>3027.89</v>
      </c>
    </row>
    <row r="53" spans="1:16" s="56" customFormat="1" x14ac:dyDescent="0.2">
      <c r="A53" s="41" t="s">
        <v>522</v>
      </c>
      <c r="B53" s="42" t="s">
        <v>521</v>
      </c>
      <c r="C53" s="58">
        <f>+FACTURACIÓN!C52+FACTURACIÓN!D52+FACTURACIÓN!E52+FACTURACIÓN!F52-'C&amp;A'!K53-'C&amp;A'!G53-'C&amp;A'!I53</f>
        <v>3095.11</v>
      </c>
      <c r="D53" s="59">
        <v>0</v>
      </c>
      <c r="E53" s="60">
        <f t="shared" si="0"/>
        <v>3095.11</v>
      </c>
      <c r="F53" s="60">
        <f>+FACTURACIÓN!H52</f>
        <v>0</v>
      </c>
      <c r="G53" s="60">
        <f>+FACTURACIÓN!I52</f>
        <v>0</v>
      </c>
      <c r="H53" s="60">
        <f>+FACTURACIÓN!J52</f>
        <v>0</v>
      </c>
      <c r="I53" s="60">
        <f>+FACTURACIÓN!K52</f>
        <v>31.777100000000001</v>
      </c>
      <c r="J53" s="60">
        <f>+FACTURACIÓN!L52</f>
        <v>0</v>
      </c>
      <c r="K53" s="60">
        <f>+FACTURACIÓN!M52</f>
        <v>0</v>
      </c>
      <c r="L53" s="60">
        <f>+FACTURACIÓN!N52</f>
        <v>0</v>
      </c>
      <c r="M53" s="60">
        <f>+FACTURACIÓN!O52</f>
        <v>0</v>
      </c>
      <c r="N53" s="60">
        <f>+FACTURACIÓN!P52</f>
        <v>0</v>
      </c>
      <c r="O53" s="59">
        <f t="shared" si="1"/>
        <v>31.777100000000001</v>
      </c>
      <c r="P53" s="64">
        <f t="shared" si="2"/>
        <v>3063.3329000000003</v>
      </c>
    </row>
    <row r="54" spans="1:16" s="56" customFormat="1" x14ac:dyDescent="0.2">
      <c r="A54" s="41" t="s">
        <v>510</v>
      </c>
      <c r="B54" s="42" t="s">
        <v>511</v>
      </c>
      <c r="C54" s="58">
        <f>+FACTURACIÓN!C53+FACTURACIÓN!D53+FACTURACIÓN!E53+FACTURACIÓN!F53-'C&amp;A'!K54-'C&amp;A'!G54-'C&amp;A'!I54</f>
        <v>1061.8</v>
      </c>
      <c r="D54" s="59">
        <v>0</v>
      </c>
      <c r="E54" s="60">
        <f t="shared" si="0"/>
        <v>1061.8</v>
      </c>
      <c r="F54" s="60">
        <f>+FACTURACIÓN!H53</f>
        <v>0</v>
      </c>
      <c r="G54" s="60">
        <f>+FACTURACIÓN!I53</f>
        <v>0</v>
      </c>
      <c r="H54" s="60">
        <f>+FACTURACIÓN!J53</f>
        <v>0</v>
      </c>
      <c r="I54" s="60">
        <f>+FACTURACIÓN!K53</f>
        <v>0</v>
      </c>
      <c r="J54" s="60">
        <f>+FACTURACIÓN!L53</f>
        <v>0</v>
      </c>
      <c r="K54" s="60">
        <f>+FACTURACIÓN!M53</f>
        <v>0</v>
      </c>
      <c r="L54" s="60">
        <f>+FACTURACIÓN!N53</f>
        <v>0</v>
      </c>
      <c r="M54" s="60">
        <f>+FACTURACIÓN!O53</f>
        <v>0</v>
      </c>
      <c r="N54" s="60">
        <f>+FACTURACIÓN!P53</f>
        <v>0</v>
      </c>
      <c r="O54" s="59">
        <f t="shared" si="1"/>
        <v>0</v>
      </c>
      <c r="P54" s="64">
        <f t="shared" si="2"/>
        <v>1061.8</v>
      </c>
    </row>
    <row r="55" spans="1:16" s="56" customFormat="1" x14ac:dyDescent="0.2">
      <c r="A55" s="41" t="s">
        <v>108</v>
      </c>
      <c r="B55" s="42" t="s">
        <v>109</v>
      </c>
      <c r="C55" s="58">
        <f>+FACTURACIÓN!C54+FACTURACIÓN!D54+FACTURACIÓN!E54+FACTURACIÓN!F54-'C&amp;A'!K55-'C&amp;A'!G55-'C&amp;A'!I55</f>
        <v>20536.940000000002</v>
      </c>
      <c r="D55" s="59">
        <v>0</v>
      </c>
      <c r="E55" s="60">
        <f t="shared" si="0"/>
        <v>20536.940000000002</v>
      </c>
      <c r="F55" s="60">
        <f>+FACTURACIÓN!H54</f>
        <v>0</v>
      </c>
      <c r="G55" s="60">
        <f>+FACTURACIÓN!I54</f>
        <v>0</v>
      </c>
      <c r="H55" s="60">
        <f>+FACTURACIÓN!J54</f>
        <v>0</v>
      </c>
      <c r="I55" s="60">
        <f>+FACTURACIÓN!K54</f>
        <v>0</v>
      </c>
      <c r="J55" s="60">
        <f>+FACTURACIÓN!L54</f>
        <v>0</v>
      </c>
      <c r="K55" s="60">
        <f>+FACTURACIÓN!M54</f>
        <v>0</v>
      </c>
      <c r="L55" s="60">
        <f>+FACTURACIÓN!N54</f>
        <v>2111.4340000000007</v>
      </c>
      <c r="M55" s="60">
        <f>+FACTURACIÓN!O54</f>
        <v>58.91</v>
      </c>
      <c r="N55" s="60">
        <f>+FACTURACIÓN!P54</f>
        <v>0</v>
      </c>
      <c r="O55" s="59">
        <f t="shared" si="1"/>
        <v>2170.3440000000005</v>
      </c>
      <c r="P55" s="64">
        <f t="shared" si="2"/>
        <v>18366.596000000001</v>
      </c>
    </row>
    <row r="56" spans="1:16" s="56" customFormat="1" x14ac:dyDescent="0.2">
      <c r="A56" s="41" t="s">
        <v>110</v>
      </c>
      <c r="B56" s="42" t="s">
        <v>111</v>
      </c>
      <c r="C56" s="58">
        <f>+FACTURACIÓN!C55+FACTURACIÓN!D55+FACTURACIÓN!E55+FACTURACIÓN!F55-'C&amp;A'!K56-'C&amp;A'!G56-'C&amp;A'!I56</f>
        <v>9211.2199999999993</v>
      </c>
      <c r="D56" s="59">
        <v>0</v>
      </c>
      <c r="E56" s="60">
        <f t="shared" si="0"/>
        <v>9211.2199999999993</v>
      </c>
      <c r="F56" s="60">
        <f>+FACTURACIÓN!H55</f>
        <v>0</v>
      </c>
      <c r="G56" s="60">
        <f>+FACTURACIÓN!I55</f>
        <v>0</v>
      </c>
      <c r="H56" s="60">
        <f>+FACTURACIÓN!J55</f>
        <v>0</v>
      </c>
      <c r="I56" s="60">
        <f>+FACTURACIÓN!K55</f>
        <v>0</v>
      </c>
      <c r="J56" s="60">
        <f>+FACTURACIÓN!L55</f>
        <v>0</v>
      </c>
      <c r="K56" s="60">
        <f>+FACTURACIÓN!M55</f>
        <v>0</v>
      </c>
      <c r="L56" s="60">
        <f>+FACTURACIÓN!N55</f>
        <v>978.86199999999997</v>
      </c>
      <c r="M56" s="60">
        <f>+FACTURACIÓN!O55</f>
        <v>0</v>
      </c>
      <c r="N56" s="60">
        <f>+FACTURACIÓN!P55</f>
        <v>0</v>
      </c>
      <c r="O56" s="59">
        <f t="shared" si="1"/>
        <v>978.86199999999997</v>
      </c>
      <c r="P56" s="64">
        <f t="shared" si="2"/>
        <v>8232.3580000000002</v>
      </c>
    </row>
    <row r="57" spans="1:16" s="56" customFormat="1" x14ac:dyDescent="0.2">
      <c r="A57" s="41" t="s">
        <v>198</v>
      </c>
      <c r="B57" s="42" t="s">
        <v>300</v>
      </c>
      <c r="C57" s="58">
        <f>+FACTURACIÓN!C56+FACTURACIÓN!D56+FACTURACIÓN!E56+FACTURACIÓN!F56-'C&amp;A'!K57-'C&amp;A'!G57-'C&amp;A'!I57</f>
        <v>-64.069999999999936</v>
      </c>
      <c r="D57" s="59">
        <v>0</v>
      </c>
      <c r="E57" s="60">
        <f t="shared" si="0"/>
        <v>-64.069999999999936</v>
      </c>
      <c r="F57" s="60">
        <f>+FACTURACIÓN!H56</f>
        <v>0</v>
      </c>
      <c r="G57" s="60">
        <f>+FACTURACIÓN!I56</f>
        <v>0</v>
      </c>
      <c r="H57" s="60">
        <f>+FACTURACIÓN!J56</f>
        <v>0</v>
      </c>
      <c r="I57" s="60">
        <f>+FACTURACIÓN!K56</f>
        <v>0</v>
      </c>
      <c r="J57" s="60">
        <f>+FACTURACIÓN!L56</f>
        <v>0</v>
      </c>
      <c r="K57" s="60">
        <f>+FACTURACIÓN!M56</f>
        <v>128.33250000000001</v>
      </c>
      <c r="L57" s="60">
        <f>+FACTURACIÓN!N56</f>
        <v>0</v>
      </c>
      <c r="M57" s="60">
        <f>+FACTURACIÓN!O56</f>
        <v>0</v>
      </c>
      <c r="N57" s="60">
        <f>+FACTURACIÓN!P56</f>
        <v>0</v>
      </c>
      <c r="O57" s="59">
        <f t="shared" si="1"/>
        <v>128.33250000000001</v>
      </c>
      <c r="P57" s="64">
        <f t="shared" si="2"/>
        <v>-192.40249999999995</v>
      </c>
    </row>
    <row r="58" spans="1:16" s="56" customFormat="1" x14ac:dyDescent="0.2">
      <c r="A58" s="41" t="s">
        <v>112</v>
      </c>
      <c r="B58" s="42" t="s">
        <v>113</v>
      </c>
      <c r="C58" s="58">
        <f>+FACTURACIÓN!C57+FACTURACIÓN!D57+FACTURACIÓN!E57+FACTURACIÓN!F57-'C&amp;A'!K58-'C&amp;A'!G58-'C&amp;A'!I58</f>
        <v>589.2600000000001</v>
      </c>
      <c r="D58" s="59">
        <v>0</v>
      </c>
      <c r="E58" s="60">
        <f t="shared" si="0"/>
        <v>589.2600000000001</v>
      </c>
      <c r="F58" s="60">
        <f>+FACTURACIÓN!H57</f>
        <v>0</v>
      </c>
      <c r="G58" s="60">
        <f>+FACTURACIÓN!I57</f>
        <v>0</v>
      </c>
      <c r="H58" s="60">
        <f>+FACTURACIÓN!J57</f>
        <v>0</v>
      </c>
      <c r="I58" s="60">
        <f>+FACTURACIÓN!K57</f>
        <v>0</v>
      </c>
      <c r="J58" s="60">
        <f>+FACTURACIÓN!L57</f>
        <v>0</v>
      </c>
      <c r="K58" s="60">
        <f>+FACTURACIÓN!M57</f>
        <v>0</v>
      </c>
      <c r="L58" s="60">
        <f>+FACTURACIÓN!N57</f>
        <v>0</v>
      </c>
      <c r="M58" s="60">
        <f>+FACTURACIÓN!O57</f>
        <v>0</v>
      </c>
      <c r="N58" s="60">
        <f>+FACTURACIÓN!P57</f>
        <v>0</v>
      </c>
      <c r="O58" s="59">
        <f t="shared" si="1"/>
        <v>0</v>
      </c>
      <c r="P58" s="64">
        <f t="shared" si="2"/>
        <v>589.2600000000001</v>
      </c>
    </row>
    <row r="59" spans="1:16" s="56" customFormat="1" ht="15" x14ac:dyDescent="0.25">
      <c r="A59" s="41"/>
      <c r="B59" s="133" t="s">
        <v>633</v>
      </c>
      <c r="C59" s="58">
        <f>+FACTURACIÓN!C58+FACTURACIÓN!D58+FACTURACIÓN!E58+FACTURACIÓN!F58-'C&amp;A'!K59-'C&amp;A'!G59-'C&amp;A'!I59</f>
        <v>589.2600000000001</v>
      </c>
      <c r="D59" s="59">
        <v>0</v>
      </c>
      <c r="E59" s="60">
        <f t="shared" si="0"/>
        <v>589.2600000000001</v>
      </c>
      <c r="F59" s="60">
        <f>+FACTURACIÓN!H58</f>
        <v>0</v>
      </c>
      <c r="G59" s="60">
        <f>+FACTURACIÓN!I58</f>
        <v>0</v>
      </c>
      <c r="H59" s="60">
        <f>+FACTURACIÓN!J58</f>
        <v>0</v>
      </c>
      <c r="I59" s="60">
        <f>+FACTURACIÓN!K58</f>
        <v>0</v>
      </c>
      <c r="J59" s="60">
        <f>+FACTURACIÓN!L58</f>
        <v>0</v>
      </c>
      <c r="K59" s="60">
        <f>+FACTURACIÓN!M58</f>
        <v>0</v>
      </c>
      <c r="L59" s="60">
        <f>+FACTURACIÓN!N58</f>
        <v>0</v>
      </c>
      <c r="M59" s="60">
        <f>+FACTURACIÓN!O58</f>
        <v>0</v>
      </c>
      <c r="N59" s="60">
        <f>+FACTURACIÓN!P58</f>
        <v>0</v>
      </c>
      <c r="O59" s="59">
        <f t="shared" si="1"/>
        <v>0</v>
      </c>
      <c r="P59" s="64">
        <f t="shared" si="2"/>
        <v>589.2600000000001</v>
      </c>
    </row>
    <row r="60" spans="1:16" s="56" customFormat="1" x14ac:dyDescent="0.2">
      <c r="A60" s="41" t="s">
        <v>114</v>
      </c>
      <c r="B60" s="42" t="s">
        <v>115</v>
      </c>
      <c r="C60" s="58">
        <f>+FACTURACIÓN!C59+FACTURACIÓN!D59+FACTURACIÓN!E59+FACTURACIÓN!F59-'C&amp;A'!K60-'C&amp;A'!G60-'C&amp;A'!I60</f>
        <v>515.2700000000001</v>
      </c>
      <c r="D60" s="59">
        <v>0</v>
      </c>
      <c r="E60" s="60">
        <f t="shared" si="0"/>
        <v>515.2700000000001</v>
      </c>
      <c r="F60" s="60">
        <f>+FACTURACIÓN!H59</f>
        <v>0</v>
      </c>
      <c r="G60" s="60">
        <f>+FACTURACIÓN!I59</f>
        <v>0</v>
      </c>
      <c r="H60" s="60">
        <f>+FACTURACIÓN!J59</f>
        <v>0</v>
      </c>
      <c r="I60" s="60">
        <f>+FACTURACIÓN!K59</f>
        <v>0</v>
      </c>
      <c r="J60" s="60">
        <f>+FACTURACIÓN!L59</f>
        <v>0</v>
      </c>
      <c r="K60" s="60">
        <f>+FACTURACIÓN!M59</f>
        <v>86.56</v>
      </c>
      <c r="L60" s="60">
        <f>+FACTURACIÓN!N59</f>
        <v>0</v>
      </c>
      <c r="M60" s="60">
        <f>+FACTURACIÓN!O59</f>
        <v>0</v>
      </c>
      <c r="N60" s="60">
        <f>+FACTURACIÓN!P59</f>
        <v>0</v>
      </c>
      <c r="O60" s="59">
        <f t="shared" si="1"/>
        <v>86.56</v>
      </c>
      <c r="P60" s="64">
        <f t="shared" si="2"/>
        <v>428.71000000000009</v>
      </c>
    </row>
    <row r="61" spans="1:16" s="56" customFormat="1" x14ac:dyDescent="0.2">
      <c r="A61" s="41" t="s">
        <v>116</v>
      </c>
      <c r="B61" s="42" t="s">
        <v>117</v>
      </c>
      <c r="C61" s="58">
        <f>+FACTURACIÓN!C60+FACTURACIÓN!D60+FACTURACIÓN!E60+FACTURACIÓN!F60-'C&amp;A'!K61-'C&amp;A'!G61-'C&amp;A'!I61</f>
        <v>830.00000000000011</v>
      </c>
      <c r="D61" s="59">
        <v>0</v>
      </c>
      <c r="E61" s="60">
        <f t="shared" si="0"/>
        <v>830.00000000000011</v>
      </c>
      <c r="F61" s="60">
        <f>+FACTURACIÓN!H60</f>
        <v>0</v>
      </c>
      <c r="G61" s="60">
        <f>+FACTURACIÓN!I60</f>
        <v>14.074000000000002</v>
      </c>
      <c r="H61" s="60">
        <f>+FACTURACIÓN!J60</f>
        <v>68.962600000000009</v>
      </c>
      <c r="I61" s="60">
        <f>+FACTURACIÓN!K60</f>
        <v>0</v>
      </c>
      <c r="J61" s="60">
        <f>+FACTURACIÓN!L60</f>
        <v>0</v>
      </c>
      <c r="K61" s="60">
        <f>+FACTURACIÓN!M60</f>
        <v>0</v>
      </c>
      <c r="L61" s="60">
        <f>+FACTURACIÓN!N60</f>
        <v>0</v>
      </c>
      <c r="M61" s="60">
        <f>+FACTURACIÓN!O60</f>
        <v>0</v>
      </c>
      <c r="N61" s="60">
        <f>+FACTURACIÓN!P60</f>
        <v>0</v>
      </c>
      <c r="O61" s="59">
        <f t="shared" si="1"/>
        <v>83.036600000000007</v>
      </c>
      <c r="P61" s="64">
        <f t="shared" si="2"/>
        <v>746.96340000000009</v>
      </c>
    </row>
    <row r="62" spans="1:16" s="56" customFormat="1" x14ac:dyDescent="0.2">
      <c r="A62" s="41" t="s">
        <v>122</v>
      </c>
      <c r="B62" s="42" t="s">
        <v>123</v>
      </c>
      <c r="C62" s="58">
        <f>+FACTURACIÓN!C61+FACTURACIÓN!D61+FACTURACIÓN!E61+FACTURACIÓN!F61-'C&amp;A'!K62-'C&amp;A'!G62-'C&amp;A'!I62</f>
        <v>1375.6799999999998</v>
      </c>
      <c r="D62" s="59">
        <v>0</v>
      </c>
      <c r="E62" s="60">
        <f t="shared" si="0"/>
        <v>1375.6799999999998</v>
      </c>
      <c r="F62" s="60">
        <f>+FACTURACIÓN!H61</f>
        <v>0</v>
      </c>
      <c r="G62" s="60">
        <f>+FACTURACIÓN!I61</f>
        <v>100</v>
      </c>
      <c r="H62" s="60">
        <f>+FACTURACIÓN!J61</f>
        <v>95.700919999999996</v>
      </c>
      <c r="I62" s="60">
        <f>+FACTURACIÓN!K61</f>
        <v>19.530799999999999</v>
      </c>
      <c r="J62" s="60">
        <f>+FACTURACIÓN!L61</f>
        <v>0</v>
      </c>
      <c r="K62" s="60">
        <f>+FACTURACIÓN!M61</f>
        <v>0</v>
      </c>
      <c r="L62" s="60">
        <f>+FACTURACIÓN!N61</f>
        <v>0</v>
      </c>
      <c r="M62" s="60">
        <f>+FACTURACIÓN!O61</f>
        <v>0</v>
      </c>
      <c r="N62" s="60">
        <f>+FACTURACIÓN!P61</f>
        <v>0</v>
      </c>
      <c r="O62" s="59">
        <f t="shared" si="1"/>
        <v>215.23172</v>
      </c>
      <c r="P62" s="64">
        <f t="shared" si="2"/>
        <v>1160.4482799999998</v>
      </c>
    </row>
    <row r="63" spans="1:16" s="56" customFormat="1" x14ac:dyDescent="0.2">
      <c r="A63" s="41" t="s">
        <v>118</v>
      </c>
      <c r="B63" s="42" t="s">
        <v>119</v>
      </c>
      <c r="C63" s="58">
        <f>+FACTURACIÓN!C62+FACTURACIÓN!D62+FACTURACIÓN!E62+FACTURACIÓN!F62-'C&amp;A'!K63-'C&amp;A'!G63-'C&amp;A'!I63</f>
        <v>161.83000000000004</v>
      </c>
      <c r="D63" s="59">
        <v>0</v>
      </c>
      <c r="E63" s="60">
        <f t="shared" si="0"/>
        <v>161.83000000000004</v>
      </c>
      <c r="F63" s="60">
        <f>+FACTURACIÓN!H62</f>
        <v>0</v>
      </c>
      <c r="G63" s="60">
        <f>+FACTURACIÓN!I62</f>
        <v>0</v>
      </c>
      <c r="H63" s="60">
        <f>+FACTURACIÓN!J62</f>
        <v>0</v>
      </c>
      <c r="I63" s="60">
        <f>+FACTURACIÓN!K62</f>
        <v>0</v>
      </c>
      <c r="J63" s="60">
        <f>+FACTURACIÓN!L62</f>
        <v>0</v>
      </c>
      <c r="K63" s="60">
        <f>+FACTURACIÓN!M62</f>
        <v>0</v>
      </c>
      <c r="L63" s="60">
        <f>+FACTURACIÓN!N62</f>
        <v>0</v>
      </c>
      <c r="M63" s="60">
        <f>+FACTURACIÓN!O62</f>
        <v>0</v>
      </c>
      <c r="N63" s="60">
        <f>+FACTURACIÓN!P62</f>
        <v>0</v>
      </c>
      <c r="O63" s="59">
        <f t="shared" si="1"/>
        <v>0</v>
      </c>
      <c r="P63" s="64">
        <f t="shared" si="2"/>
        <v>161.83000000000004</v>
      </c>
    </row>
    <row r="64" spans="1:16" s="56" customFormat="1" x14ac:dyDescent="0.2">
      <c r="A64" s="41" t="s">
        <v>120</v>
      </c>
      <c r="B64" s="42" t="s">
        <v>121</v>
      </c>
      <c r="C64" s="58">
        <f>+FACTURACIÓN!C63+FACTURACIÓN!D63+FACTURACIÓN!E63+FACTURACIÓN!F63-'C&amp;A'!K64-'C&amp;A'!G64-'C&amp;A'!I64</f>
        <v>60.559999999999945</v>
      </c>
      <c r="D64" s="59">
        <v>0</v>
      </c>
      <c r="E64" s="60">
        <f t="shared" si="0"/>
        <v>60.559999999999945</v>
      </c>
      <c r="F64" s="60">
        <f>+FACTURACIÓN!H63</f>
        <v>0</v>
      </c>
      <c r="G64" s="60">
        <f>+FACTURACIÓN!I63</f>
        <v>0</v>
      </c>
      <c r="H64" s="60">
        <f>+FACTURACIÓN!J63</f>
        <v>29.79984</v>
      </c>
      <c r="I64" s="60">
        <f>+FACTURACIÓN!K63</f>
        <v>6.0815999999999999</v>
      </c>
      <c r="J64" s="60">
        <f>+FACTURACIÓN!L63</f>
        <v>0</v>
      </c>
      <c r="K64" s="60">
        <f>+FACTURACIÓN!M63</f>
        <v>0</v>
      </c>
      <c r="L64" s="60">
        <f>+FACTURACIÓN!N63</f>
        <v>0</v>
      </c>
      <c r="M64" s="60">
        <f>+FACTURACIÓN!O63</f>
        <v>0</v>
      </c>
      <c r="N64" s="60">
        <f>+FACTURACIÓN!P63</f>
        <v>0</v>
      </c>
      <c r="O64" s="59">
        <f t="shared" si="1"/>
        <v>35.881439999999998</v>
      </c>
      <c r="P64" s="64">
        <f t="shared" si="2"/>
        <v>24.678559999999948</v>
      </c>
    </row>
    <row r="65" spans="1:16" s="56" customFormat="1" x14ac:dyDescent="0.2">
      <c r="A65" s="41" t="s">
        <v>124</v>
      </c>
      <c r="B65" s="42" t="s">
        <v>125</v>
      </c>
      <c r="C65" s="58">
        <f>+FACTURACIÓN!C64+FACTURACIÓN!D64+FACTURACIÓN!E64+FACTURACIÓN!F64-'C&amp;A'!K65-'C&amp;A'!G65-'C&amp;A'!I65</f>
        <v>2.0000000000001137</v>
      </c>
      <c r="D65" s="59">
        <v>0</v>
      </c>
      <c r="E65" s="60">
        <f t="shared" si="0"/>
        <v>2.0000000000001137</v>
      </c>
      <c r="F65" s="60">
        <f>+FACTURACIÓN!H64</f>
        <v>0</v>
      </c>
      <c r="G65" s="60">
        <f>+FACTURACIÓN!I64</f>
        <v>0</v>
      </c>
      <c r="H65" s="60">
        <f>+FACTURACIÓN!J64</f>
        <v>0</v>
      </c>
      <c r="I65" s="60">
        <f>+FACTURACIÓN!K64</f>
        <v>0</v>
      </c>
      <c r="J65" s="60">
        <f>+FACTURACIÓN!L64</f>
        <v>0</v>
      </c>
      <c r="K65" s="60">
        <f>+FACTURACIÓN!M64</f>
        <v>0</v>
      </c>
      <c r="L65" s="60">
        <f>+FACTURACIÓN!N64</f>
        <v>0</v>
      </c>
      <c r="M65" s="60">
        <f>+FACTURACIÓN!O64</f>
        <v>0</v>
      </c>
      <c r="N65" s="60">
        <f>+FACTURACIÓN!P64</f>
        <v>0</v>
      </c>
      <c r="O65" s="59">
        <f t="shared" si="1"/>
        <v>0</v>
      </c>
      <c r="P65" s="64">
        <f t="shared" si="2"/>
        <v>2.0000000000001137</v>
      </c>
    </row>
    <row r="66" spans="1:16" s="56" customFormat="1" x14ac:dyDescent="0.2">
      <c r="A66" s="41" t="s">
        <v>126</v>
      </c>
      <c r="B66" s="42" t="s">
        <v>127</v>
      </c>
      <c r="C66" s="58">
        <f>+FACTURACIÓN!C65+FACTURACIÓN!D65+FACTURACIÓN!E65+FACTURACIÓN!F65-'C&amp;A'!K66-'C&amp;A'!G66-'C&amp;A'!I66</f>
        <v>4168.1000000000004</v>
      </c>
      <c r="D66" s="59">
        <v>0</v>
      </c>
      <c r="E66" s="60">
        <f t="shared" si="0"/>
        <v>4168.1000000000004</v>
      </c>
      <c r="F66" s="60">
        <f>+FACTURACIÓN!H65</f>
        <v>0</v>
      </c>
      <c r="G66" s="60">
        <f>+FACTURACIÓN!I65</f>
        <v>0</v>
      </c>
      <c r="H66" s="60">
        <f>+FACTURACIÓN!J65</f>
        <v>0</v>
      </c>
      <c r="I66" s="60">
        <f>+FACTURACIÓN!K65</f>
        <v>0</v>
      </c>
      <c r="J66" s="60">
        <f>+FACTURACIÓN!L65</f>
        <v>0</v>
      </c>
      <c r="K66" s="60">
        <f>+FACTURACIÓN!M65</f>
        <v>0</v>
      </c>
      <c r="L66" s="60">
        <f>+FACTURACIÓN!N65</f>
        <v>474.53000000000003</v>
      </c>
      <c r="M66" s="60">
        <f>+FACTURACIÓN!O65</f>
        <v>0</v>
      </c>
      <c r="N66" s="60">
        <f>+FACTURACIÓN!P65</f>
        <v>0</v>
      </c>
      <c r="O66" s="59">
        <f t="shared" si="1"/>
        <v>474.53000000000003</v>
      </c>
      <c r="P66" s="64">
        <f t="shared" si="2"/>
        <v>3693.57</v>
      </c>
    </row>
    <row r="67" spans="1:16" s="56" customFormat="1" x14ac:dyDescent="0.2">
      <c r="A67" s="55" t="s">
        <v>130</v>
      </c>
      <c r="B67" s="56" t="s">
        <v>131</v>
      </c>
      <c r="C67" s="58">
        <f>+FACTURACIÓN!C66+FACTURACIÓN!D66+FACTURACIÓN!E66+FACTURACIÓN!F66-'C&amp;A'!K67-'C&amp;A'!G67-'C&amp;A'!I67</f>
        <v>3198.15</v>
      </c>
      <c r="D67" s="59">
        <v>0</v>
      </c>
      <c r="E67" s="60">
        <f t="shared" si="0"/>
        <v>3198.15</v>
      </c>
      <c r="F67" s="60">
        <f>+FACTURACIÓN!H66</f>
        <v>0</v>
      </c>
      <c r="G67" s="60">
        <f>+FACTURACIÓN!I66</f>
        <v>0</v>
      </c>
      <c r="H67" s="60">
        <f>+FACTURACIÓN!J66</f>
        <v>0</v>
      </c>
      <c r="I67" s="60">
        <f>+FACTURACIÓN!K66</f>
        <v>0</v>
      </c>
      <c r="J67" s="60">
        <f>+FACTURACIÓN!L66</f>
        <v>0</v>
      </c>
      <c r="K67" s="60">
        <f>+FACTURACIÓN!M66</f>
        <v>0</v>
      </c>
      <c r="L67" s="60">
        <f>+FACTURACIÓN!N66</f>
        <v>0</v>
      </c>
      <c r="M67" s="60">
        <f>+FACTURACIÓN!O66</f>
        <v>0</v>
      </c>
      <c r="N67" s="60">
        <f>+FACTURACIÓN!P66</f>
        <v>0</v>
      </c>
      <c r="O67" s="59">
        <f t="shared" si="1"/>
        <v>0</v>
      </c>
      <c r="P67" s="64">
        <f t="shared" si="2"/>
        <v>3198.15</v>
      </c>
    </row>
    <row r="68" spans="1:16" s="56" customFormat="1" ht="15" x14ac:dyDescent="0.25">
      <c r="A68" s="41"/>
      <c r="B68" s="133" t="s">
        <v>637</v>
      </c>
      <c r="C68" s="58">
        <f>+FACTURACIÓN!C67+FACTURACIÓN!D67+FACTURACIÓN!E67+FACTURACIÓN!F67-'C&amp;A'!K68-'C&amp;A'!G68-'C&amp;A'!I68</f>
        <v>559.33000000000004</v>
      </c>
      <c r="D68" s="59">
        <v>0</v>
      </c>
      <c r="E68" s="60">
        <f t="shared" si="0"/>
        <v>559.33000000000004</v>
      </c>
      <c r="F68" s="60">
        <f>+FACTURACIÓN!H67</f>
        <v>0</v>
      </c>
      <c r="G68" s="60">
        <f>+FACTURACIÓN!I67</f>
        <v>0</v>
      </c>
      <c r="H68" s="60">
        <f>+FACTURACIÓN!J67</f>
        <v>0</v>
      </c>
      <c r="I68" s="60">
        <f>+FACTURACIÓN!K67</f>
        <v>0</v>
      </c>
      <c r="J68" s="60">
        <f>+FACTURACIÓN!L67</f>
        <v>0</v>
      </c>
      <c r="K68" s="60">
        <f>+FACTURACIÓN!M67</f>
        <v>0</v>
      </c>
      <c r="L68" s="60">
        <f>+FACTURACIÓN!N67</f>
        <v>0</v>
      </c>
      <c r="M68" s="60">
        <f>+FACTURACIÓN!O67</f>
        <v>0</v>
      </c>
      <c r="N68" s="60">
        <f>+FACTURACIÓN!P67</f>
        <v>0</v>
      </c>
      <c r="O68" s="59">
        <f t="shared" si="1"/>
        <v>0</v>
      </c>
      <c r="P68" s="64">
        <f t="shared" si="2"/>
        <v>559.33000000000004</v>
      </c>
    </row>
    <row r="69" spans="1:16" s="56" customFormat="1" x14ac:dyDescent="0.2">
      <c r="A69" s="41" t="s">
        <v>132</v>
      </c>
      <c r="B69" s="42" t="s">
        <v>133</v>
      </c>
      <c r="C69" s="58">
        <f>+FACTURACIÓN!C68+FACTURACIÓN!D68+FACTURACIÓN!E68+FACTURACIÓN!F68-'C&amp;A'!K69-'C&amp;A'!G69-'C&amp;A'!I69</f>
        <v>1307.0299999999997</v>
      </c>
      <c r="D69" s="59">
        <v>0</v>
      </c>
      <c r="E69" s="60">
        <f t="shared" si="0"/>
        <v>1307.0299999999997</v>
      </c>
      <c r="F69" s="60">
        <f>+FACTURACIÓN!H68</f>
        <v>0</v>
      </c>
      <c r="G69" s="60">
        <f>+FACTURACIÓN!I68</f>
        <v>0</v>
      </c>
      <c r="H69" s="60">
        <f>+FACTURACIÓN!J68</f>
        <v>92.337069999999997</v>
      </c>
      <c r="I69" s="60">
        <f>+FACTURACIÓN!K68</f>
        <v>18.8443</v>
      </c>
      <c r="J69" s="60">
        <f>+FACTURACIÓN!L68</f>
        <v>0</v>
      </c>
      <c r="K69" s="60">
        <f>+FACTURACIÓN!M68</f>
        <v>0</v>
      </c>
      <c r="L69" s="60">
        <f>+FACTURACIÓN!N68</f>
        <v>0</v>
      </c>
      <c r="M69" s="60">
        <f>+FACTURACIÓN!O68</f>
        <v>0</v>
      </c>
      <c r="N69" s="60">
        <f>+FACTURACIÓN!P68</f>
        <v>0</v>
      </c>
      <c r="O69" s="59">
        <f t="shared" si="1"/>
        <v>111.18137</v>
      </c>
      <c r="P69" s="64">
        <f t="shared" si="2"/>
        <v>1195.8486299999997</v>
      </c>
    </row>
    <row r="70" spans="1:16" s="61" customFormat="1" x14ac:dyDescent="0.2">
      <c r="A70" s="41" t="s">
        <v>134</v>
      </c>
      <c r="B70" s="42" t="s">
        <v>135</v>
      </c>
      <c r="C70" s="58">
        <f>+FACTURACIÓN!C69+FACTURACIÓN!D69+FACTURACIÓN!E69+FACTURACIÓN!F69-'C&amp;A'!K70-'C&amp;A'!G70-'C&amp;A'!I70</f>
        <v>3266.6299999999997</v>
      </c>
      <c r="D70" s="59">
        <v>0</v>
      </c>
      <c r="E70" s="60">
        <f t="shared" si="0"/>
        <v>3266.6299999999997</v>
      </c>
      <c r="F70" s="60">
        <f>+FACTURACIÓN!H69</f>
        <v>0</v>
      </c>
      <c r="G70" s="60">
        <f>+FACTURACIÓN!I69</f>
        <v>200</v>
      </c>
      <c r="H70" s="60">
        <f>+FACTURACIÓN!J69</f>
        <v>188.35747000000001</v>
      </c>
      <c r="I70" s="60">
        <f>+FACTURACIÓN!K69</f>
        <v>38.440300000000001</v>
      </c>
      <c r="J70" s="60">
        <f>+FACTURACIÓN!L69</f>
        <v>321.74</v>
      </c>
      <c r="K70" s="60">
        <f>+FACTURACIÓN!M69</f>
        <v>0</v>
      </c>
      <c r="L70" s="60">
        <f>+FACTURACIÓN!N69</f>
        <v>0</v>
      </c>
      <c r="M70" s="60">
        <f>+FACTURACIÓN!O69</f>
        <v>0</v>
      </c>
      <c r="N70" s="60">
        <f>+FACTURACIÓN!P69</f>
        <v>0</v>
      </c>
      <c r="O70" s="59">
        <f t="shared" si="1"/>
        <v>748.53777000000002</v>
      </c>
      <c r="P70" s="64">
        <f t="shared" si="2"/>
        <v>2518.0922299999997</v>
      </c>
    </row>
    <row r="71" spans="1:16" s="63" customFormat="1" ht="14.25" x14ac:dyDescent="0.2">
      <c r="A71" s="41" t="s">
        <v>136</v>
      </c>
      <c r="B71" s="42" t="s">
        <v>137</v>
      </c>
      <c r="C71" s="58">
        <f>+FACTURACIÓN!C70+FACTURACIÓN!D70+FACTURACIÓN!E70+FACTURACIÓN!F70-'C&amp;A'!K71-'C&amp;A'!G71-'C&amp;A'!I71</f>
        <v>1318.45</v>
      </c>
      <c r="D71" s="59">
        <v>0</v>
      </c>
      <c r="E71" s="60">
        <f t="shared" si="0"/>
        <v>1318.45</v>
      </c>
      <c r="F71" s="60">
        <f>+FACTURACIÓN!H70</f>
        <v>0</v>
      </c>
      <c r="G71" s="60">
        <f>+FACTURACIÓN!I70</f>
        <v>0</v>
      </c>
      <c r="H71" s="60">
        <f>+FACTURACIÓN!J70</f>
        <v>0</v>
      </c>
      <c r="I71" s="60">
        <f>+FACTURACIÓN!K70</f>
        <v>0</v>
      </c>
      <c r="J71" s="60">
        <f>+FACTURACIÓN!L70</f>
        <v>0</v>
      </c>
      <c r="K71" s="60">
        <f>+FACTURACIÓN!M70</f>
        <v>0</v>
      </c>
      <c r="L71" s="60">
        <f>+FACTURACIÓN!N70</f>
        <v>0</v>
      </c>
      <c r="M71" s="60">
        <f>+FACTURACIÓN!O70</f>
        <v>0</v>
      </c>
      <c r="N71" s="60">
        <f>+FACTURACIÓN!P70</f>
        <v>0</v>
      </c>
      <c r="O71" s="59">
        <f t="shared" si="1"/>
        <v>0</v>
      </c>
      <c r="P71" s="64">
        <f t="shared" si="2"/>
        <v>1318.45</v>
      </c>
    </row>
    <row r="72" spans="1:16" s="56" customFormat="1" x14ac:dyDescent="0.2">
      <c r="A72" s="39" t="s">
        <v>202</v>
      </c>
      <c r="B72" s="39" t="s">
        <v>313</v>
      </c>
      <c r="C72" s="58">
        <f>+FACTURACIÓN!C71+FACTURACIÓN!D71+FACTURACIÓN!E71+FACTURACIÓN!F71-'C&amp;A'!K72-'C&amp;A'!G72-'C&amp;A'!I72</f>
        <v>589.46</v>
      </c>
      <c r="D72" s="59">
        <v>0</v>
      </c>
      <c r="E72" s="60">
        <f t="shared" si="0"/>
        <v>589.46</v>
      </c>
      <c r="F72" s="60">
        <f>+FACTURACIÓN!H71</f>
        <v>0</v>
      </c>
      <c r="G72" s="60">
        <f>+FACTURACIÓN!I71</f>
        <v>0</v>
      </c>
      <c r="H72" s="60">
        <f>+FACTURACIÓN!J71</f>
        <v>0</v>
      </c>
      <c r="I72" s="60">
        <f>+FACTURACIÓN!K71</f>
        <v>0</v>
      </c>
      <c r="J72" s="60">
        <f>+FACTURACIÓN!L71</f>
        <v>0</v>
      </c>
      <c r="K72" s="60">
        <f>+FACTURACIÓN!M71</f>
        <v>291.5</v>
      </c>
      <c r="L72" s="60">
        <f>+FACTURACIÓN!N71</f>
        <v>0</v>
      </c>
      <c r="M72" s="60">
        <f>+FACTURACIÓN!O71</f>
        <v>0</v>
      </c>
      <c r="N72" s="60">
        <f>+FACTURACIÓN!P71</f>
        <v>0</v>
      </c>
      <c r="O72" s="59">
        <f t="shared" si="1"/>
        <v>291.5</v>
      </c>
      <c r="P72" s="64">
        <f t="shared" si="2"/>
        <v>297.96000000000004</v>
      </c>
    </row>
    <row r="73" spans="1:16" s="56" customFormat="1" x14ac:dyDescent="0.2">
      <c r="A73" s="41" t="s">
        <v>138</v>
      </c>
      <c r="B73" s="42" t="s">
        <v>139</v>
      </c>
      <c r="C73" s="58">
        <f>+FACTURACIÓN!C72+FACTURACIÓN!D72+FACTURACIÓN!E72+FACTURACIÓN!F72-'C&amp;A'!K73-'C&amp;A'!G73-'C&amp;A'!I73</f>
        <v>558.56000000000006</v>
      </c>
      <c r="D73" s="59">
        <v>0</v>
      </c>
      <c r="E73" s="60">
        <f t="shared" si="0"/>
        <v>558.56000000000006</v>
      </c>
      <c r="F73" s="60">
        <f>+FACTURACIÓN!H72</f>
        <v>0</v>
      </c>
      <c r="G73" s="60">
        <f>+FACTURACIÓN!I72</f>
        <v>0</v>
      </c>
      <c r="H73" s="60">
        <f>+FACTURACIÓN!J72</f>
        <v>55.662040000000005</v>
      </c>
      <c r="I73" s="60">
        <f>+FACTURACIÓN!K72</f>
        <v>11.3596</v>
      </c>
      <c r="J73" s="60">
        <f>+FACTURACIÓN!L72</f>
        <v>0</v>
      </c>
      <c r="K73" s="60">
        <f>+FACTURACIÓN!M72</f>
        <v>0</v>
      </c>
      <c r="L73" s="60">
        <f>+FACTURACIÓN!N72</f>
        <v>0</v>
      </c>
      <c r="M73" s="60">
        <f>+FACTURACIÓN!O72</f>
        <v>0</v>
      </c>
      <c r="N73" s="60">
        <f>+FACTURACIÓN!P72</f>
        <v>0</v>
      </c>
      <c r="O73" s="59">
        <f t="shared" si="1"/>
        <v>67.021640000000005</v>
      </c>
      <c r="P73" s="64">
        <f t="shared" si="2"/>
        <v>491.53836000000007</v>
      </c>
    </row>
    <row r="74" spans="1:16" s="56" customFormat="1" x14ac:dyDescent="0.2">
      <c r="A74" s="41" t="s">
        <v>140</v>
      </c>
      <c r="B74" s="42" t="s">
        <v>141</v>
      </c>
      <c r="C74" s="58">
        <f>+FACTURACIÓN!C73+FACTURACIÓN!D73+FACTURACIÓN!E73+FACTURACIÓN!F73-'C&amp;A'!K74-'C&amp;A'!G74-'C&amp;A'!I74</f>
        <v>1522.6</v>
      </c>
      <c r="D74" s="59">
        <v>0</v>
      </c>
      <c r="E74" s="60">
        <f t="shared" si="0"/>
        <v>1522.6</v>
      </c>
      <c r="F74" s="60">
        <f>+FACTURACIÓN!H73</f>
        <v>0</v>
      </c>
      <c r="G74" s="60">
        <f>+FACTURACIÓN!I73</f>
        <v>0</v>
      </c>
      <c r="H74" s="60">
        <f>+FACTURACIÓN!J73</f>
        <v>0</v>
      </c>
      <c r="I74" s="60">
        <f>+FACTURACIÓN!K73</f>
        <v>0</v>
      </c>
      <c r="J74" s="60">
        <f>+FACTURACIÓN!L73</f>
        <v>0</v>
      </c>
      <c r="K74" s="60">
        <f>+FACTURACIÓN!M73</f>
        <v>0</v>
      </c>
      <c r="L74" s="60">
        <f>+FACTURACIÓN!N73</f>
        <v>0</v>
      </c>
      <c r="M74" s="60">
        <f>+FACTURACIÓN!O73</f>
        <v>0</v>
      </c>
      <c r="N74" s="60">
        <f>+FACTURACIÓN!P73</f>
        <v>0</v>
      </c>
      <c r="O74" s="59">
        <f t="shared" si="1"/>
        <v>0</v>
      </c>
      <c r="P74" s="64">
        <f t="shared" si="2"/>
        <v>1522.6</v>
      </c>
    </row>
    <row r="75" spans="1:16" s="56" customFormat="1" x14ac:dyDescent="0.2">
      <c r="A75" s="41" t="s">
        <v>515</v>
      </c>
      <c r="B75" s="42" t="s">
        <v>516</v>
      </c>
      <c r="C75" s="58">
        <f>+FACTURACIÓN!C74+FACTURACIÓN!D74+FACTURACIÓN!E74+FACTURACIÓN!F74-'C&amp;A'!K75-'C&amp;A'!G75-'C&amp;A'!I75</f>
        <v>2093.8100000000004</v>
      </c>
      <c r="D75" s="59">
        <v>0</v>
      </c>
      <c r="E75" s="60">
        <f t="shared" ref="E75:E93" si="3">SUM(C75:D75)</f>
        <v>2093.8100000000004</v>
      </c>
      <c r="F75" s="60">
        <f>+FACTURACIÓN!H74</f>
        <v>0</v>
      </c>
      <c r="G75" s="60">
        <f>+FACTURACIÓN!I74</f>
        <v>0</v>
      </c>
      <c r="H75" s="60">
        <f>+FACTURACIÓN!J74</f>
        <v>0</v>
      </c>
      <c r="I75" s="60">
        <f>+FACTURACIÓN!K74</f>
        <v>0</v>
      </c>
      <c r="J75" s="60">
        <f>+FACTURACIÓN!L74</f>
        <v>0</v>
      </c>
      <c r="K75" s="60">
        <f>+FACTURACIÓN!M74</f>
        <v>0</v>
      </c>
      <c r="L75" s="60">
        <f>+FACTURACIÓN!N74</f>
        <v>0</v>
      </c>
      <c r="M75" s="60">
        <f>+FACTURACIÓN!O74</f>
        <v>0</v>
      </c>
      <c r="N75" s="60">
        <f>+FACTURACIÓN!P74</f>
        <v>0</v>
      </c>
      <c r="O75" s="59">
        <f t="shared" ref="O75:O93" si="4">SUM(F75:N75)</f>
        <v>0</v>
      </c>
      <c r="P75" s="64">
        <f t="shared" ref="P75:P93" si="5">+E75-O75</f>
        <v>2093.8100000000004</v>
      </c>
    </row>
    <row r="76" spans="1:16" s="56" customFormat="1" x14ac:dyDescent="0.2">
      <c r="A76" s="41" t="s">
        <v>142</v>
      </c>
      <c r="B76" s="42" t="s">
        <v>143</v>
      </c>
      <c r="C76" s="58">
        <f>+FACTURACIÓN!C75+FACTURACIÓN!D75+FACTURACIÓN!E75+FACTURACIÓN!F75-'C&amp;A'!K76-'C&amp;A'!G76-'C&amp;A'!I76</f>
        <v>2210.3599999999997</v>
      </c>
      <c r="D76" s="59">
        <v>0</v>
      </c>
      <c r="E76" s="60">
        <f t="shared" si="3"/>
        <v>2210.3599999999997</v>
      </c>
      <c r="F76" s="60">
        <f>+FACTURACIÓN!H75</f>
        <v>0</v>
      </c>
      <c r="G76" s="60">
        <f>+FACTURACIÓN!I75</f>
        <v>300</v>
      </c>
      <c r="H76" s="60">
        <f>+FACTURACIÓN!J75</f>
        <v>0</v>
      </c>
      <c r="I76" s="60">
        <f>+FACTURACIÓN!K75</f>
        <v>0</v>
      </c>
      <c r="J76" s="60">
        <f>+FACTURACIÓN!L75</f>
        <v>0</v>
      </c>
      <c r="K76" s="60">
        <f>+FACTURACIÓN!M75</f>
        <v>971.68</v>
      </c>
      <c r="L76" s="60">
        <f>+FACTURACIÓN!N75</f>
        <v>0</v>
      </c>
      <c r="M76" s="60">
        <f>+FACTURACIÓN!O75</f>
        <v>0</v>
      </c>
      <c r="N76" s="60">
        <f>+FACTURACIÓN!P75</f>
        <v>0</v>
      </c>
      <c r="O76" s="59">
        <f t="shared" si="4"/>
        <v>1271.6799999999998</v>
      </c>
      <c r="P76" s="64">
        <f t="shared" si="5"/>
        <v>938.67999999999984</v>
      </c>
    </row>
    <row r="77" spans="1:16" s="56" customFormat="1" x14ac:dyDescent="0.2">
      <c r="A77" s="41" t="s">
        <v>144</v>
      </c>
      <c r="B77" s="42" t="s">
        <v>145</v>
      </c>
      <c r="C77" s="58">
        <f>+FACTURACIÓN!C76+FACTURACIÓN!D76+FACTURACIÓN!E76+FACTURACIÓN!F76-'C&amp;A'!K77-'C&amp;A'!G77-'C&amp;A'!I77</f>
        <v>1373.1799999999998</v>
      </c>
      <c r="D77" s="59">
        <v>0</v>
      </c>
      <c r="E77" s="60">
        <f t="shared" si="3"/>
        <v>1373.1799999999998</v>
      </c>
      <c r="F77" s="60">
        <f>+FACTURACIÓN!H76</f>
        <v>0</v>
      </c>
      <c r="G77" s="60">
        <f>+FACTURACIÓN!I76</f>
        <v>0</v>
      </c>
      <c r="H77" s="60">
        <f>+FACTURACIÓN!J76</f>
        <v>0</v>
      </c>
      <c r="I77" s="60">
        <f>+FACTURACIÓN!K76</f>
        <v>0</v>
      </c>
      <c r="J77" s="60">
        <f>+FACTURACIÓN!L76</f>
        <v>0</v>
      </c>
      <c r="K77" s="60">
        <f>+FACTURACIÓN!M76</f>
        <v>0</v>
      </c>
      <c r="L77" s="60">
        <f>+FACTURACIÓN!N76</f>
        <v>0</v>
      </c>
      <c r="M77" s="60">
        <f>+FACTURACIÓN!O76</f>
        <v>0</v>
      </c>
      <c r="N77" s="60">
        <f>+FACTURACIÓN!P76</f>
        <v>0</v>
      </c>
      <c r="O77" s="59">
        <f t="shared" si="4"/>
        <v>0</v>
      </c>
      <c r="P77" s="64">
        <f t="shared" si="5"/>
        <v>1373.1799999999998</v>
      </c>
    </row>
    <row r="78" spans="1:16" s="56" customFormat="1" x14ac:dyDescent="0.2">
      <c r="A78" s="41" t="s">
        <v>189</v>
      </c>
      <c r="B78" s="42" t="s">
        <v>318</v>
      </c>
      <c r="C78" s="58">
        <f>+FACTURACIÓN!C77+FACTURACIÓN!D77+FACTURACIÓN!E77+FACTURACIÓN!F77-'C&amp;A'!K78-'C&amp;A'!G78-'C&amp;A'!I78</f>
        <v>522.6</v>
      </c>
      <c r="D78" s="59">
        <v>0</v>
      </c>
      <c r="E78" s="60">
        <f t="shared" si="3"/>
        <v>522.6</v>
      </c>
      <c r="F78" s="60">
        <f>+FACTURACIÓN!H77</f>
        <v>0</v>
      </c>
      <c r="G78" s="60">
        <f>+FACTURACIÓN!I77</f>
        <v>0</v>
      </c>
      <c r="H78" s="60">
        <f>+FACTURACIÓN!J77</f>
        <v>0</v>
      </c>
      <c r="I78" s="60">
        <f>+FACTURACIÓN!K77</f>
        <v>0</v>
      </c>
      <c r="J78" s="60">
        <f>+FACTURACIÓN!L77</f>
        <v>0</v>
      </c>
      <c r="K78" s="60">
        <f>+FACTURACIÓN!M77</f>
        <v>0</v>
      </c>
      <c r="L78" s="60">
        <f>+FACTURACIÓN!N77</f>
        <v>0</v>
      </c>
      <c r="M78" s="60">
        <f>+FACTURACIÓN!O77</f>
        <v>0</v>
      </c>
      <c r="N78" s="60">
        <f>+FACTURACIÓN!P77</f>
        <v>0</v>
      </c>
      <c r="O78" s="59">
        <f t="shared" si="4"/>
        <v>0</v>
      </c>
      <c r="P78" s="64">
        <f t="shared" si="5"/>
        <v>522.6</v>
      </c>
    </row>
    <row r="79" spans="1:16" s="56" customFormat="1" x14ac:dyDescent="0.2">
      <c r="A79" s="41" t="s">
        <v>149</v>
      </c>
      <c r="B79" s="42" t="s">
        <v>150</v>
      </c>
      <c r="C79" s="58">
        <f>+FACTURACIÓN!C78+FACTURACIÓN!D78+FACTURACIÓN!E78+FACTURACIÓN!F78-'C&amp;A'!K79-'C&amp;A'!G79-'C&amp;A'!I79</f>
        <v>4504.3600000000006</v>
      </c>
      <c r="D79" s="59">
        <v>0</v>
      </c>
      <c r="E79" s="60">
        <f t="shared" si="3"/>
        <v>4504.3600000000006</v>
      </c>
      <c r="F79" s="60">
        <f>+FACTURACIÓN!H78</f>
        <v>0</v>
      </c>
      <c r="G79" s="60">
        <f>+FACTURACIÓN!I78</f>
        <v>0</v>
      </c>
      <c r="H79" s="60">
        <f>+FACTURACIÓN!J78</f>
        <v>0</v>
      </c>
      <c r="I79" s="60">
        <f>+FACTURACIÓN!K78</f>
        <v>0</v>
      </c>
      <c r="J79" s="60">
        <f>+FACTURACIÓN!L78</f>
        <v>0</v>
      </c>
      <c r="K79" s="60">
        <f>+FACTURACIÓN!M78</f>
        <v>0</v>
      </c>
      <c r="L79" s="60">
        <f>+FACTURACIÓN!N78</f>
        <v>508.17600000000004</v>
      </c>
      <c r="M79" s="60">
        <f>+FACTURACIÓN!O78</f>
        <v>58.91</v>
      </c>
      <c r="N79" s="60">
        <f>+FACTURACIÓN!P78</f>
        <v>0</v>
      </c>
      <c r="O79" s="59">
        <f t="shared" si="4"/>
        <v>567.08600000000001</v>
      </c>
      <c r="P79" s="64">
        <f t="shared" si="5"/>
        <v>3937.2740000000003</v>
      </c>
    </row>
    <row r="80" spans="1:16" s="56" customFormat="1" x14ac:dyDescent="0.2">
      <c r="A80" s="41" t="s">
        <v>151</v>
      </c>
      <c r="B80" s="42" t="s">
        <v>152</v>
      </c>
      <c r="C80" s="58">
        <f>+FACTURACIÓN!C79+FACTURACIÓN!D79+FACTURACIÓN!E79+FACTURACIÓN!F79-'C&amp;A'!K80-'C&amp;A'!G80-'C&amp;A'!I80</f>
        <v>1025.2000000000003</v>
      </c>
      <c r="D80" s="59">
        <v>0</v>
      </c>
      <c r="E80" s="60">
        <f t="shared" si="3"/>
        <v>1025.2000000000003</v>
      </c>
      <c r="F80" s="60">
        <f>+FACTURACIÓN!H79</f>
        <v>0</v>
      </c>
      <c r="G80" s="60">
        <f>+FACTURACIÓN!I79</f>
        <v>0</v>
      </c>
      <c r="H80" s="60">
        <f>+FACTURACIÓN!J79</f>
        <v>78.527400000000014</v>
      </c>
      <c r="I80" s="60">
        <f>+FACTURACIÓN!K79</f>
        <v>16.026000000000003</v>
      </c>
      <c r="J80" s="60">
        <f>+FACTURACIÓN!L79</f>
        <v>0</v>
      </c>
      <c r="K80" s="60">
        <f>+FACTURACIÓN!M79</f>
        <v>0</v>
      </c>
      <c r="L80" s="60">
        <f>+FACTURACIÓN!N79</f>
        <v>0</v>
      </c>
      <c r="M80" s="60">
        <f>+FACTURACIÓN!O79</f>
        <v>0</v>
      </c>
      <c r="N80" s="60">
        <f>+FACTURACIÓN!P79</f>
        <v>0</v>
      </c>
      <c r="O80" s="59">
        <f t="shared" si="4"/>
        <v>94.553400000000011</v>
      </c>
      <c r="P80" s="64">
        <f t="shared" si="5"/>
        <v>930.64660000000026</v>
      </c>
    </row>
    <row r="81" spans="1:16" s="56" customFormat="1" x14ac:dyDescent="0.2">
      <c r="A81" s="41" t="s">
        <v>153</v>
      </c>
      <c r="B81" s="42" t="s">
        <v>154</v>
      </c>
      <c r="C81" s="58">
        <f>+FACTURACIÓN!C80+FACTURACIÓN!D80+FACTURACIÓN!E80+FACTURACIÓN!F80-'C&amp;A'!K81-'C&amp;A'!G81-'C&amp;A'!I81</f>
        <v>1356.2599999999998</v>
      </c>
      <c r="D81" s="59">
        <v>0</v>
      </c>
      <c r="E81" s="60">
        <f t="shared" si="3"/>
        <v>1356.2599999999998</v>
      </c>
      <c r="F81" s="60">
        <f>+FACTURACIÓN!H80</f>
        <v>201.24</v>
      </c>
      <c r="G81" s="60">
        <f>+FACTURACIÓN!I80</f>
        <v>200</v>
      </c>
      <c r="H81" s="60">
        <f>+FACTURACIÓN!J80</f>
        <v>94.749339999999989</v>
      </c>
      <c r="I81" s="60">
        <f>+FACTURACIÓN!K80</f>
        <v>19.336600000000001</v>
      </c>
      <c r="J81" s="60">
        <f>+FACTURACIÓN!L80</f>
        <v>257.64</v>
      </c>
      <c r="K81" s="60">
        <f>+FACTURACIÓN!M80</f>
        <v>0</v>
      </c>
      <c r="L81" s="60">
        <f>+FACTURACIÓN!N80</f>
        <v>0</v>
      </c>
      <c r="M81" s="60">
        <f>+FACTURACIÓN!O80</f>
        <v>0</v>
      </c>
      <c r="N81" s="60">
        <f>+FACTURACIÓN!P80</f>
        <v>0</v>
      </c>
      <c r="O81" s="59">
        <f t="shared" si="4"/>
        <v>772.96593999999993</v>
      </c>
      <c r="P81" s="64">
        <f t="shared" si="5"/>
        <v>583.29405999999983</v>
      </c>
    </row>
    <row r="82" spans="1:16" s="56" customFormat="1" x14ac:dyDescent="0.2">
      <c r="A82" s="41" t="s">
        <v>321</v>
      </c>
      <c r="B82" s="42" t="s">
        <v>155</v>
      </c>
      <c r="C82" s="58">
        <f>+FACTURACIÓN!C81+FACTURACIÓN!D81+FACTURACIÓN!E81+FACTURACIÓN!F81-'C&amp;A'!K82-'C&amp;A'!G82-'C&amp;A'!I82</f>
        <v>2160.2600000000002</v>
      </c>
      <c r="D82" s="59">
        <v>0</v>
      </c>
      <c r="E82" s="60">
        <f t="shared" si="3"/>
        <v>2160.2600000000002</v>
      </c>
      <c r="F82" s="60">
        <f>+FACTURACIÓN!H81</f>
        <v>0</v>
      </c>
      <c r="G82" s="60">
        <f>+FACTURACIÓN!I81</f>
        <v>150</v>
      </c>
      <c r="H82" s="60">
        <f>+FACTURACIÓN!J81</f>
        <v>0</v>
      </c>
      <c r="I82" s="60">
        <f>+FACTURACIÓN!K81</f>
        <v>0</v>
      </c>
      <c r="J82" s="60">
        <f>+FACTURACIÓN!L81</f>
        <v>0</v>
      </c>
      <c r="K82" s="60">
        <f>+FACTURACIÓN!M81</f>
        <v>0</v>
      </c>
      <c r="L82" s="60">
        <f>+FACTURACIÓN!N81</f>
        <v>0</v>
      </c>
      <c r="M82" s="60">
        <f>+FACTURACIÓN!O81</f>
        <v>0</v>
      </c>
      <c r="N82" s="60">
        <f>+FACTURACIÓN!P81</f>
        <v>0</v>
      </c>
      <c r="O82" s="59">
        <f t="shared" si="4"/>
        <v>150</v>
      </c>
      <c r="P82" s="64">
        <f t="shared" si="5"/>
        <v>2010.2600000000002</v>
      </c>
    </row>
    <row r="83" spans="1:16" s="56" customFormat="1" x14ac:dyDescent="0.2">
      <c r="A83" s="41" t="s">
        <v>156</v>
      </c>
      <c r="B83" s="42" t="s">
        <v>157</v>
      </c>
      <c r="C83" s="58">
        <f>+FACTURACIÓN!C82+FACTURACIÓN!D82+FACTURACIÓN!E82+FACTURACIÓN!F82-'C&amp;A'!K83-'C&amp;A'!G83-'C&amp;A'!I83</f>
        <v>822.8</v>
      </c>
      <c r="D83" s="59">
        <v>0</v>
      </c>
      <c r="E83" s="60">
        <f t="shared" si="3"/>
        <v>822.8</v>
      </c>
      <c r="F83" s="60">
        <f>+FACTURACIÓN!H82</f>
        <v>0</v>
      </c>
      <c r="G83" s="60">
        <f>+FACTURACIÓN!I82</f>
        <v>0</v>
      </c>
      <c r="H83" s="60">
        <f>+FACTURACIÓN!J82</f>
        <v>0</v>
      </c>
      <c r="I83" s="60">
        <f>+FACTURACIÓN!K82</f>
        <v>0</v>
      </c>
      <c r="J83" s="60">
        <f>+FACTURACIÓN!L82</f>
        <v>0</v>
      </c>
      <c r="K83" s="60">
        <f>+FACTURACIÓN!M82</f>
        <v>427.03</v>
      </c>
      <c r="L83" s="60">
        <f>+FACTURACIÓN!N82</f>
        <v>0</v>
      </c>
      <c r="M83" s="60">
        <f>+FACTURACIÓN!O82</f>
        <v>0</v>
      </c>
      <c r="N83" s="60">
        <f>+FACTURACIÓN!P82</f>
        <v>0</v>
      </c>
      <c r="O83" s="59">
        <f t="shared" si="4"/>
        <v>427.03</v>
      </c>
      <c r="P83" s="64">
        <f t="shared" si="5"/>
        <v>395.77</v>
      </c>
    </row>
    <row r="84" spans="1:16" s="56" customFormat="1" x14ac:dyDescent="0.2">
      <c r="A84" s="41" t="s">
        <v>517</v>
      </c>
      <c r="B84" s="42" t="s">
        <v>518</v>
      </c>
      <c r="C84" s="58">
        <f>+FACTURACIÓN!C83+FACTURACIÓN!D83+FACTURACIÓN!E83+FACTURACIÓN!F83-'C&amp;A'!K84-'C&amp;A'!G84-'C&amp;A'!I84</f>
        <v>822.6</v>
      </c>
      <c r="D84" s="59">
        <v>0</v>
      </c>
      <c r="E84" s="60">
        <f t="shared" si="3"/>
        <v>822.6</v>
      </c>
      <c r="F84" s="60">
        <f>+FACTURACIÓN!H83</f>
        <v>0</v>
      </c>
      <c r="G84" s="60">
        <f>+FACTURACIÓN!I83</f>
        <v>0</v>
      </c>
      <c r="H84" s="60">
        <f>+FACTURACIÓN!J83</f>
        <v>0</v>
      </c>
      <c r="I84" s="60">
        <f>+FACTURACIÓN!K83</f>
        <v>0</v>
      </c>
      <c r="J84" s="60">
        <f>+FACTURACIÓN!L83</f>
        <v>0</v>
      </c>
      <c r="K84" s="60">
        <f>+FACTURACIÓN!M83</f>
        <v>0</v>
      </c>
      <c r="L84" s="60">
        <f>+FACTURACIÓN!N83</f>
        <v>0</v>
      </c>
      <c r="M84" s="60">
        <f>+FACTURACIÓN!O83</f>
        <v>0</v>
      </c>
      <c r="N84" s="60">
        <f>+FACTURACIÓN!P83</f>
        <v>0</v>
      </c>
      <c r="O84" s="59">
        <f t="shared" si="4"/>
        <v>0</v>
      </c>
      <c r="P84" s="64">
        <f t="shared" si="5"/>
        <v>822.6</v>
      </c>
    </row>
    <row r="85" spans="1:16" s="56" customFormat="1" x14ac:dyDescent="0.2">
      <c r="A85" s="41" t="s">
        <v>158</v>
      </c>
      <c r="B85" s="42" t="s">
        <v>159</v>
      </c>
      <c r="C85" s="58">
        <f>+FACTURACIÓN!C84+FACTURACIÓN!D84+FACTURACIÓN!E84+FACTURACIÓN!F84-'C&amp;A'!K85-'C&amp;A'!G85-'C&amp;A'!I85</f>
        <v>936.13</v>
      </c>
      <c r="D85" s="59">
        <v>0</v>
      </c>
      <c r="E85" s="60">
        <f t="shared" si="3"/>
        <v>936.13</v>
      </c>
      <c r="F85" s="60">
        <f>+FACTURACIÓN!H84</f>
        <v>0</v>
      </c>
      <c r="G85" s="60">
        <f>+FACTURACIÓN!I84</f>
        <v>0</v>
      </c>
      <c r="H85" s="60">
        <f>+FACTURACIÓN!J84</f>
        <v>0</v>
      </c>
      <c r="I85" s="60">
        <f>+FACTURACIÓN!K84</f>
        <v>0</v>
      </c>
      <c r="J85" s="60">
        <f>+FACTURACIÓN!L84</f>
        <v>0</v>
      </c>
      <c r="K85" s="60">
        <f>+FACTURACIÓN!M84</f>
        <v>0</v>
      </c>
      <c r="L85" s="60">
        <f>+FACTURACIÓN!N84</f>
        <v>0</v>
      </c>
      <c r="M85" s="60">
        <f>+FACTURACIÓN!O84</f>
        <v>0</v>
      </c>
      <c r="N85" s="60">
        <f>+FACTURACIÓN!P84</f>
        <v>0</v>
      </c>
      <c r="O85" s="59">
        <f t="shared" si="4"/>
        <v>0</v>
      </c>
      <c r="P85" s="64">
        <f t="shared" si="5"/>
        <v>936.13</v>
      </c>
    </row>
    <row r="86" spans="1:16" s="56" customFormat="1" x14ac:dyDescent="0.2">
      <c r="A86" s="41" t="s">
        <v>160</v>
      </c>
      <c r="B86" s="42" t="s">
        <v>161</v>
      </c>
      <c r="C86" s="58">
        <f>+FACTURACIÓN!C85+FACTURACIÓN!D85+FACTURACIÓN!E85+FACTURACIÓN!F85-'C&amp;A'!K86-'C&amp;A'!G86-'C&amp;A'!I86</f>
        <v>2101.5500000000002</v>
      </c>
      <c r="D86" s="59">
        <v>0</v>
      </c>
      <c r="E86" s="60">
        <f t="shared" si="3"/>
        <v>2101.5500000000002</v>
      </c>
      <c r="F86" s="60">
        <f>+FACTURACIÓN!H85</f>
        <v>0</v>
      </c>
      <c r="G86" s="60">
        <f>+FACTURACIÓN!I85</f>
        <v>0</v>
      </c>
      <c r="H86" s="60">
        <f>+FACTURACIÓN!J85</f>
        <v>0</v>
      </c>
      <c r="I86" s="60">
        <f>+FACTURACIÓN!K85</f>
        <v>0</v>
      </c>
      <c r="J86" s="60">
        <f>+FACTURACIÓN!L85</f>
        <v>0</v>
      </c>
      <c r="K86" s="60">
        <f>+FACTURACIÓN!M85</f>
        <v>0</v>
      </c>
      <c r="L86" s="60">
        <f>+FACTURACIÓN!N85</f>
        <v>0</v>
      </c>
      <c r="M86" s="60">
        <f>+FACTURACIÓN!O85</f>
        <v>0</v>
      </c>
      <c r="N86" s="60">
        <f>+FACTURACIÓN!P85</f>
        <v>0</v>
      </c>
      <c r="O86" s="59">
        <f t="shared" si="4"/>
        <v>0</v>
      </c>
      <c r="P86" s="64">
        <f t="shared" si="5"/>
        <v>2101.5500000000002</v>
      </c>
    </row>
    <row r="87" spans="1:16" s="56" customFormat="1" x14ac:dyDescent="0.2">
      <c r="A87" s="41" t="s">
        <v>162</v>
      </c>
      <c r="B87" s="42" t="s">
        <v>163</v>
      </c>
      <c r="C87" s="58">
        <f>+FACTURACIÓN!C86+FACTURACIÓN!D86+FACTURACIÓN!E86+FACTURACIÓN!F86-'C&amp;A'!K87-'C&amp;A'!G87-'C&amp;A'!I87</f>
        <v>2869.32</v>
      </c>
      <c r="D87" s="59">
        <v>0</v>
      </c>
      <c r="E87" s="60">
        <f t="shared" si="3"/>
        <v>2869.32</v>
      </c>
      <c r="F87" s="60">
        <f>+FACTURACIÓN!H86</f>
        <v>0</v>
      </c>
      <c r="G87" s="60">
        <f>+FACTURACIÓN!I86</f>
        <v>0</v>
      </c>
      <c r="H87" s="60">
        <f>+FACTURACIÓN!J86</f>
        <v>0</v>
      </c>
      <c r="I87" s="60">
        <f>+FACTURACIÓN!K86</f>
        <v>0</v>
      </c>
      <c r="J87" s="60">
        <f>+FACTURACIÓN!L86</f>
        <v>0</v>
      </c>
      <c r="K87" s="60">
        <f>+FACTURACIÓN!M86</f>
        <v>0</v>
      </c>
      <c r="L87" s="60">
        <f>+FACTURACIÓN!N86</f>
        <v>0</v>
      </c>
      <c r="M87" s="60">
        <f>+FACTURACIÓN!O86</f>
        <v>0</v>
      </c>
      <c r="N87" s="60">
        <f>+FACTURACIÓN!P86</f>
        <v>0</v>
      </c>
      <c r="O87" s="59">
        <f t="shared" si="4"/>
        <v>0</v>
      </c>
      <c r="P87" s="64">
        <f t="shared" si="5"/>
        <v>2869.32</v>
      </c>
    </row>
    <row r="88" spans="1:16" s="56" customFormat="1" x14ac:dyDescent="0.2">
      <c r="A88" s="41" t="s">
        <v>164</v>
      </c>
      <c r="B88" s="42" t="s">
        <v>165</v>
      </c>
      <c r="C88" s="58">
        <f>+FACTURACIÓN!C87+FACTURACIÓN!D87+FACTURACIÓN!E87+FACTURACIÓN!F87-'C&amp;A'!K88-'C&amp;A'!G88-'C&amp;A'!I88</f>
        <v>1228.9500000000003</v>
      </c>
      <c r="D88" s="59">
        <v>0</v>
      </c>
      <c r="E88" s="60">
        <f t="shared" si="3"/>
        <v>1228.9500000000003</v>
      </c>
      <c r="F88" s="60">
        <f>+FACTURACIÓN!H87</f>
        <v>0</v>
      </c>
      <c r="G88" s="60">
        <f>+FACTURACIÓN!I87</f>
        <v>0</v>
      </c>
      <c r="H88" s="60">
        <f>+FACTURACIÓN!J87</f>
        <v>0</v>
      </c>
      <c r="I88" s="60">
        <f>+FACTURACIÓN!K87</f>
        <v>0</v>
      </c>
      <c r="J88" s="60">
        <f>+FACTURACIÓN!L87</f>
        <v>0</v>
      </c>
      <c r="K88" s="60">
        <f>+FACTURACIÓN!M87</f>
        <v>1049.17</v>
      </c>
      <c r="L88" s="60">
        <f>+FACTURACIÓN!N87</f>
        <v>0</v>
      </c>
      <c r="M88" s="60">
        <f>+FACTURACIÓN!O87</f>
        <v>0</v>
      </c>
      <c r="N88" s="60">
        <f>+FACTURACIÓN!P87</f>
        <v>0</v>
      </c>
      <c r="O88" s="59">
        <f t="shared" si="4"/>
        <v>1049.17</v>
      </c>
      <c r="P88" s="64">
        <f t="shared" si="5"/>
        <v>179.7800000000002</v>
      </c>
    </row>
    <row r="89" spans="1:16" s="56" customFormat="1" x14ac:dyDescent="0.2">
      <c r="A89" s="41" t="s">
        <v>166</v>
      </c>
      <c r="B89" s="42" t="s">
        <v>167</v>
      </c>
      <c r="C89" s="58">
        <f>+FACTURACIÓN!C88+FACTURACIÓN!D88+FACTURACIÓN!E88+FACTURACIÓN!F88-'C&amp;A'!K89-'C&amp;A'!G89-'C&amp;A'!I89</f>
        <v>3089.27</v>
      </c>
      <c r="D89" s="59">
        <v>0</v>
      </c>
      <c r="E89" s="60">
        <f t="shared" si="3"/>
        <v>3089.27</v>
      </c>
      <c r="F89" s="60">
        <f>+FACTURACIÓN!H88</f>
        <v>0</v>
      </c>
      <c r="G89" s="60">
        <f>+FACTURACIÓN!I88</f>
        <v>0</v>
      </c>
      <c r="H89" s="60">
        <f>+FACTURACIÓN!J88</f>
        <v>0</v>
      </c>
      <c r="I89" s="60">
        <f>+FACTURACIÓN!K88</f>
        <v>0</v>
      </c>
      <c r="J89" s="60">
        <f>+FACTURACIÓN!L88</f>
        <v>0</v>
      </c>
      <c r="K89" s="60">
        <f>+FACTURACIÓN!M88</f>
        <v>0</v>
      </c>
      <c r="L89" s="60">
        <f>+FACTURACIÓN!N88</f>
        <v>0</v>
      </c>
      <c r="M89" s="60">
        <f>+FACTURACIÓN!O88</f>
        <v>58.91</v>
      </c>
      <c r="N89" s="60">
        <f>+FACTURACIÓN!P88</f>
        <v>0</v>
      </c>
      <c r="O89" s="59">
        <f t="shared" si="4"/>
        <v>58.91</v>
      </c>
      <c r="P89" s="64">
        <f t="shared" si="5"/>
        <v>3030.36</v>
      </c>
    </row>
    <row r="90" spans="1:16" s="56" customFormat="1" x14ac:dyDescent="0.2">
      <c r="A90" s="41" t="s">
        <v>168</v>
      </c>
      <c r="B90" s="42" t="s">
        <v>169</v>
      </c>
      <c r="C90" s="58">
        <f>+FACTURACIÓN!C89+FACTURACIÓN!D89+FACTURACIÓN!E89+FACTURACIÓN!F89-'C&amp;A'!K90-'C&amp;A'!G90-'C&amp;A'!I90</f>
        <v>3782.96</v>
      </c>
      <c r="D90" s="59">
        <v>0</v>
      </c>
      <c r="E90" s="60">
        <f t="shared" si="3"/>
        <v>3782.96</v>
      </c>
      <c r="F90" s="60">
        <f>+FACTURACIÓN!H89</f>
        <v>0</v>
      </c>
      <c r="G90" s="60">
        <f>+FACTURACIÓN!I89</f>
        <v>200</v>
      </c>
      <c r="H90" s="60">
        <f>+FACTURACIÓN!J89</f>
        <v>213.64784</v>
      </c>
      <c r="I90" s="60">
        <f>+FACTURACIÓN!K89</f>
        <v>43.601599999999998</v>
      </c>
      <c r="J90" s="60">
        <f>+FACTURACIÓN!L89</f>
        <v>0</v>
      </c>
      <c r="K90" s="60">
        <f>+FACTURACIÓN!M89</f>
        <v>0</v>
      </c>
      <c r="L90" s="60">
        <f>+FACTURACIÓN!N89</f>
        <v>0</v>
      </c>
      <c r="M90" s="60">
        <f>+FACTURACIÓN!O89</f>
        <v>0</v>
      </c>
      <c r="N90" s="60">
        <f>+FACTURACIÓN!P89</f>
        <v>0</v>
      </c>
      <c r="O90" s="59">
        <f t="shared" si="4"/>
        <v>457.24943999999999</v>
      </c>
      <c r="P90" s="64">
        <f t="shared" si="5"/>
        <v>3325.71056</v>
      </c>
    </row>
    <row r="91" spans="1:16" s="56" customFormat="1" x14ac:dyDescent="0.2">
      <c r="A91" s="41" t="s">
        <v>170</v>
      </c>
      <c r="B91" s="42" t="s">
        <v>171</v>
      </c>
      <c r="C91" s="58">
        <f>+FACTURACIÓN!C90+FACTURACIÓN!D90+FACTURACIÓN!E90+FACTURACIÓN!F90-'C&amp;A'!K91-'C&amp;A'!G91-'C&amp;A'!I91</f>
        <v>522.6</v>
      </c>
      <c r="D91" s="59">
        <v>0</v>
      </c>
      <c r="E91" s="60">
        <f t="shared" si="3"/>
        <v>522.6</v>
      </c>
      <c r="F91" s="60">
        <f>+FACTURACIÓN!H90</f>
        <v>0</v>
      </c>
      <c r="G91" s="60">
        <f>+FACTURACIÓN!I90</f>
        <v>0</v>
      </c>
      <c r="H91" s="60">
        <f>+FACTURACIÓN!J90</f>
        <v>0</v>
      </c>
      <c r="I91" s="60">
        <f>+FACTURACIÓN!K90</f>
        <v>0</v>
      </c>
      <c r="J91" s="60">
        <f>+FACTURACIÓN!L90</f>
        <v>0</v>
      </c>
      <c r="K91" s="60">
        <f>+FACTURACIÓN!M90</f>
        <v>0</v>
      </c>
      <c r="L91" s="60">
        <f>+FACTURACIÓN!N90</f>
        <v>0</v>
      </c>
      <c r="M91" s="60">
        <f>+FACTURACIÓN!O90</f>
        <v>0</v>
      </c>
      <c r="N91" s="60">
        <f>+FACTURACIÓN!P90</f>
        <v>0</v>
      </c>
      <c r="O91" s="59">
        <f t="shared" si="4"/>
        <v>0</v>
      </c>
      <c r="P91" s="64">
        <f t="shared" si="5"/>
        <v>522.6</v>
      </c>
    </row>
    <row r="92" spans="1:16" x14ac:dyDescent="0.2">
      <c r="A92" s="41" t="s">
        <v>172</v>
      </c>
      <c r="B92" s="42" t="s">
        <v>173</v>
      </c>
      <c r="C92" s="58">
        <f>+FACTURACIÓN!C91+FACTURACIÓN!D91+FACTURACIÓN!E91+FACTURACIÓN!F91-'C&amp;A'!K92-'C&amp;A'!G92-'C&amp;A'!I92</f>
        <v>589.2600000000001</v>
      </c>
      <c r="D92" s="59">
        <v>0</v>
      </c>
      <c r="E92" s="60">
        <f t="shared" si="3"/>
        <v>589.2600000000001</v>
      </c>
      <c r="F92" s="60">
        <f>+FACTURACIÓN!H91</f>
        <v>0</v>
      </c>
      <c r="G92" s="60">
        <f>+FACTURACIÓN!I91</f>
        <v>0</v>
      </c>
      <c r="H92" s="60">
        <f>+FACTURACIÓN!J91</f>
        <v>0</v>
      </c>
      <c r="I92" s="60">
        <f>+FACTURACIÓN!K91</f>
        <v>0</v>
      </c>
      <c r="J92" s="60">
        <f>+FACTURACIÓN!L91</f>
        <v>0</v>
      </c>
      <c r="K92" s="60">
        <f>+FACTURACIÓN!M91</f>
        <v>0</v>
      </c>
      <c r="L92" s="60">
        <f>+FACTURACIÓN!N91</f>
        <v>0</v>
      </c>
      <c r="M92" s="60">
        <f>+FACTURACIÓN!O91</f>
        <v>0</v>
      </c>
      <c r="N92" s="60">
        <f>+FACTURACIÓN!P91</f>
        <v>0</v>
      </c>
      <c r="O92" s="59">
        <f t="shared" si="4"/>
        <v>0</v>
      </c>
      <c r="P92" s="64">
        <f t="shared" si="5"/>
        <v>589.2600000000001</v>
      </c>
    </row>
    <row r="93" spans="1:16" x14ac:dyDescent="0.2">
      <c r="A93" s="41" t="s">
        <v>174</v>
      </c>
      <c r="B93" s="42" t="s">
        <v>175</v>
      </c>
      <c r="C93" s="58">
        <f>+FACTURACIÓN!C92+FACTURACIÓN!D92+FACTURACIÓN!E92+FACTURACIÓN!F92-'C&amp;A'!K93-'C&amp;A'!G93-'C&amp;A'!I93</f>
        <v>3012.83</v>
      </c>
      <c r="D93" s="59">
        <v>0</v>
      </c>
      <c r="E93" s="60">
        <f t="shared" si="3"/>
        <v>3012.83</v>
      </c>
      <c r="F93" s="60">
        <f>+FACTURACIÓN!H92</f>
        <v>0</v>
      </c>
      <c r="G93" s="60">
        <f>+FACTURACIÓN!I92</f>
        <v>500</v>
      </c>
      <c r="H93" s="60">
        <f>+FACTURACIÓN!J92</f>
        <v>0</v>
      </c>
      <c r="I93" s="60">
        <f>+FACTURACIÓN!K92</f>
        <v>0</v>
      </c>
      <c r="J93" s="60">
        <f>+FACTURACIÓN!L92</f>
        <v>0</v>
      </c>
      <c r="K93" s="60">
        <f>+FACTURACIÓN!M92</f>
        <v>0</v>
      </c>
      <c r="L93" s="60">
        <f>+FACTURACIÓN!N92</f>
        <v>0</v>
      </c>
      <c r="M93" s="60">
        <f>+FACTURACIÓN!O92</f>
        <v>0</v>
      </c>
      <c r="N93" s="60">
        <f>+FACTURACIÓN!P92</f>
        <v>0</v>
      </c>
      <c r="O93" s="59">
        <f t="shared" si="4"/>
        <v>500</v>
      </c>
      <c r="P93" s="64">
        <f t="shared" si="5"/>
        <v>2512.83</v>
      </c>
    </row>
    <row r="94" spans="1:16" hidden="1" x14ac:dyDescent="0.2">
      <c r="A94" s="55"/>
      <c r="B94" s="56"/>
      <c r="C94" s="58">
        <f>+FACTURACIÓN!R94-'C&amp;A'!K95+F94+G94+H94+I94+J94+K94-'C&amp;A'!G95-'C&amp;A'!I95</f>
        <v>-45322.68428571432</v>
      </c>
      <c r="D94" s="59"/>
      <c r="E94" s="60"/>
      <c r="F94" s="60"/>
      <c r="G94" s="60"/>
      <c r="H94" s="60"/>
      <c r="I94" s="60"/>
      <c r="J94" s="59"/>
      <c r="K94" s="59"/>
      <c r="L94" s="59"/>
      <c r="M94" s="59"/>
      <c r="N94" s="59"/>
      <c r="O94" s="59"/>
      <c r="P94" s="64"/>
    </row>
    <row r="95" spans="1:16" hidden="1" x14ac:dyDescent="0.2">
      <c r="A95" s="55"/>
      <c r="B95" s="56"/>
      <c r="C95" s="58">
        <f>+FACTURACIÓN!R95-'C&amp;A'!K96+F95+G95+H95+I95+J95+K95-'C&amp;A'!G96-'C&amp;A'!I96</f>
        <v>299257.10065428575</v>
      </c>
      <c r="D95" s="59"/>
      <c r="E95" s="60"/>
      <c r="F95" s="60"/>
      <c r="G95" s="60"/>
      <c r="H95" s="60"/>
      <c r="I95" s="60"/>
      <c r="J95" s="59"/>
      <c r="K95" s="59"/>
      <c r="L95" s="59"/>
      <c r="M95" s="59"/>
      <c r="N95" s="59"/>
      <c r="O95" s="59"/>
      <c r="P95" s="64"/>
    </row>
    <row r="96" spans="1:16" hidden="1" x14ac:dyDescent="0.2">
      <c r="A96" s="55"/>
      <c r="B96" s="56"/>
      <c r="C96" s="58">
        <f>+FACTURACIÓN!R96-'C&amp;A'!K97+F96+G96+H96+I96+J96+K96-'C&amp;A'!G97-'C&amp;A'!I97</f>
        <v>299515.85065428575</v>
      </c>
      <c r="D96" s="59"/>
      <c r="E96" s="60"/>
      <c r="F96" s="60"/>
      <c r="G96" s="60"/>
      <c r="H96" s="60"/>
      <c r="I96" s="60"/>
      <c r="J96" s="59"/>
      <c r="K96" s="59"/>
      <c r="L96" s="59"/>
      <c r="M96" s="59"/>
      <c r="N96" s="59"/>
      <c r="O96" s="59"/>
      <c r="P96" s="64"/>
    </row>
    <row r="97" spans="1:16" hidden="1" x14ac:dyDescent="0.2">
      <c r="A97" s="55"/>
      <c r="B97" s="56"/>
      <c r="C97" s="58">
        <f>+FACTURACIÓN!R97-'C&amp;A'!K98+F97+G97+H97+I97+J97+K97-'C&amp;A'!G98-'C&amp;A'!I98</f>
        <v>-258.75</v>
      </c>
      <c r="D97" s="59"/>
      <c r="E97" s="60"/>
      <c r="F97" s="60"/>
      <c r="G97" s="60"/>
      <c r="H97" s="60"/>
      <c r="I97" s="60"/>
      <c r="J97" s="59"/>
      <c r="K97" s="59"/>
      <c r="L97" s="59"/>
      <c r="M97" s="59"/>
      <c r="N97" s="59"/>
      <c r="O97" s="59"/>
      <c r="P97" s="64"/>
    </row>
    <row r="98" spans="1:16" hidden="1" x14ac:dyDescent="0.2">
      <c r="A98" s="55"/>
      <c r="B98" s="56"/>
      <c r="C98" s="58">
        <f>+FACTURACIÓN!R98-'C&amp;A'!K99+F98+G98+H98+I98+J98+K98-'C&amp;A'!G99-'C&amp;A'!I99</f>
        <v>0</v>
      </c>
      <c r="D98" s="59"/>
      <c r="E98" s="60"/>
      <c r="F98" s="60"/>
      <c r="G98" s="60"/>
      <c r="H98" s="60"/>
      <c r="I98" s="60"/>
      <c r="J98" s="59"/>
      <c r="K98" s="59"/>
      <c r="L98" s="59"/>
      <c r="M98" s="59"/>
      <c r="N98" s="59"/>
      <c r="O98" s="59"/>
      <c r="P98" s="64"/>
    </row>
    <row r="99" spans="1:16" x14ac:dyDescent="0.2">
      <c r="A99" s="55"/>
      <c r="B99" s="56"/>
      <c r="C99" s="61" t="s">
        <v>17</v>
      </c>
      <c r="D99" s="61" t="s">
        <v>17</v>
      </c>
      <c r="E99" s="61" t="s">
        <v>17</v>
      </c>
      <c r="F99" s="61" t="s">
        <v>17</v>
      </c>
      <c r="G99" s="61" t="s">
        <v>17</v>
      </c>
      <c r="H99" s="61" t="s">
        <v>17</v>
      </c>
      <c r="I99" s="61" t="s">
        <v>17</v>
      </c>
      <c r="J99" s="61" t="s">
        <v>17</v>
      </c>
      <c r="K99" s="61" t="s">
        <v>17</v>
      </c>
      <c r="L99" s="61" t="s">
        <v>17</v>
      </c>
      <c r="M99" s="61" t="s">
        <v>17</v>
      </c>
      <c r="N99" s="61" t="s">
        <v>17</v>
      </c>
      <c r="O99" s="61" t="s">
        <v>17</v>
      </c>
      <c r="P99" s="61" t="s">
        <v>17</v>
      </c>
    </row>
    <row r="100" spans="1:16" ht="15" x14ac:dyDescent="0.25">
      <c r="A100" s="55"/>
      <c r="B100" s="56"/>
      <c r="C100" s="62">
        <f>SUM(C10:C93)</f>
        <v>292116.82999999996</v>
      </c>
      <c r="D100" s="62">
        <f t="shared" ref="D100:H100" si="6">SUM(D10:D93)</f>
        <v>258.75</v>
      </c>
      <c r="E100" s="62">
        <f t="shared" si="6"/>
        <v>292375.57999999996</v>
      </c>
      <c r="F100" s="62">
        <f t="shared" si="6"/>
        <v>406.94</v>
      </c>
      <c r="G100" s="62">
        <f t="shared" si="6"/>
        <v>4828.2170000000006</v>
      </c>
      <c r="H100" s="62">
        <f t="shared" si="6"/>
        <v>1976.21606</v>
      </c>
      <c r="I100" s="62">
        <f>SUM(I10:I93)</f>
        <v>406.86949999999996</v>
      </c>
      <c r="J100" s="62">
        <f t="shared" ref="J100:P100" si="7">SUM(J10:J93)</f>
        <v>879.38</v>
      </c>
      <c r="K100" s="62">
        <f t="shared" si="7"/>
        <v>7279.3525000000009</v>
      </c>
      <c r="L100" s="62">
        <f t="shared" si="7"/>
        <v>20983.65</v>
      </c>
      <c r="M100" s="62">
        <f t="shared" si="7"/>
        <v>686.28999999999974</v>
      </c>
      <c r="N100" s="62">
        <f t="shared" si="7"/>
        <v>399.99857142857138</v>
      </c>
      <c r="O100" s="62">
        <f t="shared" si="7"/>
        <v>37846.913631428564</v>
      </c>
      <c r="P100" s="62">
        <f t="shared" si="7"/>
        <v>254528.66636857143</v>
      </c>
    </row>
    <row r="101" spans="1:16" x14ac:dyDescent="0.2">
      <c r="M101" s="187"/>
      <c r="N101" s="187"/>
    </row>
    <row r="102" spans="1:16" x14ac:dyDescent="0.2">
      <c r="M102" s="187"/>
      <c r="N102" s="187"/>
      <c r="P102" s="69"/>
    </row>
  </sheetData>
  <mergeCells count="2">
    <mergeCell ref="B1:C1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topLeftCell="A7" workbookViewId="0">
      <selection activeCell="B48" sqref="B48"/>
    </sheetView>
  </sheetViews>
  <sheetFormatPr baseColWidth="10" defaultRowHeight="15" x14ac:dyDescent="0.25"/>
  <cols>
    <col min="2" max="2" width="25" bestFit="1" customWidth="1"/>
    <col min="10" max="17" width="0" style="19" hidden="1" customWidth="1"/>
  </cols>
  <sheetData>
    <row r="1" spans="1:17" x14ac:dyDescent="0.25">
      <c r="A1" t="s">
        <v>204</v>
      </c>
    </row>
    <row r="7" spans="1:17" x14ac:dyDescent="0.25">
      <c r="C7" t="s">
        <v>205</v>
      </c>
    </row>
    <row r="8" spans="1:17" x14ac:dyDescent="0.25">
      <c r="A8" t="s">
        <v>206</v>
      </c>
      <c r="B8" t="s">
        <v>207</v>
      </c>
      <c r="C8" t="s">
        <v>208</v>
      </c>
      <c r="J8" s="33"/>
      <c r="K8" s="33"/>
      <c r="L8" s="33"/>
      <c r="M8" s="33"/>
      <c r="N8" s="33"/>
      <c r="O8" s="33"/>
      <c r="P8" s="33"/>
      <c r="Q8" s="33"/>
    </row>
    <row r="9" spans="1:17" x14ac:dyDescent="0.25">
      <c r="A9" t="s">
        <v>35</v>
      </c>
      <c r="B9" t="s">
        <v>209</v>
      </c>
      <c r="C9">
        <v>0</v>
      </c>
    </row>
    <row r="10" spans="1:17" x14ac:dyDescent="0.25">
      <c r="A10" t="s">
        <v>37</v>
      </c>
      <c r="B10" t="s">
        <v>274</v>
      </c>
      <c r="C10">
        <v>0</v>
      </c>
      <c r="J10" s="39"/>
      <c r="K10" s="39"/>
      <c r="L10" s="39"/>
      <c r="M10" s="39"/>
      <c r="N10" s="39"/>
      <c r="O10" s="39"/>
      <c r="P10" s="39"/>
      <c r="Q10" s="39"/>
    </row>
    <row r="11" spans="1:17" x14ac:dyDescent="0.25">
      <c r="A11" t="s">
        <v>39</v>
      </c>
      <c r="B11" t="s">
        <v>249</v>
      </c>
      <c r="C11">
        <v>0</v>
      </c>
      <c r="J11" s="39"/>
      <c r="K11" s="39"/>
      <c r="L11" s="39"/>
      <c r="M11" s="39"/>
      <c r="N11" s="39"/>
      <c r="O11" s="39"/>
      <c r="P11" s="39"/>
      <c r="Q11" s="39"/>
    </row>
    <row r="12" spans="1:17" x14ac:dyDescent="0.25">
      <c r="A12" t="s">
        <v>41</v>
      </c>
      <c r="B12" t="s">
        <v>210</v>
      </c>
      <c r="C12">
        <v>0</v>
      </c>
      <c r="J12" s="39"/>
      <c r="K12" s="39"/>
      <c r="L12" s="39"/>
      <c r="M12" s="39"/>
      <c r="N12" s="39"/>
      <c r="O12" s="39"/>
      <c r="P12" s="39"/>
      <c r="Q12" s="39"/>
    </row>
    <row r="13" spans="1:17" x14ac:dyDescent="0.25">
      <c r="A13">
        <v>16</v>
      </c>
      <c r="B13" t="s">
        <v>269</v>
      </c>
      <c r="C13">
        <v>0</v>
      </c>
      <c r="J13" s="39"/>
      <c r="K13" s="39"/>
      <c r="L13" s="39"/>
      <c r="M13" s="39"/>
      <c r="N13" s="39"/>
      <c r="O13" s="39"/>
      <c r="P13" s="39"/>
      <c r="Q13" s="39"/>
    </row>
    <row r="14" spans="1:17" x14ac:dyDescent="0.25">
      <c r="A14" t="s">
        <v>193</v>
      </c>
      <c r="B14" t="s">
        <v>250</v>
      </c>
      <c r="C14">
        <v>0</v>
      </c>
      <c r="J14" s="39"/>
      <c r="K14" s="39"/>
      <c r="L14" s="39"/>
      <c r="M14" s="39"/>
      <c r="N14" s="39"/>
      <c r="O14" s="39"/>
      <c r="P14" s="39"/>
      <c r="Q14" s="39"/>
    </row>
    <row r="15" spans="1:17" x14ac:dyDescent="0.25">
      <c r="A15" t="s">
        <v>240</v>
      </c>
      <c r="B15" t="s">
        <v>241</v>
      </c>
      <c r="C15">
        <v>0</v>
      </c>
      <c r="J15" s="39"/>
      <c r="K15" s="39"/>
      <c r="L15" s="39"/>
      <c r="M15" s="39"/>
      <c r="N15" s="39"/>
      <c r="O15" s="39"/>
      <c r="P15" s="39"/>
      <c r="Q15" s="39"/>
    </row>
    <row r="16" spans="1:17" x14ac:dyDescent="0.25">
      <c r="A16" t="s">
        <v>15</v>
      </c>
      <c r="B16" t="s">
        <v>273</v>
      </c>
      <c r="C16">
        <v>879.45</v>
      </c>
      <c r="J16" s="39"/>
      <c r="K16" s="39"/>
      <c r="L16" s="39"/>
      <c r="M16" s="39"/>
      <c r="N16" s="39"/>
      <c r="O16" s="39"/>
      <c r="P16" s="39"/>
      <c r="Q16" s="39"/>
    </row>
    <row r="17" spans="1:17" x14ac:dyDescent="0.25">
      <c r="A17" t="s">
        <v>49</v>
      </c>
      <c r="B17" t="s">
        <v>231</v>
      </c>
      <c r="C17">
        <v>0</v>
      </c>
      <c r="J17" s="39"/>
      <c r="K17" s="39"/>
      <c r="L17" s="39"/>
      <c r="M17" s="39"/>
      <c r="N17" s="39"/>
      <c r="O17" s="39"/>
      <c r="P17" s="39"/>
      <c r="Q17" s="39"/>
    </row>
    <row r="18" spans="1:17" x14ac:dyDescent="0.25">
      <c r="A18" t="s">
        <v>51</v>
      </c>
      <c r="B18" t="s">
        <v>275</v>
      </c>
      <c r="C18">
        <v>3257.47</v>
      </c>
      <c r="J18" s="39"/>
      <c r="K18" s="39"/>
      <c r="L18" s="39"/>
      <c r="M18" s="39"/>
      <c r="N18" s="39"/>
      <c r="O18" s="39"/>
      <c r="P18" s="39"/>
      <c r="Q18" s="39"/>
    </row>
    <row r="19" spans="1:17" x14ac:dyDescent="0.25">
      <c r="A19" t="s">
        <v>181</v>
      </c>
      <c r="B19" t="s">
        <v>211</v>
      </c>
      <c r="C19">
        <v>0</v>
      </c>
      <c r="J19" s="39"/>
      <c r="K19" s="39"/>
      <c r="L19" s="39"/>
      <c r="M19" s="39"/>
      <c r="N19" s="39"/>
      <c r="O19" s="39"/>
      <c r="P19" s="39"/>
      <c r="Q19" s="39"/>
    </row>
    <row r="20" spans="1:17" x14ac:dyDescent="0.25">
      <c r="A20" t="s">
        <v>54</v>
      </c>
      <c r="B20" t="s">
        <v>251</v>
      </c>
      <c r="C20">
        <v>0</v>
      </c>
      <c r="J20" s="39"/>
      <c r="K20" s="39"/>
      <c r="L20" s="39"/>
      <c r="M20" s="39"/>
      <c r="N20" s="39"/>
      <c r="O20" s="39"/>
      <c r="P20" s="39"/>
      <c r="Q20" s="39"/>
    </row>
    <row r="21" spans="1:17" x14ac:dyDescent="0.25">
      <c r="A21">
        <v>18</v>
      </c>
      <c r="B21" t="s">
        <v>270</v>
      </c>
      <c r="C21">
        <v>0</v>
      </c>
      <c r="J21" s="39"/>
      <c r="K21" s="39"/>
      <c r="L21" s="39"/>
      <c r="M21" s="39"/>
      <c r="N21" s="39"/>
      <c r="O21" s="39"/>
      <c r="P21" s="39"/>
      <c r="Q21" s="39"/>
    </row>
    <row r="22" spans="1:17" x14ac:dyDescent="0.25">
      <c r="A22" t="s">
        <v>57</v>
      </c>
      <c r="B22" t="s">
        <v>252</v>
      </c>
      <c r="C22">
        <v>0</v>
      </c>
      <c r="J22" s="39"/>
      <c r="K22" s="39"/>
      <c r="L22" s="39"/>
      <c r="M22" s="39"/>
      <c r="N22" s="39"/>
      <c r="O22" s="39"/>
      <c r="P22" s="39"/>
      <c r="Q22" s="39"/>
    </row>
    <row r="23" spans="1:17" x14ac:dyDescent="0.25">
      <c r="A23" t="s">
        <v>59</v>
      </c>
      <c r="B23" t="s">
        <v>233</v>
      </c>
      <c r="C23">
        <v>357.73</v>
      </c>
      <c r="J23" s="39"/>
      <c r="K23" s="39"/>
      <c r="L23" s="39"/>
      <c r="M23" s="39"/>
      <c r="N23" s="39"/>
      <c r="O23" s="39"/>
      <c r="P23" s="39"/>
      <c r="Q23" s="39"/>
    </row>
    <row r="24" spans="1:17" x14ac:dyDescent="0.25">
      <c r="A24" t="s">
        <v>61</v>
      </c>
      <c r="B24" t="s">
        <v>243</v>
      </c>
      <c r="C24">
        <v>797.62</v>
      </c>
      <c r="J24" s="39"/>
      <c r="K24" s="39"/>
      <c r="L24" s="39"/>
      <c r="M24" s="39"/>
      <c r="N24" s="39"/>
      <c r="O24" s="39"/>
      <c r="P24" s="39"/>
      <c r="Q24" s="39"/>
    </row>
    <row r="25" spans="1:17" x14ac:dyDescent="0.25">
      <c r="A25" t="s">
        <v>63</v>
      </c>
      <c r="B25" t="s">
        <v>217</v>
      </c>
      <c r="C25">
        <v>0</v>
      </c>
      <c r="J25" s="39"/>
      <c r="K25" s="39"/>
      <c r="L25" s="39"/>
      <c r="M25" s="39"/>
      <c r="N25" s="39"/>
      <c r="O25" s="39"/>
      <c r="P25" s="39"/>
      <c r="Q25" s="39"/>
    </row>
    <row r="26" spans="1:17" x14ac:dyDescent="0.25">
      <c r="A26" t="s">
        <v>65</v>
      </c>
      <c r="B26" t="s">
        <v>242</v>
      </c>
      <c r="C26">
        <v>0</v>
      </c>
      <c r="J26" s="39"/>
      <c r="K26" s="39"/>
      <c r="L26" s="39"/>
      <c r="M26" s="39"/>
      <c r="N26" s="39"/>
      <c r="O26" s="39"/>
      <c r="P26" s="39"/>
      <c r="Q26" s="39"/>
    </row>
    <row r="27" spans="1:17" x14ac:dyDescent="0.25">
      <c r="A27" t="s">
        <v>67</v>
      </c>
      <c r="B27" t="s">
        <v>234</v>
      </c>
      <c r="C27">
        <v>0</v>
      </c>
      <c r="J27" s="39"/>
      <c r="K27" s="39"/>
      <c r="L27" s="39"/>
      <c r="M27" s="39"/>
      <c r="N27" s="39"/>
      <c r="O27" s="39"/>
      <c r="P27" s="39"/>
      <c r="Q27" s="39"/>
    </row>
    <row r="28" spans="1:17" x14ac:dyDescent="0.25">
      <c r="A28" t="s">
        <v>69</v>
      </c>
      <c r="B28" t="s">
        <v>232</v>
      </c>
      <c r="C28">
        <v>0</v>
      </c>
      <c r="J28" s="39"/>
      <c r="K28" s="39"/>
      <c r="L28" s="39"/>
      <c r="M28" s="39"/>
      <c r="N28" s="39"/>
      <c r="O28" s="39"/>
      <c r="P28" s="39"/>
      <c r="Q28" s="39"/>
    </row>
    <row r="29" spans="1:17" x14ac:dyDescent="0.25">
      <c r="A29" t="s">
        <v>71</v>
      </c>
      <c r="B29" t="s">
        <v>235</v>
      </c>
      <c r="C29">
        <v>0</v>
      </c>
      <c r="J29" s="39"/>
      <c r="K29" s="39"/>
      <c r="L29" s="39"/>
      <c r="M29" s="39"/>
      <c r="N29" s="39"/>
      <c r="O29" s="39"/>
      <c r="P29" s="39"/>
      <c r="Q29" s="39"/>
    </row>
    <row r="30" spans="1:17" x14ac:dyDescent="0.25">
      <c r="A30" t="s">
        <v>73</v>
      </c>
      <c r="B30" t="s">
        <v>253</v>
      </c>
      <c r="C30">
        <v>0</v>
      </c>
      <c r="J30" s="39"/>
      <c r="K30" s="39"/>
      <c r="L30" s="39"/>
      <c r="M30" s="39"/>
      <c r="N30" s="39"/>
      <c r="O30" s="39"/>
      <c r="P30" s="39"/>
      <c r="Q30" s="39"/>
    </row>
    <row r="31" spans="1:17" x14ac:dyDescent="0.25">
      <c r="A31" t="s">
        <v>75</v>
      </c>
      <c r="B31" t="s">
        <v>276</v>
      </c>
      <c r="C31">
        <v>530.28</v>
      </c>
      <c r="J31" s="39"/>
      <c r="K31" s="39"/>
      <c r="L31" s="39"/>
      <c r="M31" s="39"/>
      <c r="N31" s="39"/>
      <c r="O31" s="39"/>
      <c r="P31" s="39"/>
      <c r="Q31" s="39"/>
    </row>
    <row r="32" spans="1:17" x14ac:dyDescent="0.25">
      <c r="A32" t="s">
        <v>77</v>
      </c>
      <c r="B32" t="s">
        <v>254</v>
      </c>
      <c r="C32">
        <v>0</v>
      </c>
      <c r="J32" s="39"/>
      <c r="K32" s="39"/>
      <c r="L32" s="39"/>
      <c r="M32" s="39"/>
      <c r="N32" s="39"/>
      <c r="O32" s="39"/>
      <c r="P32" s="39"/>
      <c r="Q32" s="39"/>
    </row>
    <row r="33" spans="1:17" x14ac:dyDescent="0.25">
      <c r="A33" t="s">
        <v>79</v>
      </c>
      <c r="B33" t="s">
        <v>212</v>
      </c>
      <c r="C33">
        <v>0</v>
      </c>
      <c r="J33" s="39"/>
      <c r="K33" s="39"/>
      <c r="L33" s="39"/>
      <c r="M33" s="39"/>
      <c r="N33" s="39"/>
      <c r="O33" s="39"/>
      <c r="P33" s="39"/>
      <c r="Q33" s="39"/>
    </row>
    <row r="34" spans="1:17" x14ac:dyDescent="0.25">
      <c r="A34" t="s">
        <v>277</v>
      </c>
      <c r="B34" t="s">
        <v>278</v>
      </c>
      <c r="C34">
        <v>349.07</v>
      </c>
      <c r="J34" s="39"/>
      <c r="K34" s="39"/>
      <c r="L34" s="39"/>
      <c r="M34" s="39"/>
      <c r="N34" s="39"/>
      <c r="O34" s="39"/>
      <c r="P34" s="39"/>
      <c r="Q34" s="39"/>
    </row>
    <row r="35" spans="1:17" x14ac:dyDescent="0.25">
      <c r="A35" t="s">
        <v>83</v>
      </c>
      <c r="B35" t="s">
        <v>280</v>
      </c>
      <c r="C35">
        <v>0</v>
      </c>
      <c r="J35" s="39"/>
      <c r="K35" s="39"/>
      <c r="L35" s="39"/>
      <c r="M35" s="39"/>
      <c r="N35" s="39"/>
      <c r="O35" s="39"/>
      <c r="P35" s="39"/>
      <c r="Q35" s="39"/>
    </row>
    <row r="36" spans="1:17" x14ac:dyDescent="0.25">
      <c r="A36" t="s">
        <v>200</v>
      </c>
      <c r="B36" t="s">
        <v>279</v>
      </c>
      <c r="C36">
        <v>0</v>
      </c>
      <c r="J36" s="39"/>
      <c r="K36" s="39"/>
      <c r="L36" s="39"/>
      <c r="M36" s="39"/>
      <c r="N36" s="39"/>
      <c r="O36" s="39"/>
      <c r="P36" s="39"/>
      <c r="Q36" s="39"/>
    </row>
    <row r="37" spans="1:17" x14ac:dyDescent="0.25">
      <c r="A37" t="s">
        <v>85</v>
      </c>
      <c r="B37" t="s">
        <v>244</v>
      </c>
      <c r="C37">
        <v>0</v>
      </c>
      <c r="J37" s="39"/>
      <c r="K37" s="39"/>
      <c r="L37" s="39"/>
      <c r="M37" s="39"/>
      <c r="N37" s="39"/>
      <c r="O37" s="39"/>
      <c r="P37" s="39"/>
      <c r="Q37" s="39"/>
    </row>
    <row r="38" spans="1:17" x14ac:dyDescent="0.25">
      <c r="A38" t="s">
        <v>87</v>
      </c>
      <c r="B38" t="s">
        <v>218</v>
      </c>
      <c r="C38">
        <v>0</v>
      </c>
      <c r="J38" s="39"/>
      <c r="K38" s="39"/>
      <c r="L38" s="39"/>
      <c r="M38" s="39"/>
      <c r="N38" s="39"/>
      <c r="O38" s="39"/>
      <c r="P38" s="39"/>
      <c r="Q38" s="39"/>
    </row>
    <row r="39" spans="1:17" x14ac:dyDescent="0.25">
      <c r="A39" t="s">
        <v>89</v>
      </c>
      <c r="B39" t="s">
        <v>281</v>
      </c>
      <c r="C39">
        <v>0</v>
      </c>
      <c r="J39" s="39"/>
      <c r="K39" s="39"/>
      <c r="L39" s="39"/>
      <c r="M39" s="39"/>
      <c r="N39" s="39"/>
      <c r="O39" s="39"/>
      <c r="P39" s="39"/>
      <c r="Q39" s="39"/>
    </row>
    <row r="40" spans="1:17" x14ac:dyDescent="0.25">
      <c r="A40" t="s">
        <v>91</v>
      </c>
      <c r="B40" t="s">
        <v>282</v>
      </c>
      <c r="C40">
        <v>771.61</v>
      </c>
      <c r="J40" s="41" t="s">
        <v>296</v>
      </c>
      <c r="K40" s="42" t="s">
        <v>297</v>
      </c>
      <c r="L40" s="39"/>
      <c r="M40" s="39"/>
      <c r="N40" s="39"/>
      <c r="O40" s="39"/>
      <c r="P40" s="39"/>
      <c r="Q40" s="39"/>
    </row>
    <row r="41" spans="1:17" x14ac:dyDescent="0.25">
      <c r="A41" t="s">
        <v>93</v>
      </c>
      <c r="B41" t="s">
        <v>245</v>
      </c>
      <c r="C41">
        <v>0</v>
      </c>
      <c r="J41" s="41" t="s">
        <v>298</v>
      </c>
      <c r="K41" s="42" t="s">
        <v>299</v>
      </c>
      <c r="L41" s="39"/>
      <c r="M41" s="39"/>
      <c r="N41" s="39"/>
      <c r="O41" s="39"/>
      <c r="P41" s="39"/>
      <c r="Q41" s="39"/>
    </row>
    <row r="42" spans="1:17" x14ac:dyDescent="0.25">
      <c r="A42" t="s">
        <v>95</v>
      </c>
      <c r="B42" t="s">
        <v>283</v>
      </c>
      <c r="C42">
        <v>0</v>
      </c>
      <c r="J42" s="38" t="s">
        <v>301</v>
      </c>
      <c r="K42" s="37" t="s">
        <v>302</v>
      </c>
      <c r="L42" s="39"/>
      <c r="M42" s="39"/>
      <c r="N42" s="39"/>
      <c r="O42" s="39"/>
      <c r="P42" s="39"/>
      <c r="Q42" s="39"/>
    </row>
    <row r="43" spans="1:17" x14ac:dyDescent="0.25">
      <c r="A43" t="s">
        <v>97</v>
      </c>
      <c r="B43" t="s">
        <v>236</v>
      </c>
      <c r="C43">
        <v>0</v>
      </c>
      <c r="J43" s="38" t="s">
        <v>303</v>
      </c>
      <c r="K43" s="37" t="s">
        <v>304</v>
      </c>
      <c r="L43" s="39"/>
      <c r="M43" s="39"/>
      <c r="N43" s="39"/>
      <c r="O43" s="39"/>
      <c r="P43" s="39"/>
      <c r="Q43" s="39"/>
    </row>
    <row r="44" spans="1:17" x14ac:dyDescent="0.25">
      <c r="A44" t="s">
        <v>99</v>
      </c>
      <c r="B44" t="s">
        <v>284</v>
      </c>
      <c r="C44">
        <v>697.64</v>
      </c>
      <c r="J44" s="38" t="s">
        <v>305</v>
      </c>
      <c r="K44" s="37" t="s">
        <v>306</v>
      </c>
      <c r="L44" s="39"/>
      <c r="M44" s="39"/>
      <c r="N44" s="39"/>
      <c r="O44" s="39"/>
      <c r="P44" s="39"/>
      <c r="Q44" s="39"/>
    </row>
    <row r="45" spans="1:17" x14ac:dyDescent="0.25">
      <c r="A45" t="s">
        <v>100</v>
      </c>
      <c r="B45" t="s">
        <v>286</v>
      </c>
      <c r="C45">
        <v>284.61</v>
      </c>
      <c r="J45" s="38" t="s">
        <v>307</v>
      </c>
      <c r="K45" s="37" t="s">
        <v>308</v>
      </c>
      <c r="L45" s="39"/>
      <c r="M45" s="39"/>
      <c r="N45" s="39"/>
      <c r="O45" s="39"/>
      <c r="P45" s="39"/>
      <c r="Q45" s="39"/>
    </row>
    <row r="46" spans="1:17" x14ac:dyDescent="0.25">
      <c r="A46" t="s">
        <v>102</v>
      </c>
      <c r="B46" t="s">
        <v>255</v>
      </c>
      <c r="C46">
        <v>0</v>
      </c>
      <c r="J46" s="38" t="s">
        <v>309</v>
      </c>
      <c r="K46" s="37" t="s">
        <v>310</v>
      </c>
      <c r="L46" s="39"/>
      <c r="M46" s="39"/>
      <c r="N46" s="39"/>
      <c r="O46" s="39"/>
      <c r="P46" s="39"/>
      <c r="Q46" s="39"/>
    </row>
    <row r="47" spans="1:17" x14ac:dyDescent="0.25">
      <c r="A47" t="s">
        <v>104</v>
      </c>
      <c r="B47" t="s">
        <v>256</v>
      </c>
      <c r="C47">
        <v>0</v>
      </c>
      <c r="J47" s="38" t="s">
        <v>311</v>
      </c>
      <c r="K47" s="37" t="s">
        <v>312</v>
      </c>
      <c r="L47" s="39"/>
      <c r="M47" s="39"/>
      <c r="N47" s="39"/>
      <c r="O47" s="39"/>
      <c r="P47" s="39"/>
      <c r="Q47" s="39"/>
    </row>
    <row r="48" spans="1:17" x14ac:dyDescent="0.25">
      <c r="A48" t="s">
        <v>106</v>
      </c>
      <c r="B48" t="s">
        <v>219</v>
      </c>
      <c r="C48">
        <v>0</v>
      </c>
      <c r="J48" s="38" t="s">
        <v>202</v>
      </c>
      <c r="K48" s="37" t="s">
        <v>313</v>
      </c>
      <c r="L48" s="39"/>
      <c r="M48" s="39"/>
      <c r="N48" s="39"/>
      <c r="O48" s="39"/>
      <c r="P48" s="39"/>
      <c r="Q48" s="39"/>
    </row>
    <row r="49" spans="1:17" x14ac:dyDescent="0.25">
      <c r="A49" t="s">
        <v>108</v>
      </c>
      <c r="B49" t="s">
        <v>285</v>
      </c>
      <c r="C49">
        <v>0</v>
      </c>
      <c r="J49" s="38" t="s">
        <v>314</v>
      </c>
      <c r="K49" s="37" t="s">
        <v>315</v>
      </c>
      <c r="L49" s="39"/>
      <c r="M49" s="39"/>
      <c r="N49" s="39"/>
      <c r="O49" s="39"/>
      <c r="P49" s="39"/>
      <c r="Q49" s="39"/>
    </row>
    <row r="50" spans="1:17" x14ac:dyDescent="0.25">
      <c r="A50">
        <v>30</v>
      </c>
      <c r="B50" t="s">
        <v>272</v>
      </c>
      <c r="C50">
        <v>0</v>
      </c>
      <c r="J50" s="38" t="s">
        <v>316</v>
      </c>
      <c r="K50" s="37" t="s">
        <v>317</v>
      </c>
      <c r="L50" s="39"/>
      <c r="M50" s="39"/>
      <c r="N50" s="39"/>
      <c r="O50" s="39"/>
      <c r="P50" s="39"/>
      <c r="Q50" s="39"/>
    </row>
    <row r="51" spans="1:17" x14ac:dyDescent="0.25">
      <c r="A51" t="s">
        <v>112</v>
      </c>
      <c r="B51" t="s">
        <v>246</v>
      </c>
      <c r="C51">
        <v>0</v>
      </c>
      <c r="J51" s="38" t="s">
        <v>319</v>
      </c>
      <c r="K51" s="37" t="s">
        <v>320</v>
      </c>
      <c r="L51" s="39"/>
      <c r="M51" s="39"/>
      <c r="N51" s="39"/>
      <c r="O51" s="39"/>
      <c r="P51" s="39"/>
      <c r="Q51" s="39"/>
    </row>
    <row r="52" spans="1:17" x14ac:dyDescent="0.25">
      <c r="A52" t="s">
        <v>213</v>
      </c>
      <c r="B52" t="s">
        <v>214</v>
      </c>
      <c r="C52">
        <v>0</v>
      </c>
      <c r="J52" s="38" t="s">
        <v>322</v>
      </c>
      <c r="K52" s="37" t="s">
        <v>323</v>
      </c>
      <c r="L52" s="39"/>
      <c r="M52" s="39"/>
      <c r="N52" s="39"/>
      <c r="O52" s="39"/>
      <c r="P52" s="39"/>
      <c r="Q52" s="39"/>
    </row>
    <row r="53" spans="1:17" x14ac:dyDescent="0.25">
      <c r="A53" t="s">
        <v>114</v>
      </c>
      <c r="B53" t="s">
        <v>287</v>
      </c>
      <c r="C53">
        <v>523.01</v>
      </c>
      <c r="J53" s="38" t="s">
        <v>324</v>
      </c>
      <c r="K53" s="37" t="s">
        <v>325</v>
      </c>
      <c r="L53" s="39"/>
      <c r="M53" s="39"/>
      <c r="N53" s="39"/>
      <c r="O53" s="39"/>
      <c r="P53" s="39"/>
      <c r="Q53" s="39"/>
    </row>
    <row r="54" spans="1:17" x14ac:dyDescent="0.25">
      <c r="A54" t="s">
        <v>116</v>
      </c>
      <c r="B54" t="s">
        <v>257</v>
      </c>
      <c r="C54">
        <v>0</v>
      </c>
      <c r="J54" s="38" t="s">
        <v>326</v>
      </c>
      <c r="K54" s="37" t="s">
        <v>327</v>
      </c>
      <c r="L54" s="39"/>
      <c r="M54" s="39"/>
      <c r="N54" s="39"/>
      <c r="O54" s="39"/>
      <c r="P54" s="39"/>
      <c r="Q54" s="39"/>
    </row>
    <row r="55" spans="1:17" x14ac:dyDescent="0.25">
      <c r="A55" t="s">
        <v>220</v>
      </c>
      <c r="B55" t="s">
        <v>221</v>
      </c>
      <c r="C55">
        <v>0</v>
      </c>
      <c r="J55" s="38" t="s">
        <v>328</v>
      </c>
      <c r="K55" s="37" t="s">
        <v>329</v>
      </c>
      <c r="L55" s="39"/>
      <c r="M55" s="39"/>
      <c r="N55" s="39"/>
      <c r="O55" s="39"/>
      <c r="P55" s="39"/>
      <c r="Q55" s="39"/>
    </row>
    <row r="56" spans="1:17" x14ac:dyDescent="0.25">
      <c r="A56" t="s">
        <v>118</v>
      </c>
      <c r="B56" t="s">
        <v>222</v>
      </c>
      <c r="C56">
        <v>0</v>
      </c>
      <c r="J56" s="38" t="s">
        <v>330</v>
      </c>
      <c r="K56" s="37" t="s">
        <v>331</v>
      </c>
      <c r="L56" s="39"/>
      <c r="M56" s="39"/>
      <c r="N56" s="39"/>
      <c r="O56" s="39"/>
      <c r="P56" s="39"/>
      <c r="Q56" s="39"/>
    </row>
    <row r="57" spans="1:17" x14ac:dyDescent="0.25">
      <c r="A57" t="s">
        <v>120</v>
      </c>
      <c r="B57" t="s">
        <v>258</v>
      </c>
      <c r="C57">
        <v>0</v>
      </c>
      <c r="J57" s="39"/>
      <c r="K57" s="39"/>
      <c r="L57" s="39"/>
      <c r="M57" s="39"/>
      <c r="N57" s="39"/>
      <c r="O57" s="39"/>
      <c r="P57" s="39"/>
      <c r="Q57" s="39"/>
    </row>
    <row r="58" spans="1:17" x14ac:dyDescent="0.25">
      <c r="A58" t="s">
        <v>122</v>
      </c>
      <c r="B58" t="s">
        <v>259</v>
      </c>
      <c r="C58">
        <v>0</v>
      </c>
      <c r="J58" s="39"/>
      <c r="K58" s="39"/>
      <c r="L58" s="39"/>
      <c r="M58" s="39"/>
      <c r="N58" s="39"/>
      <c r="O58" s="39"/>
      <c r="P58" s="39"/>
      <c r="Q58" s="39"/>
    </row>
    <row r="59" spans="1:17" x14ac:dyDescent="0.25">
      <c r="A59" t="s">
        <v>124</v>
      </c>
      <c r="B59" t="s">
        <v>288</v>
      </c>
      <c r="C59">
        <v>0</v>
      </c>
      <c r="J59" s="39"/>
      <c r="K59" s="39"/>
      <c r="L59" s="39"/>
      <c r="M59" s="39"/>
      <c r="N59" s="39"/>
      <c r="O59" s="39"/>
      <c r="P59" s="39"/>
      <c r="Q59" s="39"/>
    </row>
    <row r="60" spans="1:17" x14ac:dyDescent="0.25">
      <c r="A60" t="s">
        <v>126</v>
      </c>
      <c r="B60" t="s">
        <v>223</v>
      </c>
      <c r="C60">
        <v>0</v>
      </c>
      <c r="J60" s="39"/>
      <c r="K60" s="39"/>
      <c r="L60" s="39"/>
      <c r="M60" s="39"/>
      <c r="N60" s="39"/>
      <c r="O60" s="39"/>
      <c r="P60" s="39"/>
      <c r="Q60" s="39"/>
    </row>
    <row r="61" spans="1:17" x14ac:dyDescent="0.25">
      <c r="A61" t="s">
        <v>128</v>
      </c>
      <c r="B61" t="s">
        <v>247</v>
      </c>
      <c r="C61">
        <v>955.1</v>
      </c>
      <c r="J61" s="39"/>
      <c r="K61" s="39"/>
      <c r="L61" s="39"/>
      <c r="M61" s="39"/>
      <c r="N61" s="39"/>
      <c r="O61" s="39"/>
      <c r="P61" s="39"/>
      <c r="Q61" s="39"/>
    </row>
    <row r="62" spans="1:17" x14ac:dyDescent="0.25">
      <c r="A62" t="s">
        <v>130</v>
      </c>
      <c r="B62" t="s">
        <v>224</v>
      </c>
      <c r="C62">
        <v>0</v>
      </c>
      <c r="J62" s="39"/>
      <c r="K62" s="39"/>
      <c r="L62" s="39"/>
      <c r="M62" s="39"/>
      <c r="N62" s="39"/>
      <c r="O62" s="39"/>
      <c r="P62" s="39"/>
      <c r="Q62" s="39"/>
    </row>
    <row r="63" spans="1:17" x14ac:dyDescent="0.25">
      <c r="A63" t="s">
        <v>132</v>
      </c>
      <c r="B63" t="s">
        <v>260</v>
      </c>
      <c r="C63">
        <v>0</v>
      </c>
      <c r="J63" s="43"/>
      <c r="K63" s="43"/>
      <c r="L63" s="43"/>
      <c r="M63" s="43"/>
      <c r="N63" s="43"/>
      <c r="O63" s="43"/>
      <c r="P63" s="43"/>
      <c r="Q63" s="43"/>
    </row>
    <row r="64" spans="1:17" x14ac:dyDescent="0.25">
      <c r="A64" t="s">
        <v>134</v>
      </c>
      <c r="B64" t="s">
        <v>261</v>
      </c>
      <c r="C64">
        <v>0</v>
      </c>
      <c r="J64" s="44"/>
      <c r="K64" s="44"/>
      <c r="L64" s="44"/>
      <c r="M64" s="44"/>
      <c r="N64" s="44"/>
      <c r="O64" s="44"/>
      <c r="P64" s="44"/>
      <c r="Q64" s="44"/>
    </row>
    <row r="65" spans="1:17" x14ac:dyDescent="0.25">
      <c r="A65" t="s">
        <v>136</v>
      </c>
      <c r="B65" t="s">
        <v>238</v>
      </c>
      <c r="C65">
        <v>0</v>
      </c>
      <c r="J65" s="39"/>
      <c r="K65" s="39"/>
      <c r="L65" s="39"/>
      <c r="M65" s="39"/>
      <c r="N65" s="39"/>
      <c r="O65" s="39"/>
      <c r="P65" s="39"/>
      <c r="Q65" s="39"/>
    </row>
    <row r="66" spans="1:17" x14ac:dyDescent="0.25">
      <c r="A66" t="s">
        <v>263</v>
      </c>
      <c r="B66" t="s">
        <v>264</v>
      </c>
      <c r="C66">
        <v>0</v>
      </c>
      <c r="J66" s="39"/>
      <c r="K66" s="39"/>
      <c r="L66" s="39"/>
      <c r="M66" s="39"/>
      <c r="N66" s="39"/>
      <c r="O66" s="39"/>
      <c r="P66" s="39"/>
      <c r="Q66" s="39"/>
    </row>
    <row r="67" spans="1:17" x14ac:dyDescent="0.25">
      <c r="A67" t="s">
        <v>140</v>
      </c>
      <c r="B67" t="s">
        <v>237</v>
      </c>
      <c r="C67">
        <v>0</v>
      </c>
      <c r="J67" s="24"/>
      <c r="K67" s="24"/>
      <c r="L67" s="24"/>
      <c r="M67" s="24"/>
      <c r="N67" s="24"/>
      <c r="O67" s="24"/>
      <c r="P67" s="24"/>
      <c r="Q67" s="24"/>
    </row>
    <row r="68" spans="1:17" x14ac:dyDescent="0.25">
      <c r="A68" t="s">
        <v>142</v>
      </c>
      <c r="B68" t="s">
        <v>262</v>
      </c>
      <c r="C68">
        <v>831.77</v>
      </c>
      <c r="J68" s="39"/>
      <c r="K68" s="39"/>
      <c r="L68" s="39"/>
      <c r="M68" s="39"/>
      <c r="N68" s="39"/>
      <c r="O68" s="39"/>
      <c r="P68" s="39"/>
      <c r="Q68" s="39"/>
    </row>
    <row r="69" spans="1:17" x14ac:dyDescent="0.25">
      <c r="A69" t="s">
        <v>144</v>
      </c>
      <c r="B69" t="s">
        <v>215</v>
      </c>
      <c r="C69">
        <v>0</v>
      </c>
      <c r="J69" s="39"/>
      <c r="K69" s="39"/>
      <c r="L69" s="39"/>
      <c r="M69" s="39"/>
      <c r="N69" s="39"/>
      <c r="O69" s="39"/>
      <c r="P69" s="39"/>
      <c r="Q69" s="39"/>
    </row>
    <row r="70" spans="1:17" x14ac:dyDescent="0.25">
      <c r="A70" t="s">
        <v>146</v>
      </c>
      <c r="B70" t="s">
        <v>225</v>
      </c>
      <c r="C70">
        <v>0</v>
      </c>
      <c r="J70" s="39"/>
      <c r="K70" s="39"/>
      <c r="L70" s="39"/>
      <c r="M70" s="39"/>
      <c r="N70" s="39"/>
      <c r="O70" s="39"/>
      <c r="P70" s="39"/>
      <c r="Q70" s="39"/>
    </row>
    <row r="71" spans="1:17" x14ac:dyDescent="0.25">
      <c r="A71">
        <v>21</v>
      </c>
      <c r="B71" t="s">
        <v>271</v>
      </c>
      <c r="C71">
        <v>163.91</v>
      </c>
      <c r="J71" s="39"/>
      <c r="K71" s="39"/>
      <c r="L71" s="39"/>
      <c r="M71" s="39"/>
      <c r="N71" s="39"/>
      <c r="O71" s="39"/>
      <c r="P71" s="39"/>
      <c r="Q71" s="39"/>
    </row>
    <row r="72" spans="1:17" x14ac:dyDescent="0.25">
      <c r="A72" t="s">
        <v>149</v>
      </c>
      <c r="B72" t="s">
        <v>289</v>
      </c>
      <c r="C72">
        <v>0</v>
      </c>
      <c r="J72" s="39"/>
      <c r="K72" s="39"/>
      <c r="L72" s="39"/>
      <c r="M72" s="39"/>
      <c r="N72" s="39"/>
      <c r="O72" s="39"/>
      <c r="P72" s="39"/>
      <c r="Q72" s="39"/>
    </row>
    <row r="73" spans="1:17" x14ac:dyDescent="0.25">
      <c r="A73" t="s">
        <v>265</v>
      </c>
      <c r="B73" t="s">
        <v>266</v>
      </c>
      <c r="C73">
        <v>0</v>
      </c>
      <c r="J73" s="39"/>
      <c r="K73" s="39"/>
      <c r="L73" s="39"/>
      <c r="M73" s="39"/>
      <c r="N73" s="39"/>
      <c r="O73" s="39"/>
      <c r="P73" s="39"/>
      <c r="Q73" s="39"/>
    </row>
    <row r="74" spans="1:17" x14ac:dyDescent="0.25">
      <c r="A74" t="s">
        <v>153</v>
      </c>
      <c r="B74" t="s">
        <v>267</v>
      </c>
      <c r="C74">
        <v>0</v>
      </c>
      <c r="J74" s="39"/>
      <c r="K74" s="39"/>
      <c r="L74" s="39"/>
      <c r="M74" s="39"/>
      <c r="N74" s="39"/>
      <c r="O74" s="39"/>
      <c r="P74" s="39"/>
      <c r="Q74" s="39"/>
    </row>
    <row r="75" spans="1:17" x14ac:dyDescent="0.25">
      <c r="A75" t="s">
        <v>183</v>
      </c>
      <c r="B75" t="s">
        <v>227</v>
      </c>
      <c r="C75">
        <v>0</v>
      </c>
      <c r="J75" s="39"/>
      <c r="K75" s="39"/>
      <c r="L75" s="39"/>
      <c r="M75" s="39"/>
      <c r="N75" s="39"/>
      <c r="O75" s="39"/>
      <c r="P75" s="39"/>
      <c r="Q75" s="39"/>
    </row>
    <row r="76" spans="1:17" x14ac:dyDescent="0.25">
      <c r="A76" t="s">
        <v>156</v>
      </c>
      <c r="B76" t="s">
        <v>239</v>
      </c>
      <c r="C76">
        <v>355.65</v>
      </c>
      <c r="J76" s="39"/>
      <c r="K76" s="39"/>
      <c r="L76" s="39"/>
      <c r="M76" s="39"/>
      <c r="N76" s="39"/>
      <c r="O76" s="39"/>
      <c r="P76" s="39"/>
      <c r="Q76" s="39"/>
    </row>
    <row r="77" spans="1:17" x14ac:dyDescent="0.25">
      <c r="A77" t="s">
        <v>158</v>
      </c>
      <c r="B77" t="s">
        <v>226</v>
      </c>
      <c r="C77">
        <v>0</v>
      </c>
      <c r="J77" s="39"/>
      <c r="K77" s="39"/>
      <c r="L77" s="39"/>
      <c r="M77" s="39"/>
      <c r="N77" s="39"/>
      <c r="O77" s="39"/>
      <c r="P77" s="39"/>
      <c r="Q77" s="39"/>
    </row>
    <row r="78" spans="1:17" x14ac:dyDescent="0.25">
      <c r="A78" t="s">
        <v>160</v>
      </c>
      <c r="B78" t="s">
        <v>228</v>
      </c>
      <c r="C78">
        <v>0</v>
      </c>
      <c r="J78" s="39"/>
      <c r="K78" s="39"/>
      <c r="L78" s="39"/>
      <c r="M78" s="39"/>
      <c r="N78" s="39"/>
      <c r="O78" s="39"/>
      <c r="P78" s="39"/>
      <c r="Q78" s="39"/>
    </row>
    <row r="79" spans="1:17" x14ac:dyDescent="0.25">
      <c r="A79" t="s">
        <v>162</v>
      </c>
      <c r="B79" t="s">
        <v>216</v>
      </c>
      <c r="C79">
        <v>0</v>
      </c>
      <c r="J79" s="39"/>
      <c r="K79" s="39"/>
      <c r="L79" s="39"/>
      <c r="M79" s="39"/>
      <c r="N79" s="39"/>
      <c r="O79" s="39"/>
      <c r="P79" s="39"/>
      <c r="Q79" s="39"/>
    </row>
    <row r="80" spans="1:17" x14ac:dyDescent="0.25">
      <c r="A80" t="s">
        <v>164</v>
      </c>
      <c r="B80" t="s">
        <v>290</v>
      </c>
      <c r="C80">
        <v>488.83</v>
      </c>
      <c r="J80" s="24"/>
      <c r="K80" s="24"/>
      <c r="L80" s="24"/>
      <c r="M80" s="24"/>
      <c r="N80" s="24"/>
      <c r="O80" s="24"/>
      <c r="P80" s="24"/>
      <c r="Q80" s="24"/>
    </row>
    <row r="81" spans="1:17" x14ac:dyDescent="0.25">
      <c r="A81" t="s">
        <v>166</v>
      </c>
      <c r="B81" t="s">
        <v>248</v>
      </c>
      <c r="C81">
        <v>0</v>
      </c>
      <c r="J81" s="39"/>
      <c r="K81" s="39"/>
      <c r="L81" s="39"/>
      <c r="M81" s="39"/>
      <c r="N81" s="39"/>
      <c r="O81" s="39"/>
      <c r="P81" s="39"/>
      <c r="Q81" s="39"/>
    </row>
    <row r="82" spans="1:17" x14ac:dyDescent="0.25">
      <c r="A82" t="s">
        <v>168</v>
      </c>
      <c r="B82" t="s">
        <v>268</v>
      </c>
      <c r="C82">
        <v>0</v>
      </c>
      <c r="J82" s="39"/>
      <c r="K82" s="39"/>
      <c r="L82" s="39"/>
      <c r="M82" s="39"/>
      <c r="N82" s="39"/>
      <c r="O82" s="39"/>
      <c r="P82" s="39"/>
      <c r="Q82" s="39"/>
    </row>
    <row r="83" spans="1:17" x14ac:dyDescent="0.25">
      <c r="A83" t="s">
        <v>170</v>
      </c>
      <c r="B83" t="s">
        <v>230</v>
      </c>
      <c r="C83">
        <v>0</v>
      </c>
      <c r="J83" s="39"/>
      <c r="K83" s="39"/>
      <c r="L83" s="39"/>
      <c r="M83" s="39"/>
      <c r="N83" s="39"/>
      <c r="O83" s="39"/>
      <c r="P83" s="39"/>
      <c r="Q83" s="39"/>
    </row>
    <row r="84" spans="1:17" x14ac:dyDescent="0.25">
      <c r="A84" t="s">
        <v>172</v>
      </c>
      <c r="B84" t="s">
        <v>291</v>
      </c>
      <c r="C84">
        <v>0</v>
      </c>
      <c r="J84" s="39"/>
      <c r="K84" s="39"/>
      <c r="L84" s="39"/>
      <c r="M84" s="39"/>
      <c r="N84" s="39"/>
      <c r="O84" s="39"/>
      <c r="P84" s="39"/>
      <c r="Q84" s="39"/>
    </row>
    <row r="85" spans="1:17" x14ac:dyDescent="0.25">
      <c r="A85" t="s">
        <v>174</v>
      </c>
      <c r="B85" t="s">
        <v>229</v>
      </c>
      <c r="C85">
        <v>0</v>
      </c>
      <c r="J85" s="39"/>
      <c r="K85" s="39"/>
      <c r="L85" s="39"/>
      <c r="M85" s="39"/>
      <c r="N85" s="39"/>
      <c r="O85" s="39"/>
      <c r="P85" s="39"/>
      <c r="Q85" s="39"/>
    </row>
    <row r="86" spans="1:17" x14ac:dyDescent="0.25">
      <c r="A86" t="s">
        <v>176</v>
      </c>
      <c r="B86" t="s">
        <v>292</v>
      </c>
      <c r="C86">
        <v>0</v>
      </c>
      <c r="J86" s="39"/>
      <c r="K86" s="39"/>
      <c r="L86" s="39"/>
      <c r="M86" s="39"/>
      <c r="N86" s="39"/>
      <c r="O86" s="39"/>
      <c r="P86" s="39"/>
      <c r="Q86" s="39"/>
    </row>
    <row r="87" spans="1:17" x14ac:dyDescent="0.25">
      <c r="J87" s="39"/>
      <c r="K87" s="39"/>
      <c r="L87" s="39"/>
      <c r="M87" s="39"/>
      <c r="N87" s="39"/>
      <c r="O87" s="39"/>
      <c r="P87" s="39"/>
      <c r="Q87" s="39"/>
    </row>
    <row r="88" spans="1:17" x14ac:dyDescent="0.25">
      <c r="J88" s="39"/>
      <c r="K88" s="39"/>
      <c r="L88" s="39"/>
      <c r="M88" s="39"/>
      <c r="N88" s="39"/>
      <c r="O88" s="39"/>
      <c r="P88" s="39"/>
      <c r="Q88" s="39"/>
    </row>
    <row r="89" spans="1:17" x14ac:dyDescent="0.25">
      <c r="J89" s="39"/>
      <c r="K89" s="39"/>
      <c r="L89" s="39"/>
      <c r="M89" s="39"/>
      <c r="N89" s="39"/>
      <c r="O89" s="39"/>
      <c r="P89" s="39"/>
      <c r="Q89" s="39"/>
    </row>
    <row r="90" spans="1:17" x14ac:dyDescent="0.25">
      <c r="J90" s="39"/>
      <c r="K90" s="39"/>
      <c r="L90" s="39"/>
      <c r="M90" s="39"/>
      <c r="N90" s="39"/>
      <c r="O90" s="39"/>
      <c r="P90" s="39"/>
      <c r="Q90" s="39"/>
    </row>
  </sheetData>
  <sortState ref="A9:D307">
    <sortCondition ref="B9:B30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3"/>
  <sheetViews>
    <sheetView topLeftCell="Z1" workbookViewId="0">
      <selection sqref="A1:AJ1048576"/>
    </sheetView>
  </sheetViews>
  <sheetFormatPr baseColWidth="10" defaultColWidth="11.5703125" defaultRowHeight="15" x14ac:dyDescent="0.25"/>
  <cols>
    <col min="1" max="1" width="28.7109375" style="117" customWidth="1"/>
    <col min="2" max="2" width="39.140625" style="117" customWidth="1"/>
    <col min="3" max="3" width="8.140625" style="117" bestFit="1" customWidth="1"/>
    <col min="4" max="4" width="8.85546875" style="117" customWidth="1"/>
    <col min="5" max="5" width="31.5703125" style="117" customWidth="1"/>
    <col min="6" max="6" width="13.5703125" style="117" customWidth="1"/>
    <col min="7" max="7" width="13" style="117" bestFit="1" customWidth="1"/>
    <col min="8" max="8" width="11.7109375" style="117" customWidth="1"/>
    <col min="9" max="9" width="17.140625" style="117" customWidth="1"/>
    <col min="10" max="10" width="11.7109375" style="117" customWidth="1"/>
    <col min="11" max="12" width="13.85546875" style="90" customWidth="1"/>
    <col min="13" max="15" width="13.5703125" style="90" customWidth="1"/>
    <col min="16" max="16" width="17" style="91" customWidth="1"/>
    <col min="17" max="17" width="13.5703125" style="90" customWidth="1"/>
    <col min="18" max="18" width="13.5703125" style="92" customWidth="1"/>
    <col min="19" max="19" width="19.28515625" style="92" customWidth="1"/>
    <col min="20" max="20" width="16.85546875" style="92" customWidth="1"/>
    <col min="21" max="21" width="16.140625" style="92" customWidth="1"/>
    <col min="22" max="25" width="13.5703125" style="90" customWidth="1"/>
    <col min="26" max="26" width="16.7109375" style="91" customWidth="1"/>
    <col min="27" max="27" width="16.7109375" style="90" customWidth="1"/>
    <col min="28" max="28" width="15.42578125" style="91" customWidth="1"/>
    <col min="29" max="30" width="13.5703125" style="90" customWidth="1"/>
    <col min="31" max="31" width="15.42578125" style="91" customWidth="1"/>
    <col min="32" max="33" width="11.5703125" style="117"/>
    <col min="34" max="34" width="15.28515625" style="117" customWidth="1"/>
    <col min="35" max="16384" width="11.5703125" style="117"/>
  </cols>
  <sheetData>
    <row r="1" spans="1:52" s="84" customFormat="1" x14ac:dyDescent="0.25">
      <c r="A1" s="79" t="s">
        <v>342</v>
      </c>
      <c r="B1" s="79"/>
      <c r="C1" s="79"/>
      <c r="D1" s="79"/>
      <c r="E1" s="80"/>
      <c r="F1" s="80"/>
      <c r="G1" s="80"/>
      <c r="H1" s="80"/>
      <c r="I1" s="80"/>
      <c r="J1" s="80"/>
      <c r="K1" s="81"/>
      <c r="L1" s="81"/>
      <c r="M1" s="81"/>
      <c r="N1" s="81"/>
      <c r="O1" s="81"/>
      <c r="P1" s="82"/>
      <c r="Q1" s="81"/>
      <c r="R1" s="81"/>
      <c r="S1" s="81"/>
      <c r="T1" s="81"/>
      <c r="U1" s="81"/>
      <c r="V1" s="81"/>
      <c r="W1" s="81"/>
      <c r="X1" s="81"/>
      <c r="Y1" s="81"/>
      <c r="Z1" s="82"/>
      <c r="AA1" s="81"/>
      <c r="AB1" s="82"/>
      <c r="AC1" s="81"/>
      <c r="AD1" s="81"/>
      <c r="AE1" s="82"/>
      <c r="AF1" s="83"/>
    </row>
    <row r="2" spans="1:52" s="84" customFormat="1" x14ac:dyDescent="0.25">
      <c r="A2" s="85" t="s">
        <v>343</v>
      </c>
      <c r="B2" s="85"/>
      <c r="C2" s="85"/>
      <c r="D2" s="85"/>
      <c r="E2" s="86"/>
      <c r="F2" s="86"/>
      <c r="G2" s="86"/>
      <c r="H2" s="86"/>
      <c r="I2" s="86"/>
      <c r="J2" s="86"/>
      <c r="K2" s="81"/>
      <c r="L2" s="81"/>
      <c r="M2" s="81"/>
      <c r="N2" s="81"/>
      <c r="O2" s="81"/>
      <c r="P2" s="82"/>
      <c r="Q2" s="81"/>
      <c r="R2" s="81"/>
      <c r="S2" s="81"/>
      <c r="T2" s="81"/>
      <c r="U2" s="81"/>
      <c r="V2" s="81"/>
      <c r="W2" s="81"/>
      <c r="X2" s="81"/>
      <c r="Y2" s="81"/>
      <c r="Z2" s="82"/>
      <c r="AA2" s="81"/>
      <c r="AB2" s="82"/>
      <c r="AC2" s="81"/>
      <c r="AD2" s="81"/>
      <c r="AE2" s="82"/>
      <c r="AF2" s="83"/>
    </row>
    <row r="3" spans="1:52" s="84" customFormat="1" x14ac:dyDescent="0.25">
      <c r="A3" s="87" t="s">
        <v>344</v>
      </c>
      <c r="B3" s="87"/>
      <c r="C3" s="87"/>
      <c r="D3" s="87"/>
      <c r="E3" s="88"/>
      <c r="F3" s="88"/>
      <c r="G3" s="88"/>
      <c r="H3" s="88"/>
      <c r="I3" s="88"/>
      <c r="J3" s="88"/>
      <c r="K3" s="81"/>
      <c r="L3" s="81"/>
      <c r="M3" s="81"/>
      <c r="N3" s="81"/>
      <c r="O3" s="81"/>
      <c r="P3" s="82"/>
      <c r="Q3" s="81"/>
      <c r="R3" s="81"/>
      <c r="S3" s="81"/>
      <c r="T3" s="81"/>
      <c r="U3" s="81"/>
      <c r="V3" s="81"/>
      <c r="W3" s="81"/>
      <c r="X3" s="81"/>
      <c r="Y3" s="81"/>
      <c r="Z3" s="82"/>
      <c r="AA3" s="81"/>
      <c r="AB3" s="82"/>
      <c r="AC3" s="81"/>
      <c r="AD3" s="81"/>
      <c r="AE3" s="82"/>
      <c r="AF3" s="83"/>
    </row>
    <row r="4" spans="1:52" s="89" customFormat="1" x14ac:dyDescent="0.25">
      <c r="A4" s="89" t="s">
        <v>345</v>
      </c>
      <c r="K4" s="90"/>
      <c r="L4" s="90"/>
      <c r="M4" s="90"/>
      <c r="N4" s="90"/>
      <c r="O4" s="90"/>
      <c r="P4" s="91"/>
      <c r="Q4" s="90"/>
      <c r="R4" s="92"/>
      <c r="S4" s="92"/>
      <c r="T4" s="92"/>
      <c r="U4" s="92"/>
      <c r="V4" s="90"/>
      <c r="W4" s="90"/>
      <c r="X4" s="90"/>
      <c r="Y4" s="90"/>
      <c r="Z4" s="91"/>
      <c r="AA4" s="90"/>
      <c r="AB4" s="91"/>
      <c r="AC4" s="90"/>
      <c r="AD4" s="90"/>
      <c r="AE4" s="91"/>
    </row>
    <row r="5" spans="1:52" s="89" customFormat="1" ht="28.5" customHeight="1" x14ac:dyDescent="0.25">
      <c r="A5" s="265" t="s">
        <v>346</v>
      </c>
      <c r="B5" s="264" t="s">
        <v>347</v>
      </c>
      <c r="C5" s="93"/>
      <c r="D5" s="264" t="s">
        <v>348</v>
      </c>
      <c r="E5" s="264" t="s">
        <v>349</v>
      </c>
      <c r="F5" s="93" t="s">
        <v>350</v>
      </c>
      <c r="G5" s="255" t="s">
        <v>351</v>
      </c>
      <c r="H5" s="255" t="s">
        <v>352</v>
      </c>
      <c r="I5" s="260" t="s">
        <v>353</v>
      </c>
      <c r="J5" s="260" t="s">
        <v>354</v>
      </c>
      <c r="K5" s="255" t="s">
        <v>355</v>
      </c>
      <c r="L5" s="260" t="s">
        <v>356</v>
      </c>
      <c r="M5" s="255" t="s">
        <v>357</v>
      </c>
      <c r="N5" s="255" t="s">
        <v>358</v>
      </c>
      <c r="O5" s="255" t="s">
        <v>359</v>
      </c>
      <c r="P5" s="255" t="s">
        <v>360</v>
      </c>
      <c r="Q5" s="255" t="s">
        <v>361</v>
      </c>
      <c r="R5" s="258" t="s">
        <v>362</v>
      </c>
      <c r="S5" s="258" t="s">
        <v>363</v>
      </c>
      <c r="T5" s="258" t="s">
        <v>364</v>
      </c>
      <c r="U5" s="258" t="s">
        <v>365</v>
      </c>
      <c r="V5" s="255" t="s">
        <v>366</v>
      </c>
      <c r="W5" s="255" t="s">
        <v>367</v>
      </c>
      <c r="X5" s="255" t="s">
        <v>368</v>
      </c>
      <c r="Y5" s="255" t="s">
        <v>369</v>
      </c>
      <c r="Z5" s="255" t="s">
        <v>370</v>
      </c>
      <c r="AA5" s="255" t="s">
        <v>371</v>
      </c>
      <c r="AB5" s="255" t="s">
        <v>372</v>
      </c>
      <c r="AC5" s="255" t="s">
        <v>373</v>
      </c>
      <c r="AD5" s="255" t="s">
        <v>374</v>
      </c>
      <c r="AE5" s="255" t="s">
        <v>375</v>
      </c>
      <c r="AF5" s="255" t="s">
        <v>376</v>
      </c>
      <c r="AG5" s="255" t="s">
        <v>377</v>
      </c>
      <c r="AH5" s="256" t="s">
        <v>378</v>
      </c>
      <c r="AI5" s="257"/>
      <c r="AJ5" s="252" t="s">
        <v>379</v>
      </c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</row>
    <row r="6" spans="1:52" s="97" customFormat="1" ht="39" customHeight="1" x14ac:dyDescent="0.25">
      <c r="A6" s="266"/>
      <c r="B6" s="264"/>
      <c r="C6" s="93"/>
      <c r="D6" s="264"/>
      <c r="E6" s="264"/>
      <c r="F6" s="93"/>
      <c r="G6" s="255"/>
      <c r="H6" s="255"/>
      <c r="I6" s="261"/>
      <c r="J6" s="261"/>
      <c r="K6" s="255"/>
      <c r="L6" s="261"/>
      <c r="M6" s="255"/>
      <c r="N6" s="255"/>
      <c r="O6" s="255"/>
      <c r="P6" s="255"/>
      <c r="Q6" s="255"/>
      <c r="R6" s="259"/>
      <c r="S6" s="259"/>
      <c r="T6" s="259"/>
      <c r="U6" s="259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95" t="s">
        <v>353</v>
      </c>
      <c r="AI6" s="95" t="s">
        <v>354</v>
      </c>
      <c r="AJ6" s="252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</row>
    <row r="7" spans="1:52" s="115" customFormat="1" x14ac:dyDescent="0.25">
      <c r="A7" s="98" t="s">
        <v>380</v>
      </c>
      <c r="B7" s="98" t="s">
        <v>381</v>
      </c>
      <c r="C7" s="98"/>
      <c r="D7" s="98" t="s">
        <v>35</v>
      </c>
      <c r="E7" s="98" t="s">
        <v>180</v>
      </c>
      <c r="F7" s="98"/>
      <c r="G7" s="99"/>
      <c r="H7" s="99"/>
      <c r="I7" s="100">
        <v>1166.26</v>
      </c>
      <c r="J7" s="100"/>
      <c r="K7" s="101">
        <f t="shared" ref="K7:K70" si="0">+I7+J7</f>
        <v>1166.26</v>
      </c>
      <c r="L7" s="101">
        <v>1454.84</v>
      </c>
      <c r="M7" s="102"/>
      <c r="N7" s="102"/>
      <c r="O7" s="103"/>
      <c r="P7" s="104">
        <f t="shared" ref="P7:P38" si="1">SUM(K7:N7)-O7</f>
        <v>2621.1</v>
      </c>
      <c r="Q7" s="105"/>
      <c r="R7" s="106">
        <v>0</v>
      </c>
      <c r="S7" s="106"/>
      <c r="T7" s="106"/>
      <c r="U7" s="106"/>
      <c r="V7" s="107"/>
      <c r="W7" s="107"/>
      <c r="X7" s="108"/>
      <c r="Y7" s="109">
        <v>0</v>
      </c>
      <c r="Z7" s="104">
        <f t="shared" ref="Z7:Z12" si="2">+P7-SUM(Q7:Y7)</f>
        <v>2621.1</v>
      </c>
      <c r="AA7" s="110">
        <f>IF(P7&gt;4500,P7*0.1,0)</f>
        <v>0</v>
      </c>
      <c r="AB7" s="104">
        <f t="shared" ref="AB7:AB12" si="3">+Z7-AA7</f>
        <v>2621.1</v>
      </c>
      <c r="AC7" s="111">
        <f t="shared" ref="AC7:AC70" si="4">IF(P7&lt;4500,P7*0.1,0)</f>
        <v>262.11</v>
      </c>
      <c r="AD7" s="110">
        <f t="shared" ref="AD7:AD70" si="5">I7*0.02</f>
        <v>23.325199999999999</v>
      </c>
      <c r="AE7" s="112">
        <f t="shared" ref="AE7:AE70" si="6">+P7+AC7+AD7</f>
        <v>2906.5352000000003</v>
      </c>
      <c r="AF7" s="113"/>
      <c r="AG7" s="114">
        <f>+AB7-AF7</f>
        <v>2621.1</v>
      </c>
      <c r="AH7" s="113"/>
      <c r="AI7" s="113"/>
      <c r="AJ7" s="114">
        <f>+AG7-AH7-AI7</f>
        <v>2621.1</v>
      </c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</row>
    <row r="8" spans="1:52" x14ac:dyDescent="0.25">
      <c r="A8" s="98" t="s">
        <v>382</v>
      </c>
      <c r="B8" s="98" t="s">
        <v>383</v>
      </c>
      <c r="C8" s="98" t="s">
        <v>384</v>
      </c>
      <c r="D8" s="98" t="s">
        <v>37</v>
      </c>
      <c r="E8" s="98" t="s">
        <v>385</v>
      </c>
      <c r="F8" s="98"/>
      <c r="G8" s="99"/>
      <c r="H8" s="99"/>
      <c r="I8" s="100">
        <v>1633.33</v>
      </c>
      <c r="J8" s="99"/>
      <c r="K8" s="101">
        <f t="shared" si="0"/>
        <v>1633.33</v>
      </c>
      <c r="L8" s="101">
        <v>8970.69</v>
      </c>
      <c r="M8" s="102"/>
      <c r="N8" s="102"/>
      <c r="O8" s="103"/>
      <c r="P8" s="104">
        <f t="shared" si="1"/>
        <v>10604.02</v>
      </c>
      <c r="Q8" s="105"/>
      <c r="R8" s="106">
        <v>0</v>
      </c>
      <c r="S8" s="106"/>
      <c r="T8" s="106"/>
      <c r="U8" s="106"/>
      <c r="V8" s="107"/>
      <c r="W8" s="107"/>
      <c r="X8" s="108"/>
      <c r="Y8" s="116">
        <v>0</v>
      </c>
      <c r="Z8" s="104">
        <f t="shared" si="2"/>
        <v>10604.02</v>
      </c>
      <c r="AA8" s="110">
        <f>IF(P8&gt;4500,P8*0.1,0)</f>
        <v>1060.402</v>
      </c>
      <c r="AB8" s="104">
        <f t="shared" si="3"/>
        <v>9543.6180000000004</v>
      </c>
      <c r="AC8" s="111">
        <f t="shared" si="4"/>
        <v>0</v>
      </c>
      <c r="AD8" s="110">
        <f t="shared" si="5"/>
        <v>32.666600000000003</v>
      </c>
      <c r="AE8" s="112">
        <f t="shared" si="6"/>
        <v>10636.686600000001</v>
      </c>
      <c r="AF8" s="113"/>
      <c r="AG8" s="114">
        <f>+AB8-AF8</f>
        <v>9543.6180000000004</v>
      </c>
      <c r="AH8" s="113"/>
      <c r="AI8" s="113"/>
      <c r="AJ8" s="114">
        <f>+AG8-AH8-AI8</f>
        <v>9543.6180000000004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</row>
    <row r="9" spans="1:52" x14ac:dyDescent="0.25">
      <c r="A9" s="118" t="s">
        <v>386</v>
      </c>
      <c r="B9" s="98" t="s">
        <v>387</v>
      </c>
      <c r="C9" s="98"/>
      <c r="D9" s="98" t="s">
        <v>39</v>
      </c>
      <c r="E9" s="98" t="s">
        <v>192</v>
      </c>
      <c r="F9" s="98"/>
      <c r="G9" s="99"/>
      <c r="H9" s="99"/>
      <c r="I9" s="119">
        <v>608.16</v>
      </c>
      <c r="J9" s="99"/>
      <c r="K9" s="101">
        <f t="shared" si="0"/>
        <v>608.16</v>
      </c>
      <c r="L9" s="101">
        <v>6205.93</v>
      </c>
      <c r="M9" s="102"/>
      <c r="N9" s="102"/>
      <c r="O9" s="103"/>
      <c r="P9" s="104">
        <f t="shared" si="1"/>
        <v>6814.09</v>
      </c>
      <c r="Q9" s="105"/>
      <c r="R9" s="106"/>
      <c r="S9" s="120">
        <f>P9*1%</f>
        <v>68.140900000000002</v>
      </c>
      <c r="T9" s="120">
        <f>P9*4.9%</f>
        <v>333.89041000000003</v>
      </c>
      <c r="U9" s="106"/>
      <c r="V9" s="107"/>
      <c r="W9" s="107"/>
      <c r="X9" s="108"/>
      <c r="Y9" s="109">
        <v>0</v>
      </c>
      <c r="Z9" s="104">
        <f t="shared" si="2"/>
        <v>6412.0586899999998</v>
      </c>
      <c r="AA9" s="110">
        <f>IF(P9&gt;4500,P9*0.1,0)</f>
        <v>681.40900000000011</v>
      </c>
      <c r="AB9" s="104">
        <f t="shared" si="3"/>
        <v>5730.6496900000002</v>
      </c>
      <c r="AC9" s="111">
        <f t="shared" si="4"/>
        <v>0</v>
      </c>
      <c r="AD9" s="110">
        <f t="shared" si="5"/>
        <v>12.1632</v>
      </c>
      <c r="AE9" s="112">
        <f t="shared" si="6"/>
        <v>6826.2532000000001</v>
      </c>
      <c r="AF9" s="113"/>
      <c r="AG9" s="114">
        <f>+AB9-AF9</f>
        <v>5730.6496900000002</v>
      </c>
      <c r="AH9" s="113"/>
      <c r="AI9" s="113"/>
      <c r="AJ9" s="114">
        <f>+AG9-AH9-AI9</f>
        <v>5730.6496900000002</v>
      </c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</row>
    <row r="10" spans="1:52" x14ac:dyDescent="0.25">
      <c r="A10" s="118" t="s">
        <v>388</v>
      </c>
      <c r="B10" s="98" t="s">
        <v>389</v>
      </c>
      <c r="C10" s="98"/>
      <c r="D10" s="98" t="s">
        <v>293</v>
      </c>
      <c r="E10" s="98" t="s">
        <v>390</v>
      </c>
      <c r="F10" s="98"/>
      <c r="G10" s="99"/>
      <c r="H10" s="99"/>
      <c r="I10" s="98">
        <v>739.23</v>
      </c>
      <c r="J10" s="99"/>
      <c r="K10" s="101">
        <f t="shared" si="0"/>
        <v>739.23</v>
      </c>
      <c r="L10" s="101">
        <v>2240.0700000000002</v>
      </c>
      <c r="M10" s="102"/>
      <c r="N10" s="102"/>
      <c r="O10" s="103"/>
      <c r="P10" s="104">
        <f t="shared" si="1"/>
        <v>2979.3</v>
      </c>
      <c r="Q10" s="105"/>
      <c r="R10" s="106"/>
      <c r="S10" s="106"/>
      <c r="T10" s="106"/>
      <c r="U10" s="106"/>
      <c r="V10" s="107"/>
      <c r="W10" s="107"/>
      <c r="X10" s="108"/>
      <c r="Y10" s="109"/>
      <c r="Z10" s="104">
        <f t="shared" si="2"/>
        <v>2979.3</v>
      </c>
      <c r="AA10" s="110"/>
      <c r="AB10" s="104">
        <f t="shared" si="3"/>
        <v>2979.3</v>
      </c>
      <c r="AC10" s="111">
        <f t="shared" si="4"/>
        <v>297.93</v>
      </c>
      <c r="AD10" s="110">
        <f t="shared" si="5"/>
        <v>14.784600000000001</v>
      </c>
      <c r="AE10" s="112">
        <f t="shared" si="6"/>
        <v>3292.0146</v>
      </c>
      <c r="AF10" s="113"/>
      <c r="AG10" s="114"/>
      <c r="AH10" s="113"/>
      <c r="AI10" s="113"/>
      <c r="AJ10" s="114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</row>
    <row r="11" spans="1:52" x14ac:dyDescent="0.25">
      <c r="A11" s="98" t="s">
        <v>380</v>
      </c>
      <c r="B11" s="98" t="s">
        <v>391</v>
      </c>
      <c r="C11" s="98"/>
      <c r="D11" s="98" t="s">
        <v>41</v>
      </c>
      <c r="E11" s="98" t="s">
        <v>180</v>
      </c>
      <c r="F11" s="98"/>
      <c r="G11" s="98"/>
      <c r="H11" s="98"/>
      <c r="I11" s="100">
        <v>1166.6600000000001</v>
      </c>
      <c r="J11" s="100"/>
      <c r="K11" s="101">
        <f t="shared" si="0"/>
        <v>1166.6600000000001</v>
      </c>
      <c r="L11" s="101">
        <v>669.68</v>
      </c>
      <c r="M11" s="101"/>
      <c r="N11" s="101"/>
      <c r="O11" s="103"/>
      <c r="P11" s="104">
        <f t="shared" si="1"/>
        <v>1836.3400000000001</v>
      </c>
      <c r="Q11" s="105"/>
      <c r="R11" s="106">
        <v>0</v>
      </c>
      <c r="S11" s="106"/>
      <c r="T11" s="106"/>
      <c r="U11" s="106"/>
      <c r="V11" s="107"/>
      <c r="W11" s="107"/>
      <c r="X11" s="108"/>
      <c r="Y11" s="109">
        <v>0</v>
      </c>
      <c r="Z11" s="104">
        <f t="shared" si="2"/>
        <v>1836.3400000000001</v>
      </c>
      <c r="AA11" s="110">
        <f t="shared" ref="AA11:AA74" si="7">IF(P11&gt;4500,P11*0.1,0)</f>
        <v>0</v>
      </c>
      <c r="AB11" s="104">
        <f t="shared" si="3"/>
        <v>1836.3400000000001</v>
      </c>
      <c r="AC11" s="111">
        <f t="shared" si="4"/>
        <v>183.63400000000001</v>
      </c>
      <c r="AD11" s="110">
        <f t="shared" si="5"/>
        <v>23.333200000000001</v>
      </c>
      <c r="AE11" s="112">
        <f t="shared" si="6"/>
        <v>2043.3072000000002</v>
      </c>
      <c r="AF11" s="113"/>
      <c r="AG11" s="114">
        <f>+AB11-AF11</f>
        <v>1836.3400000000001</v>
      </c>
      <c r="AH11" s="113"/>
      <c r="AI11" s="113"/>
      <c r="AJ11" s="114">
        <f>+AG11-AH11-AI11</f>
        <v>1836.3400000000001</v>
      </c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</row>
    <row r="12" spans="1:52" x14ac:dyDescent="0.25">
      <c r="A12" s="98" t="s">
        <v>382</v>
      </c>
      <c r="B12" s="98" t="s">
        <v>392</v>
      </c>
      <c r="C12" s="98" t="s">
        <v>384</v>
      </c>
      <c r="D12" s="98">
        <v>16</v>
      </c>
      <c r="E12" s="98" t="s">
        <v>393</v>
      </c>
      <c r="F12" s="98"/>
      <c r="G12" s="99"/>
      <c r="H12" s="99"/>
      <c r="I12" s="100">
        <v>1633.33</v>
      </c>
      <c r="J12" s="99"/>
      <c r="K12" s="101">
        <f t="shared" si="0"/>
        <v>1633.33</v>
      </c>
      <c r="L12" s="101">
        <v>806.29</v>
      </c>
      <c r="M12" s="102"/>
      <c r="N12" s="102"/>
      <c r="O12" s="103"/>
      <c r="P12" s="104">
        <f t="shared" si="1"/>
        <v>2439.62</v>
      </c>
      <c r="Q12" s="105"/>
      <c r="R12" s="106">
        <v>0</v>
      </c>
      <c r="S12" s="106"/>
      <c r="T12" s="106"/>
      <c r="U12" s="106"/>
      <c r="V12" s="107"/>
      <c r="W12" s="107"/>
      <c r="X12" s="108"/>
      <c r="Y12" s="116">
        <v>0</v>
      </c>
      <c r="Z12" s="104">
        <f t="shared" si="2"/>
        <v>2439.62</v>
      </c>
      <c r="AA12" s="110">
        <f t="shared" si="7"/>
        <v>0</v>
      </c>
      <c r="AB12" s="104">
        <f t="shared" si="3"/>
        <v>2439.62</v>
      </c>
      <c r="AC12" s="111">
        <f t="shared" si="4"/>
        <v>243.96199999999999</v>
      </c>
      <c r="AD12" s="110">
        <f t="shared" si="5"/>
        <v>32.666600000000003</v>
      </c>
      <c r="AE12" s="112">
        <f t="shared" si="6"/>
        <v>2716.2485999999999</v>
      </c>
      <c r="AF12" s="113"/>
      <c r="AG12" s="114">
        <f>+AB12-AF12</f>
        <v>2439.62</v>
      </c>
      <c r="AH12" s="113"/>
      <c r="AI12" s="113"/>
      <c r="AJ12" s="114">
        <f>+AG12-AH12-AI12</f>
        <v>2439.62</v>
      </c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</row>
    <row r="13" spans="1:52" s="131" customFormat="1" x14ac:dyDescent="0.25">
      <c r="A13" s="121" t="s">
        <v>394</v>
      </c>
      <c r="B13" s="121" t="s">
        <v>395</v>
      </c>
      <c r="C13" s="121" t="s">
        <v>396</v>
      </c>
      <c r="D13" s="121"/>
      <c r="E13" s="121" t="s">
        <v>397</v>
      </c>
      <c r="F13" s="122">
        <v>42052</v>
      </c>
      <c r="G13" s="121"/>
      <c r="H13" s="121"/>
      <c r="I13" s="123">
        <v>513.33000000000004</v>
      </c>
      <c r="J13" s="121">
        <v>653.33000000000004</v>
      </c>
      <c r="K13" s="124">
        <f t="shared" si="0"/>
        <v>1166.6600000000001</v>
      </c>
      <c r="L13" s="124"/>
      <c r="M13" s="124"/>
      <c r="N13" s="124"/>
      <c r="O13" s="125"/>
      <c r="P13" s="126">
        <f t="shared" si="1"/>
        <v>1166.6600000000001</v>
      </c>
      <c r="Q13" s="127"/>
      <c r="R13" s="127"/>
      <c r="S13" s="127"/>
      <c r="T13" s="127"/>
      <c r="U13" s="127"/>
      <c r="V13" s="128"/>
      <c r="W13" s="128"/>
      <c r="X13" s="121"/>
      <c r="Y13" s="129"/>
      <c r="Z13" s="126"/>
      <c r="AA13" s="130">
        <f t="shared" si="7"/>
        <v>0</v>
      </c>
      <c r="AB13" s="126"/>
      <c r="AC13" s="130">
        <f t="shared" si="4"/>
        <v>116.66600000000001</v>
      </c>
      <c r="AD13" s="130">
        <f t="shared" si="5"/>
        <v>10.2666</v>
      </c>
      <c r="AE13" s="112">
        <f t="shared" si="6"/>
        <v>1293.5925999999999</v>
      </c>
      <c r="AG13" s="132"/>
      <c r="AJ13" s="132"/>
    </row>
    <row r="14" spans="1:52" x14ac:dyDescent="0.25">
      <c r="A14" s="98" t="s">
        <v>382</v>
      </c>
      <c r="B14" s="98" t="s">
        <v>398</v>
      </c>
      <c r="C14" s="98" t="s">
        <v>31</v>
      </c>
      <c r="D14" s="98" t="s">
        <v>45</v>
      </c>
      <c r="E14" s="98" t="s">
        <v>191</v>
      </c>
      <c r="F14" s="98"/>
      <c r="G14" s="99"/>
      <c r="H14" s="99"/>
      <c r="I14" s="98">
        <v>513.33000000000004</v>
      </c>
      <c r="J14" s="99">
        <v>653.33000000000004</v>
      </c>
      <c r="K14" s="101">
        <f t="shared" si="0"/>
        <v>1166.6600000000001</v>
      </c>
      <c r="L14" s="101">
        <f>2713.86+3277.12</f>
        <v>5990.98</v>
      </c>
      <c r="M14" s="102"/>
      <c r="N14" s="102"/>
      <c r="O14" s="103"/>
      <c r="P14" s="104">
        <f t="shared" si="1"/>
        <v>7157.6399999999994</v>
      </c>
      <c r="Q14" s="105"/>
      <c r="R14" s="106">
        <v>0</v>
      </c>
      <c r="S14" s="106"/>
      <c r="T14" s="106"/>
      <c r="U14" s="106"/>
      <c r="V14" s="107"/>
      <c r="W14" s="107"/>
      <c r="X14" s="108"/>
      <c r="Y14" s="116">
        <v>368.35</v>
      </c>
      <c r="Z14" s="104">
        <f t="shared" ref="Z14:Z77" si="8">+P14-SUM(Q14:Y14)</f>
        <v>6789.2899999999991</v>
      </c>
      <c r="AA14" s="110">
        <f t="shared" si="7"/>
        <v>715.76400000000001</v>
      </c>
      <c r="AB14" s="104">
        <f t="shared" ref="AB14:AB77" si="9">+Z14-AA14</f>
        <v>6073.5259999999989</v>
      </c>
      <c r="AC14" s="111">
        <f t="shared" si="4"/>
        <v>0</v>
      </c>
      <c r="AD14" s="110">
        <f t="shared" si="5"/>
        <v>10.2666</v>
      </c>
      <c r="AE14" s="112">
        <f t="shared" si="6"/>
        <v>7167.9065999999993</v>
      </c>
      <c r="AF14" s="113"/>
      <c r="AG14" s="114">
        <f t="shared" ref="AG14:AG33" si="10">+AB14-AF14</f>
        <v>6073.5259999999989</v>
      </c>
      <c r="AH14" s="113"/>
      <c r="AI14" s="113"/>
      <c r="AJ14" s="114">
        <f t="shared" ref="AJ14:AJ33" si="11">+AG14-AH14-AI14</f>
        <v>6073.5259999999989</v>
      </c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</row>
    <row r="15" spans="1:52" x14ac:dyDescent="0.25">
      <c r="A15" s="118" t="s">
        <v>386</v>
      </c>
      <c r="B15" s="133" t="s">
        <v>399</v>
      </c>
      <c r="C15" s="133"/>
      <c r="D15" s="98" t="s">
        <v>193</v>
      </c>
      <c r="E15" s="98" t="s">
        <v>192</v>
      </c>
      <c r="F15" s="98"/>
      <c r="G15" s="99"/>
      <c r="H15" s="99"/>
      <c r="I15" s="119">
        <v>608.16</v>
      </c>
      <c r="J15" s="99"/>
      <c r="K15" s="101">
        <f t="shared" si="0"/>
        <v>608.16</v>
      </c>
      <c r="L15" s="101">
        <v>1021.3</v>
      </c>
      <c r="M15" s="102"/>
      <c r="N15" s="102"/>
      <c r="O15" s="103"/>
      <c r="P15" s="104">
        <f t="shared" si="1"/>
        <v>1629.46</v>
      </c>
      <c r="Q15" s="105"/>
      <c r="R15" s="120">
        <v>150</v>
      </c>
      <c r="S15" s="120">
        <f>P15*1%</f>
        <v>16.294599999999999</v>
      </c>
      <c r="T15" s="120">
        <f>P15*4.9%</f>
        <v>79.843540000000004</v>
      </c>
      <c r="U15" s="106"/>
      <c r="V15" s="107"/>
      <c r="W15" s="107"/>
      <c r="X15" s="108"/>
      <c r="Y15" s="109">
        <v>0</v>
      </c>
      <c r="Z15" s="104">
        <f t="shared" si="8"/>
        <v>1383.32186</v>
      </c>
      <c r="AA15" s="110">
        <f t="shared" si="7"/>
        <v>0</v>
      </c>
      <c r="AB15" s="104">
        <f t="shared" si="9"/>
        <v>1383.32186</v>
      </c>
      <c r="AC15" s="111">
        <f t="shared" si="4"/>
        <v>162.94600000000003</v>
      </c>
      <c r="AD15" s="110">
        <f t="shared" si="5"/>
        <v>12.1632</v>
      </c>
      <c r="AE15" s="112">
        <f t="shared" si="6"/>
        <v>1804.5691999999999</v>
      </c>
      <c r="AF15" s="113"/>
      <c r="AG15" s="114">
        <f t="shared" si="10"/>
        <v>1383.32186</v>
      </c>
      <c r="AH15" s="113"/>
      <c r="AI15" s="113"/>
      <c r="AJ15" s="114">
        <f t="shared" si="11"/>
        <v>1383.32186</v>
      </c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</row>
    <row r="16" spans="1:52" x14ac:dyDescent="0.25">
      <c r="A16" s="98" t="s">
        <v>394</v>
      </c>
      <c r="B16" s="98" t="s">
        <v>400</v>
      </c>
      <c r="C16" s="98" t="s">
        <v>396</v>
      </c>
      <c r="D16" s="98" t="s">
        <v>15</v>
      </c>
      <c r="E16" s="98" t="s">
        <v>191</v>
      </c>
      <c r="F16" s="134">
        <v>42326</v>
      </c>
      <c r="G16" s="99"/>
      <c r="H16" s="99"/>
      <c r="I16" s="98">
        <v>513.33000000000004</v>
      </c>
      <c r="J16" s="99">
        <v>653.33000000000004</v>
      </c>
      <c r="K16" s="101">
        <f t="shared" si="0"/>
        <v>1166.6600000000001</v>
      </c>
      <c r="L16" s="101">
        <f>1500+653.33</f>
        <v>2153.33</v>
      </c>
      <c r="M16" s="102"/>
      <c r="N16" s="102"/>
      <c r="O16" s="103"/>
      <c r="P16" s="104">
        <f t="shared" si="1"/>
        <v>3319.99</v>
      </c>
      <c r="Q16" s="105"/>
      <c r="R16" s="106">
        <v>0</v>
      </c>
      <c r="S16" s="106"/>
      <c r="T16" s="106"/>
      <c r="U16" s="106"/>
      <c r="V16" s="107"/>
      <c r="W16" s="107"/>
      <c r="X16" s="108"/>
      <c r="Y16" s="109">
        <f>879.45+287.21</f>
        <v>1166.6600000000001</v>
      </c>
      <c r="Z16" s="104">
        <f t="shared" si="8"/>
        <v>2153.33</v>
      </c>
      <c r="AA16" s="110">
        <f t="shared" si="7"/>
        <v>0</v>
      </c>
      <c r="AB16" s="104">
        <f t="shared" si="9"/>
        <v>2153.33</v>
      </c>
      <c r="AC16" s="111">
        <f t="shared" si="4"/>
        <v>331.99900000000002</v>
      </c>
      <c r="AD16" s="110">
        <f t="shared" si="5"/>
        <v>10.2666</v>
      </c>
      <c r="AE16" s="112">
        <f t="shared" si="6"/>
        <v>3662.2555999999995</v>
      </c>
      <c r="AF16" s="113"/>
      <c r="AG16" s="114">
        <f t="shared" si="10"/>
        <v>2153.33</v>
      </c>
      <c r="AH16" s="113"/>
      <c r="AI16" s="113"/>
      <c r="AJ16" s="114">
        <f t="shared" si="11"/>
        <v>2153.33</v>
      </c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</row>
    <row r="17" spans="1:52" x14ac:dyDescent="0.25">
      <c r="A17" s="98" t="s">
        <v>401</v>
      </c>
      <c r="B17" s="98" t="s">
        <v>402</v>
      </c>
      <c r="C17" s="98"/>
      <c r="D17" s="98" t="s">
        <v>49</v>
      </c>
      <c r="E17" s="98" t="s">
        <v>403</v>
      </c>
      <c r="F17" s="98"/>
      <c r="G17" s="99"/>
      <c r="H17" s="99"/>
      <c r="I17" s="98">
        <v>933.33</v>
      </c>
      <c r="J17" s="99"/>
      <c r="K17" s="101">
        <f t="shared" si="0"/>
        <v>933.33</v>
      </c>
      <c r="L17" s="101">
        <v>550</v>
      </c>
      <c r="M17" s="102"/>
      <c r="N17" s="102"/>
      <c r="O17" s="103"/>
      <c r="P17" s="104">
        <f t="shared" si="1"/>
        <v>1483.33</v>
      </c>
      <c r="Q17" s="105"/>
      <c r="R17" s="106">
        <v>0</v>
      </c>
      <c r="S17" s="106"/>
      <c r="T17" s="106"/>
      <c r="U17" s="106"/>
      <c r="V17" s="107"/>
      <c r="W17" s="107"/>
      <c r="X17" s="108"/>
      <c r="Y17" s="109">
        <v>0</v>
      </c>
      <c r="Z17" s="104">
        <f t="shared" si="8"/>
        <v>1483.33</v>
      </c>
      <c r="AA17" s="110">
        <f t="shared" si="7"/>
        <v>0</v>
      </c>
      <c r="AB17" s="104">
        <f t="shared" si="9"/>
        <v>1483.33</v>
      </c>
      <c r="AC17" s="111">
        <f t="shared" si="4"/>
        <v>148.333</v>
      </c>
      <c r="AD17" s="110">
        <f t="shared" si="5"/>
        <v>18.666600000000003</v>
      </c>
      <c r="AE17" s="112">
        <f t="shared" si="6"/>
        <v>1650.3296</v>
      </c>
      <c r="AF17" s="113"/>
      <c r="AG17" s="114">
        <f t="shared" si="10"/>
        <v>1483.33</v>
      </c>
      <c r="AH17" s="113"/>
      <c r="AI17" s="113"/>
      <c r="AJ17" s="114">
        <f t="shared" si="11"/>
        <v>1483.33</v>
      </c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</row>
    <row r="18" spans="1:52" x14ac:dyDescent="0.25">
      <c r="A18" s="98" t="s">
        <v>382</v>
      </c>
      <c r="B18" s="98" t="s">
        <v>404</v>
      </c>
      <c r="C18" s="98" t="s">
        <v>33</v>
      </c>
      <c r="D18" s="98" t="s">
        <v>51</v>
      </c>
      <c r="E18" s="98" t="s">
        <v>191</v>
      </c>
      <c r="F18" s="98"/>
      <c r="G18" s="99"/>
      <c r="H18" s="99"/>
      <c r="I18" s="98">
        <v>513.33000000000004</v>
      </c>
      <c r="J18" s="99"/>
      <c r="K18" s="101">
        <f t="shared" si="0"/>
        <v>513.33000000000004</v>
      </c>
      <c r="L18" s="101">
        <v>2855.65</v>
      </c>
      <c r="M18" s="102"/>
      <c r="N18" s="102"/>
      <c r="O18" s="103"/>
      <c r="P18" s="104">
        <f t="shared" si="1"/>
        <v>3368.98</v>
      </c>
      <c r="Q18" s="105"/>
      <c r="R18" s="106">
        <v>500</v>
      </c>
      <c r="S18" s="106"/>
      <c r="T18" s="106"/>
      <c r="U18" s="106"/>
      <c r="V18" s="107"/>
      <c r="W18" s="107"/>
      <c r="X18" s="108"/>
      <c r="Y18" s="135">
        <v>1697.06</v>
      </c>
      <c r="Z18" s="104">
        <f t="shared" si="8"/>
        <v>1171.92</v>
      </c>
      <c r="AA18" s="110">
        <f t="shared" si="7"/>
        <v>0</v>
      </c>
      <c r="AB18" s="104">
        <f t="shared" si="9"/>
        <v>1171.92</v>
      </c>
      <c r="AC18" s="111">
        <f t="shared" si="4"/>
        <v>336.89800000000002</v>
      </c>
      <c r="AD18" s="110">
        <f t="shared" si="5"/>
        <v>10.2666</v>
      </c>
      <c r="AE18" s="112">
        <f t="shared" si="6"/>
        <v>3716.1446000000001</v>
      </c>
      <c r="AF18" s="113"/>
      <c r="AG18" s="114">
        <f t="shared" si="10"/>
        <v>1171.92</v>
      </c>
      <c r="AH18" s="113"/>
      <c r="AI18" s="113"/>
      <c r="AJ18" s="114">
        <f t="shared" si="11"/>
        <v>1171.92</v>
      </c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</row>
    <row r="19" spans="1:52" x14ac:dyDescent="0.25">
      <c r="A19" s="98" t="s">
        <v>380</v>
      </c>
      <c r="B19" s="98" t="s">
        <v>405</v>
      </c>
      <c r="C19" s="98"/>
      <c r="D19" s="98" t="s">
        <v>181</v>
      </c>
      <c r="E19" s="98" t="s">
        <v>180</v>
      </c>
      <c r="F19" s="98"/>
      <c r="G19" s="98"/>
      <c r="H19" s="98"/>
      <c r="I19" s="100">
        <v>1166.26</v>
      </c>
      <c r="J19" s="100"/>
      <c r="K19" s="101">
        <f t="shared" si="0"/>
        <v>1166.26</v>
      </c>
      <c r="L19" s="101">
        <v>1045.71</v>
      </c>
      <c r="M19" s="101"/>
      <c r="N19" s="101"/>
      <c r="O19" s="103"/>
      <c r="P19" s="104">
        <f t="shared" si="1"/>
        <v>2211.9700000000003</v>
      </c>
      <c r="Q19" s="105"/>
      <c r="R19" s="106">
        <v>0</v>
      </c>
      <c r="S19" s="106"/>
      <c r="T19" s="106"/>
      <c r="U19" s="106"/>
      <c r="V19" s="107"/>
      <c r="W19" s="107"/>
      <c r="X19" s="108"/>
      <c r="Y19" s="109">
        <v>0</v>
      </c>
      <c r="Z19" s="104">
        <f t="shared" si="8"/>
        <v>2211.9700000000003</v>
      </c>
      <c r="AA19" s="110">
        <f t="shared" si="7"/>
        <v>0</v>
      </c>
      <c r="AB19" s="104">
        <f t="shared" si="9"/>
        <v>2211.9700000000003</v>
      </c>
      <c r="AC19" s="111">
        <f t="shared" si="4"/>
        <v>221.19700000000003</v>
      </c>
      <c r="AD19" s="110">
        <f t="shared" si="5"/>
        <v>23.325199999999999</v>
      </c>
      <c r="AE19" s="112">
        <f t="shared" si="6"/>
        <v>2456.4922000000006</v>
      </c>
      <c r="AF19" s="113"/>
      <c r="AG19" s="114">
        <f t="shared" si="10"/>
        <v>2211.9700000000003</v>
      </c>
      <c r="AH19" s="113"/>
      <c r="AI19" s="113"/>
      <c r="AJ19" s="114">
        <f t="shared" si="11"/>
        <v>2211.9700000000003</v>
      </c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</row>
    <row r="20" spans="1:52" x14ac:dyDescent="0.25">
      <c r="A20" s="118" t="s">
        <v>386</v>
      </c>
      <c r="B20" s="98" t="s">
        <v>406</v>
      </c>
      <c r="C20" s="98"/>
      <c r="D20" s="98" t="s">
        <v>54</v>
      </c>
      <c r="E20" s="98" t="s">
        <v>182</v>
      </c>
      <c r="F20" s="98"/>
      <c r="G20" s="99"/>
      <c r="H20" s="99"/>
      <c r="I20" s="119">
        <v>511.28</v>
      </c>
      <c r="J20" s="99"/>
      <c r="K20" s="101">
        <f t="shared" si="0"/>
        <v>511.28</v>
      </c>
      <c r="L20" s="101">
        <v>1388.4</v>
      </c>
      <c r="M20" s="102"/>
      <c r="N20" s="102"/>
      <c r="O20" s="103"/>
      <c r="P20" s="104">
        <f t="shared" si="1"/>
        <v>1899.68</v>
      </c>
      <c r="Q20" s="105"/>
      <c r="R20" s="120">
        <v>0</v>
      </c>
      <c r="S20" s="120">
        <f>P20*1%</f>
        <v>18.9968</v>
      </c>
      <c r="T20" s="120">
        <f>P20*4.9%</f>
        <v>93.084320000000005</v>
      </c>
      <c r="U20" s="106"/>
      <c r="V20" s="107"/>
      <c r="W20" s="107"/>
      <c r="X20" s="108"/>
      <c r="Y20" s="109">
        <v>0</v>
      </c>
      <c r="Z20" s="104">
        <f t="shared" si="8"/>
        <v>1787.59888</v>
      </c>
      <c r="AA20" s="110">
        <f t="shared" si="7"/>
        <v>0</v>
      </c>
      <c r="AB20" s="104">
        <f t="shared" si="9"/>
        <v>1787.59888</v>
      </c>
      <c r="AC20" s="111">
        <f t="shared" si="4"/>
        <v>189.96800000000002</v>
      </c>
      <c r="AD20" s="110">
        <f t="shared" si="5"/>
        <v>10.2256</v>
      </c>
      <c r="AE20" s="112">
        <f t="shared" si="6"/>
        <v>2099.8736000000004</v>
      </c>
      <c r="AF20" s="113"/>
      <c r="AG20" s="114">
        <f t="shared" si="10"/>
        <v>1787.59888</v>
      </c>
      <c r="AH20" s="113"/>
      <c r="AI20" s="113"/>
      <c r="AJ20" s="114">
        <f t="shared" si="11"/>
        <v>1787.59888</v>
      </c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</row>
    <row r="21" spans="1:52" x14ac:dyDescent="0.25">
      <c r="A21" s="98" t="s">
        <v>382</v>
      </c>
      <c r="B21" s="98" t="s">
        <v>407</v>
      </c>
      <c r="C21" s="98" t="s">
        <v>384</v>
      </c>
      <c r="D21" s="98">
        <v>18</v>
      </c>
      <c r="E21" s="98" t="s">
        <v>408</v>
      </c>
      <c r="F21" s="98"/>
      <c r="G21" s="99"/>
      <c r="H21" s="99"/>
      <c r="I21" s="100">
        <v>1633.33</v>
      </c>
      <c r="J21" s="99"/>
      <c r="K21" s="101">
        <f t="shared" si="0"/>
        <v>1633.33</v>
      </c>
      <c r="L21" s="101">
        <v>6279.03</v>
      </c>
      <c r="M21" s="102"/>
      <c r="N21" s="102"/>
      <c r="O21" s="103"/>
      <c r="P21" s="104">
        <f t="shared" si="1"/>
        <v>7912.36</v>
      </c>
      <c r="Q21" s="105"/>
      <c r="R21" s="120">
        <v>700</v>
      </c>
      <c r="S21" s="106"/>
      <c r="T21" s="106"/>
      <c r="U21" s="106"/>
      <c r="V21" s="107"/>
      <c r="W21" s="107"/>
      <c r="X21" s="108">
        <v>205.7</v>
      </c>
      <c r="Y21" s="116">
        <v>0</v>
      </c>
      <c r="Z21" s="104">
        <f t="shared" si="8"/>
        <v>7006.66</v>
      </c>
      <c r="AA21" s="110">
        <f t="shared" si="7"/>
        <v>791.23599999999999</v>
      </c>
      <c r="AB21" s="104">
        <f t="shared" si="9"/>
        <v>6215.424</v>
      </c>
      <c r="AC21" s="111">
        <f t="shared" si="4"/>
        <v>0</v>
      </c>
      <c r="AD21" s="110">
        <f t="shared" si="5"/>
        <v>32.666600000000003</v>
      </c>
      <c r="AE21" s="112">
        <f t="shared" si="6"/>
        <v>7945.0265999999992</v>
      </c>
      <c r="AF21" s="113"/>
      <c r="AG21" s="114">
        <f t="shared" si="10"/>
        <v>6215.424</v>
      </c>
      <c r="AH21" s="113"/>
      <c r="AI21" s="113"/>
      <c r="AJ21" s="114">
        <f t="shared" si="11"/>
        <v>6215.424</v>
      </c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</row>
    <row r="22" spans="1:52" x14ac:dyDescent="0.25">
      <c r="A22" s="98" t="s">
        <v>386</v>
      </c>
      <c r="B22" s="98" t="s">
        <v>409</v>
      </c>
      <c r="C22" s="98"/>
      <c r="D22" s="98" t="s">
        <v>57</v>
      </c>
      <c r="E22" s="98" t="s">
        <v>410</v>
      </c>
      <c r="F22" s="98"/>
      <c r="G22" s="99"/>
      <c r="H22" s="99"/>
      <c r="I22" s="119">
        <v>1100</v>
      </c>
      <c r="J22" s="99"/>
      <c r="K22" s="101">
        <f t="shared" si="0"/>
        <v>1100</v>
      </c>
      <c r="L22" s="101"/>
      <c r="M22" s="102"/>
      <c r="N22" s="102"/>
      <c r="O22" s="103"/>
      <c r="P22" s="104">
        <f t="shared" si="1"/>
        <v>1100</v>
      </c>
      <c r="Q22" s="105"/>
      <c r="R22" s="106">
        <v>0</v>
      </c>
      <c r="S22" s="106"/>
      <c r="T22" s="106"/>
      <c r="U22" s="106"/>
      <c r="V22" s="107"/>
      <c r="W22" s="107"/>
      <c r="X22" s="108"/>
      <c r="Y22" s="109">
        <v>0</v>
      </c>
      <c r="Z22" s="104">
        <f t="shared" si="8"/>
        <v>1100</v>
      </c>
      <c r="AA22" s="110">
        <f t="shared" si="7"/>
        <v>0</v>
      </c>
      <c r="AB22" s="104">
        <f t="shared" si="9"/>
        <v>1100</v>
      </c>
      <c r="AC22" s="111">
        <f t="shared" si="4"/>
        <v>110</v>
      </c>
      <c r="AD22" s="110">
        <f t="shared" si="5"/>
        <v>22</v>
      </c>
      <c r="AE22" s="112">
        <f t="shared" si="6"/>
        <v>1232</v>
      </c>
      <c r="AF22" s="113"/>
      <c r="AG22" s="114">
        <f t="shared" si="10"/>
        <v>1100</v>
      </c>
      <c r="AH22" s="113"/>
      <c r="AI22" s="113"/>
      <c r="AJ22" s="114">
        <f t="shared" si="11"/>
        <v>1100</v>
      </c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</row>
    <row r="23" spans="1:52" x14ac:dyDescent="0.25">
      <c r="A23" s="98" t="s">
        <v>401</v>
      </c>
      <c r="B23" s="98" t="s">
        <v>411</v>
      </c>
      <c r="C23" s="98"/>
      <c r="D23" s="98" t="s">
        <v>59</v>
      </c>
      <c r="E23" s="98" t="s">
        <v>403</v>
      </c>
      <c r="F23" s="98"/>
      <c r="G23" s="99"/>
      <c r="H23" s="99"/>
      <c r="I23" s="98">
        <v>933.33</v>
      </c>
      <c r="J23" s="99"/>
      <c r="K23" s="101">
        <f t="shared" si="0"/>
        <v>933.33</v>
      </c>
      <c r="L23" s="101">
        <v>550</v>
      </c>
      <c r="M23" s="102"/>
      <c r="N23" s="102"/>
      <c r="O23" s="103"/>
      <c r="P23" s="104">
        <f t="shared" si="1"/>
        <v>1483.33</v>
      </c>
      <c r="Q23" s="105"/>
      <c r="R23" s="106">
        <v>0</v>
      </c>
      <c r="S23" s="106"/>
      <c r="T23" s="106"/>
      <c r="U23" s="106"/>
      <c r="V23" s="107"/>
      <c r="W23" s="107"/>
      <c r="X23" s="108"/>
      <c r="Y23" s="109">
        <v>357.73</v>
      </c>
      <c r="Z23" s="104">
        <f t="shared" si="8"/>
        <v>1125.5999999999999</v>
      </c>
      <c r="AA23" s="110">
        <f t="shared" si="7"/>
        <v>0</v>
      </c>
      <c r="AB23" s="104">
        <f t="shared" si="9"/>
        <v>1125.5999999999999</v>
      </c>
      <c r="AC23" s="111">
        <f t="shared" si="4"/>
        <v>148.333</v>
      </c>
      <c r="AD23" s="110">
        <f t="shared" si="5"/>
        <v>18.666600000000003</v>
      </c>
      <c r="AE23" s="112">
        <f t="shared" si="6"/>
        <v>1650.3296</v>
      </c>
      <c r="AF23" s="113"/>
      <c r="AG23" s="114">
        <f t="shared" si="10"/>
        <v>1125.5999999999999</v>
      </c>
      <c r="AH23" s="113"/>
      <c r="AI23" s="113"/>
      <c r="AJ23" s="114">
        <f t="shared" si="11"/>
        <v>1125.5999999999999</v>
      </c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</row>
    <row r="24" spans="1:52" x14ac:dyDescent="0.25">
      <c r="A24" s="98" t="s">
        <v>394</v>
      </c>
      <c r="B24" s="98" t="s">
        <v>412</v>
      </c>
      <c r="C24" s="98" t="s">
        <v>396</v>
      </c>
      <c r="D24" s="98" t="s">
        <v>61</v>
      </c>
      <c r="E24" s="98" t="s">
        <v>191</v>
      </c>
      <c r="F24" s="134">
        <v>42066</v>
      </c>
      <c r="G24" s="99"/>
      <c r="H24" s="99"/>
      <c r="I24" s="98">
        <v>513.33000000000004</v>
      </c>
      <c r="J24" s="99">
        <v>653.33000000000004</v>
      </c>
      <c r="K24" s="101">
        <f t="shared" si="0"/>
        <v>1166.6600000000001</v>
      </c>
      <c r="L24" s="101">
        <f>583.83+653.33</f>
        <v>1237.1600000000001</v>
      </c>
      <c r="M24" s="102"/>
      <c r="N24" s="102"/>
      <c r="O24" s="103"/>
      <c r="P24" s="104">
        <f t="shared" si="1"/>
        <v>2403.8200000000002</v>
      </c>
      <c r="Q24" s="105"/>
      <c r="R24" s="106">
        <v>0</v>
      </c>
      <c r="S24" s="106"/>
      <c r="T24" s="106"/>
      <c r="U24" s="106"/>
      <c r="V24" s="107"/>
      <c r="W24" s="107"/>
      <c r="X24" s="108"/>
      <c r="Y24" s="109">
        <f>797.62+284.29</f>
        <v>1081.9100000000001</v>
      </c>
      <c r="Z24" s="104">
        <f t="shared" si="8"/>
        <v>1321.91</v>
      </c>
      <c r="AA24" s="110">
        <f t="shared" si="7"/>
        <v>0</v>
      </c>
      <c r="AB24" s="104">
        <f t="shared" si="9"/>
        <v>1321.91</v>
      </c>
      <c r="AC24" s="111">
        <f t="shared" si="4"/>
        <v>240.38200000000003</v>
      </c>
      <c r="AD24" s="110">
        <f t="shared" si="5"/>
        <v>10.2666</v>
      </c>
      <c r="AE24" s="112">
        <f t="shared" si="6"/>
        <v>2654.4686000000002</v>
      </c>
      <c r="AF24" s="113"/>
      <c r="AG24" s="114">
        <f t="shared" si="10"/>
        <v>1321.91</v>
      </c>
      <c r="AH24" s="113"/>
      <c r="AI24" s="113"/>
      <c r="AJ24" s="114">
        <f t="shared" si="11"/>
        <v>1321.91</v>
      </c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</row>
    <row r="25" spans="1:52" x14ac:dyDescent="0.25">
      <c r="A25" s="118" t="s">
        <v>388</v>
      </c>
      <c r="B25" s="98" t="s">
        <v>413</v>
      </c>
      <c r="C25" s="98"/>
      <c r="D25" s="98" t="s">
        <v>63</v>
      </c>
      <c r="E25" s="98" t="s">
        <v>414</v>
      </c>
      <c r="F25" s="98"/>
      <c r="G25" s="98"/>
      <c r="H25" s="98"/>
      <c r="I25" s="136">
        <v>739.23</v>
      </c>
      <c r="J25" s="98"/>
      <c r="K25" s="101">
        <f t="shared" si="0"/>
        <v>739.23</v>
      </c>
      <c r="L25" s="101">
        <v>2990.4720000000002</v>
      </c>
      <c r="M25" s="101"/>
      <c r="N25" s="101"/>
      <c r="O25" s="103"/>
      <c r="P25" s="104">
        <f t="shared" si="1"/>
        <v>3729.7020000000002</v>
      </c>
      <c r="Q25" s="105"/>
      <c r="R25" s="106">
        <v>0</v>
      </c>
      <c r="S25" s="106"/>
      <c r="T25" s="106"/>
      <c r="U25" s="106"/>
      <c r="V25" s="107"/>
      <c r="W25" s="107"/>
      <c r="X25" s="108"/>
      <c r="Y25" s="109">
        <v>0</v>
      </c>
      <c r="Z25" s="104">
        <f t="shared" si="8"/>
        <v>3729.7020000000002</v>
      </c>
      <c r="AA25" s="110">
        <f t="shared" si="7"/>
        <v>0</v>
      </c>
      <c r="AB25" s="104">
        <f t="shared" si="9"/>
        <v>3729.7020000000002</v>
      </c>
      <c r="AC25" s="111">
        <f t="shared" si="4"/>
        <v>372.97020000000003</v>
      </c>
      <c r="AD25" s="110">
        <f t="shared" si="5"/>
        <v>14.784600000000001</v>
      </c>
      <c r="AE25" s="112">
        <f t="shared" si="6"/>
        <v>4117.4567999999999</v>
      </c>
      <c r="AF25" s="113"/>
      <c r="AG25" s="114">
        <f t="shared" si="10"/>
        <v>3729.7020000000002</v>
      </c>
      <c r="AH25" s="113"/>
      <c r="AI25" s="113"/>
      <c r="AJ25" s="114">
        <f t="shared" si="11"/>
        <v>3729.7020000000002</v>
      </c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</row>
    <row r="26" spans="1:52" x14ac:dyDescent="0.25">
      <c r="A26" s="98" t="s">
        <v>394</v>
      </c>
      <c r="B26" s="98" t="s">
        <v>415</v>
      </c>
      <c r="C26" s="98" t="s">
        <v>396</v>
      </c>
      <c r="D26" s="98" t="s">
        <v>65</v>
      </c>
      <c r="E26" s="98" t="s">
        <v>397</v>
      </c>
      <c r="F26" s="134">
        <v>42304</v>
      </c>
      <c r="G26" s="99"/>
      <c r="H26" s="99"/>
      <c r="I26" s="98">
        <v>513.33000000000004</v>
      </c>
      <c r="J26" s="99"/>
      <c r="K26" s="101">
        <f t="shared" si="0"/>
        <v>513.33000000000004</v>
      </c>
      <c r="L26" s="101">
        <v>1000</v>
      </c>
      <c r="M26" s="102"/>
      <c r="N26" s="102"/>
      <c r="O26" s="103"/>
      <c r="P26" s="104">
        <f t="shared" si="1"/>
        <v>1513.33</v>
      </c>
      <c r="Q26" s="105"/>
      <c r="R26" s="106">
        <v>0</v>
      </c>
      <c r="S26" s="106"/>
      <c r="T26" s="106"/>
      <c r="U26" s="106"/>
      <c r="V26" s="107"/>
      <c r="W26" s="107"/>
      <c r="X26" s="108"/>
      <c r="Y26" s="109">
        <v>0</v>
      </c>
      <c r="Z26" s="104">
        <f t="shared" si="8"/>
        <v>1513.33</v>
      </c>
      <c r="AA26" s="110">
        <f t="shared" si="7"/>
        <v>0</v>
      </c>
      <c r="AB26" s="104">
        <f t="shared" si="9"/>
        <v>1513.33</v>
      </c>
      <c r="AC26" s="111">
        <f t="shared" si="4"/>
        <v>151.333</v>
      </c>
      <c r="AD26" s="110">
        <f t="shared" si="5"/>
        <v>10.2666</v>
      </c>
      <c r="AE26" s="112">
        <f t="shared" si="6"/>
        <v>1674.9295999999999</v>
      </c>
      <c r="AF26" s="113"/>
      <c r="AG26" s="114">
        <f t="shared" si="10"/>
        <v>1513.33</v>
      </c>
      <c r="AH26" s="113"/>
      <c r="AI26" s="113"/>
      <c r="AJ26" s="114">
        <f t="shared" si="11"/>
        <v>1513.33</v>
      </c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</row>
    <row r="27" spans="1:52" s="115" customFormat="1" x14ac:dyDescent="0.25">
      <c r="A27" s="98" t="s">
        <v>388</v>
      </c>
      <c r="B27" s="98" t="s">
        <v>416</v>
      </c>
      <c r="C27" s="98"/>
      <c r="D27" s="98" t="s">
        <v>67</v>
      </c>
      <c r="E27" s="98" t="s">
        <v>390</v>
      </c>
      <c r="F27" s="98"/>
      <c r="G27" s="98"/>
      <c r="H27" s="98"/>
      <c r="I27" s="100">
        <v>1100</v>
      </c>
      <c r="J27" s="98"/>
      <c r="K27" s="101">
        <f t="shared" si="0"/>
        <v>1100</v>
      </c>
      <c r="L27" s="101"/>
      <c r="M27" s="101"/>
      <c r="N27" s="101"/>
      <c r="O27" s="103"/>
      <c r="P27" s="104">
        <f t="shared" si="1"/>
        <v>1100</v>
      </c>
      <c r="Q27" s="105"/>
      <c r="R27" s="106">
        <v>0</v>
      </c>
      <c r="S27" s="106"/>
      <c r="T27" s="106"/>
      <c r="U27" s="106"/>
      <c r="V27" s="107"/>
      <c r="W27" s="107"/>
      <c r="X27" s="108"/>
      <c r="Y27" s="109">
        <v>0</v>
      </c>
      <c r="Z27" s="104">
        <f t="shared" si="8"/>
        <v>1100</v>
      </c>
      <c r="AA27" s="110">
        <f t="shared" si="7"/>
        <v>0</v>
      </c>
      <c r="AB27" s="104">
        <f t="shared" si="9"/>
        <v>1100</v>
      </c>
      <c r="AC27" s="111">
        <f t="shared" si="4"/>
        <v>110</v>
      </c>
      <c r="AD27" s="110">
        <f t="shared" si="5"/>
        <v>22</v>
      </c>
      <c r="AE27" s="112">
        <f t="shared" si="6"/>
        <v>1232</v>
      </c>
      <c r="AF27" s="113"/>
      <c r="AG27" s="114">
        <f t="shared" si="10"/>
        <v>1100</v>
      </c>
      <c r="AH27" s="113"/>
      <c r="AI27" s="113"/>
      <c r="AJ27" s="114">
        <f t="shared" si="11"/>
        <v>1100</v>
      </c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</row>
    <row r="28" spans="1:52" x14ac:dyDescent="0.25">
      <c r="A28" s="98" t="s">
        <v>401</v>
      </c>
      <c r="B28" s="98" t="s">
        <v>417</v>
      </c>
      <c r="C28" s="98"/>
      <c r="D28" s="98" t="s">
        <v>69</v>
      </c>
      <c r="E28" s="98" t="s">
        <v>418</v>
      </c>
      <c r="F28" s="98"/>
      <c r="G28" s="98"/>
      <c r="H28" s="98"/>
      <c r="I28" s="98">
        <v>933.33</v>
      </c>
      <c r="J28" s="98"/>
      <c r="K28" s="101">
        <f t="shared" si="0"/>
        <v>933.33</v>
      </c>
      <c r="L28" s="101">
        <v>550</v>
      </c>
      <c r="M28" s="101"/>
      <c r="N28" s="101"/>
      <c r="O28" s="103"/>
      <c r="P28" s="104">
        <f t="shared" si="1"/>
        <v>1483.33</v>
      </c>
      <c r="Q28" s="105"/>
      <c r="R28" s="106">
        <v>0</v>
      </c>
      <c r="S28" s="106"/>
      <c r="T28" s="106"/>
      <c r="U28" s="106"/>
      <c r="V28" s="107"/>
      <c r="W28" s="107"/>
      <c r="X28" s="108"/>
      <c r="Y28" s="109">
        <v>0</v>
      </c>
      <c r="Z28" s="104">
        <f t="shared" si="8"/>
        <v>1483.33</v>
      </c>
      <c r="AA28" s="110">
        <f t="shared" si="7"/>
        <v>0</v>
      </c>
      <c r="AB28" s="104">
        <f t="shared" si="9"/>
        <v>1483.33</v>
      </c>
      <c r="AC28" s="111">
        <f t="shared" si="4"/>
        <v>148.333</v>
      </c>
      <c r="AD28" s="110">
        <f t="shared" si="5"/>
        <v>18.666600000000003</v>
      </c>
      <c r="AE28" s="112">
        <f t="shared" si="6"/>
        <v>1650.3296</v>
      </c>
      <c r="AF28" s="113"/>
      <c r="AG28" s="114">
        <f t="shared" si="10"/>
        <v>1483.33</v>
      </c>
      <c r="AH28" s="113"/>
      <c r="AI28" s="113"/>
      <c r="AJ28" s="114">
        <f t="shared" si="11"/>
        <v>1483.33</v>
      </c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</row>
    <row r="29" spans="1:52" x14ac:dyDescent="0.25">
      <c r="A29" s="98" t="s">
        <v>419</v>
      </c>
      <c r="B29" s="98" t="s">
        <v>420</v>
      </c>
      <c r="C29" s="98"/>
      <c r="D29" s="98" t="s">
        <v>71</v>
      </c>
      <c r="E29" s="98" t="s">
        <v>187</v>
      </c>
      <c r="F29" s="98"/>
      <c r="G29" s="98"/>
      <c r="H29" s="98"/>
      <c r="I29" s="100">
        <v>1516.67</v>
      </c>
      <c r="J29" s="98"/>
      <c r="K29" s="101">
        <f t="shared" si="0"/>
        <v>1516.67</v>
      </c>
      <c r="L29" s="101"/>
      <c r="M29" s="101"/>
      <c r="N29" s="101"/>
      <c r="O29" s="103"/>
      <c r="P29" s="104">
        <f t="shared" si="1"/>
        <v>1516.67</v>
      </c>
      <c r="Q29" s="105"/>
      <c r="R29" s="120">
        <v>200</v>
      </c>
      <c r="S29" s="106"/>
      <c r="T29" s="106"/>
      <c r="U29" s="106"/>
      <c r="V29" s="107"/>
      <c r="W29" s="107"/>
      <c r="X29" s="108"/>
      <c r="Y29" s="116">
        <v>0</v>
      </c>
      <c r="Z29" s="104">
        <f t="shared" si="8"/>
        <v>1316.67</v>
      </c>
      <c r="AA29" s="110">
        <f t="shared" si="7"/>
        <v>0</v>
      </c>
      <c r="AB29" s="104">
        <f t="shared" si="9"/>
        <v>1316.67</v>
      </c>
      <c r="AC29" s="111">
        <f t="shared" si="4"/>
        <v>151.667</v>
      </c>
      <c r="AD29" s="110">
        <f t="shared" si="5"/>
        <v>30.333400000000001</v>
      </c>
      <c r="AE29" s="112">
        <f t="shared" si="6"/>
        <v>1698.6704</v>
      </c>
      <c r="AF29" s="113"/>
      <c r="AG29" s="114">
        <f t="shared" si="10"/>
        <v>1316.67</v>
      </c>
      <c r="AH29" s="113"/>
      <c r="AI29" s="113"/>
      <c r="AJ29" s="114">
        <f t="shared" si="11"/>
        <v>1316.67</v>
      </c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</row>
    <row r="30" spans="1:52" s="115" customFormat="1" x14ac:dyDescent="0.25">
      <c r="A30" s="118" t="s">
        <v>386</v>
      </c>
      <c r="B30" s="98" t="s">
        <v>421</v>
      </c>
      <c r="C30" s="98"/>
      <c r="D30" s="98" t="s">
        <v>73</v>
      </c>
      <c r="E30" s="98" t="s">
        <v>192</v>
      </c>
      <c r="F30" s="98"/>
      <c r="G30" s="99"/>
      <c r="H30" s="99"/>
      <c r="I30" s="119">
        <v>608.16</v>
      </c>
      <c r="J30" s="99"/>
      <c r="K30" s="101">
        <f t="shared" si="0"/>
        <v>608.16</v>
      </c>
      <c r="L30" s="101">
        <v>4825.84</v>
      </c>
      <c r="M30" s="102"/>
      <c r="N30" s="102"/>
      <c r="O30" s="103"/>
      <c r="P30" s="104">
        <f t="shared" si="1"/>
        <v>5434</v>
      </c>
      <c r="Q30" s="105"/>
      <c r="R30" s="120">
        <v>500</v>
      </c>
      <c r="S30" s="120">
        <f>P30*1%</f>
        <v>54.34</v>
      </c>
      <c r="T30" s="120">
        <f>P30*4.9%</f>
        <v>266.26600000000002</v>
      </c>
      <c r="U30" s="106"/>
      <c r="V30" s="107"/>
      <c r="W30" s="107"/>
      <c r="X30" s="108"/>
      <c r="Y30" s="109">
        <v>0</v>
      </c>
      <c r="Z30" s="104">
        <f t="shared" si="8"/>
        <v>4613.3940000000002</v>
      </c>
      <c r="AA30" s="110">
        <f t="shared" si="7"/>
        <v>543.4</v>
      </c>
      <c r="AB30" s="104">
        <f t="shared" si="9"/>
        <v>4069.9940000000001</v>
      </c>
      <c r="AC30" s="111">
        <f t="shared" si="4"/>
        <v>0</v>
      </c>
      <c r="AD30" s="110">
        <f t="shared" si="5"/>
        <v>12.1632</v>
      </c>
      <c r="AE30" s="112">
        <f t="shared" si="6"/>
        <v>5446.1632</v>
      </c>
      <c r="AF30" s="113"/>
      <c r="AG30" s="114">
        <f t="shared" si="10"/>
        <v>4069.9940000000001</v>
      </c>
      <c r="AH30" s="113"/>
      <c r="AI30" s="113"/>
      <c r="AJ30" s="114">
        <f t="shared" si="11"/>
        <v>4069.9940000000001</v>
      </c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</row>
    <row r="31" spans="1:52" s="115" customFormat="1" x14ac:dyDescent="0.25">
      <c r="A31" s="98" t="s">
        <v>382</v>
      </c>
      <c r="B31" s="98" t="s">
        <v>422</v>
      </c>
      <c r="C31" s="98" t="s">
        <v>31</v>
      </c>
      <c r="D31" s="98" t="s">
        <v>75</v>
      </c>
      <c r="E31" s="98" t="s">
        <v>191</v>
      </c>
      <c r="F31" s="98"/>
      <c r="G31" s="99"/>
      <c r="H31" s="99"/>
      <c r="I31" s="98">
        <v>513.33000000000004</v>
      </c>
      <c r="J31" s="99"/>
      <c r="K31" s="101">
        <f t="shared" si="0"/>
        <v>513.33000000000004</v>
      </c>
      <c r="L31" s="101">
        <v>8777.2199999999993</v>
      </c>
      <c r="M31" s="102"/>
      <c r="N31" s="102"/>
      <c r="O31" s="103"/>
      <c r="P31" s="104">
        <f t="shared" si="1"/>
        <v>9290.5499999999993</v>
      </c>
      <c r="Q31" s="105"/>
      <c r="R31" s="106">
        <v>0</v>
      </c>
      <c r="S31" s="106"/>
      <c r="T31" s="106"/>
      <c r="U31" s="106"/>
      <c r="V31" s="107"/>
      <c r="W31" s="107"/>
      <c r="X31" s="108"/>
      <c r="Y31" s="116">
        <v>530.28</v>
      </c>
      <c r="Z31" s="104">
        <f t="shared" si="8"/>
        <v>8760.2699999999986</v>
      </c>
      <c r="AA31" s="110">
        <f t="shared" si="7"/>
        <v>929.05499999999995</v>
      </c>
      <c r="AB31" s="104">
        <f t="shared" si="9"/>
        <v>7831.2149999999983</v>
      </c>
      <c r="AC31" s="111">
        <f t="shared" si="4"/>
        <v>0</v>
      </c>
      <c r="AD31" s="110">
        <f t="shared" si="5"/>
        <v>10.2666</v>
      </c>
      <c r="AE31" s="112">
        <f t="shared" si="6"/>
        <v>9300.8166000000001</v>
      </c>
      <c r="AF31" s="113"/>
      <c r="AG31" s="114">
        <f t="shared" si="10"/>
        <v>7831.2149999999983</v>
      </c>
      <c r="AH31" s="113"/>
      <c r="AI31" s="113"/>
      <c r="AJ31" s="114">
        <f t="shared" si="11"/>
        <v>7831.2149999999983</v>
      </c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</row>
    <row r="32" spans="1:52" s="115" customFormat="1" x14ac:dyDescent="0.25">
      <c r="A32" s="118" t="s">
        <v>386</v>
      </c>
      <c r="B32" s="98" t="s">
        <v>423</v>
      </c>
      <c r="C32" s="98"/>
      <c r="D32" s="98" t="s">
        <v>77</v>
      </c>
      <c r="E32" s="98" t="s">
        <v>424</v>
      </c>
      <c r="F32" s="98"/>
      <c r="G32" s="99"/>
      <c r="H32" s="99"/>
      <c r="I32" s="119">
        <v>608.16</v>
      </c>
      <c r="J32" s="99"/>
      <c r="K32" s="101">
        <f t="shared" si="0"/>
        <v>608.16</v>
      </c>
      <c r="L32" s="101">
        <v>3017.1</v>
      </c>
      <c r="M32" s="102"/>
      <c r="N32" s="102"/>
      <c r="O32" s="103"/>
      <c r="P32" s="104">
        <f t="shared" si="1"/>
        <v>3625.2599999999998</v>
      </c>
      <c r="Q32" s="105"/>
      <c r="R32" s="120">
        <v>1000</v>
      </c>
      <c r="S32" s="120">
        <f>P32*1%</f>
        <v>36.252600000000001</v>
      </c>
      <c r="T32" s="120">
        <f>P32*4.9%</f>
        <v>177.63774000000001</v>
      </c>
      <c r="U32" s="106"/>
      <c r="V32" s="107"/>
      <c r="W32" s="107"/>
      <c r="X32" s="108"/>
      <c r="Y32" s="109">
        <v>0</v>
      </c>
      <c r="Z32" s="104">
        <f t="shared" si="8"/>
        <v>2411.3696599999998</v>
      </c>
      <c r="AA32" s="110">
        <f t="shared" si="7"/>
        <v>0</v>
      </c>
      <c r="AB32" s="104">
        <f t="shared" si="9"/>
        <v>2411.3696599999998</v>
      </c>
      <c r="AC32" s="111">
        <f t="shared" si="4"/>
        <v>362.52600000000001</v>
      </c>
      <c r="AD32" s="110">
        <f t="shared" si="5"/>
        <v>12.1632</v>
      </c>
      <c r="AE32" s="112">
        <f t="shared" si="6"/>
        <v>3999.9491999999996</v>
      </c>
      <c r="AF32" s="113"/>
      <c r="AG32" s="114">
        <f t="shared" si="10"/>
        <v>2411.3696599999998</v>
      </c>
      <c r="AH32" s="113"/>
      <c r="AI32" s="113"/>
      <c r="AJ32" s="114">
        <f t="shared" si="11"/>
        <v>2411.3696599999998</v>
      </c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</row>
    <row r="33" spans="1:52" s="115" customFormat="1" x14ac:dyDescent="0.25">
      <c r="A33" s="98" t="s">
        <v>380</v>
      </c>
      <c r="B33" s="98" t="s">
        <v>425</v>
      </c>
      <c r="C33" s="98"/>
      <c r="D33" s="98" t="s">
        <v>79</v>
      </c>
      <c r="E33" s="98" t="s">
        <v>180</v>
      </c>
      <c r="F33" s="98"/>
      <c r="G33" s="98"/>
      <c r="H33" s="98"/>
      <c r="I33" s="100">
        <v>1166.26</v>
      </c>
      <c r="J33" s="100"/>
      <c r="K33" s="101">
        <f t="shared" si="0"/>
        <v>1166.26</v>
      </c>
      <c r="L33" s="101">
        <v>1509.29</v>
      </c>
      <c r="M33" s="101"/>
      <c r="N33" s="101"/>
      <c r="O33" s="103"/>
      <c r="P33" s="104">
        <f t="shared" si="1"/>
        <v>2675.55</v>
      </c>
      <c r="Q33" s="105"/>
      <c r="R33" s="106">
        <v>0</v>
      </c>
      <c r="S33" s="106"/>
      <c r="T33" s="106"/>
      <c r="U33" s="106"/>
      <c r="V33" s="107"/>
      <c r="W33" s="107"/>
      <c r="X33" s="108"/>
      <c r="Y33" s="109">
        <v>0</v>
      </c>
      <c r="Z33" s="104">
        <f t="shared" si="8"/>
        <v>2675.55</v>
      </c>
      <c r="AA33" s="110">
        <f t="shared" si="7"/>
        <v>0</v>
      </c>
      <c r="AB33" s="104">
        <f t="shared" si="9"/>
        <v>2675.55</v>
      </c>
      <c r="AC33" s="111">
        <f t="shared" si="4"/>
        <v>267.55500000000001</v>
      </c>
      <c r="AD33" s="110">
        <f t="shared" si="5"/>
        <v>23.325199999999999</v>
      </c>
      <c r="AE33" s="112">
        <f t="shared" si="6"/>
        <v>2966.4302000000002</v>
      </c>
      <c r="AF33" s="113"/>
      <c r="AG33" s="114">
        <f t="shared" si="10"/>
        <v>2675.55</v>
      </c>
      <c r="AH33" s="113"/>
      <c r="AI33" s="113"/>
      <c r="AJ33" s="114">
        <f t="shared" si="11"/>
        <v>2675.55</v>
      </c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</row>
    <row r="34" spans="1:52" s="131" customFormat="1" x14ac:dyDescent="0.25">
      <c r="A34" s="121" t="s">
        <v>382</v>
      </c>
      <c r="B34" s="121" t="s">
        <v>426</v>
      </c>
      <c r="C34" s="121" t="s">
        <v>31</v>
      </c>
      <c r="D34" s="121"/>
      <c r="E34" s="121" t="s">
        <v>191</v>
      </c>
      <c r="F34" s="122">
        <v>42415</v>
      </c>
      <c r="G34" s="121"/>
      <c r="H34" s="121"/>
      <c r="I34" s="123">
        <v>513.33000000000004</v>
      </c>
      <c r="J34" s="123">
        <v>653.33000000000004</v>
      </c>
      <c r="K34" s="124">
        <f t="shared" si="0"/>
        <v>1166.6600000000001</v>
      </c>
      <c r="L34" s="124"/>
      <c r="M34" s="124"/>
      <c r="N34" s="124"/>
      <c r="O34" s="125"/>
      <c r="P34" s="126">
        <f t="shared" si="1"/>
        <v>1166.6600000000001</v>
      </c>
      <c r="Q34" s="127"/>
      <c r="R34" s="127"/>
      <c r="S34" s="127"/>
      <c r="T34" s="127"/>
      <c r="U34" s="127"/>
      <c r="V34" s="128"/>
      <c r="W34" s="128"/>
      <c r="X34" s="121"/>
      <c r="Y34" s="137"/>
      <c r="Z34" s="126">
        <f t="shared" si="8"/>
        <v>1166.6600000000001</v>
      </c>
      <c r="AA34" s="130">
        <f t="shared" si="7"/>
        <v>0</v>
      </c>
      <c r="AB34" s="126">
        <f t="shared" si="9"/>
        <v>1166.6600000000001</v>
      </c>
      <c r="AC34" s="130">
        <f t="shared" si="4"/>
        <v>116.66600000000001</v>
      </c>
      <c r="AD34" s="130">
        <f t="shared" si="5"/>
        <v>10.2666</v>
      </c>
      <c r="AE34" s="112">
        <f t="shared" si="6"/>
        <v>1293.5925999999999</v>
      </c>
      <c r="AG34" s="132"/>
      <c r="AJ34" s="132"/>
    </row>
    <row r="35" spans="1:52" x14ac:dyDescent="0.25">
      <c r="A35" s="98" t="s">
        <v>382</v>
      </c>
      <c r="B35" s="98" t="s">
        <v>427</v>
      </c>
      <c r="C35" s="98" t="s">
        <v>31</v>
      </c>
      <c r="D35" s="98" t="s">
        <v>277</v>
      </c>
      <c r="E35" s="98" t="s">
        <v>191</v>
      </c>
      <c r="F35" s="98"/>
      <c r="G35" s="99"/>
      <c r="H35" s="99"/>
      <c r="I35" s="98">
        <v>513.33000000000004</v>
      </c>
      <c r="J35" s="99"/>
      <c r="K35" s="101">
        <f t="shared" si="0"/>
        <v>513.33000000000004</v>
      </c>
      <c r="L35" s="101">
        <v>8461.1</v>
      </c>
      <c r="M35" s="102"/>
      <c r="N35" s="102"/>
      <c r="O35" s="103"/>
      <c r="P35" s="104">
        <f t="shared" si="1"/>
        <v>8974.43</v>
      </c>
      <c r="Q35" s="105"/>
      <c r="R35" s="106">
        <v>0</v>
      </c>
      <c r="S35" s="106"/>
      <c r="T35" s="106"/>
      <c r="U35" s="106"/>
      <c r="V35" s="107"/>
      <c r="W35" s="107"/>
      <c r="X35" s="108"/>
      <c r="Y35" s="116">
        <v>349.07</v>
      </c>
      <c r="Z35" s="104">
        <f t="shared" si="8"/>
        <v>8625.36</v>
      </c>
      <c r="AA35" s="110">
        <f t="shared" si="7"/>
        <v>897.4430000000001</v>
      </c>
      <c r="AB35" s="104">
        <f t="shared" si="9"/>
        <v>7727.9170000000004</v>
      </c>
      <c r="AC35" s="111">
        <f t="shared" si="4"/>
        <v>0</v>
      </c>
      <c r="AD35" s="110">
        <f t="shared" si="5"/>
        <v>10.2666</v>
      </c>
      <c r="AE35" s="112">
        <f t="shared" si="6"/>
        <v>8984.6966000000011</v>
      </c>
      <c r="AF35" s="113"/>
      <c r="AG35" s="114">
        <f t="shared" ref="AG35:AG44" si="12">+AB35-AF35</f>
        <v>7727.9170000000004</v>
      </c>
      <c r="AH35" s="113"/>
      <c r="AI35" s="113"/>
      <c r="AJ35" s="114">
        <f t="shared" ref="AJ35:AJ44" si="13">+AG35-AH35-AI35</f>
        <v>7727.9170000000004</v>
      </c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</row>
    <row r="36" spans="1:52" x14ac:dyDescent="0.25">
      <c r="A36" s="98" t="s">
        <v>382</v>
      </c>
      <c r="B36" s="98" t="s">
        <v>428</v>
      </c>
      <c r="C36" s="98" t="s">
        <v>31</v>
      </c>
      <c r="D36" s="98" t="s">
        <v>83</v>
      </c>
      <c r="E36" s="98" t="s">
        <v>191</v>
      </c>
      <c r="F36" s="98"/>
      <c r="G36" s="99"/>
      <c r="H36" s="99"/>
      <c r="I36" s="98">
        <v>513.33000000000004</v>
      </c>
      <c r="J36" s="99"/>
      <c r="K36" s="101">
        <f t="shared" si="0"/>
        <v>513.33000000000004</v>
      </c>
      <c r="L36" s="101">
        <v>11221.46</v>
      </c>
      <c r="M36" s="102"/>
      <c r="N36" s="102"/>
      <c r="O36" s="103"/>
      <c r="P36" s="104">
        <f t="shared" si="1"/>
        <v>11734.789999999999</v>
      </c>
      <c r="Q36" s="105"/>
      <c r="R36" s="106">
        <v>0</v>
      </c>
      <c r="S36" s="106"/>
      <c r="T36" s="106"/>
      <c r="U36" s="106"/>
      <c r="V36" s="107"/>
      <c r="W36" s="107"/>
      <c r="X36" s="108"/>
      <c r="Y36" s="116">
        <v>0</v>
      </c>
      <c r="Z36" s="104">
        <f t="shared" si="8"/>
        <v>11734.789999999999</v>
      </c>
      <c r="AA36" s="110">
        <f t="shared" si="7"/>
        <v>1173.479</v>
      </c>
      <c r="AB36" s="104">
        <f t="shared" si="9"/>
        <v>10561.311</v>
      </c>
      <c r="AC36" s="111">
        <f t="shared" si="4"/>
        <v>0</v>
      </c>
      <c r="AD36" s="110">
        <f t="shared" si="5"/>
        <v>10.2666</v>
      </c>
      <c r="AE36" s="112">
        <f t="shared" si="6"/>
        <v>11745.0566</v>
      </c>
      <c r="AF36" s="113"/>
      <c r="AG36" s="114">
        <f t="shared" si="12"/>
        <v>10561.311</v>
      </c>
      <c r="AH36" s="113"/>
      <c r="AI36" s="113"/>
      <c r="AJ36" s="114">
        <f t="shared" si="13"/>
        <v>10561.311</v>
      </c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</row>
    <row r="37" spans="1:52" x14ac:dyDescent="0.25">
      <c r="A37" s="98" t="s">
        <v>382</v>
      </c>
      <c r="B37" s="98" t="s">
        <v>429</v>
      </c>
      <c r="C37" s="98" t="s">
        <v>32</v>
      </c>
      <c r="D37" s="98" t="s">
        <v>85</v>
      </c>
      <c r="E37" s="98" t="s">
        <v>191</v>
      </c>
      <c r="F37" s="98"/>
      <c r="G37" s="99"/>
      <c r="H37" s="99"/>
      <c r="I37" s="98">
        <v>513.33000000000004</v>
      </c>
      <c r="J37" s="99"/>
      <c r="K37" s="101">
        <f t="shared" si="0"/>
        <v>513.33000000000004</v>
      </c>
      <c r="L37" s="101">
        <v>4867.3599999999997</v>
      </c>
      <c r="M37" s="102"/>
      <c r="N37" s="102"/>
      <c r="O37" s="103"/>
      <c r="P37" s="104">
        <f t="shared" si="1"/>
        <v>5380.69</v>
      </c>
      <c r="Q37" s="105"/>
      <c r="R37" s="106">
        <v>0</v>
      </c>
      <c r="S37" s="106"/>
      <c r="T37" s="106"/>
      <c r="U37" s="106"/>
      <c r="V37" s="107"/>
      <c r="W37" s="107"/>
      <c r="X37" s="108"/>
      <c r="Y37" s="116">
        <v>0</v>
      </c>
      <c r="Z37" s="104">
        <f t="shared" si="8"/>
        <v>5380.69</v>
      </c>
      <c r="AA37" s="110">
        <f t="shared" si="7"/>
        <v>538.06899999999996</v>
      </c>
      <c r="AB37" s="104">
        <f t="shared" si="9"/>
        <v>4842.6209999999992</v>
      </c>
      <c r="AC37" s="111">
        <f t="shared" si="4"/>
        <v>0</v>
      </c>
      <c r="AD37" s="110">
        <f t="shared" si="5"/>
        <v>10.2666</v>
      </c>
      <c r="AE37" s="112">
        <f t="shared" si="6"/>
        <v>5390.9565999999995</v>
      </c>
      <c r="AF37" s="113"/>
      <c r="AG37" s="114">
        <f t="shared" si="12"/>
        <v>4842.6209999999992</v>
      </c>
      <c r="AH37" s="113"/>
      <c r="AI37" s="113"/>
      <c r="AJ37" s="114">
        <f t="shared" si="13"/>
        <v>4842.6209999999992</v>
      </c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</row>
    <row r="38" spans="1:52" x14ac:dyDescent="0.25">
      <c r="A38" s="118" t="s">
        <v>388</v>
      </c>
      <c r="B38" s="98" t="s">
        <v>430</v>
      </c>
      <c r="C38" s="98"/>
      <c r="D38" s="98" t="s">
        <v>87</v>
      </c>
      <c r="E38" s="98" t="s">
        <v>182</v>
      </c>
      <c r="F38" s="98"/>
      <c r="G38" s="98"/>
      <c r="H38" s="98"/>
      <c r="I38" s="98">
        <v>739.23</v>
      </c>
      <c r="J38" s="98"/>
      <c r="K38" s="101">
        <f t="shared" si="0"/>
        <v>739.23</v>
      </c>
      <c r="L38" s="101">
        <v>2095.4160000000002</v>
      </c>
      <c r="M38" s="101"/>
      <c r="N38" s="101"/>
      <c r="O38" s="103"/>
      <c r="P38" s="104">
        <f t="shared" si="1"/>
        <v>2834.6460000000002</v>
      </c>
      <c r="Q38" s="105"/>
      <c r="R38" s="106">
        <v>0</v>
      </c>
      <c r="S38" s="106"/>
      <c r="T38" s="106"/>
      <c r="U38" s="106"/>
      <c r="V38" s="107"/>
      <c r="W38" s="107"/>
      <c r="X38" s="108"/>
      <c r="Y38" s="109">
        <v>0</v>
      </c>
      <c r="Z38" s="104">
        <f t="shared" si="8"/>
        <v>2834.6460000000002</v>
      </c>
      <c r="AA38" s="110">
        <f t="shared" si="7"/>
        <v>0</v>
      </c>
      <c r="AB38" s="104">
        <f t="shared" si="9"/>
        <v>2834.6460000000002</v>
      </c>
      <c r="AC38" s="111">
        <f t="shared" si="4"/>
        <v>283.46460000000002</v>
      </c>
      <c r="AD38" s="110">
        <f t="shared" si="5"/>
        <v>14.784600000000001</v>
      </c>
      <c r="AE38" s="112">
        <f t="shared" si="6"/>
        <v>3132.8951999999999</v>
      </c>
      <c r="AF38" s="113"/>
      <c r="AG38" s="114">
        <f t="shared" si="12"/>
        <v>2834.6460000000002</v>
      </c>
      <c r="AH38" s="113"/>
      <c r="AI38" s="113"/>
      <c r="AJ38" s="114">
        <f t="shared" si="13"/>
        <v>2834.6460000000002</v>
      </c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</row>
    <row r="39" spans="1:52" x14ac:dyDescent="0.25">
      <c r="A39" s="98" t="s">
        <v>382</v>
      </c>
      <c r="B39" s="98" t="s">
        <v>431</v>
      </c>
      <c r="C39" s="98" t="s">
        <v>33</v>
      </c>
      <c r="D39" s="98" t="s">
        <v>89</v>
      </c>
      <c r="E39" s="98" t="s">
        <v>191</v>
      </c>
      <c r="F39" s="98"/>
      <c r="G39" s="99"/>
      <c r="H39" s="99"/>
      <c r="I39" s="98">
        <v>513.33000000000004</v>
      </c>
      <c r="J39" s="99"/>
      <c r="K39" s="101">
        <f t="shared" si="0"/>
        <v>513.33000000000004</v>
      </c>
      <c r="L39" s="101">
        <v>5764.25</v>
      </c>
      <c r="M39" s="102"/>
      <c r="N39" s="102"/>
      <c r="O39" s="103"/>
      <c r="P39" s="104">
        <f t="shared" ref="P39:P69" si="14">SUM(K39:N39)-O39</f>
        <v>6277.58</v>
      </c>
      <c r="Q39" s="105"/>
      <c r="R39" s="106">
        <v>0</v>
      </c>
      <c r="S39" s="106"/>
      <c r="T39" s="106"/>
      <c r="U39" s="106"/>
      <c r="V39" s="107"/>
      <c r="W39" s="107"/>
      <c r="X39" s="108"/>
      <c r="Y39" s="116">
        <v>0</v>
      </c>
      <c r="Z39" s="104">
        <f t="shared" si="8"/>
        <v>6277.58</v>
      </c>
      <c r="AA39" s="110">
        <f t="shared" si="7"/>
        <v>627.75800000000004</v>
      </c>
      <c r="AB39" s="104">
        <f t="shared" si="9"/>
        <v>5649.8220000000001</v>
      </c>
      <c r="AC39" s="111">
        <f t="shared" si="4"/>
        <v>0</v>
      </c>
      <c r="AD39" s="110">
        <f t="shared" si="5"/>
        <v>10.2666</v>
      </c>
      <c r="AE39" s="112">
        <f t="shared" si="6"/>
        <v>6287.8465999999999</v>
      </c>
      <c r="AF39" s="113"/>
      <c r="AG39" s="114">
        <f t="shared" si="12"/>
        <v>5649.8220000000001</v>
      </c>
      <c r="AH39" s="113"/>
      <c r="AI39" s="113"/>
      <c r="AJ39" s="114">
        <f t="shared" si="13"/>
        <v>5649.8220000000001</v>
      </c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</row>
    <row r="40" spans="1:52" x14ac:dyDescent="0.25">
      <c r="A40" s="98" t="s">
        <v>382</v>
      </c>
      <c r="B40" s="98" t="s">
        <v>432</v>
      </c>
      <c r="C40" s="98" t="s">
        <v>32</v>
      </c>
      <c r="D40" s="98" t="s">
        <v>91</v>
      </c>
      <c r="E40" s="98" t="s">
        <v>191</v>
      </c>
      <c r="F40" s="98"/>
      <c r="G40" s="99"/>
      <c r="H40" s="99"/>
      <c r="I40" s="98">
        <v>513.33000000000004</v>
      </c>
      <c r="J40" s="99"/>
      <c r="K40" s="101">
        <f t="shared" si="0"/>
        <v>513.33000000000004</v>
      </c>
      <c r="L40" s="101"/>
      <c r="M40" s="102"/>
      <c r="N40" s="102"/>
      <c r="O40" s="103"/>
      <c r="P40" s="104">
        <f t="shared" si="14"/>
        <v>513.33000000000004</v>
      </c>
      <c r="Q40" s="105"/>
      <c r="R40" s="106">
        <v>0</v>
      </c>
      <c r="S40" s="106"/>
      <c r="T40" s="106"/>
      <c r="U40" s="106"/>
      <c r="V40" s="107"/>
      <c r="W40" s="107"/>
      <c r="X40" s="108"/>
      <c r="Y40" s="116">
        <v>771.61</v>
      </c>
      <c r="Z40" s="104">
        <f t="shared" si="8"/>
        <v>-258.27999999999997</v>
      </c>
      <c r="AA40" s="110">
        <f t="shared" si="7"/>
        <v>0</v>
      </c>
      <c r="AB40" s="104">
        <f t="shared" si="9"/>
        <v>-258.27999999999997</v>
      </c>
      <c r="AC40" s="111">
        <f t="shared" si="4"/>
        <v>51.333000000000006</v>
      </c>
      <c r="AD40" s="110">
        <f t="shared" si="5"/>
        <v>10.2666</v>
      </c>
      <c r="AE40" s="112">
        <f t="shared" si="6"/>
        <v>574.92960000000005</v>
      </c>
      <c r="AF40" s="113"/>
      <c r="AG40" s="114">
        <f t="shared" si="12"/>
        <v>-258.27999999999997</v>
      </c>
      <c r="AH40" s="113"/>
      <c r="AI40" s="113"/>
      <c r="AJ40" s="114">
        <f t="shared" si="13"/>
        <v>-258.27999999999997</v>
      </c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</row>
    <row r="41" spans="1:52" x14ac:dyDescent="0.25">
      <c r="A41" s="98" t="s">
        <v>394</v>
      </c>
      <c r="B41" s="98" t="s">
        <v>433</v>
      </c>
      <c r="C41" s="98" t="s">
        <v>396</v>
      </c>
      <c r="D41" s="98" t="s">
        <v>93</v>
      </c>
      <c r="E41" s="98" t="s">
        <v>397</v>
      </c>
      <c r="F41" s="98"/>
      <c r="G41" s="99"/>
      <c r="H41" s="99"/>
      <c r="I41" s="98">
        <v>513.33000000000004</v>
      </c>
      <c r="J41" s="99"/>
      <c r="K41" s="101">
        <f t="shared" si="0"/>
        <v>513.33000000000004</v>
      </c>
      <c r="L41" s="101">
        <v>2500</v>
      </c>
      <c r="M41" s="102"/>
      <c r="N41" s="102"/>
      <c r="O41" s="103"/>
      <c r="P41" s="104">
        <f t="shared" si="14"/>
        <v>3013.33</v>
      </c>
      <c r="Q41" s="105"/>
      <c r="R41" s="106">
        <v>0</v>
      </c>
      <c r="S41" s="106"/>
      <c r="T41" s="106"/>
      <c r="U41" s="106"/>
      <c r="V41" s="107"/>
      <c r="W41" s="107"/>
      <c r="X41" s="108"/>
      <c r="Y41" s="109">
        <v>0</v>
      </c>
      <c r="Z41" s="104">
        <f t="shared" si="8"/>
        <v>3013.33</v>
      </c>
      <c r="AA41" s="110">
        <f t="shared" si="7"/>
        <v>0</v>
      </c>
      <c r="AB41" s="104">
        <f t="shared" si="9"/>
        <v>3013.33</v>
      </c>
      <c r="AC41" s="111">
        <f t="shared" si="4"/>
        <v>301.33300000000003</v>
      </c>
      <c r="AD41" s="110">
        <f t="shared" si="5"/>
        <v>10.2666</v>
      </c>
      <c r="AE41" s="112">
        <f t="shared" si="6"/>
        <v>3324.9295999999999</v>
      </c>
      <c r="AF41" s="113"/>
      <c r="AG41" s="114">
        <f t="shared" si="12"/>
        <v>3013.33</v>
      </c>
      <c r="AH41" s="113"/>
      <c r="AI41" s="113"/>
      <c r="AJ41" s="114">
        <f t="shared" si="13"/>
        <v>3013.33</v>
      </c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</row>
    <row r="42" spans="1:52" x14ac:dyDescent="0.25">
      <c r="A42" s="98" t="s">
        <v>382</v>
      </c>
      <c r="B42" s="98" t="s">
        <v>434</v>
      </c>
      <c r="C42" s="98" t="s">
        <v>32</v>
      </c>
      <c r="D42" s="98" t="s">
        <v>95</v>
      </c>
      <c r="E42" s="98" t="s">
        <v>191</v>
      </c>
      <c r="F42" s="98"/>
      <c r="G42" s="99"/>
      <c r="H42" s="99"/>
      <c r="I42" s="98">
        <v>513.33000000000004</v>
      </c>
      <c r="J42" s="99"/>
      <c r="K42" s="101">
        <f t="shared" si="0"/>
        <v>513.33000000000004</v>
      </c>
      <c r="L42" s="101"/>
      <c r="M42" s="102"/>
      <c r="N42" s="102"/>
      <c r="O42" s="103"/>
      <c r="P42" s="104">
        <f t="shared" si="14"/>
        <v>513.33000000000004</v>
      </c>
      <c r="Q42" s="105"/>
      <c r="R42" s="106">
        <v>0</v>
      </c>
      <c r="S42" s="106"/>
      <c r="T42" s="106"/>
      <c r="U42" s="106"/>
      <c r="V42" s="107"/>
      <c r="W42" s="107"/>
      <c r="X42" s="108"/>
      <c r="Y42" s="116">
        <v>0</v>
      </c>
      <c r="Z42" s="104">
        <f t="shared" si="8"/>
        <v>513.33000000000004</v>
      </c>
      <c r="AA42" s="110">
        <f t="shared" si="7"/>
        <v>0</v>
      </c>
      <c r="AB42" s="104">
        <f t="shared" si="9"/>
        <v>513.33000000000004</v>
      </c>
      <c r="AC42" s="111">
        <f t="shared" si="4"/>
        <v>51.333000000000006</v>
      </c>
      <c r="AD42" s="110">
        <f t="shared" si="5"/>
        <v>10.2666</v>
      </c>
      <c r="AE42" s="112">
        <f t="shared" si="6"/>
        <v>574.92960000000005</v>
      </c>
      <c r="AF42" s="113"/>
      <c r="AG42" s="114">
        <f t="shared" si="12"/>
        <v>513.33000000000004</v>
      </c>
      <c r="AH42" s="113"/>
      <c r="AI42" s="113"/>
      <c r="AJ42" s="114">
        <f t="shared" si="13"/>
        <v>513.33000000000004</v>
      </c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</row>
    <row r="43" spans="1:52" x14ac:dyDescent="0.25">
      <c r="A43" s="98" t="s">
        <v>380</v>
      </c>
      <c r="B43" s="98" t="s">
        <v>435</v>
      </c>
      <c r="C43" s="98"/>
      <c r="D43" s="98" t="s">
        <v>97</v>
      </c>
      <c r="E43" s="98" t="s">
        <v>188</v>
      </c>
      <c r="F43" s="98"/>
      <c r="G43" s="98"/>
      <c r="H43" s="98"/>
      <c r="I43" s="100">
        <v>1633.33</v>
      </c>
      <c r="J43" s="98"/>
      <c r="K43" s="101">
        <f t="shared" si="0"/>
        <v>1633.33</v>
      </c>
      <c r="L43" s="101"/>
      <c r="M43" s="101"/>
      <c r="N43" s="101"/>
      <c r="O43" s="103"/>
      <c r="P43" s="104">
        <f t="shared" si="14"/>
        <v>1633.33</v>
      </c>
      <c r="Q43" s="105"/>
      <c r="R43" s="106">
        <v>0</v>
      </c>
      <c r="S43" s="106"/>
      <c r="T43" s="106"/>
      <c r="U43" s="106"/>
      <c r="V43" s="107"/>
      <c r="W43" s="107"/>
      <c r="X43" s="108"/>
      <c r="Y43" s="109">
        <v>0</v>
      </c>
      <c r="Z43" s="104">
        <f t="shared" si="8"/>
        <v>1633.33</v>
      </c>
      <c r="AA43" s="110">
        <f t="shared" si="7"/>
        <v>0</v>
      </c>
      <c r="AB43" s="104">
        <f t="shared" si="9"/>
        <v>1633.33</v>
      </c>
      <c r="AC43" s="111">
        <f t="shared" si="4"/>
        <v>163.333</v>
      </c>
      <c r="AD43" s="110">
        <f t="shared" si="5"/>
        <v>32.666600000000003</v>
      </c>
      <c r="AE43" s="112">
        <f t="shared" si="6"/>
        <v>1829.3296</v>
      </c>
      <c r="AF43" s="113"/>
      <c r="AG43" s="114">
        <f t="shared" si="12"/>
        <v>1633.33</v>
      </c>
      <c r="AH43" s="113"/>
      <c r="AI43" s="113"/>
      <c r="AJ43" s="114">
        <f t="shared" si="13"/>
        <v>1633.33</v>
      </c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</row>
    <row r="44" spans="1:52" x14ac:dyDescent="0.25">
      <c r="A44" s="98" t="s">
        <v>382</v>
      </c>
      <c r="B44" s="98" t="s">
        <v>34</v>
      </c>
      <c r="C44" s="98" t="s">
        <v>31</v>
      </c>
      <c r="D44" s="98" t="s">
        <v>100</v>
      </c>
      <c r="E44" s="98" t="s">
        <v>191</v>
      </c>
      <c r="F44" s="98"/>
      <c r="G44" s="99"/>
      <c r="H44" s="99"/>
      <c r="I44" s="98">
        <v>513.33000000000004</v>
      </c>
      <c r="J44" s="99"/>
      <c r="K44" s="101">
        <f t="shared" si="0"/>
        <v>513.33000000000004</v>
      </c>
      <c r="L44" s="101"/>
      <c r="M44" s="102"/>
      <c r="N44" s="102"/>
      <c r="O44" s="103"/>
      <c r="P44" s="104">
        <f t="shared" si="14"/>
        <v>513.33000000000004</v>
      </c>
      <c r="Q44" s="105"/>
      <c r="R44" s="106">
        <v>0</v>
      </c>
      <c r="S44" s="106"/>
      <c r="T44" s="106"/>
      <c r="U44" s="106"/>
      <c r="V44" s="107"/>
      <c r="W44" s="107"/>
      <c r="X44" s="108"/>
      <c r="Y44" s="116">
        <v>210.56</v>
      </c>
      <c r="Z44" s="104">
        <f t="shared" si="8"/>
        <v>302.77000000000004</v>
      </c>
      <c r="AA44" s="110">
        <f t="shared" si="7"/>
        <v>0</v>
      </c>
      <c r="AB44" s="104">
        <f t="shared" si="9"/>
        <v>302.77000000000004</v>
      </c>
      <c r="AC44" s="111">
        <f t="shared" si="4"/>
        <v>51.333000000000006</v>
      </c>
      <c r="AD44" s="110">
        <f t="shared" si="5"/>
        <v>10.2666</v>
      </c>
      <c r="AE44" s="112">
        <f t="shared" si="6"/>
        <v>574.92960000000005</v>
      </c>
      <c r="AF44" s="113"/>
      <c r="AG44" s="114">
        <f t="shared" si="12"/>
        <v>302.77000000000004</v>
      </c>
      <c r="AH44" s="113"/>
      <c r="AI44" s="113"/>
      <c r="AJ44" s="114">
        <f t="shared" si="13"/>
        <v>302.77000000000004</v>
      </c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</row>
    <row r="45" spans="1:52" s="131" customFormat="1" x14ac:dyDescent="0.25">
      <c r="A45" s="121" t="s">
        <v>436</v>
      </c>
      <c r="B45" s="121" t="s">
        <v>437</v>
      </c>
      <c r="C45" s="121"/>
      <c r="D45" s="121"/>
      <c r="E45" s="121" t="s">
        <v>187</v>
      </c>
      <c r="F45" s="121"/>
      <c r="G45" s="121"/>
      <c r="H45" s="121"/>
      <c r="I45" s="121">
        <v>1400</v>
      </c>
      <c r="J45" s="121"/>
      <c r="K45" s="124">
        <f t="shared" si="0"/>
        <v>1400</v>
      </c>
      <c r="L45" s="124"/>
      <c r="M45" s="124"/>
      <c r="N45" s="124"/>
      <c r="O45" s="125"/>
      <c r="P45" s="126">
        <f t="shared" si="14"/>
        <v>1400</v>
      </c>
      <c r="Q45" s="127"/>
      <c r="R45" s="127"/>
      <c r="S45" s="127"/>
      <c r="T45" s="127"/>
      <c r="U45" s="127"/>
      <c r="V45" s="128"/>
      <c r="W45" s="128"/>
      <c r="X45" s="121"/>
      <c r="Y45" s="129"/>
      <c r="Z45" s="126">
        <f t="shared" si="8"/>
        <v>1400</v>
      </c>
      <c r="AA45" s="130">
        <f t="shared" si="7"/>
        <v>0</v>
      </c>
      <c r="AB45" s="126">
        <f t="shared" si="9"/>
        <v>1400</v>
      </c>
      <c r="AC45" s="130">
        <f t="shared" si="4"/>
        <v>140</v>
      </c>
      <c r="AD45" s="130">
        <f t="shared" si="5"/>
        <v>28</v>
      </c>
      <c r="AE45" s="112">
        <f t="shared" si="6"/>
        <v>1568</v>
      </c>
      <c r="AG45" s="132"/>
      <c r="AJ45" s="132"/>
    </row>
    <row r="46" spans="1:52" x14ac:dyDescent="0.25">
      <c r="A46" s="118" t="s">
        <v>386</v>
      </c>
      <c r="B46" s="98" t="s">
        <v>438</v>
      </c>
      <c r="C46" s="98"/>
      <c r="D46" s="98" t="s">
        <v>102</v>
      </c>
      <c r="E46" s="98" t="s">
        <v>192</v>
      </c>
      <c r="F46" s="98"/>
      <c r="G46" s="99"/>
      <c r="H46" s="99"/>
      <c r="I46" s="119">
        <v>608.16</v>
      </c>
      <c r="J46" s="99"/>
      <c r="K46" s="101">
        <f t="shared" si="0"/>
        <v>608.16</v>
      </c>
      <c r="L46" s="101">
        <v>443.3</v>
      </c>
      <c r="M46" s="102"/>
      <c r="N46" s="102"/>
      <c r="O46" s="103"/>
      <c r="P46" s="104">
        <f t="shared" si="14"/>
        <v>1051.46</v>
      </c>
      <c r="Q46" s="105"/>
      <c r="R46" s="120">
        <v>100</v>
      </c>
      <c r="S46" s="120">
        <f>P46*1%</f>
        <v>10.5146</v>
      </c>
      <c r="T46" s="120">
        <f>P46*4.9%</f>
        <v>51.521540000000002</v>
      </c>
      <c r="U46" s="106"/>
      <c r="V46" s="107"/>
      <c r="W46" s="107"/>
      <c r="X46" s="108"/>
      <c r="Y46" s="109">
        <v>0</v>
      </c>
      <c r="Z46" s="104">
        <f t="shared" si="8"/>
        <v>889.4238600000001</v>
      </c>
      <c r="AA46" s="110">
        <f t="shared" si="7"/>
        <v>0</v>
      </c>
      <c r="AB46" s="104">
        <f t="shared" si="9"/>
        <v>889.4238600000001</v>
      </c>
      <c r="AC46" s="111">
        <f t="shared" si="4"/>
        <v>105.14600000000002</v>
      </c>
      <c r="AD46" s="110">
        <f t="shared" si="5"/>
        <v>12.1632</v>
      </c>
      <c r="AE46" s="112">
        <f t="shared" si="6"/>
        <v>1168.7692</v>
      </c>
      <c r="AF46" s="113"/>
      <c r="AG46" s="114">
        <f>+AB46-AF46</f>
        <v>889.4238600000001</v>
      </c>
      <c r="AH46" s="113"/>
      <c r="AI46" s="113"/>
      <c r="AJ46" s="114">
        <f>+AG46-AH46-AI46</f>
        <v>889.4238600000001</v>
      </c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</row>
    <row r="47" spans="1:52" x14ac:dyDescent="0.25">
      <c r="A47" s="118" t="s">
        <v>386</v>
      </c>
      <c r="B47" s="98" t="s">
        <v>439</v>
      </c>
      <c r="C47" s="98"/>
      <c r="D47" s="98" t="s">
        <v>104</v>
      </c>
      <c r="E47" s="98" t="s">
        <v>194</v>
      </c>
      <c r="F47" s="98"/>
      <c r="G47" s="99"/>
      <c r="H47" s="99"/>
      <c r="I47" s="119">
        <v>608.16</v>
      </c>
      <c r="J47" s="99"/>
      <c r="K47" s="101">
        <f t="shared" si="0"/>
        <v>608.16</v>
      </c>
      <c r="L47" s="101">
        <f>3626.92+5.571</f>
        <v>3632.491</v>
      </c>
      <c r="M47" s="102"/>
      <c r="N47" s="102"/>
      <c r="O47" s="103"/>
      <c r="P47" s="104">
        <f t="shared" si="14"/>
        <v>4240.6509999999998</v>
      </c>
      <c r="Q47" s="105"/>
      <c r="R47" s="106"/>
      <c r="S47" s="120">
        <f>P47*1%</f>
        <v>42.406509999999997</v>
      </c>
      <c r="T47" s="120">
        <f>P47*4.9%</f>
        <v>207.791899</v>
      </c>
      <c r="U47" s="106"/>
      <c r="V47" s="107"/>
      <c r="W47" s="107"/>
      <c r="X47" s="108"/>
      <c r="Y47" s="109">
        <v>0</v>
      </c>
      <c r="Z47" s="104">
        <f t="shared" si="8"/>
        <v>3990.4525909999998</v>
      </c>
      <c r="AA47" s="110">
        <f t="shared" si="7"/>
        <v>0</v>
      </c>
      <c r="AB47" s="104">
        <f t="shared" si="9"/>
        <v>3990.4525909999998</v>
      </c>
      <c r="AC47" s="111">
        <f t="shared" si="4"/>
        <v>424.06510000000003</v>
      </c>
      <c r="AD47" s="110">
        <f t="shared" si="5"/>
        <v>12.1632</v>
      </c>
      <c r="AE47" s="112">
        <f t="shared" si="6"/>
        <v>4676.8792999999996</v>
      </c>
      <c r="AF47" s="113"/>
      <c r="AG47" s="114">
        <f>+AB47-AF47</f>
        <v>3990.4525909999998</v>
      </c>
      <c r="AH47" s="113"/>
      <c r="AI47" s="113"/>
      <c r="AJ47" s="114">
        <f>+AG47-AH47-AI47</f>
        <v>3990.4525909999998</v>
      </c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</row>
    <row r="48" spans="1:52" x14ac:dyDescent="0.25">
      <c r="A48" s="118" t="s">
        <v>388</v>
      </c>
      <c r="B48" s="98" t="s">
        <v>440</v>
      </c>
      <c r="C48" s="98"/>
      <c r="D48" s="98" t="s">
        <v>106</v>
      </c>
      <c r="E48" s="98" t="s">
        <v>178</v>
      </c>
      <c r="F48" s="98"/>
      <c r="G48" s="98"/>
      <c r="H48" s="98"/>
      <c r="I48" s="98">
        <v>739.23</v>
      </c>
      <c r="J48" s="98"/>
      <c r="K48" s="101">
        <f t="shared" si="0"/>
        <v>739.23</v>
      </c>
      <c r="L48" s="101">
        <v>3087.3820000000001</v>
      </c>
      <c r="M48" s="101"/>
      <c r="N48" s="101"/>
      <c r="O48" s="103"/>
      <c r="P48" s="104">
        <f t="shared" si="14"/>
        <v>3826.6120000000001</v>
      </c>
      <c r="Q48" s="105"/>
      <c r="R48" s="106">
        <v>0</v>
      </c>
      <c r="S48" s="106"/>
      <c r="T48" s="106"/>
      <c r="U48" s="106"/>
      <c r="V48" s="107"/>
      <c r="W48" s="107"/>
      <c r="X48" s="108"/>
      <c r="Y48" s="109">
        <v>0</v>
      </c>
      <c r="Z48" s="104">
        <f t="shared" si="8"/>
        <v>3826.6120000000001</v>
      </c>
      <c r="AA48" s="110">
        <f t="shared" si="7"/>
        <v>0</v>
      </c>
      <c r="AB48" s="104">
        <f t="shared" si="9"/>
        <v>3826.6120000000001</v>
      </c>
      <c r="AC48" s="111">
        <f t="shared" si="4"/>
        <v>382.66120000000001</v>
      </c>
      <c r="AD48" s="110">
        <f t="shared" si="5"/>
        <v>14.784600000000001</v>
      </c>
      <c r="AE48" s="112">
        <f t="shared" si="6"/>
        <v>4224.0577999999996</v>
      </c>
      <c r="AF48" s="113"/>
      <c r="AG48" s="114">
        <f>+AB48-AF48</f>
        <v>3826.6120000000001</v>
      </c>
      <c r="AH48" s="113"/>
      <c r="AI48" s="113"/>
      <c r="AJ48" s="114">
        <f>+AG48-AH48-AI48</f>
        <v>3826.6120000000001</v>
      </c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</row>
    <row r="49" spans="1:52" s="131" customFormat="1" x14ac:dyDescent="0.25">
      <c r="A49" s="118" t="s">
        <v>386</v>
      </c>
      <c r="B49" s="121" t="s">
        <v>441</v>
      </c>
      <c r="C49" s="121"/>
      <c r="D49" s="121"/>
      <c r="E49" s="121" t="s">
        <v>178</v>
      </c>
      <c r="F49" s="121"/>
      <c r="G49" s="121"/>
      <c r="H49" s="121"/>
      <c r="I49" s="127">
        <v>739.23</v>
      </c>
      <c r="J49" s="121"/>
      <c r="K49" s="124">
        <f t="shared" si="0"/>
        <v>739.23</v>
      </c>
      <c r="L49" s="124">
        <v>835.52</v>
      </c>
      <c r="M49" s="124"/>
      <c r="N49" s="124"/>
      <c r="O49" s="125"/>
      <c r="P49" s="126">
        <f t="shared" si="14"/>
        <v>1574.75</v>
      </c>
      <c r="Q49" s="127"/>
      <c r="R49" s="127"/>
      <c r="S49" s="127"/>
      <c r="T49" s="127">
        <f>P49*1%</f>
        <v>15.7475</v>
      </c>
      <c r="U49" s="127"/>
      <c r="V49" s="128"/>
      <c r="W49" s="128"/>
      <c r="X49" s="121"/>
      <c r="Y49" s="129"/>
      <c r="Z49" s="126">
        <f t="shared" si="8"/>
        <v>1559.0025000000001</v>
      </c>
      <c r="AA49" s="130">
        <f t="shared" si="7"/>
        <v>0</v>
      </c>
      <c r="AB49" s="126">
        <f t="shared" si="9"/>
        <v>1559.0025000000001</v>
      </c>
      <c r="AC49" s="130">
        <f t="shared" si="4"/>
        <v>157.47500000000002</v>
      </c>
      <c r="AD49" s="130">
        <f t="shared" si="5"/>
        <v>14.784600000000001</v>
      </c>
      <c r="AE49" s="112">
        <f t="shared" si="6"/>
        <v>1747.0095999999999</v>
      </c>
      <c r="AG49" s="132"/>
      <c r="AJ49" s="132"/>
    </row>
    <row r="50" spans="1:52" x14ac:dyDescent="0.25">
      <c r="A50" s="98" t="s">
        <v>382</v>
      </c>
      <c r="B50" s="98" t="s">
        <v>442</v>
      </c>
      <c r="C50" s="98" t="s">
        <v>32</v>
      </c>
      <c r="D50" s="98" t="s">
        <v>108</v>
      </c>
      <c r="E50" s="98" t="s">
        <v>191</v>
      </c>
      <c r="F50" s="98"/>
      <c r="G50" s="99"/>
      <c r="H50" s="99"/>
      <c r="I50" s="98">
        <v>513.33000000000004</v>
      </c>
      <c r="J50" s="99"/>
      <c r="K50" s="101">
        <f t="shared" si="0"/>
        <v>513.33000000000004</v>
      </c>
      <c r="L50" s="101"/>
      <c r="M50" s="102"/>
      <c r="N50" s="102"/>
      <c r="O50" s="103"/>
      <c r="P50" s="104">
        <f t="shared" si="14"/>
        <v>513.33000000000004</v>
      </c>
      <c r="Q50" s="105"/>
      <c r="R50" s="106">
        <v>0</v>
      </c>
      <c r="S50" s="106"/>
      <c r="T50" s="106"/>
      <c r="U50" s="106"/>
      <c r="V50" s="107"/>
      <c r="W50" s="107"/>
      <c r="X50" s="108"/>
      <c r="Y50" s="116">
        <v>0</v>
      </c>
      <c r="Z50" s="104">
        <f t="shared" si="8"/>
        <v>513.33000000000004</v>
      </c>
      <c r="AA50" s="110">
        <f t="shared" si="7"/>
        <v>0</v>
      </c>
      <c r="AB50" s="104">
        <f t="shared" si="9"/>
        <v>513.33000000000004</v>
      </c>
      <c r="AC50" s="111">
        <f t="shared" si="4"/>
        <v>51.333000000000006</v>
      </c>
      <c r="AD50" s="110">
        <f t="shared" si="5"/>
        <v>10.2666</v>
      </c>
      <c r="AE50" s="112">
        <f t="shared" si="6"/>
        <v>574.92960000000005</v>
      </c>
      <c r="AF50" s="113"/>
      <c r="AG50" s="114">
        <f t="shared" ref="AG50:AG67" si="15">+AB50-AF50</f>
        <v>513.33000000000004</v>
      </c>
      <c r="AH50" s="113"/>
      <c r="AI50" s="113"/>
      <c r="AJ50" s="114">
        <f t="shared" ref="AJ50:AJ67" si="16">+AG50-AH50-AI50</f>
        <v>513.33000000000004</v>
      </c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</row>
    <row r="51" spans="1:52" x14ac:dyDescent="0.25">
      <c r="A51" s="98" t="s">
        <v>382</v>
      </c>
      <c r="B51" s="98" t="s">
        <v>443</v>
      </c>
      <c r="C51" s="98" t="s">
        <v>33</v>
      </c>
      <c r="D51" s="98">
        <v>30</v>
      </c>
      <c r="E51" s="98" t="s">
        <v>191</v>
      </c>
      <c r="F51" s="98"/>
      <c r="G51" s="99"/>
      <c r="H51" s="99"/>
      <c r="I51" s="98">
        <v>513.33000000000004</v>
      </c>
      <c r="J51" s="99"/>
      <c r="K51" s="101">
        <f t="shared" si="0"/>
        <v>513.33000000000004</v>
      </c>
      <c r="L51" s="101">
        <v>5456.54</v>
      </c>
      <c r="M51" s="102"/>
      <c r="N51" s="102"/>
      <c r="O51" s="103"/>
      <c r="P51" s="104">
        <f t="shared" si="14"/>
        <v>5969.87</v>
      </c>
      <c r="Q51" s="105"/>
      <c r="R51" s="106">
        <v>0</v>
      </c>
      <c r="S51" s="106"/>
      <c r="T51" s="106"/>
      <c r="U51" s="106"/>
      <c r="V51" s="107"/>
      <c r="W51" s="107"/>
      <c r="X51" s="108"/>
      <c r="Y51" s="116">
        <v>0</v>
      </c>
      <c r="Z51" s="104">
        <f t="shared" si="8"/>
        <v>5969.87</v>
      </c>
      <c r="AA51" s="110">
        <f t="shared" si="7"/>
        <v>596.98699999999997</v>
      </c>
      <c r="AB51" s="104">
        <f t="shared" si="9"/>
        <v>5372.8829999999998</v>
      </c>
      <c r="AC51" s="111">
        <f t="shared" si="4"/>
        <v>0</v>
      </c>
      <c r="AD51" s="110">
        <f t="shared" si="5"/>
        <v>10.2666</v>
      </c>
      <c r="AE51" s="112">
        <f t="shared" si="6"/>
        <v>5980.1365999999998</v>
      </c>
      <c r="AF51" s="113"/>
      <c r="AG51" s="114">
        <f t="shared" si="15"/>
        <v>5372.8829999999998</v>
      </c>
      <c r="AH51" s="113"/>
      <c r="AI51" s="113"/>
      <c r="AJ51" s="114">
        <f t="shared" si="16"/>
        <v>5372.8829999999998</v>
      </c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</row>
    <row r="52" spans="1:52" x14ac:dyDescent="0.25">
      <c r="A52" s="98" t="s">
        <v>382</v>
      </c>
      <c r="B52" s="98" t="s">
        <v>444</v>
      </c>
      <c r="C52" s="98" t="s">
        <v>31</v>
      </c>
      <c r="D52" s="98" t="s">
        <v>198</v>
      </c>
      <c r="E52" s="98" t="s">
        <v>191</v>
      </c>
      <c r="F52" s="134">
        <v>42408</v>
      </c>
      <c r="G52" s="99"/>
      <c r="H52" s="99"/>
      <c r="I52" s="98">
        <v>513.33000000000004</v>
      </c>
      <c r="J52" s="99">
        <v>653.33000000000004</v>
      </c>
      <c r="K52" s="101">
        <f t="shared" si="0"/>
        <v>1166.6600000000001</v>
      </c>
      <c r="L52" s="101">
        <v>653.33000000000004</v>
      </c>
      <c r="M52" s="102"/>
      <c r="N52" s="102"/>
      <c r="O52" s="103"/>
      <c r="P52" s="104">
        <f t="shared" si="14"/>
        <v>1819.9900000000002</v>
      </c>
      <c r="Q52" s="105"/>
      <c r="R52" s="106">
        <v>0</v>
      </c>
      <c r="S52" s="106"/>
      <c r="T52" s="106"/>
      <c r="U52" s="106"/>
      <c r="V52" s="107"/>
      <c r="W52" s="107"/>
      <c r="X52" s="108"/>
      <c r="Y52" s="116">
        <v>257.7</v>
      </c>
      <c r="Z52" s="104">
        <f t="shared" si="8"/>
        <v>1562.2900000000002</v>
      </c>
      <c r="AA52" s="110">
        <f t="shared" si="7"/>
        <v>0</v>
      </c>
      <c r="AB52" s="104">
        <f t="shared" si="9"/>
        <v>1562.2900000000002</v>
      </c>
      <c r="AC52" s="111">
        <f t="shared" si="4"/>
        <v>181.99900000000002</v>
      </c>
      <c r="AD52" s="110">
        <f t="shared" si="5"/>
        <v>10.2666</v>
      </c>
      <c r="AE52" s="112">
        <f t="shared" si="6"/>
        <v>2012.2556000000002</v>
      </c>
      <c r="AF52" s="113"/>
      <c r="AG52" s="114">
        <f t="shared" si="15"/>
        <v>1562.2900000000002</v>
      </c>
      <c r="AH52" s="113"/>
      <c r="AI52" s="113"/>
      <c r="AJ52" s="114">
        <f t="shared" si="16"/>
        <v>1562.2900000000002</v>
      </c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</row>
    <row r="53" spans="1:52" x14ac:dyDescent="0.25">
      <c r="A53" s="98" t="s">
        <v>394</v>
      </c>
      <c r="B53" s="98" t="s">
        <v>445</v>
      </c>
      <c r="C53" s="98" t="s">
        <v>396</v>
      </c>
      <c r="D53" s="98" t="s">
        <v>112</v>
      </c>
      <c r="E53" s="98" t="s">
        <v>397</v>
      </c>
      <c r="F53" s="134">
        <v>42352</v>
      </c>
      <c r="G53" s="99"/>
      <c r="H53" s="99"/>
      <c r="I53" s="98">
        <v>513.33000000000004</v>
      </c>
      <c r="J53" s="99">
        <v>653.33000000000004</v>
      </c>
      <c r="K53" s="101">
        <f t="shared" si="0"/>
        <v>1166.6600000000001</v>
      </c>
      <c r="L53" s="101">
        <f>4000+653.33</f>
        <v>4653.33</v>
      </c>
      <c r="M53" s="102"/>
      <c r="N53" s="102"/>
      <c r="O53" s="103"/>
      <c r="P53" s="104">
        <f t="shared" si="14"/>
        <v>5819.99</v>
      </c>
      <c r="Q53" s="105"/>
      <c r="R53" s="106">
        <v>0</v>
      </c>
      <c r="S53" s="106"/>
      <c r="T53" s="106"/>
      <c r="U53" s="106"/>
      <c r="V53" s="107"/>
      <c r="W53" s="107"/>
      <c r="X53" s="108"/>
      <c r="Y53" s="109">
        <v>0</v>
      </c>
      <c r="Z53" s="104">
        <f t="shared" si="8"/>
        <v>5819.99</v>
      </c>
      <c r="AA53" s="110">
        <f t="shared" si="7"/>
        <v>581.99900000000002</v>
      </c>
      <c r="AB53" s="104">
        <f t="shared" si="9"/>
        <v>5237.991</v>
      </c>
      <c r="AC53" s="111">
        <f t="shared" si="4"/>
        <v>0</v>
      </c>
      <c r="AD53" s="110">
        <f t="shared" si="5"/>
        <v>10.2666</v>
      </c>
      <c r="AE53" s="112">
        <f t="shared" si="6"/>
        <v>5830.2565999999997</v>
      </c>
      <c r="AF53" s="113"/>
      <c r="AG53" s="114">
        <f t="shared" si="15"/>
        <v>5237.991</v>
      </c>
      <c r="AH53" s="113"/>
      <c r="AI53" s="113"/>
      <c r="AJ53" s="114">
        <f t="shared" si="16"/>
        <v>5237.991</v>
      </c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</row>
    <row r="54" spans="1:52" x14ac:dyDescent="0.25">
      <c r="A54" s="98" t="s">
        <v>382</v>
      </c>
      <c r="B54" s="98" t="s">
        <v>446</v>
      </c>
      <c r="C54" s="98" t="s">
        <v>33</v>
      </c>
      <c r="D54" s="98" t="s">
        <v>114</v>
      </c>
      <c r="E54" s="98" t="s">
        <v>191</v>
      </c>
      <c r="F54" s="98"/>
      <c r="G54" s="99"/>
      <c r="H54" s="99"/>
      <c r="I54" s="98">
        <v>513.33000000000004</v>
      </c>
      <c r="J54" s="99"/>
      <c r="K54" s="101">
        <f t="shared" si="0"/>
        <v>513.33000000000004</v>
      </c>
      <c r="L54" s="101"/>
      <c r="M54" s="102"/>
      <c r="N54" s="102"/>
      <c r="O54" s="103"/>
      <c r="P54" s="104">
        <f t="shared" si="14"/>
        <v>513.33000000000004</v>
      </c>
      <c r="Q54" s="105"/>
      <c r="R54" s="106">
        <v>0</v>
      </c>
      <c r="S54" s="106"/>
      <c r="T54" s="106"/>
      <c r="U54" s="106"/>
      <c r="V54" s="107"/>
      <c r="W54" s="107"/>
      <c r="X54" s="108"/>
      <c r="Y54" s="116">
        <v>523.01</v>
      </c>
      <c r="Z54" s="104">
        <f t="shared" si="8"/>
        <v>-9.67999999999995</v>
      </c>
      <c r="AA54" s="110">
        <f t="shared" si="7"/>
        <v>0</v>
      </c>
      <c r="AB54" s="104">
        <f t="shared" si="9"/>
        <v>-9.67999999999995</v>
      </c>
      <c r="AC54" s="111">
        <f t="shared" si="4"/>
        <v>51.333000000000006</v>
      </c>
      <c r="AD54" s="110">
        <f t="shared" si="5"/>
        <v>10.2666</v>
      </c>
      <c r="AE54" s="112">
        <f t="shared" si="6"/>
        <v>574.92960000000005</v>
      </c>
      <c r="AF54" s="113"/>
      <c r="AG54" s="114">
        <f t="shared" si="15"/>
        <v>-9.67999999999995</v>
      </c>
      <c r="AH54" s="113"/>
      <c r="AI54" s="113"/>
      <c r="AJ54" s="114">
        <f t="shared" si="16"/>
        <v>-9.67999999999995</v>
      </c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</row>
    <row r="55" spans="1:52" x14ac:dyDescent="0.25">
      <c r="A55" s="98" t="s">
        <v>386</v>
      </c>
      <c r="B55" s="98" t="s">
        <v>447</v>
      </c>
      <c r="C55" s="98"/>
      <c r="D55" s="98" t="s">
        <v>116</v>
      </c>
      <c r="E55" s="98" t="s">
        <v>448</v>
      </c>
      <c r="F55" s="98"/>
      <c r="G55" s="99"/>
      <c r="H55" s="99"/>
      <c r="I55" s="119">
        <v>1100</v>
      </c>
      <c r="J55" s="99"/>
      <c r="K55" s="101">
        <f t="shared" si="0"/>
        <v>1100</v>
      </c>
      <c r="L55" s="101"/>
      <c r="M55" s="102"/>
      <c r="N55" s="102"/>
      <c r="O55" s="103"/>
      <c r="P55" s="104">
        <f t="shared" si="14"/>
        <v>1100</v>
      </c>
      <c r="Q55" s="105"/>
      <c r="R55" s="106">
        <v>0</v>
      </c>
      <c r="S55" s="106"/>
      <c r="T55" s="106"/>
      <c r="U55" s="106"/>
      <c r="V55" s="107"/>
      <c r="W55" s="107"/>
      <c r="X55" s="108"/>
      <c r="Y55" s="109">
        <v>0</v>
      </c>
      <c r="Z55" s="104">
        <f t="shared" si="8"/>
        <v>1100</v>
      </c>
      <c r="AA55" s="110">
        <f t="shared" si="7"/>
        <v>0</v>
      </c>
      <c r="AB55" s="104">
        <f t="shared" si="9"/>
        <v>1100</v>
      </c>
      <c r="AC55" s="111">
        <f t="shared" si="4"/>
        <v>110</v>
      </c>
      <c r="AD55" s="110">
        <f t="shared" si="5"/>
        <v>22</v>
      </c>
      <c r="AE55" s="112">
        <f t="shared" si="6"/>
        <v>1232</v>
      </c>
      <c r="AF55" s="113"/>
      <c r="AG55" s="114">
        <f t="shared" si="15"/>
        <v>1100</v>
      </c>
      <c r="AH55" s="113"/>
      <c r="AI55" s="113"/>
      <c r="AJ55" s="114">
        <f t="shared" si="16"/>
        <v>1100</v>
      </c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</row>
    <row r="56" spans="1:52" x14ac:dyDescent="0.25">
      <c r="A56" s="118" t="s">
        <v>388</v>
      </c>
      <c r="B56" s="98" t="s">
        <v>449</v>
      </c>
      <c r="C56" s="98"/>
      <c r="D56" s="98" t="s">
        <v>118</v>
      </c>
      <c r="E56" s="98" t="s">
        <v>178</v>
      </c>
      <c r="F56" s="98"/>
      <c r="G56" s="98"/>
      <c r="H56" s="98"/>
      <c r="I56" s="98">
        <v>739.23</v>
      </c>
      <c r="J56" s="98"/>
      <c r="K56" s="101">
        <f t="shared" si="0"/>
        <v>739.23</v>
      </c>
      <c r="L56" s="101">
        <v>2219.11</v>
      </c>
      <c r="M56" s="101"/>
      <c r="N56" s="101"/>
      <c r="O56" s="103"/>
      <c r="P56" s="104">
        <f t="shared" si="14"/>
        <v>2958.34</v>
      </c>
      <c r="Q56" s="105"/>
      <c r="R56" s="106">
        <v>0</v>
      </c>
      <c r="S56" s="106"/>
      <c r="T56" s="106"/>
      <c r="U56" s="106"/>
      <c r="V56" s="107"/>
      <c r="W56" s="107"/>
      <c r="X56" s="108"/>
      <c r="Y56" s="109">
        <v>0</v>
      </c>
      <c r="Z56" s="104">
        <f t="shared" si="8"/>
        <v>2958.34</v>
      </c>
      <c r="AA56" s="110">
        <f t="shared" si="7"/>
        <v>0</v>
      </c>
      <c r="AB56" s="104">
        <f t="shared" si="9"/>
        <v>2958.34</v>
      </c>
      <c r="AC56" s="111">
        <f t="shared" si="4"/>
        <v>295.834</v>
      </c>
      <c r="AD56" s="110">
        <f t="shared" si="5"/>
        <v>14.784600000000001</v>
      </c>
      <c r="AE56" s="112">
        <f t="shared" si="6"/>
        <v>3268.9585999999999</v>
      </c>
      <c r="AF56" s="113"/>
      <c r="AG56" s="114">
        <f t="shared" si="15"/>
        <v>2958.34</v>
      </c>
      <c r="AH56" s="113"/>
      <c r="AI56" s="113"/>
      <c r="AJ56" s="114">
        <f t="shared" si="16"/>
        <v>2958.34</v>
      </c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</row>
    <row r="57" spans="1:52" x14ac:dyDescent="0.25">
      <c r="A57" s="118" t="s">
        <v>386</v>
      </c>
      <c r="B57" s="98" t="s">
        <v>450</v>
      </c>
      <c r="C57" s="98"/>
      <c r="D57" s="98" t="s">
        <v>120</v>
      </c>
      <c r="E57" s="98" t="s">
        <v>195</v>
      </c>
      <c r="F57" s="98"/>
      <c r="G57" s="99"/>
      <c r="H57" s="99"/>
      <c r="I57" s="119">
        <v>608.16</v>
      </c>
      <c r="J57" s="99"/>
      <c r="K57" s="101">
        <f t="shared" si="0"/>
        <v>608.16</v>
      </c>
      <c r="L57" s="101">
        <v>903.62</v>
      </c>
      <c r="M57" s="102"/>
      <c r="N57" s="102"/>
      <c r="O57" s="103"/>
      <c r="P57" s="104">
        <f t="shared" si="14"/>
        <v>1511.78</v>
      </c>
      <c r="Q57" s="105"/>
      <c r="R57" s="106"/>
      <c r="S57" s="120">
        <f>P57*1%</f>
        <v>15.117800000000001</v>
      </c>
      <c r="T57" s="120">
        <f>P57*4.9%</f>
        <v>74.077219999999997</v>
      </c>
      <c r="U57" s="106"/>
      <c r="V57" s="107"/>
      <c r="W57" s="107"/>
      <c r="X57" s="108"/>
      <c r="Y57" s="109">
        <v>0</v>
      </c>
      <c r="Z57" s="104">
        <f t="shared" si="8"/>
        <v>1422.5849800000001</v>
      </c>
      <c r="AA57" s="110">
        <f t="shared" si="7"/>
        <v>0</v>
      </c>
      <c r="AB57" s="104">
        <f t="shared" si="9"/>
        <v>1422.5849800000001</v>
      </c>
      <c r="AC57" s="111">
        <f t="shared" si="4"/>
        <v>151.178</v>
      </c>
      <c r="AD57" s="110">
        <f t="shared" si="5"/>
        <v>12.1632</v>
      </c>
      <c r="AE57" s="112">
        <f t="shared" si="6"/>
        <v>1675.1212</v>
      </c>
      <c r="AF57" s="113"/>
      <c r="AG57" s="114">
        <f t="shared" si="15"/>
        <v>1422.5849800000001</v>
      </c>
      <c r="AH57" s="113"/>
      <c r="AI57" s="113"/>
      <c r="AJ57" s="114">
        <f t="shared" si="16"/>
        <v>1422.5849800000001</v>
      </c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</row>
    <row r="58" spans="1:52" x14ac:dyDescent="0.25">
      <c r="A58" s="118" t="s">
        <v>386</v>
      </c>
      <c r="B58" s="98" t="s">
        <v>451</v>
      </c>
      <c r="C58" s="98"/>
      <c r="D58" s="98" t="s">
        <v>122</v>
      </c>
      <c r="E58" s="98" t="s">
        <v>196</v>
      </c>
      <c r="F58" s="98"/>
      <c r="G58" s="99"/>
      <c r="H58" s="99"/>
      <c r="I58" s="119">
        <v>511.28</v>
      </c>
      <c r="J58" s="99"/>
      <c r="K58" s="101">
        <f t="shared" si="0"/>
        <v>511.28</v>
      </c>
      <c r="L58" s="101">
        <v>1949.1</v>
      </c>
      <c r="M58" s="102"/>
      <c r="N58" s="102"/>
      <c r="O58" s="103"/>
      <c r="P58" s="104">
        <f t="shared" si="14"/>
        <v>2460.38</v>
      </c>
      <c r="Q58" s="105"/>
      <c r="R58" s="120">
        <v>100</v>
      </c>
      <c r="S58" s="120">
        <f>P58*1%</f>
        <v>24.603800000000003</v>
      </c>
      <c r="T58" s="120">
        <f>P58*4.9%</f>
        <v>120.55862</v>
      </c>
      <c r="U58" s="106"/>
      <c r="V58" s="107"/>
      <c r="W58" s="107"/>
      <c r="X58" s="108"/>
      <c r="Y58" s="109">
        <v>0</v>
      </c>
      <c r="Z58" s="104">
        <f t="shared" si="8"/>
        <v>2215.21758</v>
      </c>
      <c r="AA58" s="110">
        <f t="shared" si="7"/>
        <v>0</v>
      </c>
      <c r="AB58" s="104">
        <f t="shared" si="9"/>
        <v>2215.21758</v>
      </c>
      <c r="AC58" s="111">
        <f t="shared" si="4"/>
        <v>246.03800000000001</v>
      </c>
      <c r="AD58" s="110">
        <f t="shared" si="5"/>
        <v>10.2256</v>
      </c>
      <c r="AE58" s="112">
        <f t="shared" si="6"/>
        <v>2716.6436000000003</v>
      </c>
      <c r="AF58" s="113"/>
      <c r="AG58" s="114">
        <f t="shared" si="15"/>
        <v>2215.21758</v>
      </c>
      <c r="AH58" s="113"/>
      <c r="AI58" s="113"/>
      <c r="AJ58" s="114">
        <f t="shared" si="16"/>
        <v>2215.21758</v>
      </c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</row>
    <row r="59" spans="1:52" x14ac:dyDescent="0.25">
      <c r="A59" s="98" t="s">
        <v>382</v>
      </c>
      <c r="B59" s="98" t="s">
        <v>452</v>
      </c>
      <c r="C59" s="98" t="s">
        <v>32</v>
      </c>
      <c r="D59" s="98" t="s">
        <v>124</v>
      </c>
      <c r="E59" s="98" t="s">
        <v>191</v>
      </c>
      <c r="F59" s="98"/>
      <c r="G59" s="99"/>
      <c r="H59" s="99"/>
      <c r="I59" s="98">
        <v>513.33000000000004</v>
      </c>
      <c r="J59" s="99"/>
      <c r="K59" s="101">
        <f t="shared" si="0"/>
        <v>513.33000000000004</v>
      </c>
      <c r="L59" s="101"/>
      <c r="M59" s="102"/>
      <c r="N59" s="102"/>
      <c r="O59" s="103"/>
      <c r="P59" s="104">
        <f t="shared" si="14"/>
        <v>513.33000000000004</v>
      </c>
      <c r="Q59" s="105"/>
      <c r="R59" s="106">
        <v>0</v>
      </c>
      <c r="S59" s="106"/>
      <c r="T59" s="106"/>
      <c r="U59" s="106"/>
      <c r="V59" s="107"/>
      <c r="W59" s="107"/>
      <c r="X59" s="108"/>
      <c r="Y59" s="116">
        <v>0</v>
      </c>
      <c r="Z59" s="104">
        <f t="shared" si="8"/>
        <v>513.33000000000004</v>
      </c>
      <c r="AA59" s="110">
        <f t="shared" si="7"/>
        <v>0</v>
      </c>
      <c r="AB59" s="104">
        <f t="shared" si="9"/>
        <v>513.33000000000004</v>
      </c>
      <c r="AC59" s="111">
        <f t="shared" si="4"/>
        <v>51.333000000000006</v>
      </c>
      <c r="AD59" s="110">
        <f t="shared" si="5"/>
        <v>10.2666</v>
      </c>
      <c r="AE59" s="112">
        <f t="shared" si="6"/>
        <v>574.92960000000005</v>
      </c>
      <c r="AF59" s="113"/>
      <c r="AG59" s="114">
        <f t="shared" si="15"/>
        <v>513.33000000000004</v>
      </c>
      <c r="AH59" s="113"/>
      <c r="AI59" s="113"/>
      <c r="AJ59" s="114">
        <f t="shared" si="16"/>
        <v>513.33000000000004</v>
      </c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</row>
    <row r="60" spans="1:52" x14ac:dyDescent="0.25">
      <c r="A60" s="118" t="s">
        <v>388</v>
      </c>
      <c r="B60" s="98" t="s">
        <v>453</v>
      </c>
      <c r="C60" s="98"/>
      <c r="D60" s="98" t="s">
        <v>126</v>
      </c>
      <c r="E60" s="98" t="s">
        <v>454</v>
      </c>
      <c r="F60" s="98"/>
      <c r="G60" s="98"/>
      <c r="H60" s="99"/>
      <c r="I60" s="98">
        <v>739.23</v>
      </c>
      <c r="J60" s="99"/>
      <c r="K60" s="101">
        <f t="shared" si="0"/>
        <v>739.23</v>
      </c>
      <c r="L60" s="101">
        <v>3992.31</v>
      </c>
      <c r="M60" s="138"/>
      <c r="N60" s="102"/>
      <c r="O60" s="103"/>
      <c r="P60" s="104">
        <f t="shared" si="14"/>
        <v>4731.54</v>
      </c>
      <c r="Q60" s="105"/>
      <c r="R60" s="106">
        <v>0</v>
      </c>
      <c r="S60" s="106"/>
      <c r="T60" s="106"/>
      <c r="U60" s="106"/>
      <c r="V60" s="107"/>
      <c r="W60" s="107"/>
      <c r="X60" s="108"/>
      <c r="Y60" s="109">
        <v>0</v>
      </c>
      <c r="Z60" s="104">
        <f t="shared" si="8"/>
        <v>4731.54</v>
      </c>
      <c r="AA60" s="110">
        <f t="shared" si="7"/>
        <v>473.154</v>
      </c>
      <c r="AB60" s="104">
        <f t="shared" si="9"/>
        <v>4258.3860000000004</v>
      </c>
      <c r="AC60" s="111">
        <f t="shared" si="4"/>
        <v>0</v>
      </c>
      <c r="AD60" s="110">
        <f t="shared" si="5"/>
        <v>14.784600000000001</v>
      </c>
      <c r="AE60" s="112">
        <f t="shared" si="6"/>
        <v>4746.3245999999999</v>
      </c>
      <c r="AF60" s="113"/>
      <c r="AG60" s="114">
        <f t="shared" si="15"/>
        <v>4258.3860000000004</v>
      </c>
      <c r="AH60" s="113"/>
      <c r="AI60" s="113"/>
      <c r="AJ60" s="114">
        <f t="shared" si="16"/>
        <v>4258.3860000000004</v>
      </c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</row>
    <row r="61" spans="1:52" x14ac:dyDescent="0.25">
      <c r="A61" s="98" t="s">
        <v>394</v>
      </c>
      <c r="B61" s="98" t="s">
        <v>455</v>
      </c>
      <c r="C61" s="98" t="s">
        <v>396</v>
      </c>
      <c r="D61" s="98" t="s">
        <v>128</v>
      </c>
      <c r="E61" s="98" t="s">
        <v>456</v>
      </c>
      <c r="F61" s="98"/>
      <c r="G61" s="99"/>
      <c r="H61" s="99"/>
      <c r="I61" s="100">
        <v>2333.33</v>
      </c>
      <c r="J61" s="99"/>
      <c r="K61" s="101">
        <f t="shared" si="0"/>
        <v>2333.33</v>
      </c>
      <c r="L61" s="101">
        <v>304.83999999999997</v>
      </c>
      <c r="M61" s="102"/>
      <c r="N61" s="102"/>
      <c r="O61" s="103"/>
      <c r="P61" s="104">
        <f t="shared" si="14"/>
        <v>2638.17</v>
      </c>
      <c r="Q61" s="105"/>
      <c r="R61" s="106">
        <v>0</v>
      </c>
      <c r="S61" s="106"/>
      <c r="T61" s="106"/>
      <c r="U61" s="106"/>
      <c r="V61" s="107"/>
      <c r="W61" s="107"/>
      <c r="X61" s="108">
        <v>329</v>
      </c>
      <c r="Y61" s="109">
        <v>955.1</v>
      </c>
      <c r="Z61" s="104">
        <f t="shared" si="8"/>
        <v>1354.0700000000002</v>
      </c>
      <c r="AA61" s="110">
        <f t="shared" si="7"/>
        <v>0</v>
      </c>
      <c r="AB61" s="104">
        <f t="shared" si="9"/>
        <v>1354.0700000000002</v>
      </c>
      <c r="AC61" s="111">
        <f t="shared" si="4"/>
        <v>263.81700000000001</v>
      </c>
      <c r="AD61" s="110">
        <f t="shared" si="5"/>
        <v>46.666600000000003</v>
      </c>
      <c r="AE61" s="112">
        <f t="shared" si="6"/>
        <v>2948.6536000000001</v>
      </c>
      <c r="AF61" s="113"/>
      <c r="AG61" s="114">
        <f t="shared" si="15"/>
        <v>1354.0700000000002</v>
      </c>
      <c r="AH61" s="113"/>
      <c r="AI61" s="113"/>
      <c r="AJ61" s="114">
        <f t="shared" si="16"/>
        <v>1354.0700000000002</v>
      </c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</row>
    <row r="62" spans="1:52" x14ac:dyDescent="0.25">
      <c r="A62" s="118" t="s">
        <v>388</v>
      </c>
      <c r="B62" s="98" t="s">
        <v>457</v>
      </c>
      <c r="C62" s="98"/>
      <c r="D62" s="98" t="s">
        <v>130</v>
      </c>
      <c r="E62" s="98" t="s">
        <v>178</v>
      </c>
      <c r="F62" s="98"/>
      <c r="G62" s="98"/>
      <c r="H62" s="99"/>
      <c r="I62" s="98">
        <v>739.23</v>
      </c>
      <c r="J62" s="99"/>
      <c r="K62" s="101">
        <f t="shared" si="0"/>
        <v>739.23</v>
      </c>
      <c r="L62" s="101">
        <v>2678.5439999999999</v>
      </c>
      <c r="M62" s="102"/>
      <c r="N62" s="102"/>
      <c r="O62" s="103"/>
      <c r="P62" s="104">
        <f t="shared" si="14"/>
        <v>3417.7739999999999</v>
      </c>
      <c r="Q62" s="105"/>
      <c r="R62" s="106">
        <v>0</v>
      </c>
      <c r="S62" s="106"/>
      <c r="T62" s="106"/>
      <c r="U62" s="106"/>
      <c r="V62" s="107"/>
      <c r="W62" s="107"/>
      <c r="X62" s="108"/>
      <c r="Y62" s="109">
        <v>0</v>
      </c>
      <c r="Z62" s="104">
        <f t="shared" si="8"/>
        <v>3417.7739999999999</v>
      </c>
      <c r="AA62" s="110">
        <f t="shared" si="7"/>
        <v>0</v>
      </c>
      <c r="AB62" s="104">
        <f t="shared" si="9"/>
        <v>3417.7739999999999</v>
      </c>
      <c r="AC62" s="111">
        <f t="shared" si="4"/>
        <v>341.7774</v>
      </c>
      <c r="AD62" s="110">
        <f t="shared" si="5"/>
        <v>14.784600000000001</v>
      </c>
      <c r="AE62" s="112">
        <f t="shared" si="6"/>
        <v>3774.3359999999998</v>
      </c>
      <c r="AF62" s="113"/>
      <c r="AG62" s="114">
        <f t="shared" si="15"/>
        <v>3417.7739999999999</v>
      </c>
      <c r="AH62" s="113"/>
      <c r="AI62" s="113"/>
      <c r="AJ62" s="114">
        <f t="shared" si="16"/>
        <v>3417.7739999999999</v>
      </c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</row>
    <row r="63" spans="1:52" x14ac:dyDescent="0.25">
      <c r="A63" s="118" t="s">
        <v>386</v>
      </c>
      <c r="B63" s="98" t="s">
        <v>458</v>
      </c>
      <c r="C63" s="98"/>
      <c r="D63" s="98" t="s">
        <v>132</v>
      </c>
      <c r="E63" s="98" t="s">
        <v>459</v>
      </c>
      <c r="F63" s="98"/>
      <c r="G63" s="99"/>
      <c r="H63" s="99"/>
      <c r="I63" s="119">
        <v>608.16</v>
      </c>
      <c r="J63" s="99"/>
      <c r="K63" s="101">
        <f t="shared" si="0"/>
        <v>608.16</v>
      </c>
      <c r="L63" s="101">
        <v>1454.37</v>
      </c>
      <c r="M63" s="102"/>
      <c r="N63" s="102"/>
      <c r="O63" s="103"/>
      <c r="P63" s="104">
        <f t="shared" si="14"/>
        <v>2062.5299999999997</v>
      </c>
      <c r="Q63" s="105"/>
      <c r="R63" s="106"/>
      <c r="S63" s="120">
        <f t="shared" ref="S63:S64" si="17">P63*1%</f>
        <v>20.625299999999999</v>
      </c>
      <c r="T63" s="120">
        <f t="shared" ref="T63:T64" si="18">P63*4.9%</f>
        <v>101.06397</v>
      </c>
      <c r="U63" s="106"/>
      <c r="V63" s="107"/>
      <c r="W63" s="107"/>
      <c r="X63" s="108"/>
      <c r="Y63" s="109">
        <v>0</v>
      </c>
      <c r="Z63" s="104">
        <f t="shared" si="8"/>
        <v>1940.8407299999997</v>
      </c>
      <c r="AA63" s="110">
        <f t="shared" si="7"/>
        <v>0</v>
      </c>
      <c r="AB63" s="104">
        <f t="shared" si="9"/>
        <v>1940.8407299999997</v>
      </c>
      <c r="AC63" s="111">
        <f t="shared" si="4"/>
        <v>206.25299999999999</v>
      </c>
      <c r="AD63" s="110">
        <f t="shared" si="5"/>
        <v>12.1632</v>
      </c>
      <c r="AE63" s="112">
        <f t="shared" si="6"/>
        <v>2280.9461999999999</v>
      </c>
      <c r="AF63" s="113"/>
      <c r="AG63" s="114">
        <f t="shared" si="15"/>
        <v>1940.8407299999997</v>
      </c>
      <c r="AH63" s="113"/>
      <c r="AI63" s="113"/>
      <c r="AJ63" s="114">
        <f t="shared" si="16"/>
        <v>1940.8407299999997</v>
      </c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</row>
    <row r="64" spans="1:52" x14ac:dyDescent="0.25">
      <c r="A64" s="118" t="s">
        <v>386</v>
      </c>
      <c r="B64" s="98" t="s">
        <v>460</v>
      </c>
      <c r="C64" s="98"/>
      <c r="D64" s="98" t="s">
        <v>134</v>
      </c>
      <c r="E64" s="98" t="s">
        <v>192</v>
      </c>
      <c r="F64" s="98"/>
      <c r="G64" s="99"/>
      <c r="H64" s="99"/>
      <c r="I64" s="119">
        <v>608.16</v>
      </c>
      <c r="J64" s="99"/>
      <c r="K64" s="101">
        <f t="shared" si="0"/>
        <v>608.16</v>
      </c>
      <c r="L64" s="101">
        <v>3219.319</v>
      </c>
      <c r="M64" s="102"/>
      <c r="N64" s="102"/>
      <c r="O64" s="103"/>
      <c r="P64" s="104">
        <f t="shared" si="14"/>
        <v>3827.4789999999998</v>
      </c>
      <c r="Q64" s="105"/>
      <c r="R64" s="120">
        <v>200</v>
      </c>
      <c r="S64" s="120">
        <f t="shared" si="17"/>
        <v>38.274789999999996</v>
      </c>
      <c r="T64" s="120">
        <f t="shared" si="18"/>
        <v>187.546471</v>
      </c>
      <c r="U64" s="120">
        <v>321.74</v>
      </c>
      <c r="V64" s="107"/>
      <c r="W64" s="107"/>
      <c r="X64" s="108"/>
      <c r="Y64" s="109">
        <v>0</v>
      </c>
      <c r="Z64" s="104">
        <f t="shared" si="8"/>
        <v>3079.9177389999995</v>
      </c>
      <c r="AA64" s="110">
        <f t="shared" si="7"/>
        <v>0</v>
      </c>
      <c r="AB64" s="104">
        <f t="shared" si="9"/>
        <v>3079.9177389999995</v>
      </c>
      <c r="AC64" s="111">
        <f t="shared" si="4"/>
        <v>382.74790000000002</v>
      </c>
      <c r="AD64" s="110">
        <f t="shared" si="5"/>
        <v>12.1632</v>
      </c>
      <c r="AE64" s="112">
        <f t="shared" si="6"/>
        <v>4222.3900999999996</v>
      </c>
      <c r="AF64" s="113"/>
      <c r="AG64" s="114">
        <f t="shared" si="15"/>
        <v>3079.9177389999995</v>
      </c>
      <c r="AH64" s="113"/>
      <c r="AI64" s="113"/>
      <c r="AJ64" s="114">
        <f t="shared" si="16"/>
        <v>3079.9177389999995</v>
      </c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</row>
    <row r="65" spans="1:52" x14ac:dyDescent="0.25">
      <c r="A65" s="98" t="s">
        <v>436</v>
      </c>
      <c r="B65" s="98" t="s">
        <v>461</v>
      </c>
      <c r="C65" s="98"/>
      <c r="D65" s="98" t="s">
        <v>136</v>
      </c>
      <c r="E65" s="98" t="s">
        <v>187</v>
      </c>
      <c r="F65" s="98"/>
      <c r="G65" s="99"/>
      <c r="H65" s="99"/>
      <c r="I65" s="100">
        <v>1400</v>
      </c>
      <c r="J65" s="99"/>
      <c r="K65" s="101">
        <f t="shared" si="0"/>
        <v>1400</v>
      </c>
      <c r="L65" s="101"/>
      <c r="M65" s="102"/>
      <c r="N65" s="102"/>
      <c r="O65" s="103"/>
      <c r="P65" s="104">
        <f t="shared" si="14"/>
        <v>1400</v>
      </c>
      <c r="Q65" s="105"/>
      <c r="R65" s="106">
        <v>0</v>
      </c>
      <c r="S65" s="106"/>
      <c r="T65" s="106"/>
      <c r="U65" s="106"/>
      <c r="V65" s="107"/>
      <c r="W65" s="107"/>
      <c r="X65" s="108"/>
      <c r="Y65" s="109">
        <v>0</v>
      </c>
      <c r="Z65" s="104">
        <f t="shared" si="8"/>
        <v>1400</v>
      </c>
      <c r="AA65" s="110">
        <f t="shared" si="7"/>
        <v>0</v>
      </c>
      <c r="AB65" s="104">
        <f t="shared" si="9"/>
        <v>1400</v>
      </c>
      <c r="AC65" s="111">
        <f t="shared" si="4"/>
        <v>140</v>
      </c>
      <c r="AD65" s="110">
        <f t="shared" si="5"/>
        <v>28</v>
      </c>
      <c r="AE65" s="112">
        <f t="shared" si="6"/>
        <v>1568</v>
      </c>
      <c r="AF65" s="113"/>
      <c r="AG65" s="114">
        <f t="shared" si="15"/>
        <v>1400</v>
      </c>
      <c r="AH65" s="113"/>
      <c r="AI65" s="113"/>
      <c r="AJ65" s="114">
        <f t="shared" si="16"/>
        <v>1400</v>
      </c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</row>
    <row r="66" spans="1:52" x14ac:dyDescent="0.25">
      <c r="A66" s="118" t="s">
        <v>386</v>
      </c>
      <c r="B66" s="98" t="s">
        <v>462</v>
      </c>
      <c r="C66" s="98"/>
      <c r="D66" s="98" t="s">
        <v>263</v>
      </c>
      <c r="E66" s="98" t="s">
        <v>192</v>
      </c>
      <c r="F66" s="98"/>
      <c r="G66" s="99"/>
      <c r="H66" s="99"/>
      <c r="I66" s="119">
        <v>608.16</v>
      </c>
      <c r="J66" s="99"/>
      <c r="K66" s="101">
        <f t="shared" si="0"/>
        <v>608.16</v>
      </c>
      <c r="L66" s="101">
        <v>406.8</v>
      </c>
      <c r="M66" s="102"/>
      <c r="N66" s="102"/>
      <c r="O66" s="103"/>
      <c r="P66" s="104">
        <f t="shared" si="14"/>
        <v>1014.96</v>
      </c>
      <c r="Q66" s="105"/>
      <c r="R66" s="106">
        <v>0</v>
      </c>
      <c r="S66" s="120">
        <f>P66*1%</f>
        <v>10.149600000000001</v>
      </c>
      <c r="T66" s="120">
        <f>P66*4.9%</f>
        <v>49.733040000000003</v>
      </c>
      <c r="U66" s="106"/>
      <c r="V66" s="107"/>
      <c r="W66" s="107"/>
      <c r="X66" s="108"/>
      <c r="Y66" s="109">
        <v>0</v>
      </c>
      <c r="Z66" s="104">
        <f t="shared" si="8"/>
        <v>955.07736</v>
      </c>
      <c r="AA66" s="110">
        <f t="shared" si="7"/>
        <v>0</v>
      </c>
      <c r="AB66" s="104">
        <f t="shared" si="9"/>
        <v>955.07736</v>
      </c>
      <c r="AC66" s="111">
        <f t="shared" si="4"/>
        <v>101.49600000000001</v>
      </c>
      <c r="AD66" s="110">
        <f t="shared" si="5"/>
        <v>12.1632</v>
      </c>
      <c r="AE66" s="112">
        <f t="shared" si="6"/>
        <v>1128.6192000000001</v>
      </c>
      <c r="AF66" s="113"/>
      <c r="AG66" s="114">
        <f t="shared" si="15"/>
        <v>955.07736</v>
      </c>
      <c r="AH66" s="113"/>
      <c r="AI66" s="113"/>
      <c r="AJ66" s="114">
        <f t="shared" si="16"/>
        <v>955.07736</v>
      </c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</row>
    <row r="67" spans="1:52" x14ac:dyDescent="0.25">
      <c r="A67" s="98" t="s">
        <v>380</v>
      </c>
      <c r="B67" s="98" t="s">
        <v>463</v>
      </c>
      <c r="C67" s="98"/>
      <c r="D67" s="98" t="s">
        <v>140</v>
      </c>
      <c r="E67" s="98" t="s">
        <v>187</v>
      </c>
      <c r="F67" s="98"/>
      <c r="G67" s="98"/>
      <c r="H67" s="98"/>
      <c r="I67" s="100">
        <v>1400</v>
      </c>
      <c r="J67" s="98"/>
      <c r="K67" s="101">
        <f t="shared" si="0"/>
        <v>1400</v>
      </c>
      <c r="L67" s="101"/>
      <c r="M67" s="101"/>
      <c r="N67" s="101"/>
      <c r="O67" s="103"/>
      <c r="P67" s="104">
        <f t="shared" si="14"/>
        <v>1400</v>
      </c>
      <c r="Q67" s="105"/>
      <c r="R67" s="106">
        <v>0</v>
      </c>
      <c r="S67" s="106"/>
      <c r="T67" s="106"/>
      <c r="U67" s="106"/>
      <c r="V67" s="107"/>
      <c r="W67" s="107"/>
      <c r="X67" s="108"/>
      <c r="Y67" s="109">
        <v>0</v>
      </c>
      <c r="Z67" s="104">
        <f t="shared" si="8"/>
        <v>1400</v>
      </c>
      <c r="AA67" s="110">
        <f t="shared" si="7"/>
        <v>0</v>
      </c>
      <c r="AB67" s="104">
        <f t="shared" si="9"/>
        <v>1400</v>
      </c>
      <c r="AC67" s="111">
        <f t="shared" si="4"/>
        <v>140</v>
      </c>
      <c r="AD67" s="110">
        <f t="shared" si="5"/>
        <v>28</v>
      </c>
      <c r="AE67" s="112">
        <f t="shared" si="6"/>
        <v>1568</v>
      </c>
      <c r="AF67" s="113"/>
      <c r="AG67" s="114">
        <f t="shared" si="15"/>
        <v>1400</v>
      </c>
      <c r="AH67" s="113"/>
      <c r="AI67" s="113"/>
      <c r="AJ67" s="114">
        <f t="shared" si="16"/>
        <v>1400</v>
      </c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</row>
    <row r="68" spans="1:52" s="131" customFormat="1" x14ac:dyDescent="0.25">
      <c r="A68" s="118" t="s">
        <v>388</v>
      </c>
      <c r="B68" s="121" t="s">
        <v>464</v>
      </c>
      <c r="C68" s="121"/>
      <c r="D68" s="121"/>
      <c r="E68" s="121" t="s">
        <v>178</v>
      </c>
      <c r="F68" s="121"/>
      <c r="G68" s="121"/>
      <c r="H68" s="121"/>
      <c r="I68" s="123">
        <v>739.23</v>
      </c>
      <c r="J68" s="121"/>
      <c r="K68" s="124">
        <f t="shared" si="0"/>
        <v>739.23</v>
      </c>
      <c r="L68" s="124">
        <v>332.68200000000002</v>
      </c>
      <c r="M68" s="124"/>
      <c r="N68" s="124"/>
      <c r="O68" s="125"/>
      <c r="P68" s="126">
        <f t="shared" si="14"/>
        <v>1071.912</v>
      </c>
      <c r="Q68" s="127"/>
      <c r="R68" s="127"/>
      <c r="S68" s="127"/>
      <c r="T68" s="127"/>
      <c r="U68" s="127"/>
      <c r="V68" s="128"/>
      <c r="W68" s="128"/>
      <c r="X68" s="121"/>
      <c r="Y68" s="129"/>
      <c r="Z68" s="126">
        <f t="shared" si="8"/>
        <v>1071.912</v>
      </c>
      <c r="AA68" s="130">
        <f t="shared" si="7"/>
        <v>0</v>
      </c>
      <c r="AB68" s="126">
        <f t="shared" si="9"/>
        <v>1071.912</v>
      </c>
      <c r="AC68" s="130">
        <f t="shared" si="4"/>
        <v>107.19120000000001</v>
      </c>
      <c r="AD68" s="130">
        <f t="shared" si="5"/>
        <v>14.784600000000001</v>
      </c>
      <c r="AE68" s="112">
        <f t="shared" si="6"/>
        <v>1193.8878</v>
      </c>
      <c r="AG68" s="132"/>
      <c r="AJ68" s="132"/>
    </row>
    <row r="69" spans="1:52" x14ac:dyDescent="0.25">
      <c r="A69" s="118" t="s">
        <v>386</v>
      </c>
      <c r="B69" s="98" t="s">
        <v>465</v>
      </c>
      <c r="C69" s="98"/>
      <c r="D69" s="98" t="s">
        <v>142</v>
      </c>
      <c r="E69" s="98" t="s">
        <v>197</v>
      </c>
      <c r="F69" s="98"/>
      <c r="G69" s="99"/>
      <c r="H69" s="99"/>
      <c r="I69" s="119">
        <v>511.28</v>
      </c>
      <c r="J69" s="99"/>
      <c r="K69" s="101">
        <f t="shared" si="0"/>
        <v>511.28</v>
      </c>
      <c r="L69" s="101">
        <v>2488.44</v>
      </c>
      <c r="M69" s="102"/>
      <c r="N69" s="102"/>
      <c r="O69" s="103"/>
      <c r="P69" s="104">
        <f t="shared" si="14"/>
        <v>2999.7200000000003</v>
      </c>
      <c r="Q69" s="105"/>
      <c r="R69" s="120">
        <v>300</v>
      </c>
      <c r="S69" s="106"/>
      <c r="T69" s="106"/>
      <c r="U69" s="106"/>
      <c r="V69" s="107"/>
      <c r="W69" s="107"/>
      <c r="X69" s="108"/>
      <c r="Y69" s="109">
        <v>831.77</v>
      </c>
      <c r="Z69" s="104">
        <f t="shared" si="8"/>
        <v>1867.9500000000003</v>
      </c>
      <c r="AA69" s="110">
        <f t="shared" si="7"/>
        <v>0</v>
      </c>
      <c r="AB69" s="104">
        <f t="shared" si="9"/>
        <v>1867.9500000000003</v>
      </c>
      <c r="AC69" s="111">
        <f t="shared" si="4"/>
        <v>299.97200000000004</v>
      </c>
      <c r="AD69" s="110">
        <f t="shared" si="5"/>
        <v>10.2256</v>
      </c>
      <c r="AE69" s="112">
        <f t="shared" si="6"/>
        <v>3309.9176000000007</v>
      </c>
      <c r="AF69" s="113"/>
      <c r="AG69" s="114">
        <f t="shared" ref="AG69:AG77" si="19">+AB69-AF69</f>
        <v>1867.9500000000003</v>
      </c>
      <c r="AH69" s="113"/>
      <c r="AI69" s="113"/>
      <c r="AJ69" s="114">
        <f t="shared" ref="AJ69:AJ77" si="20">+AG69-AH69-AI69</f>
        <v>1867.9500000000003</v>
      </c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</row>
    <row r="70" spans="1:52" x14ac:dyDescent="0.25">
      <c r="A70" s="98" t="s">
        <v>380</v>
      </c>
      <c r="B70" s="98" t="s">
        <v>466</v>
      </c>
      <c r="C70" s="98"/>
      <c r="D70" s="98" t="s">
        <v>144</v>
      </c>
      <c r="E70" s="98" t="s">
        <v>180</v>
      </c>
      <c r="F70" s="98"/>
      <c r="G70" s="98"/>
      <c r="H70" s="98"/>
      <c r="I70" s="100">
        <v>1166.26</v>
      </c>
      <c r="J70" s="100"/>
      <c r="K70" s="101">
        <f t="shared" si="0"/>
        <v>1166.26</v>
      </c>
      <c r="L70" s="101"/>
      <c r="M70" s="101"/>
      <c r="N70" s="101"/>
      <c r="O70" s="103"/>
      <c r="P70" s="104">
        <f t="shared" ref="P70:P86" si="21">SUM(K70:N70)-O70</f>
        <v>1166.26</v>
      </c>
      <c r="Q70" s="105"/>
      <c r="R70" s="106">
        <v>0</v>
      </c>
      <c r="S70" s="106"/>
      <c r="T70" s="106"/>
      <c r="U70" s="106"/>
      <c r="V70" s="107"/>
      <c r="W70" s="107"/>
      <c r="X70" s="108"/>
      <c r="Y70" s="109">
        <v>0</v>
      </c>
      <c r="Z70" s="104">
        <f t="shared" si="8"/>
        <v>1166.26</v>
      </c>
      <c r="AA70" s="110">
        <f t="shared" si="7"/>
        <v>0</v>
      </c>
      <c r="AB70" s="104">
        <f t="shared" si="9"/>
        <v>1166.26</v>
      </c>
      <c r="AC70" s="111">
        <f t="shared" si="4"/>
        <v>116.626</v>
      </c>
      <c r="AD70" s="110">
        <f t="shared" si="5"/>
        <v>23.325199999999999</v>
      </c>
      <c r="AE70" s="112">
        <f t="shared" si="6"/>
        <v>1306.2112</v>
      </c>
      <c r="AF70" s="113"/>
      <c r="AG70" s="114">
        <f t="shared" si="19"/>
        <v>1166.26</v>
      </c>
      <c r="AH70" s="113"/>
      <c r="AI70" s="113"/>
      <c r="AJ70" s="114">
        <f t="shared" si="20"/>
        <v>1166.26</v>
      </c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</row>
    <row r="71" spans="1:52" x14ac:dyDescent="0.25">
      <c r="A71" s="98" t="s">
        <v>436</v>
      </c>
      <c r="B71" s="98" t="s">
        <v>467</v>
      </c>
      <c r="C71" s="98"/>
      <c r="D71" s="98" t="s">
        <v>189</v>
      </c>
      <c r="E71" s="98" t="s">
        <v>186</v>
      </c>
      <c r="F71" s="98"/>
      <c r="G71" s="98"/>
      <c r="H71" s="98"/>
      <c r="I71" s="100">
        <v>1100</v>
      </c>
      <c r="J71" s="98"/>
      <c r="K71" s="101">
        <f t="shared" ref="K71:K90" si="22">+I71+J71</f>
        <v>1100</v>
      </c>
      <c r="L71" s="101"/>
      <c r="M71" s="101"/>
      <c r="N71" s="101"/>
      <c r="O71" s="103"/>
      <c r="P71" s="104">
        <f t="shared" si="21"/>
        <v>1100</v>
      </c>
      <c r="Q71" s="105"/>
      <c r="R71" s="106">
        <v>0</v>
      </c>
      <c r="S71" s="106"/>
      <c r="T71" s="106"/>
      <c r="U71" s="106"/>
      <c r="V71" s="107"/>
      <c r="W71" s="107"/>
      <c r="X71" s="108"/>
      <c r="Y71" s="109">
        <v>0</v>
      </c>
      <c r="Z71" s="104">
        <f t="shared" si="8"/>
        <v>1100</v>
      </c>
      <c r="AA71" s="110">
        <f t="shared" si="7"/>
        <v>0</v>
      </c>
      <c r="AB71" s="104">
        <f t="shared" si="9"/>
        <v>1100</v>
      </c>
      <c r="AC71" s="111">
        <f t="shared" ref="AC71:AC90" si="23">IF(P71&lt;4500,P71*0.1,0)</f>
        <v>110</v>
      </c>
      <c r="AD71" s="110">
        <f t="shared" ref="AD71:AD90" si="24">I71*0.02</f>
        <v>22</v>
      </c>
      <c r="AE71" s="112">
        <f t="shared" ref="AE71:AE90" si="25">+P71+AC71+AD71</f>
        <v>1232</v>
      </c>
      <c r="AF71" s="113"/>
      <c r="AG71" s="114">
        <f t="shared" si="19"/>
        <v>1100</v>
      </c>
      <c r="AH71" s="113"/>
      <c r="AI71" s="113"/>
      <c r="AJ71" s="114">
        <f t="shared" si="20"/>
        <v>1100</v>
      </c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</row>
    <row r="72" spans="1:52" x14ac:dyDescent="0.25">
      <c r="A72" s="98" t="s">
        <v>382</v>
      </c>
      <c r="B72" s="98" t="s">
        <v>468</v>
      </c>
      <c r="C72" s="98" t="s">
        <v>32</v>
      </c>
      <c r="D72" s="98">
        <v>21</v>
      </c>
      <c r="E72" s="98" t="s">
        <v>191</v>
      </c>
      <c r="F72" s="98"/>
      <c r="G72" s="99"/>
      <c r="H72" s="99"/>
      <c r="I72" s="98">
        <v>513.33000000000004</v>
      </c>
      <c r="J72" s="99"/>
      <c r="K72" s="101">
        <f t="shared" si="22"/>
        <v>513.33000000000004</v>
      </c>
      <c r="L72" s="101">
        <v>3251.67</v>
      </c>
      <c r="M72" s="102"/>
      <c r="N72" s="102"/>
      <c r="O72" s="103"/>
      <c r="P72" s="104">
        <f t="shared" si="21"/>
        <v>3765</v>
      </c>
      <c r="Q72" s="105"/>
      <c r="R72" s="106">
        <v>0</v>
      </c>
      <c r="S72" s="106"/>
      <c r="T72" s="106"/>
      <c r="U72" s="106"/>
      <c r="V72" s="107"/>
      <c r="W72" s="107"/>
      <c r="X72" s="108"/>
      <c r="Y72" s="116">
        <v>150.49</v>
      </c>
      <c r="Z72" s="104">
        <f t="shared" si="8"/>
        <v>3614.51</v>
      </c>
      <c r="AA72" s="110">
        <f t="shared" si="7"/>
        <v>0</v>
      </c>
      <c r="AB72" s="104">
        <f t="shared" si="9"/>
        <v>3614.51</v>
      </c>
      <c r="AC72" s="111">
        <f t="shared" si="23"/>
        <v>376.5</v>
      </c>
      <c r="AD72" s="110">
        <f t="shared" si="24"/>
        <v>10.2666</v>
      </c>
      <c r="AE72" s="112">
        <f t="shared" si="25"/>
        <v>4151.7665999999999</v>
      </c>
      <c r="AF72" s="113"/>
      <c r="AG72" s="114">
        <f t="shared" si="19"/>
        <v>3614.51</v>
      </c>
      <c r="AH72" s="113"/>
      <c r="AI72" s="113"/>
      <c r="AJ72" s="114">
        <f t="shared" si="20"/>
        <v>3614.51</v>
      </c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</row>
    <row r="73" spans="1:52" x14ac:dyDescent="0.25">
      <c r="A73" s="98" t="s">
        <v>382</v>
      </c>
      <c r="B73" s="98" t="s">
        <v>469</v>
      </c>
      <c r="C73" s="98" t="s">
        <v>31</v>
      </c>
      <c r="D73" s="98" t="s">
        <v>149</v>
      </c>
      <c r="E73" s="98" t="s">
        <v>191</v>
      </c>
      <c r="F73" s="98"/>
      <c r="G73" s="99"/>
      <c r="H73" s="99"/>
      <c r="I73" s="98">
        <v>513.33000000000004</v>
      </c>
      <c r="J73" s="99"/>
      <c r="K73" s="101">
        <f t="shared" si="22"/>
        <v>513.33000000000004</v>
      </c>
      <c r="L73" s="101">
        <v>782.37</v>
      </c>
      <c r="M73" s="102"/>
      <c r="N73" s="102"/>
      <c r="O73" s="103"/>
      <c r="P73" s="104">
        <f t="shared" si="21"/>
        <v>1295.7</v>
      </c>
      <c r="Q73" s="105"/>
      <c r="R73" s="106">
        <v>0</v>
      </c>
      <c r="S73" s="106"/>
      <c r="T73" s="106"/>
      <c r="U73" s="106"/>
      <c r="V73" s="107"/>
      <c r="W73" s="107"/>
      <c r="X73" s="108"/>
      <c r="Y73" s="116">
        <v>0</v>
      </c>
      <c r="Z73" s="104">
        <f t="shared" si="8"/>
        <v>1295.7</v>
      </c>
      <c r="AA73" s="110">
        <f t="shared" si="7"/>
        <v>0</v>
      </c>
      <c r="AB73" s="104">
        <f t="shared" si="9"/>
        <v>1295.7</v>
      </c>
      <c r="AC73" s="111">
        <f t="shared" si="23"/>
        <v>129.57000000000002</v>
      </c>
      <c r="AD73" s="110">
        <f t="shared" si="24"/>
        <v>10.2666</v>
      </c>
      <c r="AE73" s="112">
        <f t="shared" si="25"/>
        <v>1435.5365999999999</v>
      </c>
      <c r="AF73" s="113"/>
      <c r="AG73" s="114">
        <f t="shared" si="19"/>
        <v>1295.7</v>
      </c>
      <c r="AH73" s="113"/>
      <c r="AI73" s="113"/>
      <c r="AJ73" s="114">
        <f t="shared" si="20"/>
        <v>1295.7</v>
      </c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</row>
    <row r="74" spans="1:52" x14ac:dyDescent="0.25">
      <c r="A74" s="118" t="s">
        <v>386</v>
      </c>
      <c r="B74" s="98" t="s">
        <v>470</v>
      </c>
      <c r="C74" s="98"/>
      <c r="D74" s="98" t="s">
        <v>265</v>
      </c>
      <c r="E74" s="98" t="s">
        <v>471</v>
      </c>
      <c r="F74" s="98"/>
      <c r="G74" s="99"/>
      <c r="H74" s="99"/>
      <c r="I74" s="119">
        <v>543.20000000000005</v>
      </c>
      <c r="J74" s="99"/>
      <c r="K74" s="101">
        <f t="shared" si="22"/>
        <v>543.20000000000005</v>
      </c>
      <c r="L74" s="101">
        <v>1283.7</v>
      </c>
      <c r="M74" s="102"/>
      <c r="N74" s="102"/>
      <c r="O74" s="103"/>
      <c r="P74" s="104">
        <f t="shared" si="21"/>
        <v>1826.9</v>
      </c>
      <c r="Q74" s="105"/>
      <c r="R74" s="106">
        <v>0</v>
      </c>
      <c r="S74" s="120">
        <f t="shared" ref="S74:S75" si="26">P74*1%</f>
        <v>18.269000000000002</v>
      </c>
      <c r="T74" s="120">
        <f t="shared" ref="T74:T75" si="27">P74*4.9%</f>
        <v>89.518100000000004</v>
      </c>
      <c r="U74" s="106"/>
      <c r="V74" s="107"/>
      <c r="W74" s="107"/>
      <c r="X74" s="108"/>
      <c r="Y74" s="109">
        <v>0</v>
      </c>
      <c r="Z74" s="104">
        <f t="shared" si="8"/>
        <v>1719.1129000000001</v>
      </c>
      <c r="AA74" s="110">
        <f t="shared" si="7"/>
        <v>0</v>
      </c>
      <c r="AB74" s="104">
        <f t="shared" si="9"/>
        <v>1719.1129000000001</v>
      </c>
      <c r="AC74" s="111">
        <f t="shared" si="23"/>
        <v>182.69000000000003</v>
      </c>
      <c r="AD74" s="110">
        <f t="shared" si="24"/>
        <v>10.864000000000001</v>
      </c>
      <c r="AE74" s="112">
        <f t="shared" si="25"/>
        <v>2020.4540000000002</v>
      </c>
      <c r="AF74" s="113"/>
      <c r="AG74" s="114">
        <f t="shared" si="19"/>
        <v>1719.1129000000001</v>
      </c>
      <c r="AH74" s="113"/>
      <c r="AI74" s="113"/>
      <c r="AJ74" s="114">
        <f t="shared" si="20"/>
        <v>1719.1129000000001</v>
      </c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</row>
    <row r="75" spans="1:52" x14ac:dyDescent="0.25">
      <c r="A75" s="118" t="s">
        <v>386</v>
      </c>
      <c r="B75" s="98" t="s">
        <v>472</v>
      </c>
      <c r="C75" s="98"/>
      <c r="D75" s="98" t="s">
        <v>153</v>
      </c>
      <c r="E75" s="98" t="s">
        <v>192</v>
      </c>
      <c r="F75" s="98"/>
      <c r="G75" s="99"/>
      <c r="H75" s="99"/>
      <c r="I75" s="119">
        <v>608.16</v>
      </c>
      <c r="J75" s="99"/>
      <c r="K75" s="101">
        <f t="shared" si="22"/>
        <v>608.16</v>
      </c>
      <c r="L75" s="101">
        <f>1692.89+5.571</f>
        <v>1698.461</v>
      </c>
      <c r="M75" s="102"/>
      <c r="N75" s="102"/>
      <c r="O75" s="103"/>
      <c r="P75" s="104">
        <f t="shared" si="21"/>
        <v>2306.6210000000001</v>
      </c>
      <c r="Q75" s="105"/>
      <c r="R75" s="120">
        <v>200</v>
      </c>
      <c r="S75" s="120">
        <f t="shared" si="26"/>
        <v>23.066210000000002</v>
      </c>
      <c r="T75" s="120">
        <f t="shared" si="27"/>
        <v>113.02442900000001</v>
      </c>
      <c r="U75" s="120">
        <v>257.64</v>
      </c>
      <c r="V75" s="107"/>
      <c r="W75" s="107"/>
      <c r="X75" s="108">
        <v>201.24</v>
      </c>
      <c r="Y75" s="109">
        <v>0</v>
      </c>
      <c r="Z75" s="104">
        <f t="shared" si="8"/>
        <v>1511.650361</v>
      </c>
      <c r="AA75" s="110">
        <f t="shared" ref="AA75:AA90" si="28">IF(P75&gt;4500,P75*0.1,0)</f>
        <v>0</v>
      </c>
      <c r="AB75" s="104">
        <f t="shared" si="9"/>
        <v>1511.650361</v>
      </c>
      <c r="AC75" s="111">
        <f t="shared" si="23"/>
        <v>230.66210000000001</v>
      </c>
      <c r="AD75" s="110">
        <f t="shared" si="24"/>
        <v>12.1632</v>
      </c>
      <c r="AE75" s="112">
        <f t="shared" si="25"/>
        <v>2549.4463000000001</v>
      </c>
      <c r="AF75" s="113"/>
      <c r="AG75" s="114">
        <f t="shared" si="19"/>
        <v>1511.650361</v>
      </c>
      <c r="AH75" s="113"/>
      <c r="AI75" s="113"/>
      <c r="AJ75" s="114">
        <f t="shared" si="20"/>
        <v>1511.650361</v>
      </c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</row>
    <row r="76" spans="1:52" x14ac:dyDescent="0.25">
      <c r="A76" s="118" t="s">
        <v>388</v>
      </c>
      <c r="B76" s="98" t="s">
        <v>473</v>
      </c>
      <c r="C76" s="98"/>
      <c r="D76" s="98" t="s">
        <v>183</v>
      </c>
      <c r="E76" s="98" t="s">
        <v>184</v>
      </c>
      <c r="F76" s="98"/>
      <c r="G76" s="98"/>
      <c r="H76" s="98"/>
      <c r="I76" s="98">
        <v>739.23</v>
      </c>
      <c r="J76" s="98"/>
      <c r="K76" s="101">
        <f t="shared" si="22"/>
        <v>739.23</v>
      </c>
      <c r="L76" s="101">
        <v>2395.5239999999999</v>
      </c>
      <c r="M76" s="102"/>
      <c r="N76" s="102"/>
      <c r="O76" s="103"/>
      <c r="P76" s="104">
        <f t="shared" si="21"/>
        <v>3134.7539999999999</v>
      </c>
      <c r="Q76" s="105"/>
      <c r="R76" s="120">
        <v>150</v>
      </c>
      <c r="S76" s="106"/>
      <c r="T76" s="106"/>
      <c r="U76" s="106"/>
      <c r="V76" s="107"/>
      <c r="W76" s="107"/>
      <c r="X76" s="108"/>
      <c r="Y76" s="109">
        <v>0</v>
      </c>
      <c r="Z76" s="104">
        <f t="shared" si="8"/>
        <v>2984.7539999999999</v>
      </c>
      <c r="AA76" s="110">
        <f t="shared" si="28"/>
        <v>0</v>
      </c>
      <c r="AB76" s="104">
        <f t="shared" si="9"/>
        <v>2984.7539999999999</v>
      </c>
      <c r="AC76" s="111">
        <f t="shared" si="23"/>
        <v>313.47540000000004</v>
      </c>
      <c r="AD76" s="110">
        <f t="shared" si="24"/>
        <v>14.784600000000001</v>
      </c>
      <c r="AE76" s="112">
        <f t="shared" si="25"/>
        <v>3463.0140000000001</v>
      </c>
      <c r="AF76" s="113"/>
      <c r="AG76" s="114">
        <f t="shared" si="19"/>
        <v>2984.7539999999999</v>
      </c>
      <c r="AH76" s="113"/>
      <c r="AI76" s="113"/>
      <c r="AJ76" s="114">
        <f t="shared" si="20"/>
        <v>2984.7539999999999</v>
      </c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</row>
    <row r="77" spans="1:52" x14ac:dyDescent="0.25">
      <c r="A77" s="98" t="s">
        <v>436</v>
      </c>
      <c r="B77" s="98" t="s">
        <v>474</v>
      </c>
      <c r="C77" s="98"/>
      <c r="D77" s="98" t="s">
        <v>156</v>
      </c>
      <c r="E77" s="98" t="s">
        <v>187</v>
      </c>
      <c r="F77" s="98"/>
      <c r="G77" s="99"/>
      <c r="H77" s="99"/>
      <c r="I77" s="100">
        <v>1400</v>
      </c>
      <c r="J77" s="99"/>
      <c r="K77" s="101">
        <f t="shared" si="22"/>
        <v>1400</v>
      </c>
      <c r="L77" s="101"/>
      <c r="M77" s="102"/>
      <c r="N77" s="102"/>
      <c r="O77" s="103"/>
      <c r="P77" s="104">
        <f t="shared" si="21"/>
        <v>1400</v>
      </c>
      <c r="Q77" s="105"/>
      <c r="R77" s="106">
        <v>0</v>
      </c>
      <c r="S77" s="106"/>
      <c r="T77" s="106"/>
      <c r="U77" s="106"/>
      <c r="V77" s="107"/>
      <c r="W77" s="107"/>
      <c r="X77" s="108"/>
      <c r="Y77" s="109">
        <v>355.65</v>
      </c>
      <c r="Z77" s="104">
        <f t="shared" si="8"/>
        <v>1044.3499999999999</v>
      </c>
      <c r="AA77" s="110">
        <f t="shared" si="28"/>
        <v>0</v>
      </c>
      <c r="AB77" s="104">
        <f t="shared" si="9"/>
        <v>1044.3499999999999</v>
      </c>
      <c r="AC77" s="111">
        <f t="shared" si="23"/>
        <v>140</v>
      </c>
      <c r="AD77" s="110">
        <f t="shared" si="24"/>
        <v>28</v>
      </c>
      <c r="AE77" s="112">
        <f t="shared" si="25"/>
        <v>1568</v>
      </c>
      <c r="AF77" s="113"/>
      <c r="AG77" s="114">
        <f t="shared" si="19"/>
        <v>1044.3499999999999</v>
      </c>
      <c r="AH77" s="113"/>
      <c r="AI77" s="113"/>
      <c r="AJ77" s="114">
        <f t="shared" si="20"/>
        <v>1044.3499999999999</v>
      </c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</row>
    <row r="78" spans="1:52" s="131" customFormat="1" x14ac:dyDescent="0.25">
      <c r="A78" s="121" t="s">
        <v>436</v>
      </c>
      <c r="B78" s="121" t="s">
        <v>475</v>
      </c>
      <c r="C78" s="121"/>
      <c r="D78" s="121"/>
      <c r="E78" s="121" t="s">
        <v>187</v>
      </c>
      <c r="F78" s="121"/>
      <c r="G78" s="121"/>
      <c r="H78" s="121"/>
      <c r="I78" s="123">
        <v>1400</v>
      </c>
      <c r="J78" s="121"/>
      <c r="K78" s="124">
        <f t="shared" si="22"/>
        <v>1400</v>
      </c>
      <c r="L78" s="124"/>
      <c r="M78" s="124"/>
      <c r="N78" s="124"/>
      <c r="O78" s="125"/>
      <c r="P78" s="126">
        <f t="shared" si="21"/>
        <v>1400</v>
      </c>
      <c r="Q78" s="127"/>
      <c r="R78" s="127"/>
      <c r="S78" s="127"/>
      <c r="T78" s="127"/>
      <c r="U78" s="127"/>
      <c r="V78" s="128"/>
      <c r="W78" s="128"/>
      <c r="X78" s="121"/>
      <c r="Y78" s="129"/>
      <c r="Z78" s="126">
        <f t="shared" ref="Z78:Z86" si="29">+P78-SUM(Q78:Y78)</f>
        <v>1400</v>
      </c>
      <c r="AA78" s="130">
        <f t="shared" si="28"/>
        <v>0</v>
      </c>
      <c r="AB78" s="126">
        <f t="shared" ref="AB78:AB90" si="30">+Z78-AA78</f>
        <v>1400</v>
      </c>
      <c r="AC78" s="130">
        <f t="shared" si="23"/>
        <v>140</v>
      </c>
      <c r="AD78" s="130">
        <f t="shared" si="24"/>
        <v>28</v>
      </c>
      <c r="AE78" s="112">
        <f t="shared" si="25"/>
        <v>1568</v>
      </c>
      <c r="AG78" s="132"/>
      <c r="AJ78" s="132"/>
    </row>
    <row r="79" spans="1:52" x14ac:dyDescent="0.25">
      <c r="A79" s="118" t="s">
        <v>388</v>
      </c>
      <c r="B79" s="98" t="s">
        <v>476</v>
      </c>
      <c r="C79" s="98"/>
      <c r="D79" s="98" t="s">
        <v>158</v>
      </c>
      <c r="E79" s="98" t="s">
        <v>178</v>
      </c>
      <c r="F79" s="98"/>
      <c r="G79" s="98"/>
      <c r="H79" s="98"/>
      <c r="I79" s="98">
        <v>739.23</v>
      </c>
      <c r="J79" s="98"/>
      <c r="K79" s="101">
        <f t="shared" si="22"/>
        <v>739.23</v>
      </c>
      <c r="L79" s="101">
        <v>1722.15</v>
      </c>
      <c r="M79" s="102"/>
      <c r="N79" s="102"/>
      <c r="O79" s="103"/>
      <c r="P79" s="104">
        <f t="shared" si="21"/>
        <v>2461.38</v>
      </c>
      <c r="Q79" s="105"/>
      <c r="R79" s="106">
        <v>0</v>
      </c>
      <c r="S79" s="106"/>
      <c r="T79" s="106"/>
      <c r="U79" s="106"/>
      <c r="V79" s="107"/>
      <c r="W79" s="107"/>
      <c r="X79" s="108"/>
      <c r="Y79" s="109">
        <v>0</v>
      </c>
      <c r="Z79" s="104">
        <f t="shared" si="29"/>
        <v>2461.38</v>
      </c>
      <c r="AA79" s="110">
        <f t="shared" si="28"/>
        <v>0</v>
      </c>
      <c r="AB79" s="104">
        <f t="shared" si="30"/>
        <v>2461.38</v>
      </c>
      <c r="AC79" s="111">
        <f t="shared" si="23"/>
        <v>246.13800000000003</v>
      </c>
      <c r="AD79" s="110">
        <f t="shared" si="24"/>
        <v>14.784600000000001</v>
      </c>
      <c r="AE79" s="112">
        <f t="shared" si="25"/>
        <v>2722.3026</v>
      </c>
      <c r="AF79" s="113"/>
      <c r="AG79" s="114">
        <f t="shared" ref="AG79:AG94" si="31">+AB79-AF79</f>
        <v>2461.38</v>
      </c>
      <c r="AH79" s="113"/>
      <c r="AI79" s="113"/>
      <c r="AJ79" s="114">
        <f t="shared" ref="AJ79:AJ90" si="32">+AG79-AH79-AI79</f>
        <v>2461.38</v>
      </c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</row>
    <row r="80" spans="1:52" x14ac:dyDescent="0.25">
      <c r="A80" s="118" t="s">
        <v>388</v>
      </c>
      <c r="B80" s="98" t="s">
        <v>477</v>
      </c>
      <c r="C80" s="98"/>
      <c r="D80" s="98" t="s">
        <v>160</v>
      </c>
      <c r="E80" s="98" t="s">
        <v>185</v>
      </c>
      <c r="F80" s="98"/>
      <c r="G80" s="98"/>
      <c r="H80" s="98"/>
      <c r="I80" s="98">
        <v>739.23</v>
      </c>
      <c r="J80" s="98"/>
      <c r="K80" s="101">
        <f t="shared" si="22"/>
        <v>739.23</v>
      </c>
      <c r="L80" s="101">
        <v>2400.4969999999998</v>
      </c>
      <c r="M80" s="101"/>
      <c r="N80" s="101"/>
      <c r="O80" s="103"/>
      <c r="P80" s="104">
        <f t="shared" si="21"/>
        <v>3139.7269999999999</v>
      </c>
      <c r="Q80" s="105"/>
      <c r="R80" s="106">
        <v>0</v>
      </c>
      <c r="S80" s="106"/>
      <c r="T80" s="106"/>
      <c r="U80" s="106"/>
      <c r="V80" s="107"/>
      <c r="W80" s="107"/>
      <c r="X80" s="108"/>
      <c r="Y80" s="109">
        <v>0</v>
      </c>
      <c r="Z80" s="104">
        <f t="shared" si="29"/>
        <v>3139.7269999999999</v>
      </c>
      <c r="AA80" s="110">
        <f t="shared" si="28"/>
        <v>0</v>
      </c>
      <c r="AB80" s="104">
        <f t="shared" si="30"/>
        <v>3139.7269999999999</v>
      </c>
      <c r="AC80" s="111">
        <f t="shared" si="23"/>
        <v>313.97270000000003</v>
      </c>
      <c r="AD80" s="110">
        <f t="shared" si="24"/>
        <v>14.784600000000001</v>
      </c>
      <c r="AE80" s="112">
        <f t="shared" si="25"/>
        <v>3468.4843000000001</v>
      </c>
      <c r="AF80" s="113"/>
      <c r="AG80" s="114">
        <f t="shared" si="31"/>
        <v>3139.7269999999999</v>
      </c>
      <c r="AH80" s="113"/>
      <c r="AI80" s="113"/>
      <c r="AJ80" s="114">
        <f t="shared" si="32"/>
        <v>3139.7269999999999</v>
      </c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</row>
    <row r="81" spans="1:52" x14ac:dyDescent="0.25">
      <c r="A81" s="98" t="s">
        <v>382</v>
      </c>
      <c r="B81" s="98" t="s">
        <v>478</v>
      </c>
      <c r="C81" s="98" t="s">
        <v>33</v>
      </c>
      <c r="D81" s="98" t="s">
        <v>164</v>
      </c>
      <c r="E81" s="98" t="s">
        <v>191</v>
      </c>
      <c r="F81" s="98"/>
      <c r="G81" s="99"/>
      <c r="H81" s="99"/>
      <c r="I81" s="98">
        <v>513.33000000000004</v>
      </c>
      <c r="J81" s="99">
        <v>653.33000000000004</v>
      </c>
      <c r="K81" s="101">
        <f t="shared" si="22"/>
        <v>1166.6600000000001</v>
      </c>
      <c r="L81" s="101">
        <v>12504.16</v>
      </c>
      <c r="M81" s="102"/>
      <c r="N81" s="102"/>
      <c r="O81" s="103"/>
      <c r="P81" s="104">
        <f t="shared" si="21"/>
        <v>13670.82</v>
      </c>
      <c r="Q81" s="105"/>
      <c r="R81" s="106">
        <v>0</v>
      </c>
      <c r="S81" s="106"/>
      <c r="T81" s="106"/>
      <c r="U81" s="106"/>
      <c r="V81" s="107"/>
      <c r="W81" s="107"/>
      <c r="X81" s="108"/>
      <c r="Y81" s="116">
        <v>488.83</v>
      </c>
      <c r="Z81" s="104">
        <f t="shared" si="29"/>
        <v>13181.99</v>
      </c>
      <c r="AA81" s="110">
        <f t="shared" si="28"/>
        <v>1367.0820000000001</v>
      </c>
      <c r="AB81" s="104">
        <f t="shared" si="30"/>
        <v>11814.907999999999</v>
      </c>
      <c r="AC81" s="111">
        <f t="shared" si="23"/>
        <v>0</v>
      </c>
      <c r="AD81" s="110">
        <f t="shared" si="24"/>
        <v>10.2666</v>
      </c>
      <c r="AE81" s="112">
        <f t="shared" si="25"/>
        <v>13681.086600000001</v>
      </c>
      <c r="AF81" s="113"/>
      <c r="AG81" s="114">
        <f t="shared" si="31"/>
        <v>11814.907999999999</v>
      </c>
      <c r="AH81" s="113"/>
      <c r="AI81" s="113"/>
      <c r="AJ81" s="114">
        <f t="shared" si="32"/>
        <v>11814.907999999999</v>
      </c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</row>
    <row r="82" spans="1:52" x14ac:dyDescent="0.25">
      <c r="A82" s="98" t="s">
        <v>394</v>
      </c>
      <c r="B82" s="98" t="s">
        <v>479</v>
      </c>
      <c r="C82" s="98" t="s">
        <v>396</v>
      </c>
      <c r="D82" s="98" t="s">
        <v>166</v>
      </c>
      <c r="E82" s="98" t="s">
        <v>397</v>
      </c>
      <c r="F82" s="98"/>
      <c r="G82" s="99"/>
      <c r="H82" s="99"/>
      <c r="I82" s="100">
        <v>1166.67</v>
      </c>
      <c r="J82" s="99"/>
      <c r="K82" s="101">
        <f t="shared" si="22"/>
        <v>1166.67</v>
      </c>
      <c r="L82" s="101">
        <v>1500</v>
      </c>
      <c r="M82" s="102"/>
      <c r="N82" s="102"/>
      <c r="O82" s="103"/>
      <c r="P82" s="104">
        <f t="shared" si="21"/>
        <v>2666.67</v>
      </c>
      <c r="Q82" s="105"/>
      <c r="R82" s="106">
        <v>0</v>
      </c>
      <c r="S82" s="106"/>
      <c r="T82" s="106"/>
      <c r="U82" s="106"/>
      <c r="V82" s="107"/>
      <c r="W82" s="107"/>
      <c r="X82" s="108"/>
      <c r="Y82" s="109">
        <v>0</v>
      </c>
      <c r="Z82" s="104">
        <f t="shared" si="29"/>
        <v>2666.67</v>
      </c>
      <c r="AA82" s="110">
        <f t="shared" si="28"/>
        <v>0</v>
      </c>
      <c r="AB82" s="104">
        <f t="shared" si="30"/>
        <v>2666.67</v>
      </c>
      <c r="AC82" s="111">
        <f t="shared" si="23"/>
        <v>266.66700000000003</v>
      </c>
      <c r="AD82" s="110">
        <f t="shared" si="24"/>
        <v>23.333400000000001</v>
      </c>
      <c r="AE82" s="112">
        <f t="shared" si="25"/>
        <v>2956.6704</v>
      </c>
      <c r="AF82" s="113"/>
      <c r="AG82" s="114">
        <f t="shared" si="31"/>
        <v>2666.67</v>
      </c>
      <c r="AH82" s="113"/>
      <c r="AI82" s="113"/>
      <c r="AJ82" s="114">
        <f t="shared" si="32"/>
        <v>2666.67</v>
      </c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</row>
    <row r="83" spans="1:52" x14ac:dyDescent="0.25">
      <c r="A83" s="118" t="s">
        <v>386</v>
      </c>
      <c r="B83" s="98" t="s">
        <v>480</v>
      </c>
      <c r="C83" s="98"/>
      <c r="D83" s="98" t="s">
        <v>168</v>
      </c>
      <c r="E83" s="98" t="s">
        <v>195</v>
      </c>
      <c r="F83" s="98"/>
      <c r="G83" s="99"/>
      <c r="H83" s="99"/>
      <c r="I83" s="119">
        <v>608.16</v>
      </c>
      <c r="J83" s="99"/>
      <c r="K83" s="101">
        <f t="shared" si="22"/>
        <v>608.16</v>
      </c>
      <c r="L83" s="101">
        <v>2862.13</v>
      </c>
      <c r="M83" s="102"/>
      <c r="N83" s="102"/>
      <c r="O83" s="103"/>
      <c r="P83" s="104">
        <f t="shared" si="21"/>
        <v>3470.29</v>
      </c>
      <c r="Q83" s="105"/>
      <c r="R83" s="120">
        <v>200</v>
      </c>
      <c r="S83" s="120">
        <f>P83*1%</f>
        <v>34.7029</v>
      </c>
      <c r="T83" s="120">
        <f>P83*4.9%</f>
        <v>170.04420999999999</v>
      </c>
      <c r="U83" s="106"/>
      <c r="V83" s="107"/>
      <c r="W83" s="107"/>
      <c r="X83" s="108"/>
      <c r="Y83" s="109">
        <v>0</v>
      </c>
      <c r="Z83" s="104">
        <f t="shared" si="29"/>
        <v>3065.5428899999997</v>
      </c>
      <c r="AA83" s="110">
        <f t="shared" si="28"/>
        <v>0</v>
      </c>
      <c r="AB83" s="104">
        <f t="shared" si="30"/>
        <v>3065.5428899999997</v>
      </c>
      <c r="AC83" s="111">
        <f t="shared" si="23"/>
        <v>347.029</v>
      </c>
      <c r="AD83" s="110">
        <f t="shared" si="24"/>
        <v>12.1632</v>
      </c>
      <c r="AE83" s="112">
        <f t="shared" si="25"/>
        <v>3829.4821999999999</v>
      </c>
      <c r="AF83" s="113"/>
      <c r="AG83" s="114">
        <f t="shared" si="31"/>
        <v>3065.5428899999997</v>
      </c>
      <c r="AH83" s="113"/>
      <c r="AI83" s="113"/>
      <c r="AJ83" s="114">
        <f t="shared" si="32"/>
        <v>3065.5428899999997</v>
      </c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</row>
    <row r="84" spans="1:52" x14ac:dyDescent="0.25">
      <c r="A84" s="98" t="s">
        <v>380</v>
      </c>
      <c r="B84" s="98" t="s">
        <v>481</v>
      </c>
      <c r="C84" s="98"/>
      <c r="D84" s="98" t="s">
        <v>170</v>
      </c>
      <c r="E84" s="98" t="s">
        <v>186</v>
      </c>
      <c r="F84" s="98"/>
      <c r="G84" s="98"/>
      <c r="H84" s="98"/>
      <c r="I84" s="100">
        <v>1100</v>
      </c>
      <c r="J84" s="98"/>
      <c r="K84" s="101">
        <f t="shared" si="22"/>
        <v>1100</v>
      </c>
      <c r="L84" s="101"/>
      <c r="M84" s="101"/>
      <c r="N84" s="101"/>
      <c r="O84" s="103"/>
      <c r="P84" s="104">
        <f t="shared" si="21"/>
        <v>1100</v>
      </c>
      <c r="Q84" s="105"/>
      <c r="R84" s="106">
        <v>0</v>
      </c>
      <c r="S84" s="106"/>
      <c r="T84" s="106"/>
      <c r="U84" s="106"/>
      <c r="V84" s="107"/>
      <c r="W84" s="107"/>
      <c r="X84" s="108"/>
      <c r="Y84" s="109">
        <v>0</v>
      </c>
      <c r="Z84" s="104">
        <f t="shared" si="29"/>
        <v>1100</v>
      </c>
      <c r="AA84" s="110">
        <f t="shared" si="28"/>
        <v>0</v>
      </c>
      <c r="AB84" s="104">
        <f t="shared" si="30"/>
        <v>1100</v>
      </c>
      <c r="AC84" s="111">
        <f t="shared" si="23"/>
        <v>110</v>
      </c>
      <c r="AD84" s="110">
        <f t="shared" si="24"/>
        <v>22</v>
      </c>
      <c r="AE84" s="112">
        <f t="shared" si="25"/>
        <v>1232</v>
      </c>
      <c r="AF84" s="113"/>
      <c r="AG84" s="114">
        <f t="shared" si="31"/>
        <v>1100</v>
      </c>
      <c r="AH84" s="113"/>
      <c r="AI84" s="113"/>
      <c r="AJ84" s="114">
        <f t="shared" si="32"/>
        <v>1100</v>
      </c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</row>
    <row r="85" spans="1:52" x14ac:dyDescent="0.25">
      <c r="A85" s="98" t="s">
        <v>382</v>
      </c>
      <c r="B85" s="98" t="s">
        <v>482</v>
      </c>
      <c r="C85" s="98" t="s">
        <v>32</v>
      </c>
      <c r="D85" s="98" t="s">
        <v>172</v>
      </c>
      <c r="E85" s="98" t="s">
        <v>191</v>
      </c>
      <c r="F85" s="98"/>
      <c r="G85" s="99"/>
      <c r="H85" s="99"/>
      <c r="I85" s="98">
        <v>513.33000000000004</v>
      </c>
      <c r="J85" s="99">
        <v>653.33000000000004</v>
      </c>
      <c r="K85" s="101">
        <f t="shared" si="22"/>
        <v>1166.6600000000001</v>
      </c>
      <c r="L85" s="101"/>
      <c r="M85" s="102"/>
      <c r="N85" s="102"/>
      <c r="O85" s="103"/>
      <c r="P85" s="104">
        <f t="shared" si="21"/>
        <v>1166.6600000000001</v>
      </c>
      <c r="Q85" s="105"/>
      <c r="R85" s="106">
        <v>0</v>
      </c>
      <c r="S85" s="106"/>
      <c r="T85" s="106"/>
      <c r="U85" s="106"/>
      <c r="V85" s="107"/>
      <c r="W85" s="107"/>
      <c r="X85" s="108"/>
      <c r="Y85" s="116">
        <v>0</v>
      </c>
      <c r="Z85" s="104">
        <f t="shared" si="29"/>
        <v>1166.6600000000001</v>
      </c>
      <c r="AA85" s="110">
        <f t="shared" si="28"/>
        <v>0</v>
      </c>
      <c r="AB85" s="104">
        <f t="shared" si="30"/>
        <v>1166.6600000000001</v>
      </c>
      <c r="AC85" s="111">
        <f t="shared" si="23"/>
        <v>116.66600000000001</v>
      </c>
      <c r="AD85" s="110">
        <f t="shared" si="24"/>
        <v>10.2666</v>
      </c>
      <c r="AE85" s="112">
        <f t="shared" si="25"/>
        <v>1293.5925999999999</v>
      </c>
      <c r="AF85" s="113"/>
      <c r="AG85" s="114">
        <f t="shared" si="31"/>
        <v>1166.6600000000001</v>
      </c>
      <c r="AH85" s="113"/>
      <c r="AI85" s="113"/>
      <c r="AJ85" s="114">
        <f t="shared" si="32"/>
        <v>1166.6600000000001</v>
      </c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</row>
    <row r="86" spans="1:52" x14ac:dyDescent="0.25">
      <c r="A86" s="118" t="s">
        <v>388</v>
      </c>
      <c r="B86" s="98" t="s">
        <v>483</v>
      </c>
      <c r="C86" s="98"/>
      <c r="D86" s="98" t="s">
        <v>174</v>
      </c>
      <c r="E86" s="98" t="s">
        <v>390</v>
      </c>
      <c r="F86" s="98"/>
      <c r="G86" s="98"/>
      <c r="H86" s="98"/>
      <c r="I86" s="98">
        <v>739.23</v>
      </c>
      <c r="J86" s="98"/>
      <c r="K86" s="101">
        <f t="shared" si="22"/>
        <v>739.23</v>
      </c>
      <c r="L86" s="101">
        <v>3239.2959999999998</v>
      </c>
      <c r="M86" s="101"/>
      <c r="N86" s="101"/>
      <c r="O86" s="103"/>
      <c r="P86" s="104">
        <f t="shared" si="21"/>
        <v>3978.5259999999998</v>
      </c>
      <c r="Q86" s="105"/>
      <c r="R86" s="120">
        <v>500</v>
      </c>
      <c r="S86" s="106"/>
      <c r="T86" s="106"/>
      <c r="U86" s="106"/>
      <c r="V86" s="107"/>
      <c r="W86" s="107"/>
      <c r="X86" s="108"/>
      <c r="Y86" s="109">
        <v>0</v>
      </c>
      <c r="Z86" s="104">
        <f t="shared" si="29"/>
        <v>3478.5259999999998</v>
      </c>
      <c r="AA86" s="110">
        <f t="shared" si="28"/>
        <v>0</v>
      </c>
      <c r="AB86" s="104">
        <f t="shared" si="30"/>
        <v>3478.5259999999998</v>
      </c>
      <c r="AC86" s="111">
        <f t="shared" si="23"/>
        <v>397.8526</v>
      </c>
      <c r="AD86" s="110">
        <f t="shared" si="24"/>
        <v>14.784600000000001</v>
      </c>
      <c r="AE86" s="112">
        <f t="shared" si="25"/>
        <v>4391.1632</v>
      </c>
      <c r="AF86" s="113"/>
      <c r="AG86" s="114">
        <f t="shared" si="31"/>
        <v>3478.5259999999998</v>
      </c>
      <c r="AH86" s="113"/>
      <c r="AI86" s="113"/>
      <c r="AJ86" s="114">
        <f t="shared" si="32"/>
        <v>3478.5259999999998</v>
      </c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</row>
    <row r="87" spans="1:52" x14ac:dyDescent="0.25">
      <c r="A87" s="98" t="s">
        <v>382</v>
      </c>
      <c r="B87" s="98" t="s">
        <v>484</v>
      </c>
      <c r="C87" s="98" t="s">
        <v>33</v>
      </c>
      <c r="D87" s="98" t="s">
        <v>176</v>
      </c>
      <c r="E87" s="98" t="s">
        <v>191</v>
      </c>
      <c r="F87" s="98"/>
      <c r="G87" s="99"/>
      <c r="H87" s="99"/>
      <c r="I87" s="98">
        <v>513.33000000000004</v>
      </c>
      <c r="J87" s="99">
        <v>653.33000000000004</v>
      </c>
      <c r="K87" s="101">
        <f t="shared" si="22"/>
        <v>1166.6600000000001</v>
      </c>
      <c r="L87" s="101">
        <f>1256.76+3397.56</f>
        <v>4654.32</v>
      </c>
      <c r="M87" s="101"/>
      <c r="N87" s="101"/>
      <c r="O87" s="103"/>
      <c r="P87" s="104">
        <f t="shared" ref="P87:P88" si="33">SUM(K87:N87)-O87</f>
        <v>5820.98</v>
      </c>
      <c r="Q87" s="105"/>
      <c r="R87" s="120">
        <v>500</v>
      </c>
      <c r="S87" s="106"/>
      <c r="T87" s="106"/>
      <c r="U87" s="106"/>
      <c r="V87" s="107"/>
      <c r="W87" s="107"/>
      <c r="X87" s="108"/>
      <c r="Y87" s="116">
        <v>0</v>
      </c>
      <c r="Z87" s="104">
        <f t="shared" ref="Z87:Z90" si="34">+P87-SUM(Q87:Y87)</f>
        <v>5320.98</v>
      </c>
      <c r="AA87" s="110">
        <f t="shared" si="28"/>
        <v>582.09799999999996</v>
      </c>
      <c r="AB87" s="104">
        <f t="shared" si="30"/>
        <v>4738.8819999999996</v>
      </c>
      <c r="AC87" s="111">
        <f t="shared" si="23"/>
        <v>0</v>
      </c>
      <c r="AD87" s="110">
        <f t="shared" si="24"/>
        <v>10.2666</v>
      </c>
      <c r="AE87" s="112">
        <f t="shared" si="25"/>
        <v>5831.2465999999995</v>
      </c>
      <c r="AF87" s="113"/>
      <c r="AG87" s="114">
        <f t="shared" si="31"/>
        <v>4738.8819999999996</v>
      </c>
      <c r="AH87" s="113"/>
      <c r="AI87" s="113"/>
      <c r="AJ87" s="114">
        <f t="shared" si="32"/>
        <v>4738.8819999999996</v>
      </c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</row>
    <row r="88" spans="1:52" x14ac:dyDescent="0.25">
      <c r="A88" s="98" t="s">
        <v>382</v>
      </c>
      <c r="B88" s="98" t="s">
        <v>485</v>
      </c>
      <c r="C88" s="98" t="s">
        <v>33</v>
      </c>
      <c r="D88" s="139" t="s">
        <v>202</v>
      </c>
      <c r="E88" s="98" t="s">
        <v>191</v>
      </c>
      <c r="F88" s="98"/>
      <c r="G88" s="99"/>
      <c r="H88" s="99"/>
      <c r="I88" s="98">
        <v>513.33000000000004</v>
      </c>
      <c r="J88" s="99">
        <v>653.33000000000004</v>
      </c>
      <c r="K88" s="101">
        <f t="shared" si="22"/>
        <v>1166.6600000000001</v>
      </c>
      <c r="L88" s="101"/>
      <c r="M88" s="101"/>
      <c r="N88" s="101"/>
      <c r="O88" s="103"/>
      <c r="P88" s="104">
        <f t="shared" si="33"/>
        <v>1166.6600000000001</v>
      </c>
      <c r="Q88" s="105"/>
      <c r="R88" s="106"/>
      <c r="S88" s="106"/>
      <c r="T88" s="106"/>
      <c r="U88" s="106"/>
      <c r="V88" s="107"/>
      <c r="W88" s="107"/>
      <c r="X88" s="108"/>
      <c r="Y88" s="116">
        <v>291.5</v>
      </c>
      <c r="Z88" s="104">
        <f t="shared" si="34"/>
        <v>875.16000000000008</v>
      </c>
      <c r="AA88" s="110">
        <f t="shared" si="28"/>
        <v>0</v>
      </c>
      <c r="AB88" s="104">
        <f t="shared" si="30"/>
        <v>875.16000000000008</v>
      </c>
      <c r="AC88" s="111">
        <f t="shared" si="23"/>
        <v>116.66600000000001</v>
      </c>
      <c r="AD88" s="110">
        <f t="shared" si="24"/>
        <v>10.2666</v>
      </c>
      <c r="AE88" s="112">
        <f t="shared" si="25"/>
        <v>1293.5925999999999</v>
      </c>
      <c r="AF88" s="113"/>
      <c r="AG88" s="114">
        <f t="shared" si="31"/>
        <v>875.16000000000008</v>
      </c>
      <c r="AH88" s="113"/>
      <c r="AI88" s="113"/>
      <c r="AJ88" s="114">
        <f t="shared" si="32"/>
        <v>875.16000000000008</v>
      </c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</row>
    <row r="89" spans="1:52" x14ac:dyDescent="0.25">
      <c r="A89" s="98" t="s">
        <v>380</v>
      </c>
      <c r="B89" s="140" t="s">
        <v>486</v>
      </c>
      <c r="C89" s="141"/>
      <c r="D89" s="139"/>
      <c r="E89" s="98" t="s">
        <v>487</v>
      </c>
      <c r="F89" s="98"/>
      <c r="G89" s="99"/>
      <c r="H89" s="99"/>
      <c r="I89" s="142">
        <v>1166.26</v>
      </c>
      <c r="J89" s="99"/>
      <c r="K89" s="101">
        <f t="shared" si="22"/>
        <v>1166.26</v>
      </c>
      <c r="L89" s="101">
        <v>2532.36</v>
      </c>
      <c r="M89" s="102"/>
      <c r="N89" s="102"/>
      <c r="O89" s="103"/>
      <c r="P89" s="104">
        <f t="shared" ref="P89:P90" si="35">SUM(K89:N89)-O89</f>
        <v>3698.62</v>
      </c>
      <c r="Q89" s="105"/>
      <c r="R89" s="106"/>
      <c r="S89" s="106"/>
      <c r="T89" s="106"/>
      <c r="U89" s="106"/>
      <c r="V89" s="107"/>
      <c r="W89" s="107"/>
      <c r="X89" s="108"/>
      <c r="Y89" s="109">
        <v>0</v>
      </c>
      <c r="Z89" s="104">
        <f t="shared" si="34"/>
        <v>3698.62</v>
      </c>
      <c r="AA89" s="110">
        <f t="shared" si="28"/>
        <v>0</v>
      </c>
      <c r="AB89" s="104">
        <f t="shared" si="30"/>
        <v>3698.62</v>
      </c>
      <c r="AC89" s="111">
        <f t="shared" si="23"/>
        <v>369.86200000000002</v>
      </c>
      <c r="AD89" s="110">
        <f t="shared" si="24"/>
        <v>23.325199999999999</v>
      </c>
      <c r="AE89" s="112">
        <f t="shared" si="25"/>
        <v>4091.8072000000002</v>
      </c>
      <c r="AF89" s="113"/>
      <c r="AG89" s="114">
        <f t="shared" si="31"/>
        <v>3698.62</v>
      </c>
      <c r="AH89" s="113"/>
      <c r="AI89" s="113"/>
      <c r="AJ89" s="114">
        <f t="shared" si="32"/>
        <v>3698.62</v>
      </c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</row>
    <row r="90" spans="1:52" x14ac:dyDescent="0.25">
      <c r="A90" s="98" t="s">
        <v>382</v>
      </c>
      <c r="B90" s="141" t="s">
        <v>488</v>
      </c>
      <c r="C90" s="98" t="s">
        <v>31</v>
      </c>
      <c r="D90" s="139"/>
      <c r="E90" s="98" t="s">
        <v>191</v>
      </c>
      <c r="F90" s="98"/>
      <c r="G90" s="99"/>
      <c r="H90" s="99"/>
      <c r="I90" s="142">
        <v>1166.26</v>
      </c>
      <c r="J90" s="99"/>
      <c r="K90" s="101">
        <f t="shared" si="22"/>
        <v>1166.26</v>
      </c>
      <c r="L90" s="101"/>
      <c r="M90" s="102"/>
      <c r="N90" s="102"/>
      <c r="O90" s="103"/>
      <c r="P90" s="104">
        <f t="shared" si="35"/>
        <v>1166.26</v>
      </c>
      <c r="Q90" s="105"/>
      <c r="R90" s="106"/>
      <c r="S90" s="106"/>
      <c r="T90" s="106"/>
      <c r="U90" s="106"/>
      <c r="V90" s="107"/>
      <c r="W90" s="107"/>
      <c r="X90" s="108"/>
      <c r="Y90" s="116">
        <v>0</v>
      </c>
      <c r="Z90" s="104">
        <f t="shared" si="34"/>
        <v>1166.26</v>
      </c>
      <c r="AA90" s="110">
        <f t="shared" si="28"/>
        <v>0</v>
      </c>
      <c r="AB90" s="104">
        <f t="shared" si="30"/>
        <v>1166.26</v>
      </c>
      <c r="AC90" s="111">
        <f t="shared" si="23"/>
        <v>116.626</v>
      </c>
      <c r="AD90" s="110">
        <f t="shared" si="24"/>
        <v>23.325199999999999</v>
      </c>
      <c r="AE90" s="112">
        <f t="shared" si="25"/>
        <v>1306.2112</v>
      </c>
      <c r="AF90" s="113"/>
      <c r="AG90" s="114">
        <f t="shared" si="31"/>
        <v>1166.26</v>
      </c>
      <c r="AH90" s="113"/>
      <c r="AI90" s="113"/>
      <c r="AJ90" s="114">
        <f t="shared" si="32"/>
        <v>1166.26</v>
      </c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</row>
    <row r="91" spans="1:52" x14ac:dyDescent="0.25">
      <c r="A91" s="98"/>
      <c r="B91" s="98"/>
      <c r="C91" s="98"/>
      <c r="D91" s="139"/>
      <c r="E91" s="98"/>
      <c r="F91" s="98"/>
      <c r="G91" s="99"/>
      <c r="H91" s="99"/>
      <c r="I91" s="98"/>
      <c r="J91" s="99"/>
      <c r="K91" s="101"/>
      <c r="L91" s="101"/>
      <c r="M91" s="102"/>
      <c r="N91" s="102"/>
      <c r="O91" s="103"/>
      <c r="P91" s="104"/>
      <c r="Q91" s="105"/>
      <c r="R91" s="106"/>
      <c r="S91" s="106"/>
      <c r="T91" s="106"/>
      <c r="U91" s="106"/>
      <c r="V91" s="107"/>
      <c r="W91" s="107"/>
      <c r="X91" s="143"/>
      <c r="Y91" s="144"/>
      <c r="Z91" s="104"/>
      <c r="AA91" s="110"/>
      <c r="AB91" s="104"/>
      <c r="AC91" s="111"/>
      <c r="AD91" s="110"/>
      <c r="AE91" s="112"/>
      <c r="AF91" s="113"/>
      <c r="AG91" s="114">
        <f t="shared" si="31"/>
        <v>0</v>
      </c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</row>
    <row r="92" spans="1:52" x14ac:dyDescent="0.25">
      <c r="A92" s="98"/>
      <c r="B92" s="98"/>
      <c r="C92" s="98"/>
      <c r="D92" s="139"/>
      <c r="E92" s="98"/>
      <c r="F92" s="98"/>
      <c r="G92" s="99"/>
      <c r="H92" s="99"/>
      <c r="I92" s="98"/>
      <c r="J92" s="99"/>
      <c r="K92" s="101"/>
      <c r="L92" s="101"/>
      <c r="M92" s="102"/>
      <c r="N92" s="102"/>
      <c r="O92" s="103"/>
      <c r="P92" s="104"/>
      <c r="Q92" s="105"/>
      <c r="R92" s="106"/>
      <c r="S92" s="106"/>
      <c r="T92" s="106"/>
      <c r="U92" s="106"/>
      <c r="V92" s="107"/>
      <c r="W92" s="107"/>
      <c r="X92" s="143"/>
      <c r="Y92" s="108"/>
      <c r="Z92" s="104"/>
      <c r="AA92" s="110"/>
      <c r="AB92" s="104"/>
      <c r="AC92" s="111"/>
      <c r="AD92" s="110"/>
      <c r="AE92" s="112"/>
      <c r="AF92" s="113"/>
      <c r="AG92" s="114">
        <f t="shared" si="31"/>
        <v>0</v>
      </c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</row>
    <row r="93" spans="1:52" x14ac:dyDescent="0.25">
      <c r="A93" s="145"/>
      <c r="B93" s="98"/>
      <c r="C93" s="98"/>
      <c r="D93" s="99"/>
      <c r="E93" s="98"/>
      <c r="F93" s="98"/>
      <c r="G93" s="98"/>
      <c r="H93" s="98"/>
      <c r="I93" s="98"/>
      <c r="J93" s="98"/>
      <c r="K93" s="101"/>
      <c r="L93" s="101"/>
      <c r="M93" s="101"/>
      <c r="N93" s="101"/>
      <c r="O93" s="103"/>
      <c r="P93" s="104"/>
      <c r="Q93" s="105"/>
      <c r="R93" s="106"/>
      <c r="S93" s="106"/>
      <c r="T93" s="106"/>
      <c r="U93" s="106"/>
      <c r="V93" s="107"/>
      <c r="W93" s="107"/>
      <c r="X93" s="143"/>
      <c r="Y93" s="146"/>
      <c r="Z93" s="104"/>
      <c r="AA93" s="110"/>
      <c r="AB93" s="104"/>
      <c r="AC93" s="111"/>
      <c r="AD93" s="110"/>
      <c r="AE93" s="112"/>
      <c r="AF93" s="113"/>
      <c r="AG93" s="114">
        <f t="shared" si="31"/>
        <v>0</v>
      </c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</row>
    <row r="94" spans="1:52" x14ac:dyDescent="0.25">
      <c r="A94" s="145"/>
      <c r="B94" s="98"/>
      <c r="C94" s="98"/>
      <c r="D94" s="99"/>
      <c r="E94" s="98"/>
      <c r="F94" s="98"/>
      <c r="G94" s="98"/>
      <c r="H94" s="98"/>
      <c r="I94" s="98"/>
      <c r="J94" s="98"/>
      <c r="K94" s="101"/>
      <c r="L94" s="101"/>
      <c r="M94" s="101"/>
      <c r="N94" s="101"/>
      <c r="O94" s="103"/>
      <c r="P94" s="104"/>
      <c r="Q94" s="147"/>
      <c r="R94" s="143"/>
      <c r="S94" s="143"/>
      <c r="T94" s="143"/>
      <c r="U94" s="143"/>
      <c r="V94" s="148"/>
      <c r="W94" s="148"/>
      <c r="X94" s="148"/>
      <c r="Y94" s="148"/>
      <c r="Z94" s="104"/>
      <c r="AA94" s="110"/>
      <c r="AB94" s="104"/>
      <c r="AC94" s="111"/>
      <c r="AD94" s="110"/>
      <c r="AE94" s="112"/>
      <c r="AF94" s="113"/>
      <c r="AG94" s="114">
        <f t="shared" si="31"/>
        <v>0</v>
      </c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</row>
    <row r="95" spans="1:52" s="113" customFormat="1" x14ac:dyDescent="0.25">
      <c r="A95" s="145"/>
      <c r="B95" s="149"/>
      <c r="C95" s="149"/>
      <c r="D95" s="149"/>
      <c r="E95" s="149"/>
      <c r="F95" s="149"/>
      <c r="G95" s="149"/>
      <c r="H95" s="149"/>
      <c r="I95" s="149"/>
      <c r="J95" s="149"/>
      <c r="K95" s="150"/>
      <c r="L95" s="150"/>
      <c r="M95" s="150"/>
      <c r="N95" s="150"/>
      <c r="O95" s="150"/>
      <c r="P95" s="151"/>
      <c r="Q95" s="150"/>
      <c r="R95" s="150"/>
      <c r="S95" s="150"/>
      <c r="T95" s="150"/>
      <c r="U95" s="150"/>
      <c r="V95" s="110"/>
      <c r="W95" s="110"/>
      <c r="X95" s="110"/>
      <c r="Y95" s="110"/>
      <c r="Z95" s="152"/>
      <c r="AA95" s="110"/>
      <c r="AB95" s="151"/>
      <c r="AC95" s="110"/>
      <c r="AD95" s="110"/>
      <c r="AE95" s="151"/>
    </row>
    <row r="96" spans="1:52" ht="15.75" thickBot="1" x14ac:dyDescent="0.3">
      <c r="B96" s="153" t="s">
        <v>489</v>
      </c>
      <c r="C96" s="153"/>
      <c r="D96" s="153"/>
      <c r="E96" s="153"/>
      <c r="F96" s="153"/>
      <c r="G96" s="153"/>
      <c r="H96" s="153"/>
      <c r="I96" s="153"/>
      <c r="J96" s="153"/>
      <c r="K96" s="154">
        <f>SUM(K7:K95)</f>
        <v>75559.020000000077</v>
      </c>
      <c r="L96" s="154">
        <f t="shared" ref="L96:AJ96" si="36">SUM(L7:L95)</f>
        <v>180536.23400000003</v>
      </c>
      <c r="M96" s="154">
        <f t="shared" si="36"/>
        <v>0</v>
      </c>
      <c r="N96" s="154">
        <f t="shared" si="36"/>
        <v>0</v>
      </c>
      <c r="O96" s="154">
        <f t="shared" si="36"/>
        <v>0</v>
      </c>
      <c r="P96" s="154">
        <f t="shared" si="36"/>
        <v>256095.25400000002</v>
      </c>
      <c r="Q96" s="154">
        <f t="shared" si="36"/>
        <v>0</v>
      </c>
      <c r="R96" s="155">
        <f t="shared" si="36"/>
        <v>5300</v>
      </c>
      <c r="S96" s="155">
        <f t="shared" si="36"/>
        <v>431.75540999999998</v>
      </c>
      <c r="T96" s="155">
        <f t="shared" si="36"/>
        <v>2131.3490089999996</v>
      </c>
      <c r="U96" s="155">
        <f t="shared" si="36"/>
        <v>579.38</v>
      </c>
      <c r="V96" s="154">
        <f t="shared" si="36"/>
        <v>0</v>
      </c>
      <c r="W96" s="154">
        <f t="shared" si="36"/>
        <v>0</v>
      </c>
      <c r="X96" s="154">
        <f t="shared" si="36"/>
        <v>735.94</v>
      </c>
      <c r="Y96" s="154">
        <f t="shared" si="36"/>
        <v>10387.279999999999</v>
      </c>
      <c r="Z96" s="154">
        <f t="shared" si="36"/>
        <v>235362.88958100011</v>
      </c>
      <c r="AA96" s="154">
        <f t="shared" si="36"/>
        <v>11559.335000000001</v>
      </c>
      <c r="AB96" s="154">
        <f t="shared" si="36"/>
        <v>223803.55458100015</v>
      </c>
      <c r="AC96" s="154">
        <f t="shared" si="36"/>
        <v>14050.190399999996</v>
      </c>
      <c r="AD96" s="154">
        <f t="shared" si="36"/>
        <v>1367.4477999999992</v>
      </c>
      <c r="AE96" s="154">
        <f>SUM(AE7:AE95)</f>
        <v>271512.8922</v>
      </c>
      <c r="AF96" s="154">
        <f t="shared" si="36"/>
        <v>0</v>
      </c>
      <c r="AG96" s="154">
        <f t="shared" si="36"/>
        <v>214226.68008100012</v>
      </c>
      <c r="AH96" s="154">
        <f t="shared" si="36"/>
        <v>0</v>
      </c>
      <c r="AI96" s="154">
        <f t="shared" si="36"/>
        <v>0</v>
      </c>
      <c r="AJ96" s="154">
        <f t="shared" si="36"/>
        <v>214226.68008100012</v>
      </c>
    </row>
    <row r="97" spans="1:36" ht="15.75" thickTop="1" x14ac:dyDescent="0.25">
      <c r="AE97" s="91">
        <f>AE96*0.16</f>
        <v>43442.062751999998</v>
      </c>
      <c r="AF97" s="91"/>
      <c r="AG97" s="91"/>
      <c r="AH97" s="91"/>
      <c r="AI97" s="91"/>
      <c r="AJ97" s="91"/>
    </row>
    <row r="98" spans="1:36" x14ac:dyDescent="0.25">
      <c r="A98" s="253" t="s">
        <v>490</v>
      </c>
      <c r="B98" s="253"/>
      <c r="C98" s="156"/>
      <c r="AE98" s="91">
        <f>+AE96+AE97</f>
        <v>314954.954952</v>
      </c>
      <c r="AF98" s="91"/>
      <c r="AG98" s="91"/>
      <c r="AH98" s="91"/>
      <c r="AI98" s="91"/>
      <c r="AJ98" s="91"/>
    </row>
    <row r="99" spans="1:36" x14ac:dyDescent="0.25">
      <c r="A99" s="145"/>
      <c r="B99" s="98"/>
      <c r="C99" s="98"/>
      <c r="D99" s="99"/>
      <c r="E99" s="98"/>
      <c r="F99" s="98"/>
      <c r="G99" s="98"/>
      <c r="H99" s="98"/>
      <c r="I99" s="98"/>
      <c r="J99" s="98"/>
      <c r="K99" s="101"/>
      <c r="L99" s="101"/>
      <c r="M99" s="101"/>
      <c r="N99" s="101"/>
      <c r="O99" s="101"/>
      <c r="P99" s="104">
        <f>SUM(K99:O99)</f>
        <v>0</v>
      </c>
      <c r="Q99" s="147"/>
      <c r="R99" s="157"/>
      <c r="S99" s="157"/>
      <c r="T99" s="157"/>
      <c r="U99" s="157"/>
      <c r="V99" s="158"/>
      <c r="W99" s="158"/>
      <c r="X99" s="158"/>
      <c r="Y99" s="158"/>
      <c r="Z99" s="104">
        <f>+P99-Q99</f>
        <v>0</v>
      </c>
      <c r="AA99" s="110">
        <f>+Z99*0.05</f>
        <v>0</v>
      </c>
      <c r="AB99" s="104">
        <f>+Z99-V99-Y99</f>
        <v>0</v>
      </c>
      <c r="AC99" s="111">
        <f>IF(Z99&lt;3000,Z99*0.1,0)</f>
        <v>0</v>
      </c>
      <c r="AD99" s="110">
        <v>0</v>
      </c>
      <c r="AE99" s="104">
        <f>+Z99+AC99+AD99</f>
        <v>0</v>
      </c>
      <c r="AF99" s="104">
        <f t="shared" ref="AF99:AJ100" si="37">+AA99+AD99+AE99</f>
        <v>0</v>
      </c>
      <c r="AG99" s="104">
        <f t="shared" si="37"/>
        <v>0</v>
      </c>
      <c r="AH99" s="104">
        <f t="shared" si="37"/>
        <v>0</v>
      </c>
      <c r="AI99" s="104">
        <f t="shared" si="37"/>
        <v>0</v>
      </c>
      <c r="AJ99" s="104">
        <f t="shared" si="37"/>
        <v>0</v>
      </c>
    </row>
    <row r="100" spans="1:36" x14ac:dyDescent="0.25">
      <c r="A100" s="145"/>
      <c r="B100" s="99"/>
      <c r="C100" s="99"/>
      <c r="D100" s="99"/>
      <c r="E100" s="99"/>
      <c r="F100" s="99"/>
      <c r="G100" s="99"/>
      <c r="H100" s="99"/>
      <c r="I100" s="99"/>
      <c r="J100" s="99"/>
      <c r="K100" s="102"/>
      <c r="L100" s="102"/>
      <c r="M100" s="102"/>
      <c r="N100" s="102"/>
      <c r="O100" s="102"/>
      <c r="P100" s="104">
        <f>SUM(K100:O100)</f>
        <v>0</v>
      </c>
      <c r="Q100" s="147"/>
      <c r="R100" s="157"/>
      <c r="S100" s="157"/>
      <c r="T100" s="157"/>
      <c r="U100" s="157"/>
      <c r="V100" s="158"/>
      <c r="W100" s="158"/>
      <c r="X100" s="158"/>
      <c r="Y100" s="158"/>
      <c r="Z100" s="104">
        <f>+P100-Q100</f>
        <v>0</v>
      </c>
      <c r="AA100" s="110">
        <f>+Z100*0.05</f>
        <v>0</v>
      </c>
      <c r="AB100" s="104">
        <f>+Z100-V100-Y100</f>
        <v>0</v>
      </c>
      <c r="AC100" s="111">
        <f>IF(Z100&lt;3000,Z100*0.1,0)</f>
        <v>0</v>
      </c>
      <c r="AD100" s="110">
        <v>0</v>
      </c>
      <c r="AE100" s="104">
        <f>+Z100+AC100+AD100</f>
        <v>0</v>
      </c>
      <c r="AF100" s="104">
        <f t="shared" si="37"/>
        <v>0</v>
      </c>
      <c r="AG100" s="104">
        <f t="shared" si="37"/>
        <v>0</v>
      </c>
      <c r="AH100" s="104">
        <f t="shared" si="37"/>
        <v>0</v>
      </c>
      <c r="AI100" s="104">
        <f t="shared" si="37"/>
        <v>0</v>
      </c>
      <c r="AJ100" s="104">
        <f t="shared" si="37"/>
        <v>0</v>
      </c>
    </row>
    <row r="101" spans="1:36" x14ac:dyDescent="0.25">
      <c r="AE101" s="91">
        <f>SUM(AE99:AE100)</f>
        <v>0</v>
      </c>
    </row>
    <row r="102" spans="1:36" x14ac:dyDescent="0.25">
      <c r="B102" s="159" t="s">
        <v>491</v>
      </c>
      <c r="C102" s="159"/>
      <c r="D102" s="159"/>
      <c r="AE102" s="91">
        <f>+AE101*0.16</f>
        <v>0</v>
      </c>
    </row>
    <row r="103" spans="1:36" x14ac:dyDescent="0.25">
      <c r="B103" s="159"/>
      <c r="C103" s="159"/>
      <c r="D103" s="159"/>
      <c r="AE103" s="91">
        <f>+AE101+AE102</f>
        <v>0</v>
      </c>
    </row>
    <row r="104" spans="1:36" x14ac:dyDescent="0.25">
      <c r="B104" s="159"/>
      <c r="C104" s="159"/>
      <c r="D104" s="159"/>
    </row>
    <row r="105" spans="1:36" x14ac:dyDescent="0.25">
      <c r="B105" s="159" t="s">
        <v>492</v>
      </c>
      <c r="C105" s="159"/>
      <c r="D105" s="159"/>
      <c r="AE105" s="91">
        <f>+AE98+AE103</f>
        <v>314954.954952</v>
      </c>
    </row>
    <row r="112" spans="1:36" x14ac:dyDescent="0.25">
      <c r="A112" s="117" t="s">
        <v>493</v>
      </c>
      <c r="B112" s="90"/>
      <c r="C112" s="90"/>
    </row>
    <row r="113" spans="1:3" x14ac:dyDescent="0.25">
      <c r="A113" s="117" t="s">
        <v>494</v>
      </c>
      <c r="B113" s="90"/>
      <c r="C113" s="90"/>
    </row>
    <row r="114" spans="1:3" x14ac:dyDescent="0.25">
      <c r="A114" s="117" t="s">
        <v>495</v>
      </c>
      <c r="B114" s="90"/>
      <c r="C114" s="90"/>
    </row>
    <row r="115" spans="1:3" x14ac:dyDescent="0.25">
      <c r="A115" s="117" t="s">
        <v>496</v>
      </c>
      <c r="B115" s="90"/>
      <c r="C115" s="90"/>
    </row>
    <row r="116" spans="1:3" x14ac:dyDescent="0.25">
      <c r="A116" s="117" t="s">
        <v>497</v>
      </c>
      <c r="B116" s="90"/>
      <c r="C116" s="90"/>
    </row>
    <row r="117" spans="1:3" x14ac:dyDescent="0.25">
      <c r="A117" s="117" t="s">
        <v>498</v>
      </c>
      <c r="B117" s="90"/>
      <c r="C117" s="90"/>
    </row>
    <row r="121" spans="1:3" x14ac:dyDescent="0.25">
      <c r="B121" s="98"/>
      <c r="C121" s="160"/>
    </row>
    <row r="122" spans="1:3" x14ac:dyDescent="0.25">
      <c r="B122" s="98"/>
      <c r="C122" s="160"/>
    </row>
    <row r="123" spans="1:3" x14ac:dyDescent="0.25">
      <c r="B123" s="98"/>
      <c r="C123" s="160"/>
    </row>
  </sheetData>
  <mergeCells count="34">
    <mergeCell ref="AG5:AG6"/>
    <mergeCell ref="AH5:AI5"/>
    <mergeCell ref="AJ5:AJ6"/>
    <mergeCell ref="A98:B98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T5:T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H5:H6"/>
    <mergeCell ref="A5:A6"/>
    <mergeCell ref="B5:B6"/>
    <mergeCell ref="D5:D6"/>
    <mergeCell ref="E5:E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workbookViewId="0">
      <selection activeCell="L2" sqref="L2"/>
    </sheetView>
  </sheetViews>
  <sheetFormatPr baseColWidth="10" defaultRowHeight="15" x14ac:dyDescent="0.25"/>
  <cols>
    <col min="6" max="6" width="30" customWidth="1"/>
    <col min="11" max="11" width="26.85546875" bestFit="1" customWidth="1"/>
  </cols>
  <sheetData>
    <row r="1" spans="1:13" ht="21" x14ac:dyDescent="0.25">
      <c r="A1" s="196">
        <v>46</v>
      </c>
      <c r="B1" s="197" t="s">
        <v>530</v>
      </c>
      <c r="C1" s="197" t="s">
        <v>531</v>
      </c>
      <c r="D1" s="196">
        <v>2889514104</v>
      </c>
      <c r="E1" s="198">
        <v>2043.7</v>
      </c>
      <c r="F1" s="197" t="s">
        <v>598</v>
      </c>
      <c r="G1" s="197" t="s">
        <v>532</v>
      </c>
      <c r="H1" s="197" t="s">
        <v>533</v>
      </c>
      <c r="J1" s="55" t="s">
        <v>35</v>
      </c>
      <c r="K1" s="56" t="s">
        <v>36</v>
      </c>
      <c r="L1" s="64">
        <v>2043.6999999999998</v>
      </c>
      <c r="M1" s="192">
        <f>+L1-E1</f>
        <v>0</v>
      </c>
    </row>
    <row r="2" spans="1:13" ht="21" x14ac:dyDescent="0.25">
      <c r="A2" s="196">
        <v>36</v>
      </c>
      <c r="B2" s="197" t="s">
        <v>530</v>
      </c>
      <c r="C2" s="197" t="s">
        <v>531</v>
      </c>
      <c r="D2" s="196">
        <v>2848478236</v>
      </c>
      <c r="E2" s="203">
        <v>7905.82</v>
      </c>
      <c r="F2" s="197" t="s">
        <v>591</v>
      </c>
      <c r="G2" s="197" t="s">
        <v>532</v>
      </c>
      <c r="H2" s="197" t="s">
        <v>533</v>
      </c>
      <c r="J2" s="55" t="s">
        <v>37</v>
      </c>
      <c r="K2" s="56" t="s">
        <v>38</v>
      </c>
      <c r="L2" s="64">
        <v>8966.2180000000008</v>
      </c>
      <c r="M2" s="192">
        <f>+L2-E2</f>
        <v>1060.398000000001</v>
      </c>
    </row>
    <row r="3" spans="1:13" ht="21" x14ac:dyDescent="0.25">
      <c r="A3" s="193">
        <v>71</v>
      </c>
      <c r="B3" s="194" t="s">
        <v>530</v>
      </c>
      <c r="C3" s="194" t="s">
        <v>531</v>
      </c>
      <c r="D3" s="193">
        <v>2958467625</v>
      </c>
      <c r="E3" s="195">
        <v>4471.84</v>
      </c>
      <c r="F3" s="194" t="s">
        <v>607</v>
      </c>
      <c r="G3" s="194" t="s">
        <v>532</v>
      </c>
      <c r="H3" s="194" t="s">
        <v>533</v>
      </c>
      <c r="J3" s="55" t="s">
        <v>39</v>
      </c>
      <c r="K3" s="56" t="s">
        <v>40</v>
      </c>
      <c r="L3" s="64">
        <v>5153.2496900000006</v>
      </c>
      <c r="M3" s="192">
        <f t="shared" ref="M3:M15" si="0">+L3-E3</f>
        <v>681.40969000000041</v>
      </c>
    </row>
    <row r="4" spans="1:13" ht="21" x14ac:dyDescent="0.25">
      <c r="A4" s="193">
        <v>1</v>
      </c>
      <c r="B4" s="194" t="s">
        <v>530</v>
      </c>
      <c r="C4" s="194" t="s">
        <v>531</v>
      </c>
      <c r="D4" s="193">
        <v>2706107109</v>
      </c>
      <c r="E4" s="195">
        <v>2401.9</v>
      </c>
      <c r="F4" s="194" t="s">
        <v>573</v>
      </c>
      <c r="G4" s="194" t="s">
        <v>532</v>
      </c>
      <c r="H4" s="194" t="s">
        <v>533</v>
      </c>
      <c r="J4" s="55" t="s">
        <v>293</v>
      </c>
      <c r="K4" s="56" t="s">
        <v>179</v>
      </c>
      <c r="L4" s="64">
        <v>2401.9</v>
      </c>
      <c r="M4" s="192">
        <f t="shared" si="0"/>
        <v>0</v>
      </c>
    </row>
    <row r="5" spans="1:13" ht="21" x14ac:dyDescent="0.25">
      <c r="A5" s="196">
        <v>76</v>
      </c>
      <c r="B5" s="197" t="s">
        <v>530</v>
      </c>
      <c r="C5" s="197" t="s">
        <v>531</v>
      </c>
      <c r="D5" s="196">
        <v>2983576469</v>
      </c>
      <c r="E5" s="198">
        <v>1258.94</v>
      </c>
      <c r="F5" s="197" t="s">
        <v>572</v>
      </c>
      <c r="G5" s="197" t="s">
        <v>532</v>
      </c>
      <c r="H5" s="197" t="s">
        <v>533</v>
      </c>
      <c r="J5" s="55" t="s">
        <v>41</v>
      </c>
      <c r="K5" s="56" t="s">
        <v>42</v>
      </c>
      <c r="L5" s="64">
        <v>1258.94</v>
      </c>
      <c r="M5" s="192">
        <f t="shared" si="0"/>
        <v>0</v>
      </c>
    </row>
    <row r="6" spans="1:13" ht="21" x14ac:dyDescent="0.25">
      <c r="A6" s="196">
        <v>16</v>
      </c>
      <c r="B6" s="197" t="s">
        <v>530</v>
      </c>
      <c r="C6" s="197" t="s">
        <v>531</v>
      </c>
      <c r="D6" s="196">
        <v>2648514356</v>
      </c>
      <c r="E6" s="198">
        <v>1862.22</v>
      </c>
      <c r="F6" s="197" t="s">
        <v>584</v>
      </c>
      <c r="G6" s="197" t="s">
        <v>532</v>
      </c>
      <c r="H6" s="197" t="s">
        <v>533</v>
      </c>
      <c r="J6" s="55" t="s">
        <v>43</v>
      </c>
      <c r="K6" s="56" t="s">
        <v>44</v>
      </c>
      <c r="L6" s="64">
        <v>1862.2199999999998</v>
      </c>
      <c r="M6" s="192">
        <f t="shared" si="0"/>
        <v>0</v>
      </c>
    </row>
    <row r="7" spans="1:13" ht="21" x14ac:dyDescent="0.25">
      <c r="A7" s="193">
        <v>55</v>
      </c>
      <c r="B7" s="194" t="s">
        <v>530</v>
      </c>
      <c r="C7" s="194" t="s">
        <v>531</v>
      </c>
      <c r="D7" s="193">
        <v>2915275539</v>
      </c>
      <c r="E7" s="195">
        <v>4780.5600000000004</v>
      </c>
      <c r="F7" s="194" t="s">
        <v>558</v>
      </c>
      <c r="G7" s="194" t="s">
        <v>532</v>
      </c>
      <c r="H7" s="194" t="s">
        <v>533</v>
      </c>
      <c r="J7" s="55" t="s">
        <v>45</v>
      </c>
      <c r="K7" s="56" t="s">
        <v>46</v>
      </c>
      <c r="L7" s="64">
        <v>5496.3259999999991</v>
      </c>
      <c r="M7" s="192">
        <f t="shared" si="0"/>
        <v>715.76599999999871</v>
      </c>
    </row>
    <row r="8" spans="1:13" s="129" customFormat="1" ht="21" x14ac:dyDescent="0.25">
      <c r="A8" s="200">
        <v>35</v>
      </c>
      <c r="B8" s="201" t="s">
        <v>530</v>
      </c>
      <c r="C8" s="201" t="s">
        <v>531</v>
      </c>
      <c r="D8" s="200">
        <v>2838464278</v>
      </c>
      <c r="E8" s="200">
        <v>805.92</v>
      </c>
      <c r="F8" s="201" t="s">
        <v>550</v>
      </c>
      <c r="G8" s="201" t="s">
        <v>532</v>
      </c>
      <c r="H8" s="201" t="s">
        <v>533</v>
      </c>
      <c r="J8" s="183" t="s">
        <v>294</v>
      </c>
      <c r="K8" s="184" t="s">
        <v>47</v>
      </c>
      <c r="L8" s="202">
        <v>805.92185999999992</v>
      </c>
      <c r="M8" s="192">
        <f t="shared" si="0"/>
        <v>1.8599999999651118E-3</v>
      </c>
    </row>
    <row r="9" spans="1:13" s="129" customFormat="1" ht="21" x14ac:dyDescent="0.25">
      <c r="A9" s="200">
        <v>50</v>
      </c>
      <c r="B9" s="201" t="s">
        <v>530</v>
      </c>
      <c r="C9" s="201" t="s">
        <v>531</v>
      </c>
      <c r="D9" s="200">
        <v>2896455182</v>
      </c>
      <c r="E9" s="200">
        <v>905.93</v>
      </c>
      <c r="F9" s="201" t="s">
        <v>601</v>
      </c>
      <c r="G9" s="201" t="s">
        <v>532</v>
      </c>
      <c r="H9" s="201" t="s">
        <v>533</v>
      </c>
      <c r="J9" s="183" t="s">
        <v>49</v>
      </c>
      <c r="K9" s="184" t="s">
        <v>50</v>
      </c>
      <c r="L9" s="202">
        <v>905.93</v>
      </c>
      <c r="M9" s="192">
        <f t="shared" si="0"/>
        <v>0</v>
      </c>
    </row>
    <row r="10" spans="1:13" s="129" customFormat="1" ht="21" x14ac:dyDescent="0.25">
      <c r="A10" s="200">
        <v>38</v>
      </c>
      <c r="B10" s="201" t="s">
        <v>530</v>
      </c>
      <c r="C10" s="201" t="s">
        <v>531</v>
      </c>
      <c r="D10" s="200">
        <v>2854221494</v>
      </c>
      <c r="E10" s="200">
        <v>594.48</v>
      </c>
      <c r="F10" s="201" t="s">
        <v>592</v>
      </c>
      <c r="G10" s="201" t="s">
        <v>532</v>
      </c>
      <c r="H10" s="201" t="s">
        <v>533</v>
      </c>
      <c r="J10" s="183" t="s">
        <v>51</v>
      </c>
      <c r="K10" s="184" t="s">
        <v>52</v>
      </c>
      <c r="L10" s="202">
        <v>594.48</v>
      </c>
      <c r="M10" s="192">
        <f t="shared" si="0"/>
        <v>0</v>
      </c>
    </row>
    <row r="11" spans="1:13" s="129" customFormat="1" ht="21" x14ac:dyDescent="0.25">
      <c r="A11" s="200">
        <v>73</v>
      </c>
      <c r="B11" s="201" t="s">
        <v>530</v>
      </c>
      <c r="C11" s="201" t="s">
        <v>531</v>
      </c>
      <c r="D11" s="200">
        <v>2971587803</v>
      </c>
      <c r="E11" s="203">
        <v>1634.57</v>
      </c>
      <c r="F11" s="201" t="s">
        <v>609</v>
      </c>
      <c r="G11" s="201" t="s">
        <v>532</v>
      </c>
      <c r="H11" s="201" t="s">
        <v>533</v>
      </c>
      <c r="J11" s="183" t="s">
        <v>295</v>
      </c>
      <c r="K11" s="184" t="s">
        <v>53</v>
      </c>
      <c r="L11" s="202">
        <v>1634.5700000000002</v>
      </c>
      <c r="M11" s="192">
        <f t="shared" si="0"/>
        <v>0</v>
      </c>
    </row>
    <row r="12" spans="1:13" s="129" customFormat="1" ht="21" x14ac:dyDescent="0.25">
      <c r="A12" s="200">
        <v>22</v>
      </c>
      <c r="B12" s="201" t="s">
        <v>530</v>
      </c>
      <c r="C12" s="201" t="s">
        <v>531</v>
      </c>
      <c r="D12" s="200">
        <v>2695890349</v>
      </c>
      <c r="E12" s="203">
        <v>1210.4000000000001</v>
      </c>
      <c r="F12" s="201" t="s">
        <v>587</v>
      </c>
      <c r="G12" s="201" t="s">
        <v>532</v>
      </c>
      <c r="H12" s="201" t="s">
        <v>533</v>
      </c>
      <c r="J12" s="183" t="s">
        <v>54</v>
      </c>
      <c r="K12" s="184" t="s">
        <v>55</v>
      </c>
      <c r="L12" s="202">
        <v>1210.39888</v>
      </c>
      <c r="M12" s="192">
        <f t="shared" si="0"/>
        <v>-1.1200000001281296E-3</v>
      </c>
    </row>
    <row r="13" spans="1:13" s="129" customFormat="1" ht="21" x14ac:dyDescent="0.25">
      <c r="A13" s="200">
        <v>17</v>
      </c>
      <c r="B13" s="201" t="s">
        <v>530</v>
      </c>
      <c r="C13" s="201" t="s">
        <v>531</v>
      </c>
      <c r="D13" s="200">
        <v>2648514364</v>
      </c>
      <c r="E13" s="203">
        <v>4846.79</v>
      </c>
      <c r="F13" s="201" t="s">
        <v>538</v>
      </c>
      <c r="G13" s="201" t="s">
        <v>532</v>
      </c>
      <c r="H13" s="201" t="s">
        <v>533</v>
      </c>
      <c r="J13" s="183" t="s">
        <v>16</v>
      </c>
      <c r="K13" s="184" t="s">
        <v>56</v>
      </c>
      <c r="L13" s="202">
        <v>5638.0239999999994</v>
      </c>
      <c r="M13" s="192">
        <f t="shared" si="0"/>
        <v>791.23399999999947</v>
      </c>
    </row>
    <row r="14" spans="1:13" s="129" customFormat="1" ht="21" x14ac:dyDescent="0.25">
      <c r="A14" s="200">
        <v>15</v>
      </c>
      <c r="B14" s="201" t="s">
        <v>530</v>
      </c>
      <c r="C14" s="201" t="s">
        <v>531</v>
      </c>
      <c r="D14" s="200">
        <v>2616790135</v>
      </c>
      <c r="E14" s="200">
        <v>522.6</v>
      </c>
      <c r="F14" s="201" t="s">
        <v>537</v>
      </c>
      <c r="G14" s="201" t="s">
        <v>532</v>
      </c>
      <c r="H14" s="201" t="s">
        <v>533</v>
      </c>
      <c r="J14" s="183" t="s">
        <v>57</v>
      </c>
      <c r="K14" s="184" t="s">
        <v>58</v>
      </c>
      <c r="L14" s="202">
        <v>522.6</v>
      </c>
      <c r="M14" s="192">
        <f t="shared" si="0"/>
        <v>0</v>
      </c>
    </row>
    <row r="15" spans="1:13" s="129" customFormat="1" ht="21" x14ac:dyDescent="0.25">
      <c r="A15" s="200">
        <v>29</v>
      </c>
      <c r="B15" s="201" t="s">
        <v>530</v>
      </c>
      <c r="C15" s="201" t="s">
        <v>531</v>
      </c>
      <c r="D15" s="200">
        <v>2761258753</v>
      </c>
      <c r="E15" s="200">
        <v>548.20000000000005</v>
      </c>
      <c r="F15" s="201" t="s">
        <v>545</v>
      </c>
      <c r="G15" s="201" t="s">
        <v>532</v>
      </c>
      <c r="H15" s="201" t="s">
        <v>533</v>
      </c>
      <c r="J15" s="183" t="s">
        <v>59</v>
      </c>
      <c r="K15" s="184" t="s">
        <v>60</v>
      </c>
      <c r="L15" s="202">
        <v>548.19999999999993</v>
      </c>
      <c r="M15" s="192">
        <f t="shared" si="0"/>
        <v>0</v>
      </c>
    </row>
    <row r="16" spans="1:13" ht="21" x14ac:dyDescent="0.25">
      <c r="A16" s="193">
        <v>61</v>
      </c>
      <c r="B16" s="194" t="s">
        <v>530</v>
      </c>
      <c r="C16" s="194" t="s">
        <v>531</v>
      </c>
      <c r="D16" s="193">
        <v>2935582334</v>
      </c>
      <c r="E16" s="193">
        <v>744.51</v>
      </c>
      <c r="F16" s="194" t="s">
        <v>605</v>
      </c>
      <c r="G16" s="194" t="s">
        <v>532</v>
      </c>
      <c r="H16" s="194" t="s">
        <v>533</v>
      </c>
      <c r="J16" s="55" t="s">
        <v>61</v>
      </c>
      <c r="K16" s="56" t="s">
        <v>62</v>
      </c>
      <c r="L16" s="64">
        <v>744.51</v>
      </c>
    </row>
    <row r="17" spans="1:12" ht="21" x14ac:dyDescent="0.25">
      <c r="A17" s="193">
        <v>25</v>
      </c>
      <c r="B17" s="194" t="s">
        <v>530</v>
      </c>
      <c r="C17" s="194" t="s">
        <v>531</v>
      </c>
      <c r="D17" s="193">
        <v>2746799043</v>
      </c>
      <c r="E17" s="195">
        <v>3152.3</v>
      </c>
      <c r="F17" s="194" t="s">
        <v>542</v>
      </c>
      <c r="G17" s="194" t="s">
        <v>532</v>
      </c>
      <c r="H17" s="194" t="s">
        <v>533</v>
      </c>
      <c r="J17" s="55" t="s">
        <v>63</v>
      </c>
      <c r="K17" s="56" t="s">
        <v>64</v>
      </c>
      <c r="L17" s="64">
        <v>3152.3020000000001</v>
      </c>
    </row>
    <row r="18" spans="1:12" ht="21" x14ac:dyDescent="0.25">
      <c r="A18" s="193">
        <v>53</v>
      </c>
      <c r="B18" s="194" t="s">
        <v>530</v>
      </c>
      <c r="C18" s="194" t="s">
        <v>531</v>
      </c>
      <c r="D18" s="193">
        <v>2904189264</v>
      </c>
      <c r="E18" s="193">
        <v>936.13</v>
      </c>
      <c r="F18" s="194" t="s">
        <v>556</v>
      </c>
      <c r="G18" s="194" t="s">
        <v>532</v>
      </c>
      <c r="H18" s="194" t="s">
        <v>533</v>
      </c>
      <c r="J18" s="55" t="s">
        <v>65</v>
      </c>
      <c r="K18" s="56" t="s">
        <v>66</v>
      </c>
      <c r="L18" s="64">
        <v>936.12999999999988</v>
      </c>
    </row>
    <row r="19" spans="1:12" ht="21" x14ac:dyDescent="0.25">
      <c r="A19" s="193">
        <v>59</v>
      </c>
      <c r="B19" s="194" t="s">
        <v>530</v>
      </c>
      <c r="C19" s="194" t="s">
        <v>531</v>
      </c>
      <c r="D19" s="193">
        <v>2923627098</v>
      </c>
      <c r="E19" s="193">
        <v>522.79999999999995</v>
      </c>
      <c r="F19" s="194" t="s">
        <v>604</v>
      </c>
      <c r="G19" s="194" t="s">
        <v>532</v>
      </c>
      <c r="H19" s="194" t="s">
        <v>533</v>
      </c>
      <c r="J19" s="55" t="s">
        <v>67</v>
      </c>
      <c r="K19" s="56" t="s">
        <v>68</v>
      </c>
      <c r="L19" s="64">
        <v>522.79999999999995</v>
      </c>
    </row>
    <row r="20" spans="1:12" ht="21" x14ac:dyDescent="0.25">
      <c r="A20" s="193">
        <v>49</v>
      </c>
      <c r="B20" s="194" t="s">
        <v>530</v>
      </c>
      <c r="C20" s="194" t="s">
        <v>531</v>
      </c>
      <c r="D20" s="193">
        <v>2895359627</v>
      </c>
      <c r="E20" s="193">
        <v>906.13</v>
      </c>
      <c r="F20" s="194" t="s">
        <v>554</v>
      </c>
      <c r="G20" s="194" t="s">
        <v>532</v>
      </c>
      <c r="H20" s="194" t="s">
        <v>533</v>
      </c>
      <c r="J20" s="55" t="s">
        <v>69</v>
      </c>
      <c r="K20" s="56" t="s">
        <v>70</v>
      </c>
      <c r="L20" s="64">
        <v>906.12999999999988</v>
      </c>
    </row>
    <row r="21" spans="1:12" ht="21" x14ac:dyDescent="0.25">
      <c r="A21" s="193">
        <v>9</v>
      </c>
      <c r="B21" s="194" t="s">
        <v>530</v>
      </c>
      <c r="C21" s="194" t="s">
        <v>531</v>
      </c>
      <c r="D21" s="193">
        <v>1415043352</v>
      </c>
      <c r="E21" s="193">
        <v>739.21</v>
      </c>
      <c r="F21" s="194" t="s">
        <v>534</v>
      </c>
      <c r="G21" s="194" t="s">
        <v>532</v>
      </c>
      <c r="H21" s="194" t="s">
        <v>533</v>
      </c>
      <c r="J21" s="55" t="s">
        <v>71</v>
      </c>
      <c r="K21" s="56" t="s">
        <v>72</v>
      </c>
      <c r="L21" s="64">
        <v>739.21</v>
      </c>
    </row>
    <row r="22" spans="1:12" ht="21" x14ac:dyDescent="0.25">
      <c r="A22" s="196">
        <v>28</v>
      </c>
      <c r="B22" s="197" t="s">
        <v>530</v>
      </c>
      <c r="C22" s="197" t="s">
        <v>531</v>
      </c>
      <c r="D22" s="196">
        <v>2759588027</v>
      </c>
      <c r="E22" s="198">
        <v>2949.19</v>
      </c>
      <c r="F22" s="197" t="s">
        <v>544</v>
      </c>
      <c r="G22" s="197" t="s">
        <v>532</v>
      </c>
      <c r="H22" s="197" t="s">
        <v>533</v>
      </c>
      <c r="J22" s="55" t="s">
        <v>73</v>
      </c>
      <c r="K22" s="56" t="s">
        <v>74</v>
      </c>
      <c r="L22" s="64">
        <v>3492.5939999999991</v>
      </c>
    </row>
    <row r="23" spans="1:12" ht="21" x14ac:dyDescent="0.25">
      <c r="A23" s="196">
        <v>42</v>
      </c>
      <c r="B23" s="197" t="s">
        <v>530</v>
      </c>
      <c r="C23" s="197" t="s">
        <v>531</v>
      </c>
      <c r="D23" s="196">
        <v>2874790073</v>
      </c>
      <c r="E23" s="198">
        <v>6324.76</v>
      </c>
      <c r="F23" s="197" t="s">
        <v>553</v>
      </c>
      <c r="G23" s="197" t="s">
        <v>532</v>
      </c>
      <c r="H23" s="197" t="s">
        <v>533</v>
      </c>
      <c r="J23" s="55" t="s">
        <v>75</v>
      </c>
      <c r="K23" s="56" t="s">
        <v>76</v>
      </c>
      <c r="L23" s="64">
        <v>7253.8149999999978</v>
      </c>
    </row>
    <row r="24" spans="1:12" ht="21" x14ac:dyDescent="0.25">
      <c r="A24" s="196">
        <v>24</v>
      </c>
      <c r="B24" s="197" t="s">
        <v>530</v>
      </c>
      <c r="C24" s="197" t="s">
        <v>531</v>
      </c>
      <c r="D24" s="196">
        <v>2717650620</v>
      </c>
      <c r="E24" s="198">
        <v>1533.97</v>
      </c>
      <c r="F24" s="197" t="s">
        <v>588</v>
      </c>
      <c r="G24" s="197" t="s">
        <v>532</v>
      </c>
      <c r="H24" s="197" t="s">
        <v>533</v>
      </c>
      <c r="J24" s="55" t="s">
        <v>77</v>
      </c>
      <c r="K24" s="56" t="s">
        <v>78</v>
      </c>
      <c r="L24" s="64">
        <v>1533.9696599999995</v>
      </c>
    </row>
    <row r="25" spans="1:12" ht="21" x14ac:dyDescent="0.25">
      <c r="A25" s="196">
        <v>54</v>
      </c>
      <c r="B25" s="197" t="s">
        <v>530</v>
      </c>
      <c r="C25" s="197" t="s">
        <v>531</v>
      </c>
      <c r="D25" s="196">
        <v>2911705105</v>
      </c>
      <c r="E25" s="198">
        <v>2098.15</v>
      </c>
      <c r="F25" s="197" t="s">
        <v>557</v>
      </c>
      <c r="G25" s="197" t="s">
        <v>532</v>
      </c>
      <c r="H25" s="197" t="s">
        <v>533</v>
      </c>
      <c r="J25" s="55" t="s">
        <v>79</v>
      </c>
      <c r="K25" s="56" t="s">
        <v>80</v>
      </c>
      <c r="L25" s="64">
        <v>2098.15</v>
      </c>
    </row>
    <row r="26" spans="1:12" ht="21" x14ac:dyDescent="0.25">
      <c r="A26" s="196">
        <v>2</v>
      </c>
      <c r="B26" s="197" t="s">
        <v>530</v>
      </c>
      <c r="C26" s="197" t="s">
        <v>531</v>
      </c>
      <c r="D26" s="196">
        <v>2861674129</v>
      </c>
      <c r="E26" s="196">
        <v>161.80000000000001</v>
      </c>
      <c r="F26" s="197" t="s">
        <v>574</v>
      </c>
      <c r="G26" s="197" t="s">
        <v>532</v>
      </c>
      <c r="H26" s="197" t="s">
        <v>533</v>
      </c>
      <c r="J26" s="41" t="s">
        <v>506</v>
      </c>
      <c r="K26" s="42" t="s">
        <v>507</v>
      </c>
      <c r="L26" s="64">
        <v>161.79714285714283</v>
      </c>
    </row>
    <row r="27" spans="1:12" ht="21" x14ac:dyDescent="0.25">
      <c r="A27" s="193">
        <v>41</v>
      </c>
      <c r="B27" s="194" t="s">
        <v>530</v>
      </c>
      <c r="C27" s="194" t="s">
        <v>531</v>
      </c>
      <c r="D27" s="193">
        <v>2866078516</v>
      </c>
      <c r="E27" s="195">
        <v>6253.07</v>
      </c>
      <c r="F27" s="194" t="s">
        <v>594</v>
      </c>
      <c r="G27" s="194" t="s">
        <v>532</v>
      </c>
      <c r="H27" s="194" t="s">
        <v>533</v>
      </c>
      <c r="J27" s="55" t="s">
        <v>81</v>
      </c>
      <c r="K27" s="56" t="s">
        <v>82</v>
      </c>
      <c r="L27" s="64">
        <v>7150.5170000000007</v>
      </c>
    </row>
    <row r="28" spans="1:12" ht="21" x14ac:dyDescent="0.25">
      <c r="A28" s="196">
        <v>12</v>
      </c>
      <c r="B28" s="197" t="s">
        <v>530</v>
      </c>
      <c r="C28" s="197" t="s">
        <v>531</v>
      </c>
      <c r="D28" s="196">
        <v>1457598270</v>
      </c>
      <c r="E28" s="198">
        <v>8810.43</v>
      </c>
      <c r="F28" s="197" t="s">
        <v>581</v>
      </c>
      <c r="G28" s="197" t="s">
        <v>532</v>
      </c>
      <c r="H28" s="197" t="s">
        <v>533</v>
      </c>
      <c r="J28" s="55" t="s">
        <v>83</v>
      </c>
      <c r="K28" s="56" t="s">
        <v>84</v>
      </c>
      <c r="L28" s="64">
        <v>9983.9110000000001</v>
      </c>
    </row>
    <row r="29" spans="1:12" ht="21" x14ac:dyDescent="0.25">
      <c r="A29" s="193">
        <v>77</v>
      </c>
      <c r="B29" s="194" t="s">
        <v>530</v>
      </c>
      <c r="C29" s="194" t="s">
        <v>531</v>
      </c>
      <c r="D29" s="193">
        <v>2987413327</v>
      </c>
      <c r="E29" s="193">
        <v>588.86</v>
      </c>
      <c r="F29" s="194" t="s">
        <v>610</v>
      </c>
      <c r="G29" s="194" t="s">
        <v>532</v>
      </c>
      <c r="H29" s="194" t="s">
        <v>533</v>
      </c>
      <c r="J29" s="55" t="s">
        <v>200</v>
      </c>
      <c r="K29" s="56" t="s">
        <v>201</v>
      </c>
      <c r="L29" s="64">
        <v>588.86</v>
      </c>
    </row>
    <row r="30" spans="1:12" ht="21" x14ac:dyDescent="0.25">
      <c r="A30" s="193">
        <v>65</v>
      </c>
      <c r="B30" s="194" t="s">
        <v>530</v>
      </c>
      <c r="C30" s="194" t="s">
        <v>531</v>
      </c>
      <c r="D30" s="193">
        <v>2947375638</v>
      </c>
      <c r="E30" s="195">
        <v>2257.4499999999998</v>
      </c>
      <c r="F30" s="194" t="s">
        <v>565</v>
      </c>
      <c r="G30" s="194" t="s">
        <v>532</v>
      </c>
      <c r="H30" s="194" t="s">
        <v>533</v>
      </c>
      <c r="J30" s="55" t="s">
        <v>85</v>
      </c>
      <c r="K30" s="56" t="s">
        <v>86</v>
      </c>
      <c r="L30" s="64">
        <v>4265.2209999999995</v>
      </c>
    </row>
    <row r="31" spans="1:12" ht="21" x14ac:dyDescent="0.25">
      <c r="A31" s="196">
        <v>72</v>
      </c>
      <c r="B31" s="197" t="s">
        <v>530</v>
      </c>
      <c r="C31" s="197" t="s">
        <v>531</v>
      </c>
      <c r="D31" s="196">
        <v>2970888893</v>
      </c>
      <c r="E31" s="198">
        <v>4444.66</v>
      </c>
      <c r="F31" s="197" t="s">
        <v>608</v>
      </c>
      <c r="G31" s="197" t="s">
        <v>532</v>
      </c>
      <c r="H31" s="197" t="s">
        <v>533</v>
      </c>
      <c r="J31" s="55" t="s">
        <v>87</v>
      </c>
      <c r="K31" s="56" t="s">
        <v>88</v>
      </c>
      <c r="L31" s="64">
        <v>2257.4459999999999</v>
      </c>
    </row>
    <row r="32" spans="1:12" ht="21" x14ac:dyDescent="0.25">
      <c r="A32" s="193">
        <v>47</v>
      </c>
      <c r="B32" s="194" t="s">
        <v>530</v>
      </c>
      <c r="C32" s="194" t="s">
        <v>531</v>
      </c>
      <c r="D32" s="193">
        <v>2893708187</v>
      </c>
      <c r="E32" s="193">
        <v>2.02</v>
      </c>
      <c r="F32" s="194" t="s">
        <v>599</v>
      </c>
      <c r="G32" s="194" t="s">
        <v>532</v>
      </c>
      <c r="H32" s="194" t="s">
        <v>533</v>
      </c>
      <c r="J32" s="55" t="s">
        <v>89</v>
      </c>
      <c r="K32" s="56" t="s">
        <v>90</v>
      </c>
      <c r="L32" s="64">
        <v>5072.4220000000005</v>
      </c>
    </row>
    <row r="33" spans="1:12" ht="21" x14ac:dyDescent="0.25">
      <c r="A33" s="193">
        <v>23</v>
      </c>
      <c r="B33" s="194" t="s">
        <v>530</v>
      </c>
      <c r="C33" s="194" t="s">
        <v>531</v>
      </c>
      <c r="D33" s="193">
        <v>2714474562</v>
      </c>
      <c r="E33" s="195">
        <v>2435.9299999999998</v>
      </c>
      <c r="F33" s="194" t="s">
        <v>541</v>
      </c>
      <c r="G33" s="194" t="s">
        <v>532</v>
      </c>
      <c r="H33" s="194" t="s">
        <v>533</v>
      </c>
      <c r="J33" s="55" t="s">
        <v>91</v>
      </c>
      <c r="K33" s="56" t="s">
        <v>92</v>
      </c>
      <c r="L33" s="64">
        <v>2.0200000000000955</v>
      </c>
    </row>
    <row r="34" spans="1:12" ht="21" x14ac:dyDescent="0.25">
      <c r="A34" s="196">
        <v>52</v>
      </c>
      <c r="B34" s="197" t="s">
        <v>530</v>
      </c>
      <c r="C34" s="197" t="s">
        <v>531</v>
      </c>
      <c r="D34" s="196">
        <v>2901661582</v>
      </c>
      <c r="E34" s="198">
        <v>1055.93</v>
      </c>
      <c r="F34" s="197" t="s">
        <v>555</v>
      </c>
      <c r="G34" s="197" t="s">
        <v>532</v>
      </c>
      <c r="H34" s="197" t="s">
        <v>533</v>
      </c>
      <c r="J34" s="41" t="s">
        <v>93</v>
      </c>
      <c r="K34" s="42" t="s">
        <v>94</v>
      </c>
      <c r="L34" s="64">
        <v>2435.9299999999998</v>
      </c>
    </row>
    <row r="35" spans="1:12" ht="21" x14ac:dyDescent="0.25">
      <c r="A35" s="196">
        <v>64</v>
      </c>
      <c r="B35" s="197" t="s">
        <v>530</v>
      </c>
      <c r="C35" s="197" t="s">
        <v>531</v>
      </c>
      <c r="D35" s="196">
        <v>2946533183</v>
      </c>
      <c r="E35" s="196">
        <v>2</v>
      </c>
      <c r="F35" s="197" t="s">
        <v>564</v>
      </c>
      <c r="G35" s="197" t="s">
        <v>532</v>
      </c>
      <c r="H35" s="197" t="s">
        <v>533</v>
      </c>
      <c r="J35" s="55" t="s">
        <v>95</v>
      </c>
      <c r="K35" s="56" t="s">
        <v>96</v>
      </c>
      <c r="L35" s="64">
        <v>2.2000000000000455</v>
      </c>
    </row>
    <row r="36" spans="1:12" ht="21" x14ac:dyDescent="0.25">
      <c r="A36" s="193">
        <v>43</v>
      </c>
      <c r="B36" s="194" t="s">
        <v>530</v>
      </c>
      <c r="C36" s="194" t="s">
        <v>531</v>
      </c>
      <c r="D36" s="193">
        <v>2878931011</v>
      </c>
      <c r="E36" s="193">
        <v>312.02</v>
      </c>
      <c r="F36" s="194" t="s">
        <v>595</v>
      </c>
      <c r="G36" s="194" t="s">
        <v>532</v>
      </c>
      <c r="H36" s="194" t="s">
        <v>533</v>
      </c>
      <c r="J36" s="55" t="s">
        <v>97</v>
      </c>
      <c r="K36" s="56" t="s">
        <v>98</v>
      </c>
      <c r="L36" s="64">
        <v>1055.9299999999998</v>
      </c>
    </row>
    <row r="37" spans="1:12" ht="21" x14ac:dyDescent="0.25">
      <c r="A37" s="193">
        <v>19</v>
      </c>
      <c r="B37" s="194" t="s">
        <v>530</v>
      </c>
      <c r="C37" s="194" t="s">
        <v>531</v>
      </c>
      <c r="D37" s="193">
        <v>2695890233</v>
      </c>
      <c r="E37" s="195">
        <v>3413.05</v>
      </c>
      <c r="F37" s="194" t="s">
        <v>540</v>
      </c>
      <c r="G37" s="194" t="s">
        <v>532</v>
      </c>
      <c r="H37" s="194" t="s">
        <v>533</v>
      </c>
      <c r="J37" s="55" t="s">
        <v>100</v>
      </c>
      <c r="K37" s="56" t="s">
        <v>101</v>
      </c>
      <c r="L37" s="64">
        <v>2.0000000000001137</v>
      </c>
    </row>
    <row r="38" spans="1:12" ht="21" x14ac:dyDescent="0.25">
      <c r="A38" s="196">
        <v>58</v>
      </c>
      <c r="B38" s="197" t="s">
        <v>530</v>
      </c>
      <c r="C38" s="197" t="s">
        <v>531</v>
      </c>
      <c r="D38" s="196">
        <v>2919443924</v>
      </c>
      <c r="E38" s="198">
        <v>3249.21</v>
      </c>
      <c r="F38" s="197" t="s">
        <v>560</v>
      </c>
      <c r="G38" s="197" t="s">
        <v>532</v>
      </c>
      <c r="H38" s="197" t="s">
        <v>533</v>
      </c>
      <c r="J38" s="55" t="s">
        <v>102</v>
      </c>
      <c r="K38" s="56" t="s">
        <v>103</v>
      </c>
      <c r="L38" s="64">
        <v>312.02386000000013</v>
      </c>
    </row>
    <row r="39" spans="1:12" ht="21" x14ac:dyDescent="0.25">
      <c r="A39" s="196">
        <v>4</v>
      </c>
      <c r="B39" s="197" t="s">
        <v>530</v>
      </c>
      <c r="C39" s="197" t="s">
        <v>531</v>
      </c>
      <c r="D39" s="196">
        <v>2959119167</v>
      </c>
      <c r="E39" s="196">
        <v>261.8</v>
      </c>
      <c r="F39" s="197" t="s">
        <v>576</v>
      </c>
      <c r="G39" s="197" t="s">
        <v>532</v>
      </c>
      <c r="H39" s="197" t="s">
        <v>533</v>
      </c>
      <c r="J39" s="55" t="s">
        <v>104</v>
      </c>
      <c r="K39" s="56" t="s">
        <v>105</v>
      </c>
      <c r="L39" s="64">
        <v>3413.0525909999997</v>
      </c>
    </row>
    <row r="40" spans="1:12" ht="21" x14ac:dyDescent="0.25">
      <c r="A40" s="193">
        <v>27</v>
      </c>
      <c r="B40" s="194" t="s">
        <v>530</v>
      </c>
      <c r="C40" s="194" t="s">
        <v>531</v>
      </c>
      <c r="D40" s="193">
        <v>2758594368</v>
      </c>
      <c r="E40" s="193">
        <v>2</v>
      </c>
      <c r="F40" s="194" t="s">
        <v>543</v>
      </c>
      <c r="G40" s="194" t="s">
        <v>532</v>
      </c>
      <c r="H40" s="194" t="s">
        <v>533</v>
      </c>
      <c r="J40" s="55" t="s">
        <v>106</v>
      </c>
      <c r="K40" s="56" t="s">
        <v>107</v>
      </c>
      <c r="L40" s="64">
        <v>3249.212</v>
      </c>
    </row>
    <row r="41" spans="1:12" ht="21" x14ac:dyDescent="0.25">
      <c r="A41" s="196">
        <v>18</v>
      </c>
      <c r="B41" s="197" t="s">
        <v>530</v>
      </c>
      <c r="C41" s="197" t="s">
        <v>531</v>
      </c>
      <c r="D41" s="196">
        <v>2650346748</v>
      </c>
      <c r="E41" s="198">
        <v>4198.5</v>
      </c>
      <c r="F41" s="197" t="s">
        <v>539</v>
      </c>
      <c r="G41" s="197" t="s">
        <v>532</v>
      </c>
      <c r="H41" s="197" t="s">
        <v>533</v>
      </c>
      <c r="J41" s="41" t="s">
        <v>522</v>
      </c>
      <c r="K41" s="42" t="s">
        <v>521</v>
      </c>
      <c r="L41" s="64">
        <v>842.17250000000001</v>
      </c>
    </row>
    <row r="42" spans="1:12" ht="21" x14ac:dyDescent="0.25">
      <c r="A42" s="196">
        <v>6</v>
      </c>
      <c r="B42" s="197" t="s">
        <v>530</v>
      </c>
      <c r="C42" s="197" t="s">
        <v>531</v>
      </c>
      <c r="D42" s="196">
        <v>2967093632</v>
      </c>
      <c r="E42" s="196">
        <v>984.89</v>
      </c>
      <c r="F42" s="197" t="s">
        <v>578</v>
      </c>
      <c r="G42" s="197" t="s">
        <v>532</v>
      </c>
      <c r="H42" s="197" t="s">
        <v>533</v>
      </c>
      <c r="J42" s="188" t="s">
        <v>510</v>
      </c>
      <c r="K42" s="187" t="s">
        <v>511</v>
      </c>
      <c r="L42" s="64">
        <v>261.79999999999995</v>
      </c>
    </row>
    <row r="43" spans="1:12" ht="21" x14ac:dyDescent="0.25">
      <c r="A43" s="193">
        <v>57</v>
      </c>
      <c r="B43" s="194" t="s">
        <v>530</v>
      </c>
      <c r="C43" s="194" t="s">
        <v>531</v>
      </c>
      <c r="D43" s="193">
        <v>2918873607</v>
      </c>
      <c r="E43" s="195">
        <v>4078.59</v>
      </c>
      <c r="F43" s="194" t="s">
        <v>559</v>
      </c>
      <c r="G43" s="194" t="s">
        <v>532</v>
      </c>
      <c r="H43" s="194" t="s">
        <v>533</v>
      </c>
      <c r="J43" s="55" t="s">
        <v>108</v>
      </c>
      <c r="K43" s="56" t="s">
        <v>109</v>
      </c>
      <c r="L43" s="64">
        <v>2.0000000000001137</v>
      </c>
    </row>
    <row r="44" spans="1:12" ht="21" x14ac:dyDescent="0.25">
      <c r="A44" s="196">
        <v>70</v>
      </c>
      <c r="B44" s="197" t="s">
        <v>530</v>
      </c>
      <c r="C44" s="197" t="s">
        <v>531</v>
      </c>
      <c r="D44" s="196">
        <v>2954874714</v>
      </c>
      <c r="E44" s="196">
        <v>1.94</v>
      </c>
      <c r="F44" s="197" t="s">
        <v>606</v>
      </c>
      <c r="G44" s="197" t="s">
        <v>532</v>
      </c>
      <c r="H44" s="197" t="s">
        <v>533</v>
      </c>
      <c r="J44" s="55" t="s">
        <v>110</v>
      </c>
      <c r="K44" s="56" t="s">
        <v>111</v>
      </c>
      <c r="L44" s="64">
        <v>4795.4830000000002</v>
      </c>
    </row>
    <row r="45" spans="1:12" ht="21" x14ac:dyDescent="0.25">
      <c r="A45" s="196">
        <v>14</v>
      </c>
      <c r="B45" s="197" t="s">
        <v>530</v>
      </c>
      <c r="C45" s="197" t="s">
        <v>531</v>
      </c>
      <c r="D45" s="196">
        <v>2616789951</v>
      </c>
      <c r="E45" s="196">
        <v>522.6</v>
      </c>
      <c r="F45" s="197" t="s">
        <v>583</v>
      </c>
      <c r="G45" s="197" t="s">
        <v>532</v>
      </c>
      <c r="H45" s="197" t="s">
        <v>533</v>
      </c>
      <c r="J45" s="55" t="s">
        <v>198</v>
      </c>
      <c r="K45" s="56" t="s">
        <v>300</v>
      </c>
      <c r="L45" s="64">
        <v>984.8900000000001</v>
      </c>
    </row>
    <row r="46" spans="1:12" ht="21" x14ac:dyDescent="0.25">
      <c r="A46" s="196">
        <v>10</v>
      </c>
      <c r="B46" s="197" t="s">
        <v>530</v>
      </c>
      <c r="C46" s="197" t="s">
        <v>531</v>
      </c>
      <c r="D46" s="196">
        <v>1438110301</v>
      </c>
      <c r="E46" s="198">
        <v>2380.94</v>
      </c>
      <c r="F46" s="197" t="s">
        <v>535</v>
      </c>
      <c r="G46" s="197" t="s">
        <v>532</v>
      </c>
      <c r="H46" s="197" t="s">
        <v>533</v>
      </c>
      <c r="J46" s="55" t="s">
        <v>112</v>
      </c>
      <c r="K46" s="56" t="s">
        <v>113</v>
      </c>
      <c r="L46" s="64">
        <v>4660.5910000000003</v>
      </c>
    </row>
    <row r="47" spans="1:12" ht="21" x14ac:dyDescent="0.25">
      <c r="A47" s="196">
        <v>20</v>
      </c>
      <c r="B47" s="197" t="s">
        <v>530</v>
      </c>
      <c r="C47" s="197" t="s">
        <v>531</v>
      </c>
      <c r="D47" s="196">
        <v>2695890268</v>
      </c>
      <c r="E47" s="198">
        <v>2905.5</v>
      </c>
      <c r="F47" s="197" t="s">
        <v>585</v>
      </c>
      <c r="G47" s="197" t="s">
        <v>532</v>
      </c>
      <c r="H47" s="197" t="s">
        <v>533</v>
      </c>
      <c r="J47" s="55" t="s">
        <v>114</v>
      </c>
      <c r="K47" s="56" t="s">
        <v>115</v>
      </c>
      <c r="L47" s="64">
        <v>1.9400000000000546</v>
      </c>
    </row>
    <row r="48" spans="1:12" ht="21" x14ac:dyDescent="0.25">
      <c r="A48" s="196">
        <v>44</v>
      </c>
      <c r="B48" s="197" t="s">
        <v>530</v>
      </c>
      <c r="C48" s="197" t="s">
        <v>531</v>
      </c>
      <c r="D48" s="196">
        <v>2880995371</v>
      </c>
      <c r="E48" s="198">
        <v>1637.82</v>
      </c>
      <c r="F48" s="197" t="s">
        <v>596</v>
      </c>
      <c r="G48" s="197" t="s">
        <v>532</v>
      </c>
      <c r="H48" s="197" t="s">
        <v>533</v>
      </c>
      <c r="J48" s="55" t="s">
        <v>116</v>
      </c>
      <c r="K48" s="56" t="s">
        <v>117</v>
      </c>
      <c r="L48" s="64">
        <v>522.6</v>
      </c>
    </row>
    <row r="49" spans="1:12" ht="21" x14ac:dyDescent="0.25">
      <c r="A49" s="193">
        <v>39</v>
      </c>
      <c r="B49" s="194" t="s">
        <v>530</v>
      </c>
      <c r="C49" s="194" t="s">
        <v>531</v>
      </c>
      <c r="D49" s="193">
        <v>2859704213</v>
      </c>
      <c r="E49" s="193">
        <v>2</v>
      </c>
      <c r="F49" s="194" t="s">
        <v>552</v>
      </c>
      <c r="G49" s="194" t="s">
        <v>532</v>
      </c>
      <c r="H49" s="194" t="s">
        <v>533</v>
      </c>
      <c r="J49" s="55" t="s">
        <v>122</v>
      </c>
      <c r="K49" s="56" t="s">
        <v>123</v>
      </c>
      <c r="L49" s="64">
        <v>1637.8175800000004</v>
      </c>
    </row>
    <row r="50" spans="1:12" ht="21" x14ac:dyDescent="0.25">
      <c r="A50" s="193">
        <v>51</v>
      </c>
      <c r="B50" s="194" t="s">
        <v>530</v>
      </c>
      <c r="C50" s="194" t="s">
        <v>531</v>
      </c>
      <c r="D50" s="193">
        <v>2898414041</v>
      </c>
      <c r="E50" s="195">
        <v>3208.03</v>
      </c>
      <c r="F50" s="194" t="s">
        <v>602</v>
      </c>
      <c r="G50" s="194" t="s">
        <v>532</v>
      </c>
      <c r="H50" s="194" t="s">
        <v>533</v>
      </c>
      <c r="J50" s="55" t="s">
        <v>118</v>
      </c>
      <c r="K50" s="56" t="s">
        <v>119</v>
      </c>
      <c r="L50" s="64">
        <v>2380.94</v>
      </c>
    </row>
    <row r="51" spans="1:12" ht="21" x14ac:dyDescent="0.25">
      <c r="A51" s="196">
        <v>40</v>
      </c>
      <c r="B51" s="197" t="s">
        <v>530</v>
      </c>
      <c r="C51" s="197" t="s">
        <v>531</v>
      </c>
      <c r="D51" s="196">
        <v>2864307305</v>
      </c>
      <c r="E51" s="196">
        <v>776.87</v>
      </c>
      <c r="F51" s="197" t="s">
        <v>593</v>
      </c>
      <c r="G51" s="197" t="s">
        <v>532</v>
      </c>
      <c r="H51" s="197" t="s">
        <v>533</v>
      </c>
      <c r="J51" s="55" t="s">
        <v>120</v>
      </c>
      <c r="K51" s="56" t="s">
        <v>121</v>
      </c>
      <c r="L51" s="64">
        <v>3286.9399999999996</v>
      </c>
    </row>
    <row r="52" spans="1:12" ht="21" x14ac:dyDescent="0.25">
      <c r="A52" s="193">
        <v>75</v>
      </c>
      <c r="B52" s="194" t="s">
        <v>530</v>
      </c>
      <c r="C52" s="194" t="s">
        <v>531</v>
      </c>
      <c r="D52" s="193">
        <v>2982289075</v>
      </c>
      <c r="E52" s="195">
        <v>2840.37</v>
      </c>
      <c r="F52" s="194" t="s">
        <v>571</v>
      </c>
      <c r="G52" s="194" t="s">
        <v>532</v>
      </c>
      <c r="H52" s="194" t="s">
        <v>533</v>
      </c>
      <c r="J52" s="55" t="s">
        <v>124</v>
      </c>
      <c r="K52" s="56" t="s">
        <v>125</v>
      </c>
      <c r="L52" s="64">
        <v>2.0000000000001137</v>
      </c>
    </row>
    <row r="53" spans="1:12" ht="21" x14ac:dyDescent="0.25">
      <c r="A53" s="193">
        <v>67</v>
      </c>
      <c r="B53" s="194" t="s">
        <v>530</v>
      </c>
      <c r="C53" s="194" t="s">
        <v>531</v>
      </c>
      <c r="D53" s="193">
        <v>2949222294</v>
      </c>
      <c r="E53" s="195">
        <v>1363.44</v>
      </c>
      <c r="F53" s="194" t="s">
        <v>567</v>
      </c>
      <c r="G53" s="194" t="s">
        <v>532</v>
      </c>
      <c r="H53" s="194" t="s">
        <v>533</v>
      </c>
      <c r="J53" s="55" t="s">
        <v>126</v>
      </c>
      <c r="K53" s="56" t="s">
        <v>127</v>
      </c>
      <c r="L53" s="64">
        <v>3681.1860000000001</v>
      </c>
    </row>
    <row r="54" spans="1:12" ht="21" x14ac:dyDescent="0.25">
      <c r="A54" s="196">
        <v>26</v>
      </c>
      <c r="B54" s="197" t="s">
        <v>530</v>
      </c>
      <c r="C54" s="197" t="s">
        <v>531</v>
      </c>
      <c r="D54" s="196">
        <v>2754185048</v>
      </c>
      <c r="E54" s="198">
        <v>2502.52</v>
      </c>
      <c r="F54" s="197" t="s">
        <v>589</v>
      </c>
      <c r="G54" s="197" t="s">
        <v>532</v>
      </c>
      <c r="H54" s="197" t="s">
        <v>533</v>
      </c>
      <c r="J54" s="55" t="s">
        <v>128</v>
      </c>
      <c r="K54" s="56" t="s">
        <v>129</v>
      </c>
      <c r="L54" s="64">
        <v>776.87000000000035</v>
      </c>
    </row>
    <row r="55" spans="1:12" ht="21" x14ac:dyDescent="0.25">
      <c r="A55" s="196">
        <v>32</v>
      </c>
      <c r="B55" s="197" t="s">
        <v>530</v>
      </c>
      <c r="C55" s="197" t="s">
        <v>531</v>
      </c>
      <c r="D55" s="196">
        <v>2837284802</v>
      </c>
      <c r="E55" s="196">
        <v>822.8</v>
      </c>
      <c r="F55" s="197" t="s">
        <v>548</v>
      </c>
      <c r="G55" s="197" t="s">
        <v>532</v>
      </c>
      <c r="H55" s="197" t="s">
        <v>533</v>
      </c>
      <c r="J55" s="55" t="s">
        <v>130</v>
      </c>
      <c r="K55" s="56" t="s">
        <v>131</v>
      </c>
      <c r="L55" s="64">
        <v>2840.3739999999998</v>
      </c>
    </row>
    <row r="56" spans="1:12" ht="21" x14ac:dyDescent="0.25">
      <c r="A56" s="196">
        <v>8</v>
      </c>
      <c r="B56" s="197" t="s">
        <v>530</v>
      </c>
      <c r="C56" s="197" t="s">
        <v>531</v>
      </c>
      <c r="D56" s="196">
        <v>2995318777</v>
      </c>
      <c r="E56" s="196">
        <v>297.95999999999998</v>
      </c>
      <c r="F56" s="197" t="s">
        <v>580</v>
      </c>
      <c r="G56" s="197" t="s">
        <v>532</v>
      </c>
      <c r="H56" s="197" t="s">
        <v>533</v>
      </c>
      <c r="J56" s="55" t="s">
        <v>132</v>
      </c>
      <c r="K56" s="56" t="s">
        <v>133</v>
      </c>
      <c r="L56" s="64">
        <v>1363.4407299999996</v>
      </c>
    </row>
    <row r="57" spans="1:12" ht="21" x14ac:dyDescent="0.25">
      <c r="A57" s="196">
        <v>34</v>
      </c>
      <c r="B57" s="197" t="s">
        <v>530</v>
      </c>
      <c r="C57" s="197" t="s">
        <v>531</v>
      </c>
      <c r="D57" s="196">
        <v>2837656955</v>
      </c>
      <c r="E57" s="196">
        <v>377.68</v>
      </c>
      <c r="F57" s="197" t="s">
        <v>549</v>
      </c>
      <c r="G57" s="197" t="s">
        <v>532</v>
      </c>
      <c r="H57" s="197" t="s">
        <v>533</v>
      </c>
      <c r="J57" s="55" t="s">
        <v>134</v>
      </c>
      <c r="K57" s="56" t="s">
        <v>135</v>
      </c>
      <c r="L57" s="64">
        <v>2502.5177389999999</v>
      </c>
    </row>
    <row r="58" spans="1:12" ht="21" x14ac:dyDescent="0.25">
      <c r="A58" s="196">
        <v>66</v>
      </c>
      <c r="B58" s="197" t="s">
        <v>530</v>
      </c>
      <c r="C58" s="197" t="s">
        <v>531</v>
      </c>
      <c r="D58" s="196">
        <v>2947520190</v>
      </c>
      <c r="E58" s="196">
        <v>822.6</v>
      </c>
      <c r="F58" s="197" t="s">
        <v>566</v>
      </c>
      <c r="G58" s="197" t="s">
        <v>532</v>
      </c>
      <c r="H58" s="197" t="s">
        <v>533</v>
      </c>
      <c r="J58" s="55" t="s">
        <v>136</v>
      </c>
      <c r="K58" s="56" t="s">
        <v>137</v>
      </c>
      <c r="L58" s="64">
        <v>822.8</v>
      </c>
    </row>
    <row r="59" spans="1:12" ht="21" x14ac:dyDescent="0.25">
      <c r="A59" s="193">
        <v>3</v>
      </c>
      <c r="B59" s="194" t="s">
        <v>530</v>
      </c>
      <c r="C59" s="194" t="s">
        <v>531</v>
      </c>
      <c r="D59" s="193">
        <v>2958967016</v>
      </c>
      <c r="E59" s="193">
        <v>99.48</v>
      </c>
      <c r="F59" s="194" t="s">
        <v>575</v>
      </c>
      <c r="G59" s="194" t="s">
        <v>532</v>
      </c>
      <c r="H59" s="194" t="s">
        <v>533</v>
      </c>
      <c r="J59" s="24" t="s">
        <v>202</v>
      </c>
      <c r="K59" s="24" t="s">
        <v>313</v>
      </c>
      <c r="L59" s="64">
        <v>297.96000000000004</v>
      </c>
    </row>
    <row r="60" spans="1:12" ht="21" x14ac:dyDescent="0.25">
      <c r="A60" s="193">
        <v>13</v>
      </c>
      <c r="B60" s="194" t="s">
        <v>530</v>
      </c>
      <c r="C60" s="194" t="s">
        <v>531</v>
      </c>
      <c r="D60" s="193">
        <v>1490675652</v>
      </c>
      <c r="E60" s="195">
        <v>1290.75</v>
      </c>
      <c r="F60" s="194" t="s">
        <v>582</v>
      </c>
      <c r="G60" s="194" t="s">
        <v>532</v>
      </c>
      <c r="H60" s="194" t="s">
        <v>533</v>
      </c>
      <c r="J60" s="55" t="s">
        <v>138</v>
      </c>
      <c r="K60" s="56" t="s">
        <v>139</v>
      </c>
      <c r="L60" s="64">
        <v>377.67736000000019</v>
      </c>
    </row>
    <row r="61" spans="1:12" ht="21" x14ac:dyDescent="0.25">
      <c r="A61" s="193">
        <v>45</v>
      </c>
      <c r="B61" s="194" t="s">
        <v>530</v>
      </c>
      <c r="C61" s="194" t="s">
        <v>531</v>
      </c>
      <c r="D61" s="193">
        <v>2889511164</v>
      </c>
      <c r="E61" s="193">
        <v>588.86</v>
      </c>
      <c r="F61" s="194" t="s">
        <v>597</v>
      </c>
      <c r="G61" s="194" t="s">
        <v>532</v>
      </c>
      <c r="H61" s="194" t="s">
        <v>533</v>
      </c>
      <c r="J61" s="55" t="s">
        <v>140</v>
      </c>
      <c r="K61" s="56" t="s">
        <v>141</v>
      </c>
      <c r="L61" s="64">
        <v>822.6</v>
      </c>
    </row>
    <row r="62" spans="1:12" ht="21" x14ac:dyDescent="0.25">
      <c r="A62" s="193">
        <v>7</v>
      </c>
      <c r="B62" s="194" t="s">
        <v>530</v>
      </c>
      <c r="C62" s="194" t="s">
        <v>531</v>
      </c>
      <c r="D62" s="193">
        <v>2969627642</v>
      </c>
      <c r="E62" s="193">
        <v>522.6</v>
      </c>
      <c r="F62" s="194" t="s">
        <v>579</v>
      </c>
      <c r="G62" s="194" t="s">
        <v>532</v>
      </c>
      <c r="H62" s="194" t="s">
        <v>533</v>
      </c>
      <c r="J62" s="188" t="s">
        <v>515</v>
      </c>
      <c r="K62" s="187" t="s">
        <v>516</v>
      </c>
      <c r="L62" s="64">
        <v>99.481999999999971</v>
      </c>
    </row>
    <row r="63" spans="1:12" ht="21" x14ac:dyDescent="0.25">
      <c r="A63" s="193">
        <v>63</v>
      </c>
      <c r="B63" s="194" t="s">
        <v>530</v>
      </c>
      <c r="C63" s="194" t="s">
        <v>531</v>
      </c>
      <c r="D63" s="193">
        <v>2940159670</v>
      </c>
      <c r="E63" s="193">
        <v>718.3</v>
      </c>
      <c r="F63" s="194" t="s">
        <v>563</v>
      </c>
      <c r="G63" s="194" t="s">
        <v>532</v>
      </c>
      <c r="H63" s="194" t="s">
        <v>533</v>
      </c>
      <c r="J63" s="55" t="s">
        <v>142</v>
      </c>
      <c r="K63" s="56" t="s">
        <v>143</v>
      </c>
      <c r="L63" s="64">
        <v>1290.7500000000005</v>
      </c>
    </row>
    <row r="64" spans="1:12" ht="21" x14ac:dyDescent="0.25">
      <c r="A64" s="193">
        <v>33</v>
      </c>
      <c r="B64" s="194" t="s">
        <v>530</v>
      </c>
      <c r="C64" s="194" t="s">
        <v>531</v>
      </c>
      <c r="D64" s="193">
        <v>2837433751</v>
      </c>
      <c r="E64" s="195">
        <v>1141.71</v>
      </c>
      <c r="F64" s="194" t="s">
        <v>590</v>
      </c>
      <c r="G64" s="194" t="s">
        <v>532</v>
      </c>
      <c r="H64" s="194" t="s">
        <v>533</v>
      </c>
      <c r="J64" s="55" t="s">
        <v>144</v>
      </c>
      <c r="K64" s="56" t="s">
        <v>145</v>
      </c>
      <c r="L64" s="64">
        <v>588.86</v>
      </c>
    </row>
    <row r="65" spans="1:12" ht="21" x14ac:dyDescent="0.25">
      <c r="A65" s="196">
        <v>30</v>
      </c>
      <c r="B65" s="197" t="s">
        <v>530</v>
      </c>
      <c r="C65" s="197" t="s">
        <v>531</v>
      </c>
      <c r="D65" s="196">
        <v>2765753341</v>
      </c>
      <c r="E65" s="196">
        <v>934.25</v>
      </c>
      <c r="F65" s="197" t="s">
        <v>546</v>
      </c>
      <c r="G65" s="197" t="s">
        <v>532</v>
      </c>
      <c r="H65" s="197" t="s">
        <v>533</v>
      </c>
      <c r="J65" s="55" t="s">
        <v>189</v>
      </c>
      <c r="K65" s="56" t="s">
        <v>318</v>
      </c>
      <c r="L65" s="64">
        <v>522.6</v>
      </c>
    </row>
    <row r="66" spans="1:12" ht="21" x14ac:dyDescent="0.25">
      <c r="A66" s="196">
        <v>78</v>
      </c>
      <c r="B66" s="197" t="s">
        <v>530</v>
      </c>
      <c r="C66" s="197" t="s">
        <v>531</v>
      </c>
      <c r="D66" s="196">
        <v>2996093906</v>
      </c>
      <c r="E66" s="198">
        <v>2407.5500000000002</v>
      </c>
      <c r="F66" s="197" t="s">
        <v>611</v>
      </c>
      <c r="G66" s="197" t="s">
        <v>532</v>
      </c>
      <c r="H66" s="197" t="s">
        <v>533</v>
      </c>
      <c r="J66" s="55" t="s">
        <v>147</v>
      </c>
      <c r="K66" s="56" t="s">
        <v>148</v>
      </c>
      <c r="L66" s="64">
        <v>3037.3100000000004</v>
      </c>
    </row>
    <row r="67" spans="1:12" ht="21" x14ac:dyDescent="0.25">
      <c r="A67" s="196">
        <v>60</v>
      </c>
      <c r="B67" s="197" t="s">
        <v>530</v>
      </c>
      <c r="C67" s="197" t="s">
        <v>531</v>
      </c>
      <c r="D67" s="196">
        <v>2932879395</v>
      </c>
      <c r="E67" s="196">
        <v>467.15</v>
      </c>
      <c r="F67" s="197" t="s">
        <v>561</v>
      </c>
      <c r="G67" s="197" t="s">
        <v>532</v>
      </c>
      <c r="H67" s="197" t="s">
        <v>533</v>
      </c>
      <c r="J67" s="55" t="s">
        <v>149</v>
      </c>
      <c r="K67" s="56" t="s">
        <v>150</v>
      </c>
      <c r="L67" s="64">
        <v>718.30000000000007</v>
      </c>
    </row>
    <row r="68" spans="1:12" ht="21" x14ac:dyDescent="0.25">
      <c r="A68" s="193">
        <v>5</v>
      </c>
      <c r="B68" s="194" t="s">
        <v>530</v>
      </c>
      <c r="C68" s="194" t="s">
        <v>531</v>
      </c>
      <c r="D68" s="193">
        <v>2959934200</v>
      </c>
      <c r="E68" s="193">
        <v>822.6</v>
      </c>
      <c r="F68" s="194" t="s">
        <v>577</v>
      </c>
      <c r="G68" s="194" t="s">
        <v>532</v>
      </c>
      <c r="H68" s="194" t="s">
        <v>533</v>
      </c>
      <c r="J68" s="55" t="s">
        <v>151</v>
      </c>
      <c r="K68" s="56" t="s">
        <v>152</v>
      </c>
      <c r="L68" s="64">
        <v>1141.7129</v>
      </c>
    </row>
    <row r="69" spans="1:12" ht="21" x14ac:dyDescent="0.25">
      <c r="A69" s="196">
        <v>56</v>
      </c>
      <c r="B69" s="197" t="s">
        <v>530</v>
      </c>
      <c r="C69" s="197" t="s">
        <v>531</v>
      </c>
      <c r="D69" s="196">
        <v>2915613213</v>
      </c>
      <c r="E69" s="198">
        <v>1883.98</v>
      </c>
      <c r="F69" s="197" t="s">
        <v>603</v>
      </c>
      <c r="G69" s="197" t="s">
        <v>532</v>
      </c>
      <c r="H69" s="197" t="s">
        <v>533</v>
      </c>
      <c r="J69" s="55" t="s">
        <v>153</v>
      </c>
      <c r="K69" s="56" t="s">
        <v>154</v>
      </c>
      <c r="L69" s="64">
        <v>934.25036100000045</v>
      </c>
    </row>
    <row r="70" spans="1:12" ht="21" x14ac:dyDescent="0.25">
      <c r="A70" s="196">
        <v>48</v>
      </c>
      <c r="B70" s="197" t="s">
        <v>530</v>
      </c>
      <c r="C70" s="197" t="s">
        <v>531</v>
      </c>
      <c r="D70" s="196">
        <v>2894220501</v>
      </c>
      <c r="E70" s="198">
        <v>2562.5300000000002</v>
      </c>
      <c r="F70" s="197" t="s">
        <v>600</v>
      </c>
      <c r="G70" s="197" t="s">
        <v>532</v>
      </c>
      <c r="H70" s="197" t="s">
        <v>533</v>
      </c>
      <c r="J70" s="55" t="s">
        <v>321</v>
      </c>
      <c r="K70" s="56" t="s">
        <v>155</v>
      </c>
      <c r="L70" s="64">
        <v>2407.5540000000001</v>
      </c>
    </row>
    <row r="71" spans="1:12" ht="21" x14ac:dyDescent="0.25">
      <c r="A71" s="196">
        <v>62</v>
      </c>
      <c r="B71" s="197" t="s">
        <v>530</v>
      </c>
      <c r="C71" s="197" t="s">
        <v>531</v>
      </c>
      <c r="D71" s="196">
        <v>2939162100</v>
      </c>
      <c r="E71" s="198">
        <v>3121.22</v>
      </c>
      <c r="F71" s="197" t="s">
        <v>562</v>
      </c>
      <c r="G71" s="197" t="s">
        <v>532</v>
      </c>
      <c r="H71" s="197" t="s">
        <v>533</v>
      </c>
      <c r="J71" s="55" t="s">
        <v>156</v>
      </c>
      <c r="K71" s="56" t="s">
        <v>157</v>
      </c>
      <c r="L71" s="64">
        <v>467.14999999999986</v>
      </c>
    </row>
    <row r="72" spans="1:12" ht="21" x14ac:dyDescent="0.25">
      <c r="A72" s="196">
        <v>68</v>
      </c>
      <c r="B72" s="197" t="s">
        <v>530</v>
      </c>
      <c r="C72" s="197" t="s">
        <v>531</v>
      </c>
      <c r="D72" s="196">
        <v>2950612421</v>
      </c>
      <c r="E72" s="198">
        <v>9870.43</v>
      </c>
      <c r="F72" s="197" t="s">
        <v>568</v>
      </c>
      <c r="G72" s="197" t="s">
        <v>532</v>
      </c>
      <c r="H72" s="197" t="s">
        <v>533</v>
      </c>
      <c r="J72" s="188" t="s">
        <v>517</v>
      </c>
      <c r="K72" s="187" t="s">
        <v>518</v>
      </c>
      <c r="L72" s="64">
        <v>822.6</v>
      </c>
    </row>
    <row r="73" spans="1:12" ht="21" x14ac:dyDescent="0.25">
      <c r="A73" s="193">
        <v>11</v>
      </c>
      <c r="B73" s="194" t="s">
        <v>530</v>
      </c>
      <c r="C73" s="194" t="s">
        <v>531</v>
      </c>
      <c r="D73" s="193">
        <v>1444665376</v>
      </c>
      <c r="E73" s="195">
        <v>2089.27</v>
      </c>
      <c r="F73" s="194" t="s">
        <v>536</v>
      </c>
      <c r="G73" s="194" t="s">
        <v>532</v>
      </c>
      <c r="H73" s="194" t="s">
        <v>533</v>
      </c>
      <c r="J73" s="55" t="s">
        <v>158</v>
      </c>
      <c r="K73" s="56" t="s">
        <v>159</v>
      </c>
      <c r="L73" s="64">
        <v>1883.98</v>
      </c>
    </row>
    <row r="74" spans="1:12" ht="21" x14ac:dyDescent="0.25">
      <c r="A74" s="193">
        <v>21</v>
      </c>
      <c r="B74" s="194" t="s">
        <v>530</v>
      </c>
      <c r="C74" s="194" t="s">
        <v>531</v>
      </c>
      <c r="D74" s="193">
        <v>2695890284</v>
      </c>
      <c r="E74" s="195">
        <v>2488.34</v>
      </c>
      <c r="F74" s="194" t="s">
        <v>586</v>
      </c>
      <c r="G74" s="194" t="s">
        <v>532</v>
      </c>
      <c r="H74" s="194" t="s">
        <v>533</v>
      </c>
      <c r="J74" s="55" t="s">
        <v>160</v>
      </c>
      <c r="K74" s="56" t="s">
        <v>161</v>
      </c>
      <c r="L74" s="64">
        <v>2562.527</v>
      </c>
    </row>
    <row r="75" spans="1:12" ht="21" x14ac:dyDescent="0.25">
      <c r="A75" s="193">
        <v>31</v>
      </c>
      <c r="B75" s="194" t="s">
        <v>530</v>
      </c>
      <c r="C75" s="194" t="s">
        <v>531</v>
      </c>
      <c r="D75" s="193">
        <v>2836087213</v>
      </c>
      <c r="E75" s="193">
        <v>522.6</v>
      </c>
      <c r="F75" s="194" t="s">
        <v>547</v>
      </c>
      <c r="G75" s="194" t="s">
        <v>532</v>
      </c>
      <c r="H75" s="194" t="s">
        <v>533</v>
      </c>
      <c r="J75" s="55" t="s">
        <v>162</v>
      </c>
      <c r="K75" s="56" t="s">
        <v>163</v>
      </c>
      <c r="L75" s="64">
        <v>3121.22</v>
      </c>
    </row>
    <row r="76" spans="1:12" ht="21" x14ac:dyDescent="0.25">
      <c r="A76" s="196">
        <v>74</v>
      </c>
      <c r="B76" s="197" t="s">
        <v>530</v>
      </c>
      <c r="C76" s="197" t="s">
        <v>531</v>
      </c>
      <c r="D76" s="196">
        <v>2981335863</v>
      </c>
      <c r="E76" s="196">
        <v>589.26</v>
      </c>
      <c r="F76" s="197" t="s">
        <v>570</v>
      </c>
      <c r="G76" s="197" t="s">
        <v>532</v>
      </c>
      <c r="H76" s="197" t="s">
        <v>533</v>
      </c>
      <c r="J76" s="55" t="s">
        <v>164</v>
      </c>
      <c r="K76" s="56" t="s">
        <v>165</v>
      </c>
      <c r="L76" s="64">
        <v>11237.508</v>
      </c>
    </row>
    <row r="77" spans="1:12" ht="21" x14ac:dyDescent="0.25">
      <c r="A77" s="193">
        <v>69</v>
      </c>
      <c r="B77" s="194" t="s">
        <v>530</v>
      </c>
      <c r="C77" s="194" t="s">
        <v>531</v>
      </c>
      <c r="D77" s="193">
        <v>2951732641</v>
      </c>
      <c r="E77" s="195">
        <v>2901.13</v>
      </c>
      <c r="F77" s="194" t="s">
        <v>569</v>
      </c>
      <c r="G77" s="194" t="s">
        <v>532</v>
      </c>
      <c r="H77" s="194" t="s">
        <v>533</v>
      </c>
      <c r="J77" s="55" t="s">
        <v>166</v>
      </c>
      <c r="K77" s="56" t="s">
        <v>167</v>
      </c>
      <c r="L77" s="64">
        <v>2089.27</v>
      </c>
    </row>
    <row r="78" spans="1:12" ht="21" x14ac:dyDescent="0.25">
      <c r="A78" s="193">
        <v>37</v>
      </c>
      <c r="B78" s="194" t="s">
        <v>530</v>
      </c>
      <c r="C78" s="194" t="s">
        <v>531</v>
      </c>
      <c r="D78" s="193">
        <v>2851650165</v>
      </c>
      <c r="E78" s="195">
        <v>3579.38</v>
      </c>
      <c r="F78" s="194" t="s">
        <v>551</v>
      </c>
      <c r="G78" s="194" t="s">
        <v>532</v>
      </c>
      <c r="H78" s="194" t="s">
        <v>533</v>
      </c>
      <c r="J78" s="55" t="s">
        <v>168</v>
      </c>
      <c r="K78" s="56" t="s">
        <v>169</v>
      </c>
      <c r="L78" s="64">
        <v>2488.3428899999999</v>
      </c>
    </row>
    <row r="79" spans="1:12" ht="15.75" x14ac:dyDescent="0.25">
      <c r="A79" s="199"/>
      <c r="J79" s="55" t="s">
        <v>170</v>
      </c>
      <c r="K79" s="56" t="s">
        <v>171</v>
      </c>
      <c r="L79" s="64">
        <v>522.6</v>
      </c>
    </row>
    <row r="80" spans="1:12" x14ac:dyDescent="0.25">
      <c r="A80" s="191"/>
      <c r="B80" s="191"/>
      <c r="J80" s="55" t="s">
        <v>172</v>
      </c>
      <c r="K80" s="56" t="s">
        <v>173</v>
      </c>
      <c r="L80" s="64">
        <v>589.2600000000001</v>
      </c>
    </row>
    <row r="81" spans="10:12" x14ac:dyDescent="0.25">
      <c r="J81" s="55" t="s">
        <v>174</v>
      </c>
      <c r="K81" s="56" t="s">
        <v>175</v>
      </c>
      <c r="L81" s="64">
        <v>2901.1259999999997</v>
      </c>
    </row>
    <row r="82" spans="10:12" x14ac:dyDescent="0.25">
      <c r="J82" s="55" t="s">
        <v>176</v>
      </c>
      <c r="K82" s="56" t="s">
        <v>177</v>
      </c>
      <c r="L82" s="64">
        <v>4161.482</v>
      </c>
    </row>
    <row r="87" spans="10:12" x14ac:dyDescent="0.25">
      <c r="J87" s="74" t="s">
        <v>15</v>
      </c>
      <c r="K87" s="75" t="s">
        <v>48</v>
      </c>
      <c r="L87" s="64">
        <v>1575.93</v>
      </c>
    </row>
  </sheetData>
  <sortState ref="A1:H80">
    <sortCondition ref="F1:F8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E31"/>
  <sheetViews>
    <sheetView topLeftCell="A4" workbookViewId="0">
      <selection activeCell="E10" sqref="E10:E25"/>
    </sheetView>
  </sheetViews>
  <sheetFormatPr baseColWidth="10" defaultRowHeight="15" x14ac:dyDescent="0.25"/>
  <cols>
    <col min="1" max="1" width="11.42578125" style="187"/>
    <col min="2" max="2" width="26.5703125" style="187" bestFit="1" customWidth="1"/>
    <col min="3" max="4" width="11.42578125" style="187"/>
  </cols>
  <sheetData>
    <row r="8" spans="1:5" x14ac:dyDescent="0.25">
      <c r="A8" s="189"/>
      <c r="B8" s="189"/>
      <c r="C8" s="189"/>
      <c r="D8" s="189" t="s">
        <v>529</v>
      </c>
    </row>
    <row r="10" spans="1:5" x14ac:dyDescent="0.25">
      <c r="A10" s="188" t="s">
        <v>500</v>
      </c>
      <c r="B10" s="187" t="s">
        <v>38</v>
      </c>
      <c r="C10" s="190">
        <v>7905.8</v>
      </c>
      <c r="D10" s="64">
        <v>-1060.4180000000006</v>
      </c>
      <c r="E10" s="212">
        <v>1060.4180000000006</v>
      </c>
    </row>
    <row r="11" spans="1:5" x14ac:dyDescent="0.25">
      <c r="A11" s="188" t="s">
        <v>501</v>
      </c>
      <c r="B11" s="187" t="s">
        <v>40</v>
      </c>
      <c r="C11" s="190">
        <v>4471.8</v>
      </c>
      <c r="D11" s="64">
        <v>-681.44969000000037</v>
      </c>
      <c r="E11" s="212">
        <v>681.44969000000037</v>
      </c>
    </row>
    <row r="12" spans="1:5" x14ac:dyDescent="0.25">
      <c r="A12" s="188" t="s">
        <v>502</v>
      </c>
      <c r="B12" s="187" t="s">
        <v>46</v>
      </c>
      <c r="C12" s="190">
        <v>4780.3999999999996</v>
      </c>
      <c r="D12" s="64">
        <v>-715.92599999999948</v>
      </c>
      <c r="E12" s="212">
        <v>715.92599999999948</v>
      </c>
    </row>
    <row r="13" spans="1:5" x14ac:dyDescent="0.25">
      <c r="A13" s="188" t="s">
        <v>503</v>
      </c>
      <c r="B13" s="187" t="s">
        <v>56</v>
      </c>
      <c r="C13" s="190">
        <v>4846.8</v>
      </c>
      <c r="D13" s="64">
        <v>-791.22399999999925</v>
      </c>
      <c r="E13" s="212">
        <v>791.22399999999925</v>
      </c>
    </row>
    <row r="14" spans="1:5" x14ac:dyDescent="0.25">
      <c r="A14" s="188" t="s">
        <v>504</v>
      </c>
      <c r="B14" s="187" t="s">
        <v>74</v>
      </c>
      <c r="C14" s="190">
        <v>2949.2</v>
      </c>
      <c r="D14" s="64">
        <v>-543.39399999999932</v>
      </c>
      <c r="E14" s="212">
        <v>543.39399999999932</v>
      </c>
    </row>
    <row r="15" spans="1:5" x14ac:dyDescent="0.25">
      <c r="A15" s="188" t="s">
        <v>505</v>
      </c>
      <c r="B15" s="187" t="s">
        <v>76</v>
      </c>
      <c r="C15" s="190">
        <v>6324.8</v>
      </c>
      <c r="D15" s="64">
        <v>-929.0149999999976</v>
      </c>
      <c r="E15" s="212">
        <v>929.0149999999976</v>
      </c>
    </row>
    <row r="16" spans="1:5" x14ac:dyDescent="0.25">
      <c r="A16" s="188" t="s">
        <v>81</v>
      </c>
      <c r="B16" s="187" t="s">
        <v>82</v>
      </c>
      <c r="C16" s="190">
        <v>6253</v>
      </c>
      <c r="D16" s="64">
        <v>-897.51700000000073</v>
      </c>
      <c r="E16" s="212">
        <v>897.51700000000073</v>
      </c>
    </row>
    <row r="17" spans="1:5" x14ac:dyDescent="0.25">
      <c r="A17" s="188" t="s">
        <v>83</v>
      </c>
      <c r="B17" s="187" t="s">
        <v>84</v>
      </c>
      <c r="C17" s="190">
        <v>8810.4</v>
      </c>
      <c r="D17" s="64">
        <v>-1173.5110000000004</v>
      </c>
      <c r="E17" s="212">
        <v>1173.5110000000004</v>
      </c>
    </row>
    <row r="18" spans="1:5" x14ac:dyDescent="0.25">
      <c r="A18" s="188" t="s">
        <v>508</v>
      </c>
      <c r="B18" s="187" t="s">
        <v>86</v>
      </c>
      <c r="C18" s="190">
        <v>3727.2</v>
      </c>
      <c r="D18" s="64">
        <v>-538.02099999999973</v>
      </c>
      <c r="E18" s="212">
        <v>538.02099999999973</v>
      </c>
    </row>
    <row r="19" spans="1:5" x14ac:dyDescent="0.25">
      <c r="A19" s="188" t="s">
        <v>509</v>
      </c>
      <c r="B19" s="187" t="s">
        <v>90</v>
      </c>
      <c r="C19" s="190">
        <v>4444.6000000000004</v>
      </c>
      <c r="D19" s="64">
        <v>-627.82200000000012</v>
      </c>
      <c r="E19" s="212">
        <v>627.82200000000012</v>
      </c>
    </row>
    <row r="20" spans="1:5" x14ac:dyDescent="0.25">
      <c r="A20" s="188" t="s">
        <v>512</v>
      </c>
      <c r="B20" s="187" t="s">
        <v>111</v>
      </c>
      <c r="C20" s="190">
        <v>4198.6000000000004</v>
      </c>
      <c r="D20" s="64">
        <v>-596.88299999999981</v>
      </c>
      <c r="E20" s="212">
        <v>596.88299999999981</v>
      </c>
    </row>
    <row r="21" spans="1:5" x14ac:dyDescent="0.25">
      <c r="A21" s="188" t="s">
        <v>112</v>
      </c>
      <c r="B21" s="187" t="s">
        <v>113</v>
      </c>
      <c r="C21" s="190">
        <v>4078.6</v>
      </c>
      <c r="D21" s="64">
        <v>-581.99100000000044</v>
      </c>
      <c r="E21" s="212">
        <v>581.99100000000044</v>
      </c>
    </row>
    <row r="22" spans="1:5" x14ac:dyDescent="0.25">
      <c r="A22" s="188" t="s">
        <v>513</v>
      </c>
      <c r="B22" s="187" t="s">
        <v>121</v>
      </c>
      <c r="C22" s="190">
        <v>2905.6</v>
      </c>
      <c r="D22" s="64">
        <v>-381.33999999999969</v>
      </c>
      <c r="E22" s="212">
        <v>381.33999999999969</v>
      </c>
    </row>
    <row r="23" spans="1:5" x14ac:dyDescent="0.25">
      <c r="A23" s="188" t="s">
        <v>514</v>
      </c>
      <c r="B23" s="187" t="s">
        <v>127</v>
      </c>
      <c r="C23" s="190">
        <v>3208.2</v>
      </c>
      <c r="D23" s="64">
        <v>-472.98600000000033</v>
      </c>
      <c r="E23" s="212">
        <v>472.98600000000033</v>
      </c>
    </row>
    <row r="24" spans="1:5" x14ac:dyDescent="0.25">
      <c r="A24" s="188" t="s">
        <v>519</v>
      </c>
      <c r="B24" s="187" t="s">
        <v>165</v>
      </c>
      <c r="C24" s="190">
        <v>9870.4</v>
      </c>
      <c r="D24" s="64">
        <v>-1367.1080000000002</v>
      </c>
      <c r="E24" s="212">
        <v>1367.1080000000002</v>
      </c>
    </row>
    <row r="25" spans="1:5" x14ac:dyDescent="0.25">
      <c r="A25" s="188" t="s">
        <v>520</v>
      </c>
      <c r="B25" s="187" t="s">
        <v>177</v>
      </c>
      <c r="C25" s="190">
        <v>3579.4</v>
      </c>
      <c r="D25" s="64">
        <v>-582.08199999999988</v>
      </c>
      <c r="E25" s="212">
        <v>582.08199999999988</v>
      </c>
    </row>
    <row r="31" spans="1:5" x14ac:dyDescent="0.25">
      <c r="C31" s="186">
        <v>166464.00000000009</v>
      </c>
      <c r="D31" s="186">
        <v>-11939.246743857138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23"/>
  <sheetViews>
    <sheetView topLeftCell="A67" workbookViewId="0">
      <selection activeCell="B7" sqref="B7:B90"/>
    </sheetView>
  </sheetViews>
  <sheetFormatPr baseColWidth="10" defaultColWidth="11.5703125" defaultRowHeight="15" x14ac:dyDescent="0.25"/>
  <cols>
    <col min="1" max="1" width="28.7109375" style="117" customWidth="1"/>
    <col min="2" max="2" width="39.140625" style="117" customWidth="1"/>
    <col min="3" max="3" width="8.140625" style="117" bestFit="1" customWidth="1"/>
    <col min="4" max="4" width="8.85546875" style="117" customWidth="1"/>
    <col min="5" max="5" width="31.5703125" style="117" customWidth="1"/>
    <col min="6" max="6" width="20.140625" style="117" bestFit="1" customWidth="1"/>
    <col min="7" max="7" width="13" style="117" bestFit="1" customWidth="1"/>
    <col min="8" max="8" width="11.7109375" style="117" customWidth="1"/>
    <col min="9" max="9" width="17.140625" style="90" customWidth="1"/>
    <col min="10" max="10" width="11.7109375" style="117" customWidth="1"/>
    <col min="11" max="12" width="13.85546875" style="90" customWidth="1"/>
    <col min="13" max="15" width="13.5703125" style="90" customWidth="1"/>
    <col min="16" max="16" width="17" style="91" customWidth="1"/>
    <col min="17" max="18" width="13.5703125" style="90" customWidth="1"/>
    <col min="19" max="19" width="13.5703125" style="92" customWidth="1"/>
    <col min="20" max="20" width="19.28515625" style="92" customWidth="1"/>
    <col min="21" max="21" width="16.85546875" style="92" customWidth="1"/>
    <col min="22" max="22" width="16.140625" style="92" customWidth="1"/>
    <col min="23" max="26" width="13.5703125" style="90" customWidth="1"/>
    <col min="27" max="27" width="16.7109375" style="91" customWidth="1"/>
    <col min="28" max="28" width="16.7109375" style="90" customWidth="1"/>
    <col min="29" max="29" width="15.42578125" style="91" customWidth="1"/>
    <col min="30" max="31" width="13.5703125" style="90" customWidth="1"/>
    <col min="32" max="32" width="15.42578125" style="91" customWidth="1"/>
    <col min="33" max="34" width="0" style="117" hidden="1" customWidth="1"/>
    <col min="35" max="35" width="15.28515625" style="117" hidden="1" customWidth="1"/>
    <col min="36" max="37" width="0" style="117" hidden="1" customWidth="1"/>
    <col min="38" max="38" width="13.85546875" style="117" customWidth="1"/>
    <col min="39" max="39" width="34.85546875" style="117" customWidth="1"/>
    <col min="40" max="53" width="11.5703125" style="113"/>
    <col min="54" max="16384" width="11.5703125" style="117"/>
  </cols>
  <sheetData>
    <row r="1" spans="1:53" s="84" customFormat="1" x14ac:dyDescent="0.25">
      <c r="A1" s="79" t="s">
        <v>342</v>
      </c>
      <c r="B1" s="79"/>
      <c r="C1" s="79"/>
      <c r="D1" s="79"/>
      <c r="E1" s="80"/>
      <c r="F1" s="80"/>
      <c r="G1" s="80"/>
      <c r="H1" s="80"/>
      <c r="I1" s="81"/>
      <c r="J1" s="80"/>
      <c r="K1" s="81"/>
      <c r="L1" s="81"/>
      <c r="M1" s="81"/>
      <c r="N1" s="81"/>
      <c r="O1" s="81"/>
      <c r="P1" s="82"/>
      <c r="Q1" s="81"/>
      <c r="R1" s="81"/>
      <c r="S1" s="81"/>
      <c r="T1" s="81"/>
      <c r="U1" s="81"/>
      <c r="V1" s="81"/>
      <c r="W1" s="81"/>
      <c r="X1" s="81"/>
      <c r="Y1" s="81"/>
      <c r="Z1" s="81"/>
      <c r="AA1" s="82"/>
      <c r="AB1" s="81"/>
      <c r="AC1" s="82"/>
      <c r="AD1" s="81"/>
      <c r="AE1" s="81"/>
      <c r="AF1" s="82"/>
      <c r="AG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</row>
    <row r="2" spans="1:53" s="84" customFormat="1" x14ac:dyDescent="0.25">
      <c r="A2" s="85" t="s">
        <v>343</v>
      </c>
      <c r="B2" s="85"/>
      <c r="C2" s="85"/>
      <c r="D2" s="85"/>
      <c r="E2" s="86"/>
      <c r="F2" s="86"/>
      <c r="G2" s="86"/>
      <c r="H2" s="86"/>
      <c r="I2" s="81"/>
      <c r="J2" s="86"/>
      <c r="K2" s="81"/>
      <c r="L2" s="81"/>
      <c r="M2" s="81"/>
      <c r="N2" s="81"/>
      <c r="O2" s="81"/>
      <c r="P2" s="82"/>
      <c r="Q2" s="81"/>
      <c r="R2" s="81"/>
      <c r="S2" s="81"/>
      <c r="T2" s="81"/>
      <c r="U2" s="81"/>
      <c r="V2" s="81"/>
      <c r="W2" s="81"/>
      <c r="X2" s="81"/>
      <c r="Y2" s="81"/>
      <c r="Z2" s="81"/>
      <c r="AA2" s="82"/>
      <c r="AB2" s="81"/>
      <c r="AC2" s="82"/>
      <c r="AD2" s="81"/>
      <c r="AE2" s="81"/>
      <c r="AF2" s="82"/>
      <c r="AG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</row>
    <row r="3" spans="1:53" s="84" customFormat="1" x14ac:dyDescent="0.25">
      <c r="A3" s="87" t="s">
        <v>612</v>
      </c>
      <c r="B3" s="87"/>
      <c r="C3" s="87"/>
      <c r="D3" s="87"/>
      <c r="E3" s="88"/>
      <c r="F3" s="88"/>
      <c r="G3" s="88"/>
      <c r="H3" s="88"/>
      <c r="I3" s="81"/>
      <c r="J3" s="88"/>
      <c r="K3" s="81"/>
      <c r="L3" s="81"/>
      <c r="M3" s="81"/>
      <c r="N3" s="81"/>
      <c r="O3" s="81"/>
      <c r="P3" s="82"/>
      <c r="Q3" s="81"/>
      <c r="R3" s="81"/>
      <c r="S3" s="81"/>
      <c r="T3" s="81"/>
      <c r="U3" s="81"/>
      <c r="V3" s="81"/>
      <c r="W3" s="81"/>
      <c r="X3" s="81"/>
      <c r="Y3" s="81"/>
      <c r="Z3" s="81"/>
      <c r="AA3" s="82"/>
      <c r="AB3" s="81"/>
      <c r="AC3" s="82"/>
      <c r="AD3" s="81"/>
      <c r="AE3" s="81"/>
      <c r="AF3" s="82"/>
      <c r="AG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</row>
    <row r="4" spans="1:53" s="89" customFormat="1" x14ac:dyDescent="0.25">
      <c r="A4" s="89" t="s">
        <v>613</v>
      </c>
      <c r="I4" s="90"/>
      <c r="K4" s="90"/>
      <c r="L4" s="90"/>
      <c r="M4" s="90"/>
      <c r="N4" s="90"/>
      <c r="O4" s="90"/>
      <c r="P4" s="91"/>
      <c r="Q4" s="90"/>
      <c r="R4" s="90"/>
      <c r="S4" s="92"/>
      <c r="T4" s="92"/>
      <c r="U4" s="92"/>
      <c r="V4" s="92"/>
      <c r="W4" s="90"/>
      <c r="X4" s="90"/>
      <c r="Y4" s="90"/>
      <c r="Z4" s="90"/>
      <c r="AA4" s="91"/>
      <c r="AB4" s="90"/>
      <c r="AC4" s="91"/>
      <c r="AD4" s="90"/>
      <c r="AE4" s="90"/>
      <c r="AF4" s="91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</row>
    <row r="5" spans="1:53" s="89" customFormat="1" ht="28.5" customHeight="1" x14ac:dyDescent="0.25">
      <c r="A5" s="265" t="s">
        <v>346</v>
      </c>
      <c r="B5" s="264" t="s">
        <v>347</v>
      </c>
      <c r="C5" s="265"/>
      <c r="D5" s="264" t="s">
        <v>348</v>
      </c>
      <c r="E5" s="264" t="s">
        <v>349</v>
      </c>
      <c r="F5" s="265" t="s">
        <v>350</v>
      </c>
      <c r="G5" s="255" t="s">
        <v>351</v>
      </c>
      <c r="H5" s="255" t="s">
        <v>352</v>
      </c>
      <c r="I5" s="262" t="s">
        <v>353</v>
      </c>
      <c r="J5" s="260" t="s">
        <v>354</v>
      </c>
      <c r="K5" s="255" t="s">
        <v>355</v>
      </c>
      <c r="L5" s="260" t="s">
        <v>356</v>
      </c>
      <c r="M5" s="255" t="s">
        <v>357</v>
      </c>
      <c r="N5" s="255" t="s">
        <v>358</v>
      </c>
      <c r="O5" s="255" t="s">
        <v>359</v>
      </c>
      <c r="P5" s="255" t="s">
        <v>360</v>
      </c>
      <c r="Q5" s="255" t="s">
        <v>361</v>
      </c>
      <c r="R5" s="213"/>
      <c r="S5" s="258" t="s">
        <v>362</v>
      </c>
      <c r="T5" s="258" t="s">
        <v>363</v>
      </c>
      <c r="U5" s="258" t="s">
        <v>364</v>
      </c>
      <c r="V5" s="258" t="s">
        <v>365</v>
      </c>
      <c r="W5" s="255" t="s">
        <v>366</v>
      </c>
      <c r="X5" s="255" t="s">
        <v>367</v>
      </c>
      <c r="Y5" s="255" t="s">
        <v>368</v>
      </c>
      <c r="Z5" s="255" t="s">
        <v>369</v>
      </c>
      <c r="AA5" s="255" t="s">
        <v>370</v>
      </c>
      <c r="AB5" s="255" t="s">
        <v>371</v>
      </c>
      <c r="AC5" s="255" t="s">
        <v>372</v>
      </c>
      <c r="AD5" s="255" t="s">
        <v>373</v>
      </c>
      <c r="AE5" s="255" t="s">
        <v>374</v>
      </c>
      <c r="AF5" s="255" t="s">
        <v>375</v>
      </c>
      <c r="AG5" s="255" t="s">
        <v>376</v>
      </c>
      <c r="AH5" s="255" t="s">
        <v>377</v>
      </c>
      <c r="AI5" s="256" t="s">
        <v>378</v>
      </c>
      <c r="AJ5" s="257"/>
      <c r="AK5" s="252" t="s">
        <v>379</v>
      </c>
      <c r="AL5" s="252" t="s">
        <v>614</v>
      </c>
      <c r="AM5" s="252" t="s">
        <v>615</v>
      </c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</row>
    <row r="6" spans="1:53" s="97" customFormat="1" ht="39" customHeight="1" x14ac:dyDescent="0.25">
      <c r="A6" s="266"/>
      <c r="B6" s="264"/>
      <c r="C6" s="266"/>
      <c r="D6" s="264"/>
      <c r="E6" s="264"/>
      <c r="F6" s="266"/>
      <c r="G6" s="255"/>
      <c r="H6" s="255"/>
      <c r="I6" s="263"/>
      <c r="J6" s="261"/>
      <c r="K6" s="255"/>
      <c r="L6" s="261"/>
      <c r="M6" s="255"/>
      <c r="N6" s="255"/>
      <c r="O6" s="255"/>
      <c r="P6" s="255"/>
      <c r="Q6" s="255"/>
      <c r="R6" s="214" t="s">
        <v>616</v>
      </c>
      <c r="S6" s="259"/>
      <c r="T6" s="259"/>
      <c r="U6" s="259"/>
      <c r="V6" s="259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95" t="s">
        <v>353</v>
      </c>
      <c r="AJ6" s="95" t="s">
        <v>354</v>
      </c>
      <c r="AK6" s="252"/>
      <c r="AL6" s="252"/>
      <c r="AM6" s="252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</row>
    <row r="7" spans="1:53" s="115" customFormat="1" x14ac:dyDescent="0.25">
      <c r="A7" s="98" t="s">
        <v>380</v>
      </c>
      <c r="B7" s="98" t="s">
        <v>381</v>
      </c>
      <c r="C7" s="98"/>
      <c r="D7" s="98" t="s">
        <v>35</v>
      </c>
      <c r="E7" s="98" t="s">
        <v>180</v>
      </c>
      <c r="F7" s="98"/>
      <c r="G7" s="99"/>
      <c r="H7" s="99"/>
      <c r="I7" s="101">
        <v>1166.26</v>
      </c>
      <c r="J7" s="100"/>
      <c r="K7" s="101">
        <f t="shared" ref="K7:K70" si="0">+I7+J7</f>
        <v>1166.26</v>
      </c>
      <c r="L7" s="101">
        <v>3954.17</v>
      </c>
      <c r="M7" s="102"/>
      <c r="N7" s="102"/>
      <c r="O7" s="103"/>
      <c r="P7" s="104">
        <f t="shared" ref="P7:P38" si="1">SUM(K7:N7)-O7</f>
        <v>5120.43</v>
      </c>
      <c r="Q7" s="147"/>
      <c r="R7" s="143"/>
      <c r="S7" s="143">
        <v>0</v>
      </c>
      <c r="T7" s="143"/>
      <c r="U7" s="143"/>
      <c r="V7" s="143"/>
      <c r="W7" s="148"/>
      <c r="X7" s="148"/>
      <c r="Y7" s="108"/>
      <c r="Z7" s="108">
        <v>0</v>
      </c>
      <c r="AA7" s="104">
        <f t="shared" ref="AA7:AA13" si="2">+P7-SUM(Q7:Z7)</f>
        <v>5120.43</v>
      </c>
      <c r="AB7" s="110">
        <f>IF(P7&gt;4500,P7*0.1,0)</f>
        <v>512.04300000000001</v>
      </c>
      <c r="AC7" s="104">
        <f t="shared" ref="AC7:AC70" si="3">+AA7-AB7</f>
        <v>4608.3870000000006</v>
      </c>
      <c r="AD7" s="111">
        <f t="shared" ref="AD7:AD70" si="4">IF(P7&lt;4500,P7*0.1,0)</f>
        <v>0</v>
      </c>
      <c r="AE7" s="110">
        <v>10.23</v>
      </c>
      <c r="AF7" s="112">
        <f t="shared" ref="AF7:AF70" si="5">+P7+AD7+AE7</f>
        <v>5130.66</v>
      </c>
      <c r="AG7" s="113"/>
      <c r="AH7" s="114"/>
      <c r="AI7" s="113"/>
      <c r="AJ7" s="113"/>
      <c r="AK7" s="114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</row>
    <row r="8" spans="1:53" x14ac:dyDescent="0.25">
      <c r="A8" s="98" t="s">
        <v>382</v>
      </c>
      <c r="B8" s="98" t="s">
        <v>383</v>
      </c>
      <c r="C8" s="98" t="s">
        <v>384</v>
      </c>
      <c r="D8" s="98" t="s">
        <v>37</v>
      </c>
      <c r="E8" s="98" t="s">
        <v>385</v>
      </c>
      <c r="F8" s="98"/>
      <c r="G8" s="99"/>
      <c r="H8" s="99"/>
      <c r="I8" s="101">
        <v>1633.33</v>
      </c>
      <c r="J8" s="99"/>
      <c r="K8" s="101">
        <f t="shared" si="0"/>
        <v>1633.33</v>
      </c>
      <c r="L8" s="101">
        <v>60706.45</v>
      </c>
      <c r="M8" s="102"/>
      <c r="N8" s="102"/>
      <c r="O8" s="103"/>
      <c r="P8" s="104">
        <f t="shared" si="1"/>
        <v>62339.78</v>
      </c>
      <c r="Q8" s="147"/>
      <c r="R8" s="143"/>
      <c r="S8" s="143">
        <v>0</v>
      </c>
      <c r="T8" s="143"/>
      <c r="U8" s="143"/>
      <c r="V8" s="143"/>
      <c r="W8" s="148"/>
      <c r="X8" s="148"/>
      <c r="Y8" s="108"/>
      <c r="Z8" s="108">
        <v>0</v>
      </c>
      <c r="AA8" s="104">
        <f t="shared" si="2"/>
        <v>62339.78</v>
      </c>
      <c r="AB8" s="110">
        <f>IF(P8&gt;4500,P8*0.1,0)</f>
        <v>6233.9780000000001</v>
      </c>
      <c r="AC8" s="104">
        <f t="shared" si="3"/>
        <v>56105.801999999996</v>
      </c>
      <c r="AD8" s="111">
        <f t="shared" si="4"/>
        <v>0</v>
      </c>
      <c r="AE8" s="110">
        <v>10.23</v>
      </c>
      <c r="AF8" s="112">
        <f t="shared" si="5"/>
        <v>62350.01</v>
      </c>
      <c r="AG8" s="113"/>
      <c r="AH8" s="114"/>
      <c r="AI8" s="113"/>
      <c r="AJ8" s="113"/>
      <c r="AK8" s="114"/>
      <c r="AL8" s="113"/>
      <c r="AM8" s="113"/>
    </row>
    <row r="9" spans="1:53" x14ac:dyDescent="0.25">
      <c r="A9" s="118" t="s">
        <v>386</v>
      </c>
      <c r="B9" s="98" t="s">
        <v>387</v>
      </c>
      <c r="C9" s="98"/>
      <c r="D9" s="98" t="s">
        <v>39</v>
      </c>
      <c r="E9" s="98" t="s">
        <v>192</v>
      </c>
      <c r="F9" s="98"/>
      <c r="G9" s="99"/>
      <c r="H9" s="99"/>
      <c r="I9" s="101">
        <v>608.16</v>
      </c>
      <c r="J9" s="99"/>
      <c r="K9" s="101">
        <f t="shared" si="0"/>
        <v>608.16</v>
      </c>
      <c r="L9" s="101">
        <v>4993.21</v>
      </c>
      <c r="M9" s="102"/>
      <c r="N9" s="102"/>
      <c r="O9" s="103"/>
      <c r="P9" s="104">
        <f t="shared" si="1"/>
        <v>5601.37</v>
      </c>
      <c r="Q9" s="147"/>
      <c r="R9" s="143"/>
      <c r="S9" s="143"/>
      <c r="T9" s="215">
        <f>P9*4.9%</f>
        <v>274.46713</v>
      </c>
      <c r="U9" s="215">
        <f>P9*1%</f>
        <v>56.0137</v>
      </c>
      <c r="V9" s="143"/>
      <c r="W9" s="148"/>
      <c r="X9" s="148"/>
      <c r="Y9" s="108"/>
      <c r="Z9" s="108">
        <v>0</v>
      </c>
      <c r="AA9" s="104">
        <f t="shared" si="2"/>
        <v>5270.8891700000004</v>
      </c>
      <c r="AB9" s="110">
        <f>IF(P9&gt;4500,P9*0.1,0)</f>
        <v>560.13700000000006</v>
      </c>
      <c r="AC9" s="104">
        <f t="shared" si="3"/>
        <v>4710.7521700000007</v>
      </c>
      <c r="AD9" s="111">
        <f t="shared" si="4"/>
        <v>0</v>
      </c>
      <c r="AE9" s="110">
        <v>10.23</v>
      </c>
      <c r="AF9" s="112">
        <f t="shared" si="5"/>
        <v>5611.5999999999995</v>
      </c>
      <c r="AG9" s="113"/>
      <c r="AH9" s="114"/>
      <c r="AI9" s="113"/>
      <c r="AJ9" s="113"/>
      <c r="AK9" s="114"/>
      <c r="AL9" s="113"/>
      <c r="AM9" s="113"/>
    </row>
    <row r="10" spans="1:53" x14ac:dyDescent="0.25">
      <c r="A10" s="118" t="s">
        <v>388</v>
      </c>
      <c r="B10" s="98" t="s">
        <v>389</v>
      </c>
      <c r="C10" s="98"/>
      <c r="D10" s="98" t="s">
        <v>293</v>
      </c>
      <c r="E10" s="98" t="s">
        <v>390</v>
      </c>
      <c r="F10" s="98"/>
      <c r="G10" s="99"/>
      <c r="H10" s="99"/>
      <c r="I10" s="101">
        <v>739.23</v>
      </c>
      <c r="J10" s="99"/>
      <c r="K10" s="101">
        <f t="shared" si="0"/>
        <v>739.23</v>
      </c>
      <c r="L10" s="101"/>
      <c r="M10" s="102"/>
      <c r="N10" s="102"/>
      <c r="O10" s="103"/>
      <c r="P10" s="104">
        <f t="shared" si="1"/>
        <v>739.23</v>
      </c>
      <c r="Q10" s="147"/>
      <c r="R10" s="143"/>
      <c r="S10" s="143"/>
      <c r="T10" s="143"/>
      <c r="U10" s="143"/>
      <c r="V10" s="143"/>
      <c r="W10" s="148"/>
      <c r="X10" s="148"/>
      <c r="Y10" s="108"/>
      <c r="Z10" s="108"/>
      <c r="AA10" s="104">
        <f t="shared" si="2"/>
        <v>739.23</v>
      </c>
      <c r="AB10" s="110"/>
      <c r="AC10" s="104">
        <f t="shared" si="3"/>
        <v>739.23</v>
      </c>
      <c r="AD10" s="111">
        <f t="shared" si="4"/>
        <v>73.923000000000002</v>
      </c>
      <c r="AE10" s="110">
        <v>10.23</v>
      </c>
      <c r="AF10" s="112">
        <f t="shared" si="5"/>
        <v>823.38300000000004</v>
      </c>
      <c r="AG10" s="113"/>
      <c r="AH10" s="114"/>
      <c r="AI10" s="113"/>
      <c r="AJ10" s="113"/>
      <c r="AK10" s="114"/>
      <c r="AL10" s="113"/>
      <c r="AM10" s="113"/>
    </row>
    <row r="11" spans="1:53" x14ac:dyDescent="0.25">
      <c r="A11" s="98" t="s">
        <v>380</v>
      </c>
      <c r="B11" s="98" t="s">
        <v>391</v>
      </c>
      <c r="C11" s="98"/>
      <c r="D11" s="98" t="s">
        <v>41</v>
      </c>
      <c r="E11" s="98" t="s">
        <v>180</v>
      </c>
      <c r="F11" s="98"/>
      <c r="G11" s="98"/>
      <c r="H11" s="98"/>
      <c r="I11" s="101">
        <v>1166.6600000000001</v>
      </c>
      <c r="J11" s="100"/>
      <c r="K11" s="101">
        <f t="shared" si="0"/>
        <v>1166.6600000000001</v>
      </c>
      <c r="L11" s="101">
        <v>1433.64</v>
      </c>
      <c r="M11" s="101"/>
      <c r="N11" s="101"/>
      <c r="O11" s="103"/>
      <c r="P11" s="104">
        <f t="shared" si="1"/>
        <v>2600.3000000000002</v>
      </c>
      <c r="Q11" s="147"/>
      <c r="R11" s="143"/>
      <c r="S11" s="143">
        <v>0</v>
      </c>
      <c r="T11" s="143"/>
      <c r="U11" s="143"/>
      <c r="V11" s="143"/>
      <c r="W11" s="148"/>
      <c r="X11" s="148"/>
      <c r="Y11" s="108"/>
      <c r="Z11" s="108">
        <v>0</v>
      </c>
      <c r="AA11" s="104">
        <f t="shared" si="2"/>
        <v>2600.3000000000002</v>
      </c>
      <c r="AB11" s="110">
        <f t="shared" ref="AB11:AB74" si="6">IF(P11&gt;4500,P11*0.1,0)</f>
        <v>0</v>
      </c>
      <c r="AC11" s="104">
        <f t="shared" si="3"/>
        <v>2600.3000000000002</v>
      </c>
      <c r="AD11" s="111">
        <f t="shared" si="4"/>
        <v>260.03000000000003</v>
      </c>
      <c r="AE11" s="110">
        <v>10.23</v>
      </c>
      <c r="AF11" s="112">
        <f t="shared" si="5"/>
        <v>2870.5600000000004</v>
      </c>
      <c r="AG11" s="113"/>
      <c r="AH11" s="114"/>
      <c r="AI11" s="113"/>
      <c r="AJ11" s="113"/>
      <c r="AK11" s="114"/>
      <c r="AL11" s="113"/>
      <c r="AM11" s="113"/>
    </row>
    <row r="12" spans="1:53" x14ac:dyDescent="0.25">
      <c r="A12" s="98" t="s">
        <v>382</v>
      </c>
      <c r="B12" s="98" t="s">
        <v>392</v>
      </c>
      <c r="C12" s="98" t="s">
        <v>384</v>
      </c>
      <c r="D12" s="98">
        <v>16</v>
      </c>
      <c r="E12" s="98" t="s">
        <v>393</v>
      </c>
      <c r="F12" s="98"/>
      <c r="G12" s="99"/>
      <c r="H12" s="99"/>
      <c r="I12" s="101">
        <v>1633.33</v>
      </c>
      <c r="J12" s="99"/>
      <c r="K12" s="101">
        <f t="shared" si="0"/>
        <v>1633.33</v>
      </c>
      <c r="L12" s="101">
        <v>13631.88</v>
      </c>
      <c r="M12" s="102"/>
      <c r="N12" s="102"/>
      <c r="O12" s="103"/>
      <c r="P12" s="104">
        <f t="shared" si="1"/>
        <v>15265.21</v>
      </c>
      <c r="Q12" s="147"/>
      <c r="R12" s="143"/>
      <c r="S12" s="143">
        <v>0</v>
      </c>
      <c r="T12" s="143"/>
      <c r="U12" s="143"/>
      <c r="V12" s="143"/>
      <c r="W12" s="148"/>
      <c r="X12" s="148"/>
      <c r="Y12" s="108"/>
      <c r="Z12" s="108">
        <v>0</v>
      </c>
      <c r="AA12" s="104">
        <f t="shared" si="2"/>
        <v>15265.21</v>
      </c>
      <c r="AB12" s="110">
        <f t="shared" si="6"/>
        <v>1526.521</v>
      </c>
      <c r="AC12" s="104">
        <f t="shared" si="3"/>
        <v>13738.688999999998</v>
      </c>
      <c r="AD12" s="111">
        <f t="shared" si="4"/>
        <v>0</v>
      </c>
      <c r="AE12" s="110">
        <v>10.23</v>
      </c>
      <c r="AF12" s="112">
        <f t="shared" si="5"/>
        <v>15275.439999999999</v>
      </c>
      <c r="AG12" s="113"/>
      <c r="AH12" s="114"/>
      <c r="AI12" s="113"/>
      <c r="AJ12" s="113"/>
      <c r="AK12" s="114"/>
      <c r="AL12" s="113"/>
      <c r="AM12" s="113"/>
    </row>
    <row r="13" spans="1:53" s="170" customFormat="1" x14ac:dyDescent="0.25">
      <c r="A13" s="165" t="s">
        <v>380</v>
      </c>
      <c r="B13" s="165" t="s">
        <v>617</v>
      </c>
      <c r="C13" s="165"/>
      <c r="D13" s="165"/>
      <c r="E13" s="165" t="s">
        <v>618</v>
      </c>
      <c r="F13" s="180">
        <v>42422</v>
      </c>
      <c r="G13" s="165"/>
      <c r="H13" s="165"/>
      <c r="I13" s="166">
        <v>0</v>
      </c>
      <c r="J13" s="165">
        <v>483.75</v>
      </c>
      <c r="K13" s="166">
        <f t="shared" si="0"/>
        <v>483.75</v>
      </c>
      <c r="L13" s="166">
        <v>0</v>
      </c>
      <c r="M13" s="166"/>
      <c r="N13" s="166"/>
      <c r="O13" s="167"/>
      <c r="P13" s="168">
        <f t="shared" si="1"/>
        <v>483.75</v>
      </c>
      <c r="Q13" s="166"/>
      <c r="R13" s="143"/>
      <c r="S13" s="166"/>
      <c r="T13" s="166"/>
      <c r="U13" s="166"/>
      <c r="V13" s="166"/>
      <c r="W13" s="169"/>
      <c r="X13" s="169"/>
      <c r="Y13" s="165"/>
      <c r="Z13" s="165"/>
      <c r="AA13" s="168">
        <f t="shared" si="2"/>
        <v>483.75</v>
      </c>
      <c r="AB13" s="169">
        <f t="shared" si="6"/>
        <v>0</v>
      </c>
      <c r="AC13" s="168">
        <f t="shared" si="3"/>
        <v>483.75</v>
      </c>
      <c r="AD13" s="169">
        <f t="shared" si="4"/>
        <v>48.375</v>
      </c>
      <c r="AE13" s="169">
        <v>10.23</v>
      </c>
      <c r="AF13" s="168">
        <f t="shared" si="5"/>
        <v>542.35500000000002</v>
      </c>
      <c r="AH13" s="171"/>
      <c r="AK13" s="171"/>
      <c r="AL13" s="170">
        <v>1456104819</v>
      </c>
      <c r="AM13" s="216" t="s">
        <v>619</v>
      </c>
    </row>
    <row r="14" spans="1:53" s="113" customFormat="1" x14ac:dyDescent="0.25">
      <c r="A14" s="133" t="s">
        <v>394</v>
      </c>
      <c r="B14" s="133" t="s">
        <v>395</v>
      </c>
      <c r="C14" s="133" t="s">
        <v>396</v>
      </c>
      <c r="D14" s="133"/>
      <c r="E14" s="133" t="s">
        <v>397</v>
      </c>
      <c r="F14" s="175">
        <v>42417</v>
      </c>
      <c r="G14" s="133"/>
      <c r="H14" s="133"/>
      <c r="I14" s="157">
        <v>513.33000000000004</v>
      </c>
      <c r="J14" s="133">
        <v>653.33000000000004</v>
      </c>
      <c r="K14" s="157">
        <f t="shared" si="0"/>
        <v>1166.6600000000001</v>
      </c>
      <c r="L14" s="157">
        <v>164</v>
      </c>
      <c r="M14" s="157"/>
      <c r="N14" s="157"/>
      <c r="O14" s="173"/>
      <c r="P14" s="104">
        <f t="shared" si="1"/>
        <v>1330.66</v>
      </c>
      <c r="Q14" s="147"/>
      <c r="R14" s="143"/>
      <c r="S14" s="143">
        <v>0</v>
      </c>
      <c r="T14" s="143"/>
      <c r="U14" s="143"/>
      <c r="V14" s="143"/>
      <c r="W14" s="148"/>
      <c r="X14" s="148"/>
      <c r="Y14" s="108"/>
      <c r="Z14" s="108">
        <v>0</v>
      </c>
      <c r="AA14" s="104">
        <f t="shared" ref="AA14:AA77" si="7">+P14-SUM(Q14:Z14)</f>
        <v>1330.66</v>
      </c>
      <c r="AB14" s="110">
        <f t="shared" si="6"/>
        <v>0</v>
      </c>
      <c r="AC14" s="104">
        <f t="shared" si="3"/>
        <v>1330.66</v>
      </c>
      <c r="AD14" s="111">
        <f t="shared" si="4"/>
        <v>133.066</v>
      </c>
      <c r="AE14" s="110">
        <v>10.23</v>
      </c>
      <c r="AF14" s="112">
        <f t="shared" si="5"/>
        <v>1473.9560000000001</v>
      </c>
      <c r="AH14" s="114"/>
      <c r="AK14" s="114"/>
    </row>
    <row r="15" spans="1:53" x14ac:dyDescent="0.25">
      <c r="A15" s="98" t="s">
        <v>382</v>
      </c>
      <c r="B15" s="98" t="s">
        <v>398</v>
      </c>
      <c r="C15" s="98" t="s">
        <v>31</v>
      </c>
      <c r="D15" s="98" t="s">
        <v>45</v>
      </c>
      <c r="E15" s="98" t="s">
        <v>191</v>
      </c>
      <c r="F15" s="121"/>
      <c r="G15" s="99"/>
      <c r="H15" s="99"/>
      <c r="I15" s="101">
        <v>513.33000000000004</v>
      </c>
      <c r="J15" s="99">
        <v>653.33000000000004</v>
      </c>
      <c r="K15" s="101">
        <f t="shared" si="0"/>
        <v>1166.6600000000001</v>
      </c>
      <c r="L15" s="101">
        <v>1508.49</v>
      </c>
      <c r="M15" s="102"/>
      <c r="N15" s="102"/>
      <c r="O15" s="103"/>
      <c r="P15" s="104">
        <f t="shared" si="1"/>
        <v>2675.15</v>
      </c>
      <c r="Q15" s="147"/>
      <c r="R15" s="143"/>
      <c r="S15" s="143">
        <v>0</v>
      </c>
      <c r="T15" s="143"/>
      <c r="U15" s="143"/>
      <c r="V15" s="143"/>
      <c r="W15" s="148"/>
      <c r="X15" s="148"/>
      <c r="Y15" s="108"/>
      <c r="Z15" s="108">
        <v>368.35</v>
      </c>
      <c r="AA15" s="104">
        <f t="shared" si="7"/>
        <v>2306.8000000000002</v>
      </c>
      <c r="AB15" s="110">
        <f t="shared" si="6"/>
        <v>0</v>
      </c>
      <c r="AC15" s="104">
        <f t="shared" si="3"/>
        <v>2306.8000000000002</v>
      </c>
      <c r="AD15" s="111">
        <f t="shared" si="4"/>
        <v>267.51500000000004</v>
      </c>
      <c r="AE15" s="110">
        <v>10.23</v>
      </c>
      <c r="AF15" s="112">
        <f t="shared" si="5"/>
        <v>2952.895</v>
      </c>
      <c r="AG15" s="113"/>
      <c r="AH15" s="114"/>
      <c r="AI15" s="113"/>
      <c r="AJ15" s="113"/>
      <c r="AK15" s="114"/>
      <c r="AL15" s="113"/>
      <c r="AM15" s="113"/>
    </row>
    <row r="16" spans="1:53" x14ac:dyDescent="0.25">
      <c r="A16" s="118" t="s">
        <v>386</v>
      </c>
      <c r="B16" s="133" t="s">
        <v>399</v>
      </c>
      <c r="C16" s="133"/>
      <c r="D16" s="98" t="s">
        <v>193</v>
      </c>
      <c r="E16" s="98" t="s">
        <v>192</v>
      </c>
      <c r="F16" s="98"/>
      <c r="G16" s="99"/>
      <c r="H16" s="99"/>
      <c r="I16" s="101">
        <v>608.16</v>
      </c>
      <c r="J16" s="99"/>
      <c r="K16" s="101">
        <f t="shared" si="0"/>
        <v>608.16</v>
      </c>
      <c r="L16" s="101"/>
      <c r="M16" s="102"/>
      <c r="N16" s="102"/>
      <c r="O16" s="103"/>
      <c r="P16" s="104">
        <f t="shared" si="1"/>
        <v>608.16</v>
      </c>
      <c r="Q16" s="147"/>
      <c r="R16" s="143"/>
      <c r="S16" s="215">
        <v>150</v>
      </c>
      <c r="T16" s="215">
        <f>P16*4.9%</f>
        <v>29.79984</v>
      </c>
      <c r="U16" s="215">
        <f>P16*1%</f>
        <v>6.0815999999999999</v>
      </c>
      <c r="V16" s="143"/>
      <c r="W16" s="148"/>
      <c r="X16" s="148"/>
      <c r="Y16" s="108"/>
      <c r="Z16" s="108">
        <v>0</v>
      </c>
      <c r="AA16" s="104">
        <f t="shared" si="7"/>
        <v>422.27855999999997</v>
      </c>
      <c r="AB16" s="110">
        <f t="shared" si="6"/>
        <v>0</v>
      </c>
      <c r="AC16" s="104">
        <f t="shared" si="3"/>
        <v>422.27855999999997</v>
      </c>
      <c r="AD16" s="111">
        <f t="shared" si="4"/>
        <v>60.816000000000003</v>
      </c>
      <c r="AE16" s="110">
        <v>10.23</v>
      </c>
      <c r="AF16" s="112">
        <f t="shared" si="5"/>
        <v>679.20600000000002</v>
      </c>
      <c r="AG16" s="113"/>
      <c r="AH16" s="114"/>
      <c r="AI16" s="113"/>
      <c r="AJ16" s="113"/>
      <c r="AK16" s="114"/>
      <c r="AL16" s="113"/>
      <c r="AM16" s="113"/>
    </row>
    <row r="17" spans="1:53" x14ac:dyDescent="0.25">
      <c r="A17" s="98" t="s">
        <v>394</v>
      </c>
      <c r="B17" s="98" t="s">
        <v>400</v>
      </c>
      <c r="C17" s="98" t="s">
        <v>396</v>
      </c>
      <c r="D17" s="98" t="s">
        <v>15</v>
      </c>
      <c r="E17" s="98" t="s">
        <v>191</v>
      </c>
      <c r="F17" s="134">
        <v>42326</v>
      </c>
      <c r="G17" s="99"/>
      <c r="H17" s="99"/>
      <c r="I17" s="101">
        <v>513.33000000000004</v>
      </c>
      <c r="J17" s="99"/>
      <c r="K17" s="101">
        <f t="shared" si="0"/>
        <v>513.33000000000004</v>
      </c>
      <c r="L17" s="101">
        <v>513.33000000000004</v>
      </c>
      <c r="M17" s="102"/>
      <c r="N17" s="102"/>
      <c r="O17" s="103"/>
      <c r="P17" s="104">
        <f t="shared" si="1"/>
        <v>1026.6600000000001</v>
      </c>
      <c r="Q17" s="147"/>
      <c r="R17" s="143"/>
      <c r="S17" s="143">
        <v>0</v>
      </c>
      <c r="T17" s="143"/>
      <c r="U17" s="143"/>
      <c r="V17" s="143"/>
      <c r="W17" s="148"/>
      <c r="X17" s="148"/>
      <c r="Y17" s="108"/>
      <c r="Z17" s="217">
        <f>+P17*0.25+125</f>
        <v>381.66500000000002</v>
      </c>
      <c r="AA17" s="104">
        <f t="shared" si="7"/>
        <v>644.99500000000012</v>
      </c>
      <c r="AB17" s="110">
        <f t="shared" si="6"/>
        <v>0</v>
      </c>
      <c r="AC17" s="104">
        <f t="shared" si="3"/>
        <v>644.99500000000012</v>
      </c>
      <c r="AD17" s="111">
        <f t="shared" si="4"/>
        <v>102.66600000000001</v>
      </c>
      <c r="AE17" s="110">
        <v>10.23</v>
      </c>
      <c r="AF17" s="112">
        <f t="shared" si="5"/>
        <v>1139.556</v>
      </c>
      <c r="AG17" s="113"/>
      <c r="AH17" s="218"/>
      <c r="AI17" s="113"/>
      <c r="AJ17" s="113"/>
      <c r="AK17" s="114"/>
      <c r="AL17" s="113"/>
      <c r="AM17" s="113">
        <f>622.79+125</f>
        <v>747.79</v>
      </c>
      <c r="AN17" s="113" t="s">
        <v>620</v>
      </c>
    </row>
    <row r="18" spans="1:53" x14ac:dyDescent="0.25">
      <c r="A18" s="98" t="s">
        <v>401</v>
      </c>
      <c r="B18" s="98" t="s">
        <v>621</v>
      </c>
      <c r="C18" s="98"/>
      <c r="D18" s="98" t="s">
        <v>49</v>
      </c>
      <c r="E18" s="98" t="s">
        <v>403</v>
      </c>
      <c r="F18" s="98"/>
      <c r="G18" s="99"/>
      <c r="H18" s="99"/>
      <c r="I18" s="101">
        <v>933.33</v>
      </c>
      <c r="J18" s="99"/>
      <c r="K18" s="101">
        <f t="shared" si="0"/>
        <v>933.33</v>
      </c>
      <c r="L18" s="101">
        <v>550</v>
      </c>
      <c r="M18" s="102"/>
      <c r="N18" s="102"/>
      <c r="O18" s="103"/>
      <c r="P18" s="104">
        <f t="shared" si="1"/>
        <v>1483.33</v>
      </c>
      <c r="Q18" s="147"/>
      <c r="R18" s="143">
        <v>58.91</v>
      </c>
      <c r="S18" s="143">
        <v>0</v>
      </c>
      <c r="T18" s="143"/>
      <c r="U18" s="143"/>
      <c r="V18" s="143"/>
      <c r="W18" s="148"/>
      <c r="X18" s="148"/>
      <c r="Y18" s="217"/>
      <c r="Z18" s="108">
        <v>0</v>
      </c>
      <c r="AA18" s="104">
        <f t="shared" si="7"/>
        <v>1424.4199999999998</v>
      </c>
      <c r="AB18" s="110">
        <f t="shared" si="6"/>
        <v>0</v>
      </c>
      <c r="AC18" s="104">
        <f t="shared" si="3"/>
        <v>1424.4199999999998</v>
      </c>
      <c r="AD18" s="111">
        <f t="shared" si="4"/>
        <v>148.333</v>
      </c>
      <c r="AE18" s="110">
        <v>10.23</v>
      </c>
      <c r="AF18" s="112">
        <f t="shared" si="5"/>
        <v>1641.893</v>
      </c>
      <c r="AG18" s="113"/>
      <c r="AH18" s="114"/>
      <c r="AI18" s="113"/>
      <c r="AJ18" s="113"/>
      <c r="AK18" s="114"/>
      <c r="AL18" s="113"/>
      <c r="AM18" s="113" t="s">
        <v>622</v>
      </c>
    </row>
    <row r="19" spans="1:53" x14ac:dyDescent="0.25">
      <c r="A19" s="98" t="s">
        <v>382</v>
      </c>
      <c r="B19" s="98" t="s">
        <v>623</v>
      </c>
      <c r="C19" s="98" t="s">
        <v>33</v>
      </c>
      <c r="D19" s="98" t="s">
        <v>51</v>
      </c>
      <c r="E19" s="98" t="s">
        <v>191</v>
      </c>
      <c r="F19" s="98"/>
      <c r="G19" s="99"/>
      <c r="H19" s="99"/>
      <c r="I19" s="101">
        <v>513.33000000000004</v>
      </c>
      <c r="J19" s="99"/>
      <c r="K19" s="101">
        <f t="shared" si="0"/>
        <v>513.33000000000004</v>
      </c>
      <c r="L19" s="101">
        <f>513.33+10425.49</f>
        <v>10938.82</v>
      </c>
      <c r="M19" s="102"/>
      <c r="N19" s="102"/>
      <c r="O19" s="103"/>
      <c r="P19" s="104">
        <f t="shared" si="1"/>
        <v>11452.15</v>
      </c>
      <c r="Q19" s="147"/>
      <c r="R19" s="143">
        <v>58.91</v>
      </c>
      <c r="S19" s="215">
        <v>500</v>
      </c>
      <c r="T19" s="143"/>
      <c r="U19" s="143"/>
      <c r="V19" s="143"/>
      <c r="W19" s="148"/>
      <c r="X19" s="148"/>
      <c r="Y19" s="108"/>
      <c r="Z19" s="146">
        <v>1697.06</v>
      </c>
      <c r="AA19" s="104">
        <f t="shared" si="7"/>
        <v>9196.18</v>
      </c>
      <c r="AB19" s="110">
        <f t="shared" si="6"/>
        <v>1145.2149999999999</v>
      </c>
      <c r="AC19" s="104">
        <f t="shared" si="3"/>
        <v>8050.9650000000001</v>
      </c>
      <c r="AD19" s="111">
        <f t="shared" si="4"/>
        <v>0</v>
      </c>
      <c r="AE19" s="110">
        <v>10.23</v>
      </c>
      <c r="AF19" s="112">
        <f t="shared" si="5"/>
        <v>11462.38</v>
      </c>
      <c r="AG19" s="113"/>
      <c r="AH19" s="114"/>
      <c r="AI19" s="113"/>
      <c r="AJ19" s="113"/>
      <c r="AK19" s="114"/>
      <c r="AL19" s="113"/>
      <c r="AM19" s="113"/>
    </row>
    <row r="20" spans="1:53" x14ac:dyDescent="0.25">
      <c r="A20" s="98" t="s">
        <v>380</v>
      </c>
      <c r="B20" s="98" t="s">
        <v>405</v>
      </c>
      <c r="C20" s="98"/>
      <c r="D20" s="98" t="s">
        <v>181</v>
      </c>
      <c r="E20" s="98" t="s">
        <v>180</v>
      </c>
      <c r="F20" s="98"/>
      <c r="G20" s="98"/>
      <c r="H20" s="98"/>
      <c r="I20" s="101">
        <v>1166.26</v>
      </c>
      <c r="J20" s="100"/>
      <c r="K20" s="101">
        <f t="shared" si="0"/>
        <v>1166.26</v>
      </c>
      <c r="L20" s="101"/>
      <c r="M20" s="101"/>
      <c r="N20" s="101"/>
      <c r="O20" s="103"/>
      <c r="P20" s="104">
        <f t="shared" si="1"/>
        <v>1166.26</v>
      </c>
      <c r="Q20" s="147"/>
      <c r="R20" s="143"/>
      <c r="S20" s="143">
        <v>0</v>
      </c>
      <c r="T20" s="143"/>
      <c r="U20" s="143"/>
      <c r="V20" s="143"/>
      <c r="W20" s="148"/>
      <c r="X20" s="148"/>
      <c r="Y20" s="108"/>
      <c r="Z20" s="108">
        <v>0</v>
      </c>
      <c r="AA20" s="104">
        <f t="shared" si="7"/>
        <v>1166.26</v>
      </c>
      <c r="AB20" s="110">
        <f t="shared" si="6"/>
        <v>0</v>
      </c>
      <c r="AC20" s="104">
        <f t="shared" si="3"/>
        <v>1166.26</v>
      </c>
      <c r="AD20" s="111">
        <f t="shared" si="4"/>
        <v>116.626</v>
      </c>
      <c r="AE20" s="110">
        <v>10.23</v>
      </c>
      <c r="AF20" s="112">
        <f t="shared" si="5"/>
        <v>1293.116</v>
      </c>
      <c r="AG20" s="113"/>
      <c r="AH20" s="114"/>
      <c r="AI20" s="113"/>
      <c r="AJ20" s="113"/>
      <c r="AK20" s="114"/>
      <c r="AL20" s="113"/>
      <c r="AM20" s="113"/>
    </row>
    <row r="21" spans="1:53" x14ac:dyDescent="0.25">
      <c r="A21" s="118" t="s">
        <v>386</v>
      </c>
      <c r="B21" s="98" t="s">
        <v>406</v>
      </c>
      <c r="C21" s="98"/>
      <c r="D21" s="98" t="s">
        <v>54</v>
      </c>
      <c r="E21" s="98" t="s">
        <v>182</v>
      </c>
      <c r="F21" s="98"/>
      <c r="G21" s="99"/>
      <c r="H21" s="99"/>
      <c r="I21" s="101">
        <v>511.28</v>
      </c>
      <c r="J21" s="99"/>
      <c r="K21" s="101">
        <f t="shared" si="0"/>
        <v>511.28</v>
      </c>
      <c r="L21" s="101">
        <v>2243.33</v>
      </c>
      <c r="M21" s="102"/>
      <c r="N21" s="102"/>
      <c r="O21" s="103"/>
      <c r="P21" s="104">
        <f t="shared" si="1"/>
        <v>2754.6099999999997</v>
      </c>
      <c r="Q21" s="147"/>
      <c r="R21" s="143"/>
      <c r="S21" s="215">
        <v>0</v>
      </c>
      <c r="T21" s="215">
        <f>P21*4.9%</f>
        <v>134.97588999999999</v>
      </c>
      <c r="U21" s="215">
        <f>P21*1%</f>
        <v>27.546099999999996</v>
      </c>
      <c r="V21" s="143"/>
      <c r="W21" s="148"/>
      <c r="X21" s="148"/>
      <c r="Y21" s="108"/>
      <c r="Z21" s="108">
        <v>0</v>
      </c>
      <c r="AA21" s="104">
        <f t="shared" si="7"/>
        <v>2592.0880099999995</v>
      </c>
      <c r="AB21" s="110">
        <f t="shared" si="6"/>
        <v>0</v>
      </c>
      <c r="AC21" s="104">
        <f t="shared" si="3"/>
        <v>2592.0880099999995</v>
      </c>
      <c r="AD21" s="111">
        <f t="shared" si="4"/>
        <v>275.46099999999996</v>
      </c>
      <c r="AE21" s="110">
        <v>10.23</v>
      </c>
      <c r="AF21" s="112">
        <f t="shared" si="5"/>
        <v>3040.3009999999995</v>
      </c>
      <c r="AG21" s="113"/>
      <c r="AH21" s="114"/>
      <c r="AI21" s="113"/>
      <c r="AJ21" s="113"/>
      <c r="AK21" s="114"/>
      <c r="AL21" s="113"/>
      <c r="AM21" s="113"/>
    </row>
    <row r="22" spans="1:53" x14ac:dyDescent="0.25">
      <c r="A22" s="98" t="s">
        <v>382</v>
      </c>
      <c r="B22" s="98" t="s">
        <v>624</v>
      </c>
      <c r="C22" s="98" t="s">
        <v>384</v>
      </c>
      <c r="D22" s="98">
        <v>18</v>
      </c>
      <c r="E22" s="98" t="s">
        <v>408</v>
      </c>
      <c r="F22" s="98"/>
      <c r="G22" s="99"/>
      <c r="H22" s="99"/>
      <c r="I22" s="101">
        <v>1633.33</v>
      </c>
      <c r="J22" s="99"/>
      <c r="K22" s="101">
        <f t="shared" si="0"/>
        <v>1633.33</v>
      </c>
      <c r="L22" s="101">
        <v>13971.02</v>
      </c>
      <c r="M22" s="102"/>
      <c r="N22" s="102"/>
      <c r="O22" s="103"/>
      <c r="P22" s="104">
        <f t="shared" si="1"/>
        <v>15604.35</v>
      </c>
      <c r="Q22" s="147"/>
      <c r="R22" s="143"/>
      <c r="S22" s="215">
        <v>700</v>
      </c>
      <c r="T22" s="143"/>
      <c r="U22" s="143"/>
      <c r="V22" s="143"/>
      <c r="W22" s="148"/>
      <c r="X22" s="148"/>
      <c r="Y22" s="108">
        <v>205.7</v>
      </c>
      <c r="Z22" s="108">
        <v>0</v>
      </c>
      <c r="AA22" s="104">
        <f t="shared" si="7"/>
        <v>14698.65</v>
      </c>
      <c r="AB22" s="110">
        <f t="shared" si="6"/>
        <v>1560.4350000000002</v>
      </c>
      <c r="AC22" s="104">
        <f t="shared" si="3"/>
        <v>13138.215</v>
      </c>
      <c r="AD22" s="111">
        <f t="shared" si="4"/>
        <v>0</v>
      </c>
      <c r="AE22" s="110">
        <v>10.23</v>
      </c>
      <c r="AF22" s="112">
        <f t="shared" si="5"/>
        <v>15614.58</v>
      </c>
      <c r="AG22" s="113"/>
      <c r="AH22" s="114"/>
      <c r="AI22" s="113"/>
      <c r="AJ22" s="113"/>
      <c r="AK22" s="114"/>
      <c r="AL22" s="113"/>
      <c r="AM22" s="113"/>
    </row>
    <row r="23" spans="1:53" x14ac:dyDescent="0.25">
      <c r="A23" s="98" t="s">
        <v>386</v>
      </c>
      <c r="B23" s="98" t="s">
        <v>625</v>
      </c>
      <c r="C23" s="98"/>
      <c r="D23" s="98" t="s">
        <v>57</v>
      </c>
      <c r="E23" s="98" t="s">
        <v>410</v>
      </c>
      <c r="F23" s="98"/>
      <c r="G23" s="99"/>
      <c r="H23" s="99"/>
      <c r="I23" s="101">
        <v>1100</v>
      </c>
      <c r="J23" s="99"/>
      <c r="K23" s="101">
        <f t="shared" si="0"/>
        <v>1100</v>
      </c>
      <c r="L23" s="101">
        <v>314.3</v>
      </c>
      <c r="M23" s="102"/>
      <c r="N23" s="102"/>
      <c r="O23" s="103"/>
      <c r="P23" s="104">
        <f t="shared" si="1"/>
        <v>1414.3</v>
      </c>
      <c r="Q23" s="147"/>
      <c r="R23" s="143"/>
      <c r="S23" s="215">
        <f>+P23*1%</f>
        <v>14.143000000000001</v>
      </c>
      <c r="T23" s="215">
        <f>+P23*4.9%</f>
        <v>69.300700000000006</v>
      </c>
      <c r="U23" s="143"/>
      <c r="V23" s="143"/>
      <c r="W23" s="148"/>
      <c r="X23" s="148"/>
      <c r="Y23" s="108"/>
      <c r="Z23" s="108">
        <v>0</v>
      </c>
      <c r="AA23" s="104">
        <f t="shared" si="7"/>
        <v>1330.8562999999999</v>
      </c>
      <c r="AB23" s="110">
        <f t="shared" si="6"/>
        <v>0</v>
      </c>
      <c r="AC23" s="104">
        <f t="shared" si="3"/>
        <v>1330.8562999999999</v>
      </c>
      <c r="AD23" s="111">
        <f t="shared" si="4"/>
        <v>141.43</v>
      </c>
      <c r="AE23" s="110">
        <v>10.23</v>
      </c>
      <c r="AF23" s="112">
        <f t="shared" si="5"/>
        <v>1565.96</v>
      </c>
      <c r="AG23" s="113"/>
      <c r="AH23" s="114"/>
      <c r="AI23" s="113"/>
      <c r="AJ23" s="113"/>
      <c r="AK23" s="114"/>
      <c r="AL23" s="113"/>
      <c r="AM23" s="113"/>
    </row>
    <row r="24" spans="1:53" x14ac:dyDescent="0.25">
      <c r="A24" s="98" t="s">
        <v>401</v>
      </c>
      <c r="B24" s="98" t="s">
        <v>411</v>
      </c>
      <c r="C24" s="98"/>
      <c r="D24" s="98" t="s">
        <v>59</v>
      </c>
      <c r="E24" s="98" t="s">
        <v>403</v>
      </c>
      <c r="F24" s="98"/>
      <c r="G24" s="99"/>
      <c r="H24" s="99"/>
      <c r="I24" s="101">
        <v>933.33</v>
      </c>
      <c r="J24" s="99"/>
      <c r="K24" s="101">
        <f t="shared" si="0"/>
        <v>933.33</v>
      </c>
      <c r="L24" s="101">
        <v>550</v>
      </c>
      <c r="M24" s="102"/>
      <c r="N24" s="102"/>
      <c r="O24" s="103"/>
      <c r="P24" s="104">
        <f t="shared" si="1"/>
        <v>1483.33</v>
      </c>
      <c r="Q24" s="147"/>
      <c r="R24" s="143">
        <v>38.28</v>
      </c>
      <c r="S24" s="143">
        <v>0</v>
      </c>
      <c r="T24" s="143"/>
      <c r="U24" s="143"/>
      <c r="V24" s="143"/>
      <c r="W24" s="148"/>
      <c r="X24" s="148"/>
      <c r="Y24" s="108"/>
      <c r="Z24" s="108">
        <f>357.73+148.47</f>
        <v>506.20000000000005</v>
      </c>
      <c r="AA24" s="104">
        <f t="shared" si="7"/>
        <v>938.84999999999991</v>
      </c>
      <c r="AB24" s="110">
        <f t="shared" si="6"/>
        <v>0</v>
      </c>
      <c r="AC24" s="104">
        <f t="shared" si="3"/>
        <v>938.84999999999991</v>
      </c>
      <c r="AD24" s="111">
        <f t="shared" si="4"/>
        <v>148.333</v>
      </c>
      <c r="AE24" s="110">
        <v>10.23</v>
      </c>
      <c r="AF24" s="112">
        <f t="shared" si="5"/>
        <v>1641.893</v>
      </c>
      <c r="AG24" s="113"/>
      <c r="AH24" s="114"/>
      <c r="AI24" s="113"/>
      <c r="AJ24" s="113"/>
      <c r="AK24" s="114"/>
      <c r="AL24" s="113"/>
      <c r="AM24" s="113" t="s">
        <v>622</v>
      </c>
    </row>
    <row r="25" spans="1:53" x14ac:dyDescent="0.25">
      <c r="A25" s="98" t="s">
        <v>394</v>
      </c>
      <c r="B25" s="98" t="s">
        <v>412</v>
      </c>
      <c r="C25" s="98" t="s">
        <v>396</v>
      </c>
      <c r="D25" s="98" t="s">
        <v>61</v>
      </c>
      <c r="E25" s="98" t="s">
        <v>191</v>
      </c>
      <c r="F25" s="134">
        <v>42432</v>
      </c>
      <c r="G25" s="99"/>
      <c r="H25" s="99"/>
      <c r="I25" s="101">
        <v>513.33000000000004</v>
      </c>
      <c r="J25" s="99">
        <v>653.33000000000004</v>
      </c>
      <c r="K25" s="101">
        <f t="shared" si="0"/>
        <v>1166.6600000000001</v>
      </c>
      <c r="L25" s="101">
        <f>1792.44+1000+1500</f>
        <v>4292.4400000000005</v>
      </c>
      <c r="M25" s="102"/>
      <c r="N25" s="102"/>
      <c r="O25" s="103"/>
      <c r="P25" s="104">
        <f t="shared" si="1"/>
        <v>5459.1</v>
      </c>
      <c r="Q25" s="147"/>
      <c r="R25" s="143"/>
      <c r="S25" s="143">
        <v>0</v>
      </c>
      <c r="T25" s="143"/>
      <c r="U25" s="143"/>
      <c r="V25" s="143"/>
      <c r="W25" s="148"/>
      <c r="X25" s="148"/>
      <c r="Y25" s="108"/>
      <c r="Z25" s="108">
        <f>797.62</f>
        <v>797.62</v>
      </c>
      <c r="AA25" s="104">
        <f t="shared" si="7"/>
        <v>4661.4800000000005</v>
      </c>
      <c r="AB25" s="110">
        <f t="shared" si="6"/>
        <v>545.91000000000008</v>
      </c>
      <c r="AC25" s="104">
        <f t="shared" si="3"/>
        <v>4115.5700000000006</v>
      </c>
      <c r="AD25" s="111">
        <f t="shared" si="4"/>
        <v>0</v>
      </c>
      <c r="AE25" s="110">
        <v>10.23</v>
      </c>
      <c r="AF25" s="112">
        <f t="shared" si="5"/>
        <v>5469.33</v>
      </c>
      <c r="AG25" s="113"/>
      <c r="AH25" s="114"/>
      <c r="AI25" s="113"/>
      <c r="AJ25" s="113"/>
      <c r="AK25" s="114"/>
      <c r="AL25" s="113"/>
      <c r="AM25" s="113"/>
    </row>
    <row r="26" spans="1:53" x14ac:dyDescent="0.25">
      <c r="A26" s="118" t="s">
        <v>388</v>
      </c>
      <c r="B26" s="98" t="s">
        <v>413</v>
      </c>
      <c r="C26" s="98"/>
      <c r="D26" s="98" t="s">
        <v>63</v>
      </c>
      <c r="E26" s="98" t="s">
        <v>414</v>
      </c>
      <c r="F26" s="98"/>
      <c r="G26" s="98"/>
      <c r="H26" s="98"/>
      <c r="I26" s="219">
        <v>739.23</v>
      </c>
      <c r="J26" s="98"/>
      <c r="K26" s="101">
        <f t="shared" si="0"/>
        <v>739.23</v>
      </c>
      <c r="L26" s="101">
        <v>2507.88</v>
      </c>
      <c r="M26" s="101"/>
      <c r="N26" s="101"/>
      <c r="O26" s="103"/>
      <c r="P26" s="104">
        <f t="shared" si="1"/>
        <v>3247.11</v>
      </c>
      <c r="Q26" s="147"/>
      <c r="R26" s="143"/>
      <c r="S26" s="143">
        <v>0</v>
      </c>
      <c r="T26" s="143"/>
      <c r="U26" s="143"/>
      <c r="V26" s="143"/>
      <c r="W26" s="148"/>
      <c r="X26" s="148"/>
      <c r="Y26" s="108"/>
      <c r="Z26" s="108">
        <v>0</v>
      </c>
      <c r="AA26" s="104">
        <f t="shared" si="7"/>
        <v>3247.11</v>
      </c>
      <c r="AB26" s="110">
        <f t="shared" si="6"/>
        <v>0</v>
      </c>
      <c r="AC26" s="104">
        <f t="shared" si="3"/>
        <v>3247.11</v>
      </c>
      <c r="AD26" s="111">
        <f t="shared" si="4"/>
        <v>324.71100000000001</v>
      </c>
      <c r="AE26" s="110">
        <v>10.23</v>
      </c>
      <c r="AF26" s="112">
        <f t="shared" si="5"/>
        <v>3582.0509999999999</v>
      </c>
      <c r="AG26" s="113"/>
      <c r="AH26" s="114"/>
      <c r="AI26" s="113"/>
      <c r="AJ26" s="113"/>
      <c r="AK26" s="114"/>
      <c r="AL26" s="113"/>
      <c r="AM26" s="113"/>
    </row>
    <row r="27" spans="1:53" x14ac:dyDescent="0.25">
      <c r="A27" s="98" t="s">
        <v>394</v>
      </c>
      <c r="B27" s="98" t="s">
        <v>415</v>
      </c>
      <c r="C27" s="98" t="s">
        <v>396</v>
      </c>
      <c r="D27" s="98" t="s">
        <v>65</v>
      </c>
      <c r="E27" s="98" t="s">
        <v>397</v>
      </c>
      <c r="F27" s="134">
        <v>42304</v>
      </c>
      <c r="G27" s="99"/>
      <c r="H27" s="99"/>
      <c r="I27" s="101">
        <v>513.33000000000004</v>
      </c>
      <c r="J27" s="99"/>
      <c r="K27" s="101">
        <f t="shared" si="0"/>
        <v>513.33000000000004</v>
      </c>
      <c r="L27" s="101">
        <v>513.33000000000004</v>
      </c>
      <c r="M27" s="102"/>
      <c r="N27" s="102"/>
      <c r="O27" s="103"/>
      <c r="P27" s="104">
        <f t="shared" si="1"/>
        <v>1026.6600000000001</v>
      </c>
      <c r="Q27" s="147"/>
      <c r="R27" s="143"/>
      <c r="S27" s="143">
        <v>0</v>
      </c>
      <c r="T27" s="143"/>
      <c r="U27" s="143"/>
      <c r="V27" s="143"/>
      <c r="W27" s="148"/>
      <c r="X27" s="148"/>
      <c r="Y27" s="108"/>
      <c r="Z27" s="108">
        <v>0</v>
      </c>
      <c r="AA27" s="104">
        <f t="shared" si="7"/>
        <v>1026.6600000000001</v>
      </c>
      <c r="AB27" s="110">
        <f t="shared" si="6"/>
        <v>0</v>
      </c>
      <c r="AC27" s="104">
        <f t="shared" si="3"/>
        <v>1026.6600000000001</v>
      </c>
      <c r="AD27" s="111">
        <f t="shared" si="4"/>
        <v>102.66600000000001</v>
      </c>
      <c r="AE27" s="110">
        <v>10.23</v>
      </c>
      <c r="AF27" s="112">
        <f t="shared" si="5"/>
        <v>1139.556</v>
      </c>
      <c r="AG27" s="113"/>
      <c r="AH27" s="114"/>
      <c r="AI27" s="113"/>
      <c r="AJ27" s="113"/>
      <c r="AK27" s="114"/>
      <c r="AL27" s="113"/>
      <c r="AM27" s="113"/>
    </row>
    <row r="28" spans="1:53" s="115" customFormat="1" x14ac:dyDescent="0.25">
      <c r="A28" s="98" t="s">
        <v>388</v>
      </c>
      <c r="B28" s="98" t="s">
        <v>416</v>
      </c>
      <c r="C28" s="98"/>
      <c r="D28" s="98" t="s">
        <v>67</v>
      </c>
      <c r="E28" s="98" t="s">
        <v>390</v>
      </c>
      <c r="F28" s="98"/>
      <c r="G28" s="98"/>
      <c r="H28" s="98"/>
      <c r="I28" s="101">
        <v>1100</v>
      </c>
      <c r="J28" s="98"/>
      <c r="K28" s="101">
        <f t="shared" si="0"/>
        <v>1100</v>
      </c>
      <c r="L28" s="101">
        <v>1052.97</v>
      </c>
      <c r="M28" s="101"/>
      <c r="N28" s="101"/>
      <c r="O28" s="103"/>
      <c r="P28" s="104">
        <f t="shared" si="1"/>
        <v>2152.9700000000003</v>
      </c>
      <c r="Q28" s="147"/>
      <c r="R28" s="143"/>
      <c r="S28" s="143">
        <v>0</v>
      </c>
      <c r="T28" s="143"/>
      <c r="U28" s="143"/>
      <c r="V28" s="143"/>
      <c r="W28" s="148"/>
      <c r="X28" s="148"/>
      <c r="Y28" s="108"/>
      <c r="Z28" s="108">
        <v>0</v>
      </c>
      <c r="AA28" s="104">
        <f t="shared" si="7"/>
        <v>2152.9700000000003</v>
      </c>
      <c r="AB28" s="110">
        <f t="shared" si="6"/>
        <v>0</v>
      </c>
      <c r="AC28" s="104">
        <f t="shared" si="3"/>
        <v>2152.9700000000003</v>
      </c>
      <c r="AD28" s="111">
        <f t="shared" si="4"/>
        <v>215.29700000000003</v>
      </c>
      <c r="AE28" s="110">
        <v>10.23</v>
      </c>
      <c r="AF28" s="112">
        <f t="shared" si="5"/>
        <v>2378.4970000000003</v>
      </c>
      <c r="AG28" s="113"/>
      <c r="AH28" s="114"/>
      <c r="AI28" s="113"/>
      <c r="AJ28" s="113"/>
      <c r="AK28" s="114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</row>
    <row r="29" spans="1:53" x14ac:dyDescent="0.25">
      <c r="A29" s="98" t="s">
        <v>401</v>
      </c>
      <c r="B29" s="98" t="s">
        <v>417</v>
      </c>
      <c r="C29" s="98"/>
      <c r="D29" s="98" t="s">
        <v>69</v>
      </c>
      <c r="E29" s="98" t="s">
        <v>418</v>
      </c>
      <c r="F29" s="98"/>
      <c r="G29" s="98"/>
      <c r="H29" s="98"/>
      <c r="I29" s="101">
        <v>933.33</v>
      </c>
      <c r="J29" s="98"/>
      <c r="K29" s="101">
        <f t="shared" si="0"/>
        <v>933.33</v>
      </c>
      <c r="L29" s="101">
        <v>550</v>
      </c>
      <c r="M29" s="101"/>
      <c r="N29" s="101"/>
      <c r="O29" s="103"/>
      <c r="P29" s="104">
        <f t="shared" si="1"/>
        <v>1483.33</v>
      </c>
      <c r="Q29" s="147"/>
      <c r="R29" s="143">
        <v>58.91</v>
      </c>
      <c r="S29" s="143">
        <v>0</v>
      </c>
      <c r="T29" s="143"/>
      <c r="U29" s="143"/>
      <c r="V29" s="143"/>
      <c r="W29" s="148"/>
      <c r="X29" s="148"/>
      <c r="Y29" s="108"/>
      <c r="Z29" s="108">
        <v>0</v>
      </c>
      <c r="AA29" s="104">
        <f t="shared" si="7"/>
        <v>1424.4199999999998</v>
      </c>
      <c r="AB29" s="110">
        <f t="shared" si="6"/>
        <v>0</v>
      </c>
      <c r="AC29" s="104">
        <f t="shared" si="3"/>
        <v>1424.4199999999998</v>
      </c>
      <c r="AD29" s="111">
        <f t="shared" si="4"/>
        <v>148.333</v>
      </c>
      <c r="AE29" s="110">
        <v>10.23</v>
      </c>
      <c r="AF29" s="112">
        <f t="shared" si="5"/>
        <v>1641.893</v>
      </c>
      <c r="AG29" s="113"/>
      <c r="AH29" s="114"/>
      <c r="AI29" s="113"/>
      <c r="AJ29" s="113"/>
      <c r="AK29" s="114"/>
      <c r="AL29" s="113"/>
      <c r="AM29" s="113" t="s">
        <v>622</v>
      </c>
    </row>
    <row r="30" spans="1:53" x14ac:dyDescent="0.25">
      <c r="A30" s="98" t="s">
        <v>419</v>
      </c>
      <c r="B30" s="98" t="s">
        <v>420</v>
      </c>
      <c r="C30" s="98"/>
      <c r="D30" s="98" t="s">
        <v>71</v>
      </c>
      <c r="E30" s="98" t="s">
        <v>187</v>
      </c>
      <c r="F30" s="98"/>
      <c r="G30" s="98"/>
      <c r="H30" s="98"/>
      <c r="I30" s="101">
        <v>1516.67</v>
      </c>
      <c r="J30" s="98"/>
      <c r="K30" s="101">
        <f t="shared" si="0"/>
        <v>1516.67</v>
      </c>
      <c r="L30" s="101"/>
      <c r="M30" s="101"/>
      <c r="N30" s="101"/>
      <c r="O30" s="103"/>
      <c r="P30" s="104">
        <f t="shared" si="1"/>
        <v>1516.67</v>
      </c>
      <c r="Q30" s="147"/>
      <c r="R30" s="143"/>
      <c r="S30" s="215">
        <v>200</v>
      </c>
      <c r="T30" s="143"/>
      <c r="U30" s="143"/>
      <c r="V30" s="143"/>
      <c r="W30" s="148"/>
      <c r="X30" s="148"/>
      <c r="Y30" s="108"/>
      <c r="Z30" s="108">
        <v>0</v>
      </c>
      <c r="AA30" s="104">
        <f t="shared" si="7"/>
        <v>1316.67</v>
      </c>
      <c r="AB30" s="110">
        <f t="shared" si="6"/>
        <v>0</v>
      </c>
      <c r="AC30" s="104">
        <f t="shared" si="3"/>
        <v>1316.67</v>
      </c>
      <c r="AD30" s="111">
        <f t="shared" si="4"/>
        <v>151.667</v>
      </c>
      <c r="AE30" s="110">
        <v>10.23</v>
      </c>
      <c r="AF30" s="112">
        <f t="shared" si="5"/>
        <v>1678.567</v>
      </c>
      <c r="AG30" s="113"/>
      <c r="AH30" s="114"/>
      <c r="AI30" s="113"/>
      <c r="AJ30" s="113"/>
      <c r="AK30" s="114"/>
      <c r="AL30" s="113"/>
      <c r="AM30" s="113" t="s">
        <v>626</v>
      </c>
    </row>
    <row r="31" spans="1:53" s="115" customFormat="1" x14ac:dyDescent="0.25">
      <c r="A31" s="118" t="s">
        <v>386</v>
      </c>
      <c r="B31" s="98" t="s">
        <v>421</v>
      </c>
      <c r="C31" s="98"/>
      <c r="D31" s="98" t="s">
        <v>73</v>
      </c>
      <c r="E31" s="98" t="s">
        <v>192</v>
      </c>
      <c r="F31" s="98"/>
      <c r="G31" s="99"/>
      <c r="H31" s="99"/>
      <c r="I31" s="101">
        <v>608.16</v>
      </c>
      <c r="J31" s="99"/>
      <c r="K31" s="101">
        <f t="shared" si="0"/>
        <v>608.16</v>
      </c>
      <c r="L31" s="101">
        <v>3595.22</v>
      </c>
      <c r="M31" s="102"/>
      <c r="N31" s="102"/>
      <c r="O31" s="103"/>
      <c r="P31" s="104">
        <f t="shared" si="1"/>
        <v>4203.38</v>
      </c>
      <c r="Q31" s="147"/>
      <c r="R31" s="143"/>
      <c r="S31" s="215">
        <v>500</v>
      </c>
      <c r="T31" s="215">
        <f>P31*4.9%</f>
        <v>205.96562</v>
      </c>
      <c r="U31" s="215">
        <f>P31*1%</f>
        <v>42.033799999999999</v>
      </c>
      <c r="V31" s="143"/>
      <c r="W31" s="148"/>
      <c r="X31" s="148"/>
      <c r="Y31" s="108"/>
      <c r="Z31" s="108">
        <v>0</v>
      </c>
      <c r="AA31" s="104">
        <f t="shared" si="7"/>
        <v>3455.38058</v>
      </c>
      <c r="AB31" s="110">
        <f t="shared" si="6"/>
        <v>0</v>
      </c>
      <c r="AC31" s="104">
        <f t="shared" si="3"/>
        <v>3455.38058</v>
      </c>
      <c r="AD31" s="111">
        <f t="shared" si="4"/>
        <v>420.33800000000002</v>
      </c>
      <c r="AE31" s="110">
        <v>10.23</v>
      </c>
      <c r="AF31" s="112">
        <f t="shared" si="5"/>
        <v>4633.9479999999994</v>
      </c>
      <c r="AG31" s="113"/>
      <c r="AH31" s="114"/>
      <c r="AI31" s="113"/>
      <c r="AJ31" s="113"/>
      <c r="AK31" s="114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</row>
    <row r="32" spans="1:53" s="115" customFormat="1" x14ac:dyDescent="0.25">
      <c r="A32" s="118" t="s">
        <v>386</v>
      </c>
      <c r="B32" s="98" t="s">
        <v>423</v>
      </c>
      <c r="C32" s="98"/>
      <c r="D32" s="98" t="s">
        <v>77</v>
      </c>
      <c r="E32" s="98" t="s">
        <v>424</v>
      </c>
      <c r="F32" s="98"/>
      <c r="G32" s="99"/>
      <c r="H32" s="99"/>
      <c r="I32" s="101">
        <v>608.16</v>
      </c>
      <c r="J32" s="99"/>
      <c r="K32" s="101">
        <f t="shared" si="0"/>
        <v>608.16</v>
      </c>
      <c r="L32" s="101">
        <v>2998.94</v>
      </c>
      <c r="M32" s="102"/>
      <c r="N32" s="102"/>
      <c r="O32" s="103"/>
      <c r="P32" s="104">
        <f t="shared" si="1"/>
        <v>3607.1</v>
      </c>
      <c r="Q32" s="147"/>
      <c r="R32" s="143"/>
      <c r="S32" s="215">
        <v>1000</v>
      </c>
      <c r="T32" s="215">
        <f>P32*4.9%</f>
        <v>176.74790000000002</v>
      </c>
      <c r="U32" s="215">
        <f>P32*1%</f>
        <v>36.070999999999998</v>
      </c>
      <c r="V32" s="143">
        <v>300</v>
      </c>
      <c r="W32" s="148"/>
      <c r="X32" s="148"/>
      <c r="Y32" s="217"/>
      <c r="Z32" s="108">
        <v>0</v>
      </c>
      <c r="AA32" s="104">
        <f t="shared" si="7"/>
        <v>2094.2811000000002</v>
      </c>
      <c r="AB32" s="110">
        <f t="shared" si="6"/>
        <v>0</v>
      </c>
      <c r="AC32" s="104">
        <f t="shared" si="3"/>
        <v>2094.2811000000002</v>
      </c>
      <c r="AD32" s="111">
        <f t="shared" si="4"/>
        <v>360.71000000000004</v>
      </c>
      <c r="AE32" s="110">
        <v>10.23</v>
      </c>
      <c r="AF32" s="112">
        <f t="shared" si="5"/>
        <v>3978.04</v>
      </c>
      <c r="AG32" s="113"/>
      <c r="AH32" s="114"/>
      <c r="AI32" s="113"/>
      <c r="AJ32" s="113"/>
      <c r="AK32" s="114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</row>
    <row r="33" spans="1:53" s="115" customFormat="1" x14ac:dyDescent="0.25">
      <c r="A33" s="98" t="s">
        <v>380</v>
      </c>
      <c r="B33" s="98" t="s">
        <v>425</v>
      </c>
      <c r="C33" s="98"/>
      <c r="D33" s="98" t="s">
        <v>79</v>
      </c>
      <c r="E33" s="98" t="s">
        <v>180</v>
      </c>
      <c r="F33" s="98"/>
      <c r="G33" s="98"/>
      <c r="H33" s="98"/>
      <c r="I33" s="101">
        <v>1166.26</v>
      </c>
      <c r="J33" s="100"/>
      <c r="K33" s="101">
        <f t="shared" si="0"/>
        <v>1166.26</v>
      </c>
      <c r="L33" s="101">
        <v>1218.03</v>
      </c>
      <c r="M33" s="101"/>
      <c r="N33" s="101"/>
      <c r="O33" s="103"/>
      <c r="P33" s="104">
        <f t="shared" si="1"/>
        <v>2384.29</v>
      </c>
      <c r="Q33" s="147"/>
      <c r="R33" s="143"/>
      <c r="S33" s="143">
        <v>0</v>
      </c>
      <c r="T33" s="143"/>
      <c r="U33" s="143"/>
      <c r="V33" s="143"/>
      <c r="W33" s="148"/>
      <c r="X33" s="148"/>
      <c r="Y33" s="108"/>
      <c r="Z33" s="108">
        <v>0</v>
      </c>
      <c r="AA33" s="104">
        <f t="shared" si="7"/>
        <v>2384.29</v>
      </c>
      <c r="AB33" s="110">
        <f t="shared" si="6"/>
        <v>0</v>
      </c>
      <c r="AC33" s="104">
        <f t="shared" si="3"/>
        <v>2384.29</v>
      </c>
      <c r="AD33" s="111">
        <f t="shared" si="4"/>
        <v>238.429</v>
      </c>
      <c r="AE33" s="110">
        <v>10.23</v>
      </c>
      <c r="AF33" s="112">
        <f t="shared" si="5"/>
        <v>2632.9490000000001</v>
      </c>
      <c r="AG33" s="113"/>
      <c r="AH33" s="114"/>
      <c r="AI33" s="113"/>
      <c r="AJ33" s="113"/>
      <c r="AK33" s="114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</row>
    <row r="34" spans="1:53" s="170" customFormat="1" x14ac:dyDescent="0.25">
      <c r="A34" s="165" t="s">
        <v>388</v>
      </c>
      <c r="B34" s="165" t="s">
        <v>627</v>
      </c>
      <c r="C34" s="165"/>
      <c r="D34" s="165"/>
      <c r="E34" s="165" t="s">
        <v>390</v>
      </c>
      <c r="F34" s="180">
        <v>42422</v>
      </c>
      <c r="G34" s="165"/>
      <c r="H34" s="165"/>
      <c r="I34" s="166">
        <v>0</v>
      </c>
      <c r="J34" s="181">
        <v>475.39</v>
      </c>
      <c r="K34" s="166">
        <f t="shared" si="0"/>
        <v>475.39</v>
      </c>
      <c r="L34" s="166">
        <v>0</v>
      </c>
      <c r="M34" s="166"/>
      <c r="N34" s="166"/>
      <c r="O34" s="167"/>
      <c r="P34" s="168">
        <f t="shared" si="1"/>
        <v>475.39</v>
      </c>
      <c r="Q34" s="166"/>
      <c r="R34" s="166"/>
      <c r="S34" s="166"/>
      <c r="T34" s="166"/>
      <c r="U34" s="166"/>
      <c r="V34" s="166"/>
      <c r="W34" s="169"/>
      <c r="X34" s="169"/>
      <c r="Y34" s="165"/>
      <c r="Z34" s="165"/>
      <c r="AA34" s="168">
        <f t="shared" si="7"/>
        <v>475.39</v>
      </c>
      <c r="AB34" s="169">
        <f t="shared" si="6"/>
        <v>0</v>
      </c>
      <c r="AC34" s="168">
        <f t="shared" si="3"/>
        <v>475.39</v>
      </c>
      <c r="AD34" s="169">
        <f t="shared" si="4"/>
        <v>47.539000000000001</v>
      </c>
      <c r="AE34" s="169">
        <v>10.23</v>
      </c>
      <c r="AF34" s="168">
        <f t="shared" si="5"/>
        <v>533.15899999999999</v>
      </c>
      <c r="AH34" s="171"/>
      <c r="AK34" s="171"/>
      <c r="AL34" s="170">
        <v>1182316935</v>
      </c>
      <c r="AM34" s="216" t="s">
        <v>619</v>
      </c>
    </row>
    <row r="35" spans="1:53" s="113" customFormat="1" x14ac:dyDescent="0.25">
      <c r="A35" s="133" t="s">
        <v>382</v>
      </c>
      <c r="B35" s="133" t="s">
        <v>426</v>
      </c>
      <c r="C35" s="133" t="s">
        <v>31</v>
      </c>
      <c r="D35" s="133"/>
      <c r="E35" s="133" t="s">
        <v>191</v>
      </c>
      <c r="F35" s="175">
        <v>42415</v>
      </c>
      <c r="G35" s="133"/>
      <c r="H35" s="133"/>
      <c r="I35" s="157">
        <v>513.33000000000004</v>
      </c>
      <c r="J35" s="172">
        <v>653.33000000000004</v>
      </c>
      <c r="K35" s="157">
        <f t="shared" si="0"/>
        <v>1166.6600000000001</v>
      </c>
      <c r="L35" s="157"/>
      <c r="M35" s="157"/>
      <c r="N35" s="157"/>
      <c r="O35" s="173"/>
      <c r="P35" s="104">
        <f t="shared" ref="P35" si="8">SUM(K35:N35)-O35</f>
        <v>1166.6600000000001</v>
      </c>
      <c r="Q35" s="147"/>
      <c r="R35" s="143"/>
      <c r="S35" s="143">
        <v>0</v>
      </c>
      <c r="T35" s="143"/>
      <c r="U35" s="143"/>
      <c r="V35" s="143"/>
      <c r="W35" s="148"/>
      <c r="X35" s="148"/>
      <c r="Y35" s="108"/>
      <c r="Z35" s="108">
        <v>0</v>
      </c>
      <c r="AA35" s="104">
        <f t="shared" ref="AA35" si="9">+P35-SUM(Q35:Z35)</f>
        <v>1166.6600000000001</v>
      </c>
      <c r="AB35" s="110">
        <f t="shared" si="6"/>
        <v>0</v>
      </c>
      <c r="AC35" s="104">
        <f t="shared" si="3"/>
        <v>1166.6600000000001</v>
      </c>
      <c r="AD35" s="111">
        <f t="shared" si="4"/>
        <v>116.66600000000001</v>
      </c>
      <c r="AE35" s="110">
        <v>10.23</v>
      </c>
      <c r="AF35" s="112">
        <f t="shared" si="5"/>
        <v>1293.556</v>
      </c>
      <c r="AH35" s="114"/>
      <c r="AK35" s="114"/>
    </row>
    <row r="36" spans="1:53" x14ac:dyDescent="0.25">
      <c r="A36" s="98" t="s">
        <v>382</v>
      </c>
      <c r="B36" s="98" t="s">
        <v>427</v>
      </c>
      <c r="C36" s="98" t="s">
        <v>31</v>
      </c>
      <c r="D36" s="98" t="s">
        <v>277</v>
      </c>
      <c r="E36" s="98" t="s">
        <v>191</v>
      </c>
      <c r="F36" s="98"/>
      <c r="G36" s="99"/>
      <c r="H36" s="99"/>
      <c r="I36" s="157">
        <v>513.33000000000004</v>
      </c>
      <c r="J36" s="99"/>
      <c r="K36" s="101">
        <f t="shared" si="0"/>
        <v>513.33000000000004</v>
      </c>
      <c r="L36" s="101">
        <f>479+10921.01</f>
        <v>11400.01</v>
      </c>
      <c r="M36" s="102"/>
      <c r="N36" s="102"/>
      <c r="O36" s="103"/>
      <c r="P36" s="104">
        <f t="shared" si="1"/>
        <v>11913.34</v>
      </c>
      <c r="Q36" s="147"/>
      <c r="R36" s="143">
        <v>58.91</v>
      </c>
      <c r="S36" s="143">
        <v>0</v>
      </c>
      <c r="T36" s="143"/>
      <c r="U36" s="143"/>
      <c r="V36" s="143"/>
      <c r="W36" s="148"/>
      <c r="X36" s="148"/>
      <c r="Y36" s="108"/>
      <c r="Z36" s="108">
        <v>349.07</v>
      </c>
      <c r="AA36" s="104">
        <f t="shared" si="7"/>
        <v>11505.36</v>
      </c>
      <c r="AB36" s="110">
        <f t="shared" si="6"/>
        <v>1191.3340000000001</v>
      </c>
      <c r="AC36" s="104">
        <f t="shared" si="3"/>
        <v>10314.026</v>
      </c>
      <c r="AD36" s="111">
        <f t="shared" si="4"/>
        <v>0</v>
      </c>
      <c r="AE36" s="110">
        <v>10.23</v>
      </c>
      <c r="AF36" s="112">
        <f t="shared" si="5"/>
        <v>11923.57</v>
      </c>
      <c r="AG36" s="113"/>
      <c r="AH36" s="114"/>
      <c r="AI36" s="113"/>
      <c r="AJ36" s="113"/>
      <c r="AK36" s="114"/>
      <c r="AL36" s="113"/>
      <c r="AM36" s="113"/>
    </row>
    <row r="37" spans="1:53" x14ac:dyDescent="0.25">
      <c r="A37" s="98" t="s">
        <v>382</v>
      </c>
      <c r="B37" s="98" t="s">
        <v>428</v>
      </c>
      <c r="C37" s="98" t="s">
        <v>31</v>
      </c>
      <c r="D37" s="98" t="s">
        <v>83</v>
      </c>
      <c r="E37" s="98" t="s">
        <v>191</v>
      </c>
      <c r="F37" s="98"/>
      <c r="G37" s="99"/>
      <c r="H37" s="99"/>
      <c r="I37" s="157">
        <v>513.33000000000004</v>
      </c>
      <c r="J37" s="99"/>
      <c r="K37" s="101">
        <f t="shared" si="0"/>
        <v>513.33000000000004</v>
      </c>
      <c r="L37" s="101">
        <v>782.63</v>
      </c>
      <c r="M37" s="102"/>
      <c r="N37" s="102"/>
      <c r="O37" s="103"/>
      <c r="P37" s="104">
        <f t="shared" si="1"/>
        <v>1295.96</v>
      </c>
      <c r="Q37" s="147"/>
      <c r="R37" s="143">
        <v>58.91</v>
      </c>
      <c r="S37" s="143">
        <v>0</v>
      </c>
      <c r="T37" s="143"/>
      <c r="U37" s="143"/>
      <c r="V37" s="143"/>
      <c r="W37" s="148"/>
      <c r="X37" s="148"/>
      <c r="Y37" s="108"/>
      <c r="Z37" s="108">
        <v>0</v>
      </c>
      <c r="AA37" s="104">
        <f t="shared" si="7"/>
        <v>1237.05</v>
      </c>
      <c r="AB37" s="110">
        <f t="shared" si="6"/>
        <v>0</v>
      </c>
      <c r="AC37" s="104">
        <f t="shared" si="3"/>
        <v>1237.05</v>
      </c>
      <c r="AD37" s="111">
        <f t="shared" si="4"/>
        <v>129.596</v>
      </c>
      <c r="AE37" s="110">
        <v>10.23</v>
      </c>
      <c r="AF37" s="112">
        <f t="shared" si="5"/>
        <v>1435.7860000000001</v>
      </c>
      <c r="AG37" s="113"/>
      <c r="AH37" s="114"/>
      <c r="AI37" s="113"/>
      <c r="AJ37" s="113"/>
      <c r="AK37" s="114"/>
      <c r="AL37" s="113"/>
      <c r="AM37" s="113"/>
    </row>
    <row r="38" spans="1:53" x14ac:dyDescent="0.25">
      <c r="A38" s="118" t="s">
        <v>388</v>
      </c>
      <c r="B38" s="98" t="s">
        <v>430</v>
      </c>
      <c r="C38" s="98"/>
      <c r="D38" s="98" t="s">
        <v>87</v>
      </c>
      <c r="E38" s="98" t="s">
        <v>182</v>
      </c>
      <c r="F38" s="98"/>
      <c r="G38" s="98"/>
      <c r="H38" s="98"/>
      <c r="I38" s="101">
        <v>739.23</v>
      </c>
      <c r="J38" s="98"/>
      <c r="K38" s="101">
        <f t="shared" si="0"/>
        <v>739.23</v>
      </c>
      <c r="L38" s="101">
        <v>1893.56</v>
      </c>
      <c r="M38" s="101"/>
      <c r="N38" s="101"/>
      <c r="O38" s="103"/>
      <c r="P38" s="104">
        <f t="shared" si="1"/>
        <v>2632.79</v>
      </c>
      <c r="Q38" s="147"/>
      <c r="R38" s="143"/>
      <c r="S38" s="143">
        <v>0</v>
      </c>
      <c r="T38" s="143"/>
      <c r="U38" s="143"/>
      <c r="V38" s="143"/>
      <c r="W38" s="148"/>
      <c r="X38" s="148"/>
      <c r="Y38" s="108"/>
      <c r="Z38" s="108">
        <v>0</v>
      </c>
      <c r="AA38" s="104">
        <f t="shared" si="7"/>
        <v>2632.79</v>
      </c>
      <c r="AB38" s="110">
        <f t="shared" si="6"/>
        <v>0</v>
      </c>
      <c r="AC38" s="104">
        <f t="shared" si="3"/>
        <v>2632.79</v>
      </c>
      <c r="AD38" s="111">
        <f t="shared" si="4"/>
        <v>263.279</v>
      </c>
      <c r="AE38" s="110">
        <v>10.23</v>
      </c>
      <c r="AF38" s="112">
        <f t="shared" si="5"/>
        <v>2906.299</v>
      </c>
      <c r="AG38" s="113"/>
      <c r="AH38" s="114"/>
      <c r="AI38" s="113"/>
      <c r="AJ38" s="113"/>
      <c r="AK38" s="114"/>
      <c r="AL38" s="113"/>
      <c r="AM38" s="113"/>
    </row>
    <row r="39" spans="1:53" x14ac:dyDescent="0.25">
      <c r="A39" s="98" t="s">
        <v>382</v>
      </c>
      <c r="B39" s="98" t="s">
        <v>431</v>
      </c>
      <c r="C39" s="98" t="s">
        <v>33</v>
      </c>
      <c r="D39" s="98" t="s">
        <v>89</v>
      </c>
      <c r="E39" s="98" t="s">
        <v>191</v>
      </c>
      <c r="F39" s="98"/>
      <c r="G39" s="99"/>
      <c r="H39" s="99"/>
      <c r="I39" s="157">
        <v>513.33000000000004</v>
      </c>
      <c r="J39" s="99"/>
      <c r="K39" s="101">
        <f t="shared" si="0"/>
        <v>513.33000000000004</v>
      </c>
      <c r="L39" s="101">
        <f>182.34+5581.29</f>
        <v>5763.63</v>
      </c>
      <c r="M39" s="102"/>
      <c r="N39" s="102"/>
      <c r="O39" s="103"/>
      <c r="P39" s="104">
        <f t="shared" ref="P39:P71" si="10">SUM(K39:N39)-O39</f>
        <v>6276.96</v>
      </c>
      <c r="Q39" s="147"/>
      <c r="R39" s="143">
        <v>58.91</v>
      </c>
      <c r="S39" s="143">
        <v>0</v>
      </c>
      <c r="T39" s="143"/>
      <c r="U39" s="143"/>
      <c r="V39" s="143"/>
      <c r="W39" s="148"/>
      <c r="X39" s="148"/>
      <c r="Y39" s="108"/>
      <c r="Z39" s="108">
        <v>0</v>
      </c>
      <c r="AA39" s="104">
        <f t="shared" si="7"/>
        <v>6218.05</v>
      </c>
      <c r="AB39" s="110">
        <f t="shared" si="6"/>
        <v>627.69600000000003</v>
      </c>
      <c r="AC39" s="104">
        <f t="shared" si="3"/>
        <v>5590.3540000000003</v>
      </c>
      <c r="AD39" s="111">
        <f t="shared" si="4"/>
        <v>0</v>
      </c>
      <c r="AE39" s="110">
        <v>10.23</v>
      </c>
      <c r="AF39" s="112">
        <f t="shared" si="5"/>
        <v>6287.19</v>
      </c>
      <c r="AG39" s="113"/>
      <c r="AH39" s="114"/>
      <c r="AI39" s="113"/>
      <c r="AJ39" s="113"/>
      <c r="AK39" s="114"/>
      <c r="AL39" s="113"/>
      <c r="AM39" s="113"/>
    </row>
    <row r="40" spans="1:53" x14ac:dyDescent="0.25">
      <c r="A40" s="98" t="s">
        <v>382</v>
      </c>
      <c r="B40" s="98" t="s">
        <v>432</v>
      </c>
      <c r="C40" s="98" t="s">
        <v>32</v>
      </c>
      <c r="D40" s="98" t="s">
        <v>91</v>
      </c>
      <c r="E40" s="98" t="s">
        <v>191</v>
      </c>
      <c r="F40" s="98"/>
      <c r="G40" s="99"/>
      <c r="H40" s="99"/>
      <c r="I40" s="101">
        <v>513.33000000000004</v>
      </c>
      <c r="J40" s="99"/>
      <c r="K40" s="101">
        <f t="shared" si="0"/>
        <v>513.33000000000004</v>
      </c>
      <c r="L40" s="101">
        <f>513.33+7214.56+1000</f>
        <v>8727.89</v>
      </c>
      <c r="M40" s="102"/>
      <c r="N40" s="102"/>
      <c r="O40" s="103"/>
      <c r="P40" s="104">
        <f t="shared" si="10"/>
        <v>9241.2199999999993</v>
      </c>
      <c r="Q40" s="147"/>
      <c r="R40" s="143"/>
      <c r="S40" s="143">
        <v>0</v>
      </c>
      <c r="T40" s="143"/>
      <c r="U40" s="143"/>
      <c r="V40" s="143"/>
      <c r="W40" s="148"/>
      <c r="X40" s="148"/>
      <c r="Y40" s="108"/>
      <c r="Z40" s="108">
        <v>208.6</v>
      </c>
      <c r="AA40" s="104">
        <f t="shared" si="7"/>
        <v>9032.619999999999</v>
      </c>
      <c r="AB40" s="110">
        <f t="shared" si="6"/>
        <v>924.12199999999996</v>
      </c>
      <c r="AC40" s="104">
        <f t="shared" si="3"/>
        <v>8108.4979999999987</v>
      </c>
      <c r="AD40" s="111">
        <f t="shared" si="4"/>
        <v>0</v>
      </c>
      <c r="AE40" s="110">
        <v>10.23</v>
      </c>
      <c r="AF40" s="112">
        <f t="shared" si="5"/>
        <v>9251.4499999999989</v>
      </c>
      <c r="AG40" s="113"/>
      <c r="AH40" s="114"/>
      <c r="AI40" s="113"/>
      <c r="AJ40" s="113"/>
      <c r="AK40" s="114"/>
      <c r="AL40" s="113"/>
      <c r="AM40" s="113"/>
    </row>
    <row r="41" spans="1:53" x14ac:dyDescent="0.25">
      <c r="A41" s="98" t="s">
        <v>394</v>
      </c>
      <c r="B41" s="98" t="s">
        <v>433</v>
      </c>
      <c r="C41" s="98" t="s">
        <v>396</v>
      </c>
      <c r="D41" s="98" t="s">
        <v>93</v>
      </c>
      <c r="E41" s="98" t="s">
        <v>397</v>
      </c>
      <c r="F41" s="98"/>
      <c r="G41" s="99"/>
      <c r="H41" s="99"/>
      <c r="I41" s="101">
        <v>513.33000000000004</v>
      </c>
      <c r="J41" s="99"/>
      <c r="K41" s="101">
        <f t="shared" si="0"/>
        <v>513.33000000000004</v>
      </c>
      <c r="L41" s="101"/>
      <c r="M41" s="102"/>
      <c r="N41" s="102"/>
      <c r="O41" s="103"/>
      <c r="P41" s="104">
        <f t="shared" si="10"/>
        <v>513.33000000000004</v>
      </c>
      <c r="Q41" s="147"/>
      <c r="R41" s="143">
        <v>58.91</v>
      </c>
      <c r="S41" s="143">
        <v>0</v>
      </c>
      <c r="T41" s="143"/>
      <c r="U41" s="143"/>
      <c r="V41" s="143"/>
      <c r="W41" s="148"/>
      <c r="X41" s="148"/>
      <c r="Y41" s="108"/>
      <c r="Z41" s="108">
        <v>0</v>
      </c>
      <c r="AA41" s="104">
        <f t="shared" si="7"/>
        <v>454.42000000000007</v>
      </c>
      <c r="AB41" s="110">
        <f t="shared" si="6"/>
        <v>0</v>
      </c>
      <c r="AC41" s="104">
        <f t="shared" si="3"/>
        <v>454.42000000000007</v>
      </c>
      <c r="AD41" s="111">
        <f t="shared" si="4"/>
        <v>51.333000000000006</v>
      </c>
      <c r="AE41" s="110">
        <v>10.23</v>
      </c>
      <c r="AF41" s="112">
        <f t="shared" si="5"/>
        <v>574.89300000000003</v>
      </c>
      <c r="AG41" s="113"/>
      <c r="AH41" s="114"/>
      <c r="AI41" s="113"/>
      <c r="AJ41" s="113"/>
      <c r="AK41" s="114"/>
      <c r="AL41" s="113"/>
      <c r="AM41" s="113"/>
    </row>
    <row r="42" spans="1:53" x14ac:dyDescent="0.25">
      <c r="A42" s="98" t="s">
        <v>382</v>
      </c>
      <c r="B42" s="98" t="s">
        <v>434</v>
      </c>
      <c r="C42" s="98" t="s">
        <v>32</v>
      </c>
      <c r="D42" s="98" t="s">
        <v>95</v>
      </c>
      <c r="E42" s="98" t="s">
        <v>191</v>
      </c>
      <c r="F42" s="98"/>
      <c r="G42" s="99"/>
      <c r="H42" s="99"/>
      <c r="I42" s="101">
        <v>513.33000000000004</v>
      </c>
      <c r="J42" s="99"/>
      <c r="K42" s="101">
        <f t="shared" si="0"/>
        <v>513.33000000000004</v>
      </c>
      <c r="L42" s="101">
        <f>513.33+3459.51+1000</f>
        <v>4972.84</v>
      </c>
      <c r="M42" s="102"/>
      <c r="N42" s="102"/>
      <c r="O42" s="103"/>
      <c r="P42" s="104">
        <f t="shared" si="10"/>
        <v>5486.17</v>
      </c>
      <c r="Q42" s="147"/>
      <c r="R42" s="143"/>
      <c r="S42" s="143">
        <v>0</v>
      </c>
      <c r="T42" s="143"/>
      <c r="U42" s="143"/>
      <c r="V42" s="143"/>
      <c r="W42" s="148"/>
      <c r="X42" s="148"/>
      <c r="Y42" s="108"/>
      <c r="Z42" s="108">
        <v>0</v>
      </c>
      <c r="AA42" s="104">
        <f t="shared" si="7"/>
        <v>5486.17</v>
      </c>
      <c r="AB42" s="110">
        <f t="shared" si="6"/>
        <v>548.61700000000008</v>
      </c>
      <c r="AC42" s="104">
        <f t="shared" si="3"/>
        <v>4937.5529999999999</v>
      </c>
      <c r="AD42" s="111">
        <f t="shared" si="4"/>
        <v>0</v>
      </c>
      <c r="AE42" s="110">
        <v>10.23</v>
      </c>
      <c r="AF42" s="112">
        <f t="shared" si="5"/>
        <v>5496.4</v>
      </c>
      <c r="AG42" s="113"/>
      <c r="AH42" s="114"/>
      <c r="AI42" s="113"/>
      <c r="AJ42" s="113"/>
      <c r="AK42" s="114"/>
      <c r="AL42" s="113"/>
      <c r="AM42" s="113"/>
    </row>
    <row r="43" spans="1:53" x14ac:dyDescent="0.25">
      <c r="A43" s="98" t="s">
        <v>380</v>
      </c>
      <c r="B43" s="98" t="s">
        <v>435</v>
      </c>
      <c r="C43" s="98"/>
      <c r="D43" s="98" t="s">
        <v>97</v>
      </c>
      <c r="E43" s="98" t="s">
        <v>188</v>
      </c>
      <c r="F43" s="98"/>
      <c r="G43" s="98"/>
      <c r="H43" s="98"/>
      <c r="I43" s="101">
        <v>1633.33</v>
      </c>
      <c r="J43" s="98"/>
      <c r="K43" s="101">
        <f t="shared" si="0"/>
        <v>1633.33</v>
      </c>
      <c r="L43" s="101"/>
      <c r="M43" s="101"/>
      <c r="N43" s="101"/>
      <c r="O43" s="103"/>
      <c r="P43" s="104">
        <f t="shared" si="10"/>
        <v>1633.33</v>
      </c>
      <c r="Q43" s="147"/>
      <c r="R43" s="143"/>
      <c r="S43" s="143">
        <v>0</v>
      </c>
      <c r="T43" s="143"/>
      <c r="U43" s="143"/>
      <c r="V43" s="143"/>
      <c r="W43" s="148"/>
      <c r="X43" s="148"/>
      <c r="Y43" s="108"/>
      <c r="Z43" s="108">
        <v>0</v>
      </c>
      <c r="AA43" s="104">
        <f t="shared" si="7"/>
        <v>1633.33</v>
      </c>
      <c r="AB43" s="110">
        <f t="shared" si="6"/>
        <v>0</v>
      </c>
      <c r="AC43" s="104">
        <f t="shared" si="3"/>
        <v>1633.33</v>
      </c>
      <c r="AD43" s="111">
        <f t="shared" si="4"/>
        <v>163.333</v>
      </c>
      <c r="AE43" s="110">
        <v>10.23</v>
      </c>
      <c r="AF43" s="112">
        <f t="shared" si="5"/>
        <v>1806.893</v>
      </c>
      <c r="AG43" s="113"/>
      <c r="AH43" s="114"/>
      <c r="AI43" s="113"/>
      <c r="AJ43" s="113"/>
      <c r="AK43" s="114"/>
      <c r="AL43" s="113"/>
      <c r="AM43" s="113"/>
    </row>
    <row r="44" spans="1:53" x14ac:dyDescent="0.25">
      <c r="A44" s="98" t="s">
        <v>382</v>
      </c>
      <c r="B44" s="98" t="s">
        <v>628</v>
      </c>
      <c r="C44" s="98"/>
      <c r="D44" s="98" t="s">
        <v>100</v>
      </c>
      <c r="E44" s="98" t="s">
        <v>191</v>
      </c>
      <c r="F44" s="98"/>
      <c r="G44" s="99"/>
      <c r="H44" s="99"/>
      <c r="I44" s="101">
        <v>513.33000000000004</v>
      </c>
      <c r="J44" s="99"/>
      <c r="K44" s="101">
        <f t="shared" si="0"/>
        <v>513.33000000000004</v>
      </c>
      <c r="L44" s="101">
        <f>513.33+14319.74</f>
        <v>14833.07</v>
      </c>
      <c r="M44" s="102"/>
      <c r="N44" s="102"/>
      <c r="O44" s="103"/>
      <c r="P44" s="104">
        <f t="shared" si="10"/>
        <v>15346.4</v>
      </c>
      <c r="Q44" s="147"/>
      <c r="R44" s="143"/>
      <c r="S44" s="143">
        <v>0</v>
      </c>
      <c r="T44" s="143"/>
      <c r="U44" s="143"/>
      <c r="V44" s="143"/>
      <c r="W44" s="148"/>
      <c r="X44" s="148"/>
      <c r="Y44" s="108"/>
      <c r="Z44" s="108">
        <v>0</v>
      </c>
      <c r="AA44" s="104">
        <f t="shared" si="7"/>
        <v>15346.4</v>
      </c>
      <c r="AB44" s="110">
        <f t="shared" si="6"/>
        <v>1534.64</v>
      </c>
      <c r="AC44" s="104">
        <f t="shared" si="3"/>
        <v>13811.76</v>
      </c>
      <c r="AD44" s="111">
        <f t="shared" si="4"/>
        <v>0</v>
      </c>
      <c r="AE44" s="110">
        <v>10.23</v>
      </c>
      <c r="AF44" s="112">
        <f t="shared" si="5"/>
        <v>15356.63</v>
      </c>
      <c r="AG44" s="113"/>
      <c r="AH44" s="114"/>
      <c r="AI44" s="113"/>
      <c r="AJ44" s="113"/>
      <c r="AK44" s="114"/>
      <c r="AL44" s="113"/>
      <c r="AM44" s="113"/>
    </row>
    <row r="45" spans="1:53" s="131" customFormat="1" x14ac:dyDescent="0.25">
      <c r="A45" s="133" t="s">
        <v>436</v>
      </c>
      <c r="B45" s="133" t="s">
        <v>437</v>
      </c>
      <c r="C45" s="133"/>
      <c r="D45" s="133"/>
      <c r="E45" s="133" t="s">
        <v>187</v>
      </c>
      <c r="F45" s="175">
        <v>42413</v>
      </c>
      <c r="G45" s="133"/>
      <c r="H45" s="133"/>
      <c r="I45" s="157">
        <v>1400</v>
      </c>
      <c r="J45" s="133"/>
      <c r="K45" s="157">
        <f t="shared" si="0"/>
        <v>1400</v>
      </c>
      <c r="L45" s="157"/>
      <c r="M45" s="157"/>
      <c r="N45" s="157"/>
      <c r="O45" s="173"/>
      <c r="P45" s="126">
        <f t="shared" si="10"/>
        <v>1400</v>
      </c>
      <c r="Q45" s="124"/>
      <c r="R45" s="143"/>
      <c r="S45" s="124"/>
      <c r="T45" s="124"/>
      <c r="U45" s="124"/>
      <c r="V45" s="124"/>
      <c r="W45" s="130"/>
      <c r="X45" s="130"/>
      <c r="Y45" s="121"/>
      <c r="Z45" s="121"/>
      <c r="AA45" s="126">
        <f t="shared" si="7"/>
        <v>1400</v>
      </c>
      <c r="AB45" s="130">
        <f t="shared" si="6"/>
        <v>0</v>
      </c>
      <c r="AC45" s="126">
        <f t="shared" si="3"/>
        <v>1400</v>
      </c>
      <c r="AD45" s="130">
        <f t="shared" si="4"/>
        <v>140</v>
      </c>
      <c r="AE45" s="110">
        <v>10.23</v>
      </c>
      <c r="AF45" s="112">
        <f t="shared" si="5"/>
        <v>1550.23</v>
      </c>
      <c r="AG45" s="113"/>
      <c r="AH45" s="114"/>
      <c r="AI45" s="113"/>
      <c r="AJ45" s="113"/>
      <c r="AK45" s="114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</row>
    <row r="46" spans="1:53" x14ac:dyDescent="0.25">
      <c r="A46" s="118" t="s">
        <v>386</v>
      </c>
      <c r="B46" s="98" t="s">
        <v>438</v>
      </c>
      <c r="C46" s="98"/>
      <c r="D46" s="98" t="s">
        <v>102</v>
      </c>
      <c r="E46" s="98" t="s">
        <v>192</v>
      </c>
      <c r="F46" s="98"/>
      <c r="G46" s="99"/>
      <c r="H46" s="99"/>
      <c r="I46" s="101">
        <v>608.16</v>
      </c>
      <c r="J46" s="99"/>
      <c r="K46" s="101">
        <f t="shared" si="0"/>
        <v>608.16</v>
      </c>
      <c r="L46" s="101">
        <v>309.60000000000002</v>
      </c>
      <c r="M46" s="102"/>
      <c r="N46" s="102"/>
      <c r="O46" s="103"/>
      <c r="P46" s="104">
        <f t="shared" si="10"/>
        <v>917.76</v>
      </c>
      <c r="Q46" s="147"/>
      <c r="R46" s="143"/>
      <c r="S46" s="215">
        <v>100</v>
      </c>
      <c r="T46" s="215">
        <f>P46*4.9%</f>
        <v>44.970240000000004</v>
      </c>
      <c r="U46" s="215">
        <f>P46*1%</f>
        <v>9.1776</v>
      </c>
      <c r="V46" s="143"/>
      <c r="W46" s="148"/>
      <c r="X46" s="148"/>
      <c r="Y46" s="108"/>
      <c r="Z46" s="108">
        <v>0</v>
      </c>
      <c r="AA46" s="104">
        <f t="shared" si="7"/>
        <v>763.61216000000002</v>
      </c>
      <c r="AB46" s="110">
        <f t="shared" si="6"/>
        <v>0</v>
      </c>
      <c r="AC46" s="104">
        <f t="shared" si="3"/>
        <v>763.61216000000002</v>
      </c>
      <c r="AD46" s="111">
        <f t="shared" si="4"/>
        <v>91.77600000000001</v>
      </c>
      <c r="AE46" s="110">
        <v>10.23</v>
      </c>
      <c r="AF46" s="112">
        <f t="shared" si="5"/>
        <v>1019.7660000000001</v>
      </c>
      <c r="AG46" s="113"/>
      <c r="AH46" s="114"/>
      <c r="AI46" s="113"/>
      <c r="AJ46" s="113"/>
      <c r="AK46" s="114"/>
      <c r="AL46" s="113"/>
      <c r="AM46" s="113"/>
    </row>
    <row r="47" spans="1:53" s="131" customFormat="1" x14ac:dyDescent="0.25">
      <c r="A47" s="121" t="s">
        <v>380</v>
      </c>
      <c r="B47" s="121" t="s">
        <v>629</v>
      </c>
      <c r="C47" s="121"/>
      <c r="D47" s="121" t="s">
        <v>630</v>
      </c>
      <c r="E47" s="121" t="s">
        <v>192</v>
      </c>
      <c r="F47" s="121"/>
      <c r="G47" s="121"/>
      <c r="H47" s="121"/>
      <c r="I47" s="124">
        <v>608.16</v>
      </c>
      <c r="J47" s="121"/>
      <c r="K47" s="124">
        <f t="shared" si="0"/>
        <v>608.16</v>
      </c>
      <c r="L47" s="124">
        <v>801.03</v>
      </c>
      <c r="M47" s="124"/>
      <c r="N47" s="124"/>
      <c r="O47" s="125"/>
      <c r="P47" s="126">
        <f t="shared" si="10"/>
        <v>1409.19</v>
      </c>
      <c r="Q47" s="124"/>
      <c r="R47" s="124"/>
      <c r="S47" s="124"/>
      <c r="T47" s="124"/>
      <c r="U47" s="124"/>
      <c r="V47" s="124"/>
      <c r="W47" s="130"/>
      <c r="X47" s="130"/>
      <c r="Y47" s="121"/>
      <c r="Z47" s="121"/>
      <c r="AA47" s="126">
        <f t="shared" si="7"/>
        <v>1409.19</v>
      </c>
      <c r="AB47" s="130">
        <f t="shared" si="6"/>
        <v>0</v>
      </c>
      <c r="AC47" s="126">
        <f t="shared" si="3"/>
        <v>1409.19</v>
      </c>
      <c r="AD47" s="130">
        <f t="shared" si="4"/>
        <v>140.91900000000001</v>
      </c>
      <c r="AE47" s="130">
        <v>10.23</v>
      </c>
      <c r="AF47" s="126">
        <f t="shared" si="5"/>
        <v>1560.3390000000002</v>
      </c>
      <c r="AH47" s="132"/>
      <c r="AK47" s="132"/>
      <c r="AL47" s="131">
        <v>2948910731</v>
      </c>
      <c r="AM47" s="220" t="s">
        <v>631</v>
      </c>
    </row>
    <row r="48" spans="1:53" x14ac:dyDescent="0.25">
      <c r="A48" s="118" t="s">
        <v>386</v>
      </c>
      <c r="B48" s="98" t="s">
        <v>439</v>
      </c>
      <c r="C48" s="98"/>
      <c r="D48" s="98" t="s">
        <v>104</v>
      </c>
      <c r="E48" s="98" t="s">
        <v>194</v>
      </c>
      <c r="F48" s="98"/>
      <c r="G48" s="99"/>
      <c r="H48" s="99"/>
      <c r="I48" s="101">
        <v>608.16</v>
      </c>
      <c r="J48" s="99"/>
      <c r="K48" s="101">
        <f t="shared" si="0"/>
        <v>608.16</v>
      </c>
      <c r="L48" s="101">
        <v>1886.62</v>
      </c>
      <c r="M48" s="102"/>
      <c r="N48" s="102"/>
      <c r="O48" s="103"/>
      <c r="P48" s="104">
        <f t="shared" si="10"/>
        <v>2494.7799999999997</v>
      </c>
      <c r="Q48" s="147"/>
      <c r="R48" s="143"/>
      <c r="S48" s="143"/>
      <c r="T48" s="215">
        <f>P48*4.9%</f>
        <v>122.24422</v>
      </c>
      <c r="U48" s="215">
        <f>P48*1%</f>
        <v>24.947799999999997</v>
      </c>
      <c r="V48" s="143"/>
      <c r="W48" s="148"/>
      <c r="X48" s="148"/>
      <c r="Y48" s="108"/>
      <c r="Z48" s="108">
        <v>0</v>
      </c>
      <c r="AA48" s="104">
        <f t="shared" si="7"/>
        <v>2347.5879799999998</v>
      </c>
      <c r="AB48" s="110">
        <f t="shared" si="6"/>
        <v>0</v>
      </c>
      <c r="AC48" s="104">
        <f t="shared" si="3"/>
        <v>2347.5879799999998</v>
      </c>
      <c r="AD48" s="111">
        <f t="shared" si="4"/>
        <v>249.47799999999998</v>
      </c>
      <c r="AE48" s="110">
        <v>10.23</v>
      </c>
      <c r="AF48" s="112">
        <f t="shared" si="5"/>
        <v>2754.4879999999998</v>
      </c>
      <c r="AG48" s="113"/>
      <c r="AH48" s="114"/>
      <c r="AI48" s="113"/>
      <c r="AJ48" s="113"/>
      <c r="AK48" s="114"/>
      <c r="AL48" s="113"/>
      <c r="AM48" s="113"/>
    </row>
    <row r="49" spans="1:53" x14ac:dyDescent="0.25">
      <c r="A49" s="118" t="s">
        <v>388</v>
      </c>
      <c r="B49" s="98" t="s">
        <v>440</v>
      </c>
      <c r="C49" s="98"/>
      <c r="D49" s="98" t="s">
        <v>106</v>
      </c>
      <c r="E49" s="98" t="s">
        <v>178</v>
      </c>
      <c r="F49" s="98"/>
      <c r="G49" s="98"/>
      <c r="H49" s="98"/>
      <c r="I49" s="101">
        <v>739.23</v>
      </c>
      <c r="J49" s="98"/>
      <c r="K49" s="101">
        <f t="shared" si="0"/>
        <v>739.23</v>
      </c>
      <c r="L49" s="101">
        <v>2866.06</v>
      </c>
      <c r="M49" s="101"/>
      <c r="N49" s="101"/>
      <c r="O49" s="103"/>
      <c r="P49" s="104">
        <f t="shared" si="10"/>
        <v>3605.29</v>
      </c>
      <c r="Q49" s="147"/>
      <c r="R49" s="143"/>
      <c r="S49" s="143">
        <v>0</v>
      </c>
      <c r="T49" s="143"/>
      <c r="U49" s="143"/>
      <c r="V49" s="143"/>
      <c r="W49" s="148"/>
      <c r="X49" s="148"/>
      <c r="Y49" s="108"/>
      <c r="Z49" s="108">
        <v>0</v>
      </c>
      <c r="AA49" s="104">
        <f t="shared" si="7"/>
        <v>3605.29</v>
      </c>
      <c r="AB49" s="110">
        <f t="shared" si="6"/>
        <v>0</v>
      </c>
      <c r="AC49" s="104">
        <f t="shared" si="3"/>
        <v>3605.29</v>
      </c>
      <c r="AD49" s="111">
        <f t="shared" si="4"/>
        <v>360.529</v>
      </c>
      <c r="AE49" s="110">
        <v>10.23</v>
      </c>
      <c r="AF49" s="112">
        <f t="shared" si="5"/>
        <v>3976.049</v>
      </c>
      <c r="AG49" s="113"/>
      <c r="AH49" s="114"/>
      <c r="AI49" s="113"/>
      <c r="AJ49" s="113"/>
      <c r="AK49" s="114"/>
      <c r="AL49" s="113"/>
      <c r="AM49" s="113"/>
    </row>
    <row r="50" spans="1:53" s="131" customFormat="1" x14ac:dyDescent="0.25">
      <c r="A50" s="118" t="s">
        <v>386</v>
      </c>
      <c r="B50" s="133" t="s">
        <v>441</v>
      </c>
      <c r="C50" s="133"/>
      <c r="D50" s="133"/>
      <c r="E50" s="133" t="s">
        <v>178</v>
      </c>
      <c r="F50" s="175">
        <v>42416</v>
      </c>
      <c r="G50" s="133"/>
      <c r="H50" s="133"/>
      <c r="I50" s="157">
        <v>739.23</v>
      </c>
      <c r="J50" s="133"/>
      <c r="K50" s="157">
        <f t="shared" si="0"/>
        <v>739.23</v>
      </c>
      <c r="L50" s="157">
        <v>2438.48</v>
      </c>
      <c r="M50" s="157"/>
      <c r="N50" s="157"/>
      <c r="O50" s="173"/>
      <c r="P50" s="126">
        <f t="shared" si="10"/>
        <v>3177.71</v>
      </c>
      <c r="Q50" s="124"/>
      <c r="R50" s="143"/>
      <c r="S50" s="124"/>
      <c r="T50" s="124"/>
      <c r="U50" s="124">
        <f>P50*1%</f>
        <v>31.777100000000001</v>
      </c>
      <c r="V50" s="124"/>
      <c r="W50" s="130"/>
      <c r="X50" s="130"/>
      <c r="Y50" s="121"/>
      <c r="Z50" s="121"/>
      <c r="AA50" s="126">
        <f t="shared" si="7"/>
        <v>3145.9329000000002</v>
      </c>
      <c r="AB50" s="130">
        <f t="shared" si="6"/>
        <v>0</v>
      </c>
      <c r="AC50" s="126">
        <f t="shared" si="3"/>
        <v>3145.9329000000002</v>
      </c>
      <c r="AD50" s="130">
        <f t="shared" si="4"/>
        <v>317.77100000000002</v>
      </c>
      <c r="AE50" s="110">
        <v>10.23</v>
      </c>
      <c r="AF50" s="112">
        <f t="shared" si="5"/>
        <v>3505.7110000000002</v>
      </c>
      <c r="AG50" s="113"/>
      <c r="AH50" s="114"/>
      <c r="AI50" s="113"/>
      <c r="AJ50" s="113"/>
      <c r="AK50" s="114"/>
      <c r="AL50" s="113">
        <v>1296641458</v>
      </c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</row>
    <row r="51" spans="1:53" x14ac:dyDescent="0.25">
      <c r="A51" s="98" t="s">
        <v>382</v>
      </c>
      <c r="B51" s="98" t="s">
        <v>442</v>
      </c>
      <c r="C51" s="98" t="s">
        <v>32</v>
      </c>
      <c r="D51" s="98" t="s">
        <v>108</v>
      </c>
      <c r="E51" s="98" t="s">
        <v>191</v>
      </c>
      <c r="F51" s="98"/>
      <c r="G51" s="99"/>
      <c r="H51" s="99"/>
      <c r="I51" s="101">
        <v>513.33000000000004</v>
      </c>
      <c r="J51" s="99"/>
      <c r="K51" s="101">
        <f t="shared" si="0"/>
        <v>513.33000000000004</v>
      </c>
      <c r="L51" s="101">
        <f>513.33+20087.68</f>
        <v>20601.010000000002</v>
      </c>
      <c r="M51" s="102"/>
      <c r="N51" s="102"/>
      <c r="O51" s="103"/>
      <c r="P51" s="104">
        <f t="shared" si="10"/>
        <v>21114.340000000004</v>
      </c>
      <c r="Q51" s="147"/>
      <c r="R51" s="143">
        <v>58.91</v>
      </c>
      <c r="S51" s="143">
        <v>0</v>
      </c>
      <c r="T51" s="143"/>
      <c r="U51" s="143"/>
      <c r="V51" s="143"/>
      <c r="W51" s="148"/>
      <c r="X51" s="148"/>
      <c r="Y51" s="108"/>
      <c r="Z51" s="108">
        <v>0</v>
      </c>
      <c r="AA51" s="104">
        <f t="shared" si="7"/>
        <v>21055.430000000004</v>
      </c>
      <c r="AB51" s="110">
        <f t="shared" si="6"/>
        <v>2111.4340000000007</v>
      </c>
      <c r="AC51" s="104">
        <f t="shared" si="3"/>
        <v>18943.996000000003</v>
      </c>
      <c r="AD51" s="111">
        <f t="shared" si="4"/>
        <v>0</v>
      </c>
      <c r="AE51" s="110">
        <v>10.23</v>
      </c>
      <c r="AF51" s="112">
        <f t="shared" si="5"/>
        <v>21124.570000000003</v>
      </c>
      <c r="AG51" s="113"/>
      <c r="AH51" s="114"/>
      <c r="AI51" s="113"/>
      <c r="AJ51" s="113"/>
      <c r="AK51" s="114"/>
      <c r="AL51" s="113"/>
      <c r="AM51" s="113"/>
    </row>
    <row r="52" spans="1:53" x14ac:dyDescent="0.25">
      <c r="A52" s="98" t="s">
        <v>382</v>
      </c>
      <c r="B52" s="98" t="s">
        <v>443</v>
      </c>
      <c r="C52" s="98" t="s">
        <v>33</v>
      </c>
      <c r="D52" s="98">
        <v>30</v>
      </c>
      <c r="E52" s="98" t="s">
        <v>191</v>
      </c>
      <c r="F52" s="98"/>
      <c r="G52" s="99"/>
      <c r="H52" s="99"/>
      <c r="I52" s="157">
        <v>513.33000000000004</v>
      </c>
      <c r="J52" s="99"/>
      <c r="K52" s="101">
        <f t="shared" si="0"/>
        <v>513.33000000000004</v>
      </c>
      <c r="L52" s="101">
        <f>148.48+9126.81</f>
        <v>9275.2899999999991</v>
      </c>
      <c r="M52" s="102"/>
      <c r="N52" s="102"/>
      <c r="O52" s="103"/>
      <c r="P52" s="104">
        <f t="shared" si="10"/>
        <v>9788.619999999999</v>
      </c>
      <c r="Q52" s="147"/>
      <c r="R52" s="143"/>
      <c r="S52" s="143">
        <v>0</v>
      </c>
      <c r="T52" s="143"/>
      <c r="U52" s="143"/>
      <c r="V52" s="143"/>
      <c r="W52" s="148"/>
      <c r="X52" s="148"/>
      <c r="Y52" s="108"/>
      <c r="Z52" s="108">
        <v>0</v>
      </c>
      <c r="AA52" s="104">
        <f t="shared" si="7"/>
        <v>9788.619999999999</v>
      </c>
      <c r="AB52" s="110">
        <f t="shared" si="6"/>
        <v>978.86199999999997</v>
      </c>
      <c r="AC52" s="104">
        <f t="shared" si="3"/>
        <v>8809.7579999999998</v>
      </c>
      <c r="AD52" s="111">
        <f t="shared" si="4"/>
        <v>0</v>
      </c>
      <c r="AE52" s="110">
        <v>10.23</v>
      </c>
      <c r="AF52" s="112">
        <f t="shared" si="5"/>
        <v>9798.8499999999985</v>
      </c>
      <c r="AG52" s="113"/>
      <c r="AH52" s="114"/>
      <c r="AI52" s="113"/>
      <c r="AJ52" s="113"/>
      <c r="AK52" s="114"/>
      <c r="AL52" s="113"/>
      <c r="AM52" s="113"/>
    </row>
    <row r="53" spans="1:53" x14ac:dyDescent="0.25">
      <c r="A53" s="98" t="s">
        <v>382</v>
      </c>
      <c r="B53" s="98" t="s">
        <v>444</v>
      </c>
      <c r="C53" s="98" t="s">
        <v>31</v>
      </c>
      <c r="D53" s="98" t="s">
        <v>198</v>
      </c>
      <c r="E53" s="98" t="s">
        <v>191</v>
      </c>
      <c r="F53" s="134">
        <v>42408</v>
      </c>
      <c r="G53" s="99"/>
      <c r="H53" s="99"/>
      <c r="I53" s="101">
        <v>513.33000000000004</v>
      </c>
      <c r="J53" s="99">
        <v>653.33000000000004</v>
      </c>
      <c r="K53" s="101">
        <f t="shared" si="0"/>
        <v>1166.6600000000001</v>
      </c>
      <c r="L53" s="101">
        <v>-653.33000000000004</v>
      </c>
      <c r="M53" s="102"/>
      <c r="N53" s="102"/>
      <c r="O53" s="103"/>
      <c r="P53" s="104">
        <f t="shared" si="10"/>
        <v>513.33000000000004</v>
      </c>
      <c r="Q53" s="147"/>
      <c r="R53" s="143"/>
      <c r="S53" s="143">
        <v>0</v>
      </c>
      <c r="T53" s="143"/>
      <c r="U53" s="143"/>
      <c r="V53" s="143"/>
      <c r="W53" s="148"/>
      <c r="X53" s="148"/>
      <c r="Y53" s="217"/>
      <c r="Z53" s="217">
        <f>+P53*0.25</f>
        <v>128.33250000000001</v>
      </c>
      <c r="AA53" s="104">
        <f t="shared" si="7"/>
        <v>384.99750000000006</v>
      </c>
      <c r="AB53" s="110">
        <f t="shared" si="6"/>
        <v>0</v>
      </c>
      <c r="AC53" s="104">
        <f t="shared" si="3"/>
        <v>384.99750000000006</v>
      </c>
      <c r="AD53" s="111">
        <f t="shared" si="4"/>
        <v>51.333000000000006</v>
      </c>
      <c r="AE53" s="110">
        <v>10.23</v>
      </c>
      <c r="AF53" s="112">
        <f t="shared" si="5"/>
        <v>574.89300000000003</v>
      </c>
      <c r="AG53" s="113"/>
      <c r="AH53" s="114"/>
      <c r="AI53" s="113"/>
      <c r="AJ53" s="113"/>
      <c r="AK53" s="114"/>
      <c r="AL53" s="113"/>
      <c r="AM53" s="113">
        <v>129.37</v>
      </c>
      <c r="AN53" s="113" t="s">
        <v>632</v>
      </c>
    </row>
    <row r="54" spans="1:53" x14ac:dyDescent="0.25">
      <c r="A54" s="98" t="s">
        <v>394</v>
      </c>
      <c r="B54" s="98" t="s">
        <v>445</v>
      </c>
      <c r="C54" s="98" t="s">
        <v>396</v>
      </c>
      <c r="D54" s="98" t="s">
        <v>112</v>
      </c>
      <c r="E54" s="98" t="s">
        <v>397</v>
      </c>
      <c r="F54" s="134">
        <v>42352</v>
      </c>
      <c r="G54" s="99"/>
      <c r="H54" s="99"/>
      <c r="I54" s="101">
        <v>513.33000000000004</v>
      </c>
      <c r="J54" s="99">
        <v>653.33000000000004</v>
      </c>
      <c r="K54" s="101">
        <f t="shared" si="0"/>
        <v>1166.6600000000001</v>
      </c>
      <c r="L54" s="101"/>
      <c r="M54" s="102"/>
      <c r="N54" s="102"/>
      <c r="O54" s="103"/>
      <c r="P54" s="104">
        <f t="shared" si="10"/>
        <v>1166.6600000000001</v>
      </c>
      <c r="Q54" s="147"/>
      <c r="R54" s="143"/>
      <c r="S54" s="143">
        <v>0</v>
      </c>
      <c r="T54" s="143"/>
      <c r="U54" s="143"/>
      <c r="V54" s="143"/>
      <c r="W54" s="148"/>
      <c r="X54" s="148"/>
      <c r="Y54" s="108"/>
      <c r="Z54" s="108">
        <v>0</v>
      </c>
      <c r="AA54" s="104">
        <f t="shared" si="7"/>
        <v>1166.6600000000001</v>
      </c>
      <c r="AB54" s="110">
        <f t="shared" si="6"/>
        <v>0</v>
      </c>
      <c r="AC54" s="104">
        <f t="shared" si="3"/>
        <v>1166.6600000000001</v>
      </c>
      <c r="AD54" s="111">
        <f t="shared" si="4"/>
        <v>116.66600000000001</v>
      </c>
      <c r="AE54" s="110">
        <v>10.23</v>
      </c>
      <c r="AF54" s="112">
        <f t="shared" si="5"/>
        <v>1293.556</v>
      </c>
      <c r="AG54" s="113"/>
      <c r="AH54" s="114"/>
      <c r="AI54" s="113"/>
      <c r="AJ54" s="113"/>
      <c r="AK54" s="114"/>
      <c r="AL54" s="113"/>
      <c r="AM54" s="113"/>
    </row>
    <row r="55" spans="1:53" s="170" customFormat="1" x14ac:dyDescent="0.25">
      <c r="A55" s="165" t="s">
        <v>382</v>
      </c>
      <c r="B55" s="165" t="s">
        <v>633</v>
      </c>
      <c r="C55" s="165"/>
      <c r="D55" s="165"/>
      <c r="E55" s="165" t="s">
        <v>191</v>
      </c>
      <c r="F55" s="180">
        <v>42055</v>
      </c>
      <c r="G55" s="165"/>
      <c r="H55" s="165"/>
      <c r="I55" s="166">
        <v>513.33000000000004</v>
      </c>
      <c r="J55" s="165">
        <v>653.33000000000004</v>
      </c>
      <c r="K55" s="166">
        <f t="shared" si="0"/>
        <v>1166.6600000000001</v>
      </c>
      <c r="L55" s="166"/>
      <c r="M55" s="166"/>
      <c r="N55" s="166"/>
      <c r="O55" s="167"/>
      <c r="P55" s="168">
        <f t="shared" si="10"/>
        <v>1166.6600000000001</v>
      </c>
      <c r="Q55" s="166"/>
      <c r="R55" s="166"/>
      <c r="S55" s="166"/>
      <c r="T55" s="166"/>
      <c r="U55" s="166"/>
      <c r="V55" s="166"/>
      <c r="W55" s="169"/>
      <c r="X55" s="169"/>
      <c r="Y55" s="165"/>
      <c r="Z55" s="165"/>
      <c r="AA55" s="168">
        <f t="shared" si="7"/>
        <v>1166.6600000000001</v>
      </c>
      <c r="AB55" s="169">
        <f t="shared" si="6"/>
        <v>0</v>
      </c>
      <c r="AC55" s="168">
        <f t="shared" si="3"/>
        <v>1166.6600000000001</v>
      </c>
      <c r="AD55" s="169">
        <f t="shared" si="4"/>
        <v>116.66600000000001</v>
      </c>
      <c r="AE55" s="169">
        <v>10.23</v>
      </c>
      <c r="AF55" s="168">
        <f t="shared" si="5"/>
        <v>1293.556</v>
      </c>
      <c r="AH55" s="171"/>
      <c r="AK55" s="171"/>
      <c r="AL55" s="170">
        <v>1905307865</v>
      </c>
      <c r="AM55" s="216" t="s">
        <v>634</v>
      </c>
    </row>
    <row r="56" spans="1:53" x14ac:dyDescent="0.25">
      <c r="A56" s="98" t="s">
        <v>382</v>
      </c>
      <c r="B56" s="98" t="s">
        <v>635</v>
      </c>
      <c r="C56" s="98" t="s">
        <v>33</v>
      </c>
      <c r="D56" s="98" t="s">
        <v>114</v>
      </c>
      <c r="E56" s="98" t="s">
        <v>191</v>
      </c>
      <c r="F56" s="98"/>
      <c r="G56" s="99"/>
      <c r="H56" s="99"/>
      <c r="I56" s="101">
        <v>513.33000000000004</v>
      </c>
      <c r="J56" s="99"/>
      <c r="K56" s="101">
        <f t="shared" si="0"/>
        <v>513.33000000000004</v>
      </c>
      <c r="L56" s="101">
        <v>513.33000000000004</v>
      </c>
      <c r="M56" s="102"/>
      <c r="N56" s="102"/>
      <c r="O56" s="103"/>
      <c r="P56" s="104">
        <f t="shared" si="10"/>
        <v>1026.6600000000001</v>
      </c>
      <c r="Q56" s="147"/>
      <c r="R56" s="143"/>
      <c r="S56" s="143">
        <v>0</v>
      </c>
      <c r="T56" s="143"/>
      <c r="U56" s="143"/>
      <c r="V56" s="143"/>
      <c r="W56" s="148"/>
      <c r="X56" s="148"/>
      <c r="Y56" s="108"/>
      <c r="Z56" s="108">
        <v>86.56</v>
      </c>
      <c r="AA56" s="104">
        <f t="shared" si="7"/>
        <v>940.10000000000014</v>
      </c>
      <c r="AB56" s="110">
        <f t="shared" si="6"/>
        <v>0</v>
      </c>
      <c r="AC56" s="104">
        <f t="shared" si="3"/>
        <v>940.10000000000014</v>
      </c>
      <c r="AD56" s="111">
        <f t="shared" si="4"/>
        <v>102.66600000000001</v>
      </c>
      <c r="AE56" s="110">
        <v>10.23</v>
      </c>
      <c r="AF56" s="112">
        <f t="shared" si="5"/>
        <v>1139.556</v>
      </c>
      <c r="AG56" s="113"/>
      <c r="AH56" s="114"/>
      <c r="AI56" s="113"/>
      <c r="AJ56" s="113"/>
      <c r="AK56" s="114"/>
      <c r="AL56" s="113"/>
      <c r="AM56" s="113"/>
    </row>
    <row r="57" spans="1:53" x14ac:dyDescent="0.25">
      <c r="A57" s="98" t="s">
        <v>386</v>
      </c>
      <c r="B57" s="98" t="s">
        <v>447</v>
      </c>
      <c r="C57" s="98"/>
      <c r="D57" s="98" t="s">
        <v>116</v>
      </c>
      <c r="E57" s="98" t="s">
        <v>448</v>
      </c>
      <c r="F57" s="98"/>
      <c r="G57" s="99"/>
      <c r="H57" s="99"/>
      <c r="I57" s="101">
        <v>1100</v>
      </c>
      <c r="J57" s="99"/>
      <c r="K57" s="101">
        <f t="shared" si="0"/>
        <v>1100</v>
      </c>
      <c r="L57" s="101">
        <v>307.39999999999998</v>
      </c>
      <c r="M57" s="102"/>
      <c r="N57" s="102"/>
      <c r="O57" s="103"/>
      <c r="P57" s="104">
        <f t="shared" si="10"/>
        <v>1407.4</v>
      </c>
      <c r="Q57" s="147"/>
      <c r="R57" s="143"/>
      <c r="S57" s="215">
        <f>+P57*1%</f>
        <v>14.074000000000002</v>
      </c>
      <c r="T57" s="215">
        <f>+P57*4.9%</f>
        <v>68.962600000000009</v>
      </c>
      <c r="U57" s="143"/>
      <c r="V57" s="143"/>
      <c r="W57" s="148"/>
      <c r="X57" s="148"/>
      <c r="Y57" s="108"/>
      <c r="Z57" s="108">
        <v>0</v>
      </c>
      <c r="AA57" s="104">
        <f t="shared" si="7"/>
        <v>1324.3634000000002</v>
      </c>
      <c r="AB57" s="110">
        <f t="shared" si="6"/>
        <v>0</v>
      </c>
      <c r="AC57" s="104">
        <f t="shared" si="3"/>
        <v>1324.3634000000002</v>
      </c>
      <c r="AD57" s="111">
        <f t="shared" si="4"/>
        <v>140.74</v>
      </c>
      <c r="AE57" s="110">
        <v>10.23</v>
      </c>
      <c r="AF57" s="112">
        <f t="shared" si="5"/>
        <v>1558.3700000000001</v>
      </c>
      <c r="AG57" s="113"/>
      <c r="AH57" s="114"/>
      <c r="AI57" s="113"/>
      <c r="AJ57" s="113"/>
      <c r="AK57" s="114"/>
      <c r="AL57" s="113"/>
      <c r="AM57" s="113"/>
    </row>
    <row r="58" spans="1:53" x14ac:dyDescent="0.25">
      <c r="A58" s="118" t="s">
        <v>388</v>
      </c>
      <c r="B58" s="98" t="s">
        <v>449</v>
      </c>
      <c r="C58" s="98"/>
      <c r="D58" s="98" t="s">
        <v>118</v>
      </c>
      <c r="E58" s="98" t="s">
        <v>178</v>
      </c>
      <c r="F58" s="98"/>
      <c r="G58" s="98"/>
      <c r="H58" s="98"/>
      <c r="I58" s="101">
        <v>739.23</v>
      </c>
      <c r="J58" s="98"/>
      <c r="K58" s="101">
        <f t="shared" si="0"/>
        <v>739.23</v>
      </c>
      <c r="L58" s="101"/>
      <c r="M58" s="101"/>
      <c r="N58" s="101"/>
      <c r="O58" s="103"/>
      <c r="P58" s="104">
        <f t="shared" si="10"/>
        <v>739.23</v>
      </c>
      <c r="Q58" s="147"/>
      <c r="R58" s="143"/>
      <c r="S58" s="143">
        <v>0</v>
      </c>
      <c r="T58" s="143"/>
      <c r="U58" s="143"/>
      <c r="V58" s="143"/>
      <c r="W58" s="148"/>
      <c r="X58" s="148"/>
      <c r="Y58" s="108"/>
      <c r="Z58" s="108">
        <v>0</v>
      </c>
      <c r="AA58" s="104">
        <f t="shared" si="7"/>
        <v>739.23</v>
      </c>
      <c r="AB58" s="110">
        <f t="shared" si="6"/>
        <v>0</v>
      </c>
      <c r="AC58" s="104">
        <f t="shared" si="3"/>
        <v>739.23</v>
      </c>
      <c r="AD58" s="111">
        <f t="shared" si="4"/>
        <v>73.923000000000002</v>
      </c>
      <c r="AE58" s="110">
        <v>10.23</v>
      </c>
      <c r="AF58" s="112">
        <f t="shared" si="5"/>
        <v>823.38300000000004</v>
      </c>
      <c r="AG58" s="113"/>
      <c r="AH58" s="114"/>
      <c r="AI58" s="113"/>
      <c r="AJ58" s="113"/>
      <c r="AK58" s="114"/>
      <c r="AL58" s="113"/>
      <c r="AM58" s="113"/>
    </row>
    <row r="59" spans="1:53" x14ac:dyDescent="0.25">
      <c r="A59" s="118" t="s">
        <v>386</v>
      </c>
      <c r="B59" s="98" t="s">
        <v>450</v>
      </c>
      <c r="C59" s="98"/>
      <c r="D59" s="98" t="s">
        <v>120</v>
      </c>
      <c r="E59" s="98" t="s">
        <v>195</v>
      </c>
      <c r="F59" s="98"/>
      <c r="G59" s="99"/>
      <c r="H59" s="99"/>
      <c r="I59" s="101">
        <v>608.16</v>
      </c>
      <c r="J59" s="99"/>
      <c r="K59" s="101">
        <f t="shared" si="0"/>
        <v>608.16</v>
      </c>
      <c r="L59" s="101"/>
      <c r="M59" s="102"/>
      <c r="N59" s="102"/>
      <c r="O59" s="103"/>
      <c r="P59" s="104">
        <f t="shared" si="10"/>
        <v>608.16</v>
      </c>
      <c r="Q59" s="147"/>
      <c r="R59" s="143"/>
      <c r="S59" s="143"/>
      <c r="T59" s="215">
        <f>P59*4.9%</f>
        <v>29.79984</v>
      </c>
      <c r="U59" s="215">
        <f>P59*1%</f>
        <v>6.0815999999999999</v>
      </c>
      <c r="V59" s="143"/>
      <c r="W59" s="148"/>
      <c r="X59" s="148"/>
      <c r="Y59" s="108"/>
      <c r="Z59" s="108">
        <v>0</v>
      </c>
      <c r="AA59" s="104">
        <f t="shared" si="7"/>
        <v>572.27855999999997</v>
      </c>
      <c r="AB59" s="110">
        <f t="shared" si="6"/>
        <v>0</v>
      </c>
      <c r="AC59" s="104">
        <f t="shared" si="3"/>
        <v>572.27855999999997</v>
      </c>
      <c r="AD59" s="111">
        <f t="shared" si="4"/>
        <v>60.816000000000003</v>
      </c>
      <c r="AE59" s="110">
        <v>10.23</v>
      </c>
      <c r="AF59" s="112">
        <f t="shared" si="5"/>
        <v>679.20600000000002</v>
      </c>
      <c r="AG59" s="113"/>
      <c r="AH59" s="114"/>
      <c r="AI59" s="113"/>
      <c r="AJ59" s="113"/>
      <c r="AK59" s="114"/>
      <c r="AL59" s="113"/>
      <c r="AM59" s="113"/>
    </row>
    <row r="60" spans="1:53" x14ac:dyDescent="0.25">
      <c r="A60" s="118" t="s">
        <v>386</v>
      </c>
      <c r="B60" s="98" t="s">
        <v>451</v>
      </c>
      <c r="C60" s="98"/>
      <c r="D60" s="98" t="s">
        <v>122</v>
      </c>
      <c r="E60" s="98" t="s">
        <v>196</v>
      </c>
      <c r="F60" s="98"/>
      <c r="G60" s="99"/>
      <c r="H60" s="99"/>
      <c r="I60" s="101">
        <v>511.28</v>
      </c>
      <c r="J60" s="99"/>
      <c r="K60" s="101">
        <f t="shared" si="0"/>
        <v>511.28</v>
      </c>
      <c r="L60" s="101">
        <v>1441.8</v>
      </c>
      <c r="M60" s="102"/>
      <c r="N60" s="102"/>
      <c r="O60" s="103"/>
      <c r="P60" s="104">
        <f t="shared" si="10"/>
        <v>1953.08</v>
      </c>
      <c r="Q60" s="147"/>
      <c r="R60" s="143"/>
      <c r="S60" s="215">
        <v>100</v>
      </c>
      <c r="T60" s="215">
        <f>P60*4.9%</f>
        <v>95.700919999999996</v>
      </c>
      <c r="U60" s="215">
        <f>P60*1%</f>
        <v>19.530799999999999</v>
      </c>
      <c r="V60" s="143"/>
      <c r="W60" s="148"/>
      <c r="X60" s="148"/>
      <c r="Y60" s="108"/>
      <c r="Z60" s="108">
        <v>0</v>
      </c>
      <c r="AA60" s="104">
        <f t="shared" si="7"/>
        <v>1737.8482799999999</v>
      </c>
      <c r="AB60" s="110">
        <f t="shared" si="6"/>
        <v>0</v>
      </c>
      <c r="AC60" s="104">
        <f t="shared" si="3"/>
        <v>1737.8482799999999</v>
      </c>
      <c r="AD60" s="111">
        <f t="shared" si="4"/>
        <v>195.30799999999999</v>
      </c>
      <c r="AE60" s="110">
        <v>10.23</v>
      </c>
      <c r="AF60" s="112">
        <f t="shared" si="5"/>
        <v>2158.6179999999999</v>
      </c>
      <c r="AG60" s="113"/>
      <c r="AH60" s="114"/>
      <c r="AI60" s="113"/>
      <c r="AJ60" s="113"/>
      <c r="AK60" s="114"/>
      <c r="AL60" s="113"/>
      <c r="AM60" s="113"/>
    </row>
    <row r="61" spans="1:53" x14ac:dyDescent="0.25">
      <c r="A61" s="98" t="s">
        <v>382</v>
      </c>
      <c r="B61" s="98" t="s">
        <v>636</v>
      </c>
      <c r="C61" s="98" t="s">
        <v>32</v>
      </c>
      <c r="D61" s="98" t="s">
        <v>124</v>
      </c>
      <c r="E61" s="98" t="s">
        <v>191</v>
      </c>
      <c r="F61" s="98"/>
      <c r="G61" s="99"/>
      <c r="H61" s="99"/>
      <c r="I61" s="101">
        <v>513.33000000000004</v>
      </c>
      <c r="J61" s="99"/>
      <c r="K61" s="101">
        <f t="shared" si="0"/>
        <v>513.33000000000004</v>
      </c>
      <c r="L61" s="101"/>
      <c r="M61" s="102"/>
      <c r="N61" s="102"/>
      <c r="O61" s="103"/>
      <c r="P61" s="104">
        <f t="shared" si="10"/>
        <v>513.33000000000004</v>
      </c>
      <c r="Q61" s="147"/>
      <c r="R61" s="143"/>
      <c r="S61" s="143">
        <v>0</v>
      </c>
      <c r="T61" s="143"/>
      <c r="U61" s="143"/>
      <c r="V61" s="143"/>
      <c r="W61" s="148"/>
      <c r="X61" s="148"/>
      <c r="Y61" s="108"/>
      <c r="Z61" s="108">
        <v>0</v>
      </c>
      <c r="AA61" s="104">
        <f t="shared" si="7"/>
        <v>513.33000000000004</v>
      </c>
      <c r="AB61" s="110">
        <f t="shared" si="6"/>
        <v>0</v>
      </c>
      <c r="AC61" s="104">
        <f t="shared" si="3"/>
        <v>513.33000000000004</v>
      </c>
      <c r="AD61" s="111">
        <f t="shared" si="4"/>
        <v>51.333000000000006</v>
      </c>
      <c r="AE61" s="110">
        <v>10.23</v>
      </c>
      <c r="AF61" s="112">
        <f t="shared" si="5"/>
        <v>574.89300000000003</v>
      </c>
      <c r="AG61" s="113"/>
      <c r="AH61" s="114"/>
      <c r="AI61" s="113"/>
      <c r="AJ61" s="113"/>
      <c r="AK61" s="114"/>
      <c r="AL61" s="113"/>
      <c r="AM61" s="113"/>
    </row>
    <row r="62" spans="1:53" x14ac:dyDescent="0.25">
      <c r="A62" s="118" t="s">
        <v>388</v>
      </c>
      <c r="B62" s="98" t="s">
        <v>453</v>
      </c>
      <c r="C62" s="98"/>
      <c r="D62" s="98" t="s">
        <v>126</v>
      </c>
      <c r="E62" s="98" t="s">
        <v>454</v>
      </c>
      <c r="F62" s="98"/>
      <c r="G62" s="98"/>
      <c r="H62" s="99"/>
      <c r="I62" s="101">
        <v>739.23</v>
      </c>
      <c r="J62" s="99"/>
      <c r="K62" s="101">
        <f t="shared" si="0"/>
        <v>739.23</v>
      </c>
      <c r="L62" s="101">
        <v>4006.07</v>
      </c>
      <c r="M62" s="138"/>
      <c r="N62" s="102"/>
      <c r="O62" s="103"/>
      <c r="P62" s="104">
        <f t="shared" si="10"/>
        <v>4745.3</v>
      </c>
      <c r="Q62" s="147"/>
      <c r="R62" s="143"/>
      <c r="S62" s="143">
        <v>0</v>
      </c>
      <c r="T62" s="143"/>
      <c r="U62" s="143"/>
      <c r="V62" s="143"/>
      <c r="W62" s="148"/>
      <c r="X62" s="148"/>
      <c r="Y62" s="108"/>
      <c r="Z62" s="108">
        <v>0</v>
      </c>
      <c r="AA62" s="104">
        <f t="shared" si="7"/>
        <v>4745.3</v>
      </c>
      <c r="AB62" s="110">
        <f t="shared" si="6"/>
        <v>474.53000000000003</v>
      </c>
      <c r="AC62" s="104">
        <f t="shared" si="3"/>
        <v>4270.7700000000004</v>
      </c>
      <c r="AD62" s="111">
        <f t="shared" si="4"/>
        <v>0</v>
      </c>
      <c r="AE62" s="110">
        <v>10.23</v>
      </c>
      <c r="AF62" s="112">
        <f t="shared" si="5"/>
        <v>4755.53</v>
      </c>
      <c r="AG62" s="113"/>
      <c r="AH62" s="114"/>
      <c r="AI62" s="113"/>
      <c r="AJ62" s="113"/>
      <c r="AK62" s="114"/>
      <c r="AL62" s="113"/>
      <c r="AM62" s="113"/>
    </row>
    <row r="63" spans="1:53" x14ac:dyDescent="0.25">
      <c r="A63" s="118" t="s">
        <v>388</v>
      </c>
      <c r="B63" s="98" t="s">
        <v>457</v>
      </c>
      <c r="C63" s="98"/>
      <c r="D63" s="98" t="s">
        <v>130</v>
      </c>
      <c r="E63" s="98" t="s">
        <v>178</v>
      </c>
      <c r="F63" s="98"/>
      <c r="G63" s="98"/>
      <c r="H63" s="99"/>
      <c r="I63" s="101">
        <v>739.23</v>
      </c>
      <c r="J63" s="99"/>
      <c r="K63" s="101">
        <f t="shared" si="0"/>
        <v>739.23</v>
      </c>
      <c r="L63" s="101">
        <v>3036.32</v>
      </c>
      <c r="M63" s="102"/>
      <c r="N63" s="102"/>
      <c r="O63" s="103"/>
      <c r="P63" s="104">
        <f t="shared" si="10"/>
        <v>3775.55</v>
      </c>
      <c r="Q63" s="147"/>
      <c r="R63" s="143"/>
      <c r="S63" s="143">
        <v>0</v>
      </c>
      <c r="T63" s="143"/>
      <c r="U63" s="143"/>
      <c r="V63" s="143"/>
      <c r="W63" s="148"/>
      <c r="X63" s="148"/>
      <c r="Y63" s="108"/>
      <c r="Z63" s="108">
        <v>0</v>
      </c>
      <c r="AA63" s="104">
        <f t="shared" si="7"/>
        <v>3775.55</v>
      </c>
      <c r="AB63" s="110">
        <f t="shared" si="6"/>
        <v>0</v>
      </c>
      <c r="AC63" s="104">
        <f t="shared" si="3"/>
        <v>3775.55</v>
      </c>
      <c r="AD63" s="111">
        <f t="shared" si="4"/>
        <v>377.55500000000006</v>
      </c>
      <c r="AE63" s="110">
        <v>10.23</v>
      </c>
      <c r="AF63" s="112">
        <f t="shared" si="5"/>
        <v>4163.335</v>
      </c>
      <c r="AG63" s="113"/>
      <c r="AH63" s="114"/>
      <c r="AI63" s="113"/>
      <c r="AJ63" s="113"/>
      <c r="AK63" s="114"/>
      <c r="AL63" s="113"/>
      <c r="AM63" s="113"/>
    </row>
    <row r="64" spans="1:53" s="170" customFormat="1" x14ac:dyDescent="0.25">
      <c r="A64" s="165" t="s">
        <v>388</v>
      </c>
      <c r="B64" s="165" t="s">
        <v>637</v>
      </c>
      <c r="C64" s="165"/>
      <c r="D64" s="165"/>
      <c r="E64" s="165" t="s">
        <v>178</v>
      </c>
      <c r="F64" s="180">
        <v>42422</v>
      </c>
      <c r="G64" s="165"/>
      <c r="H64" s="165"/>
      <c r="I64" s="166">
        <v>0</v>
      </c>
      <c r="J64" s="165">
        <v>1136.73</v>
      </c>
      <c r="K64" s="166">
        <f t="shared" si="0"/>
        <v>1136.73</v>
      </c>
      <c r="L64" s="166">
        <v>0</v>
      </c>
      <c r="M64" s="166"/>
      <c r="N64" s="166"/>
      <c r="O64" s="166"/>
      <c r="P64" s="168">
        <f t="shared" si="10"/>
        <v>1136.73</v>
      </c>
      <c r="Q64" s="166"/>
      <c r="R64" s="143"/>
      <c r="S64" s="166"/>
      <c r="T64" s="166"/>
      <c r="U64" s="166"/>
      <c r="V64" s="166"/>
      <c r="W64" s="169"/>
      <c r="X64" s="169"/>
      <c r="Y64" s="165"/>
      <c r="Z64" s="165"/>
      <c r="AA64" s="168">
        <f t="shared" si="7"/>
        <v>1136.73</v>
      </c>
      <c r="AB64" s="169">
        <f t="shared" si="6"/>
        <v>0</v>
      </c>
      <c r="AC64" s="168">
        <f t="shared" si="3"/>
        <v>1136.73</v>
      </c>
      <c r="AD64" s="169">
        <f t="shared" si="4"/>
        <v>113.673</v>
      </c>
      <c r="AE64" s="169">
        <v>10.23</v>
      </c>
      <c r="AF64" s="168">
        <f t="shared" si="5"/>
        <v>1260.633</v>
      </c>
      <c r="AH64" s="171"/>
      <c r="AK64" s="171"/>
      <c r="AL64" s="170">
        <v>2857006349</v>
      </c>
      <c r="AM64" s="216" t="s">
        <v>619</v>
      </c>
    </row>
    <row r="65" spans="1:53" x14ac:dyDescent="0.25">
      <c r="A65" s="118" t="s">
        <v>386</v>
      </c>
      <c r="B65" s="98" t="s">
        <v>458</v>
      </c>
      <c r="C65" s="98"/>
      <c r="D65" s="98" t="s">
        <v>132</v>
      </c>
      <c r="E65" s="98" t="s">
        <v>459</v>
      </c>
      <c r="F65" s="98"/>
      <c r="G65" s="99"/>
      <c r="H65" s="99"/>
      <c r="I65" s="101">
        <v>608.16</v>
      </c>
      <c r="J65" s="99"/>
      <c r="K65" s="101">
        <f t="shared" si="0"/>
        <v>608.16</v>
      </c>
      <c r="L65" s="101">
        <v>1276.27</v>
      </c>
      <c r="M65" s="102"/>
      <c r="N65" s="102"/>
      <c r="O65" s="103"/>
      <c r="P65" s="104">
        <f t="shared" si="10"/>
        <v>1884.4299999999998</v>
      </c>
      <c r="Q65" s="147"/>
      <c r="R65" s="143"/>
      <c r="S65" s="143"/>
      <c r="T65" s="215">
        <f>P65*4.9%</f>
        <v>92.337069999999997</v>
      </c>
      <c r="U65" s="215">
        <f>P65*1%</f>
        <v>18.8443</v>
      </c>
      <c r="V65" s="143"/>
      <c r="W65" s="148"/>
      <c r="X65" s="148"/>
      <c r="Y65" s="108"/>
      <c r="Z65" s="108">
        <v>0</v>
      </c>
      <c r="AA65" s="104">
        <f t="shared" si="7"/>
        <v>1773.2486299999998</v>
      </c>
      <c r="AB65" s="110">
        <f t="shared" si="6"/>
        <v>0</v>
      </c>
      <c r="AC65" s="104">
        <f t="shared" si="3"/>
        <v>1773.2486299999998</v>
      </c>
      <c r="AD65" s="111">
        <f t="shared" si="4"/>
        <v>188.44299999999998</v>
      </c>
      <c r="AE65" s="110">
        <v>10.23</v>
      </c>
      <c r="AF65" s="112">
        <f t="shared" si="5"/>
        <v>2083.1029999999996</v>
      </c>
      <c r="AG65" s="113"/>
      <c r="AH65" s="114"/>
      <c r="AI65" s="113"/>
      <c r="AJ65" s="113"/>
      <c r="AK65" s="114"/>
      <c r="AL65" s="113"/>
      <c r="AM65" s="113"/>
    </row>
    <row r="66" spans="1:53" x14ac:dyDescent="0.25">
      <c r="A66" s="118" t="s">
        <v>386</v>
      </c>
      <c r="B66" s="98" t="s">
        <v>460</v>
      </c>
      <c r="C66" s="98"/>
      <c r="D66" s="98" t="s">
        <v>134</v>
      </c>
      <c r="E66" s="98" t="s">
        <v>192</v>
      </c>
      <c r="F66" s="98"/>
      <c r="G66" s="99"/>
      <c r="H66" s="99"/>
      <c r="I66" s="101">
        <v>608.16</v>
      </c>
      <c r="J66" s="99"/>
      <c r="K66" s="101">
        <f t="shared" si="0"/>
        <v>608.16</v>
      </c>
      <c r="L66" s="101">
        <v>3235.87</v>
      </c>
      <c r="M66" s="102"/>
      <c r="N66" s="102"/>
      <c r="O66" s="103"/>
      <c r="P66" s="104">
        <f t="shared" si="10"/>
        <v>3844.0299999999997</v>
      </c>
      <c r="Q66" s="147"/>
      <c r="R66" s="143"/>
      <c r="S66" s="215">
        <v>200</v>
      </c>
      <c r="T66" s="215">
        <f>P66*4.9%</f>
        <v>188.35747000000001</v>
      </c>
      <c r="U66" s="215">
        <f>P66*1%</f>
        <v>38.440300000000001</v>
      </c>
      <c r="V66" s="215">
        <v>321.74</v>
      </c>
      <c r="W66" s="148"/>
      <c r="X66" s="148"/>
      <c r="Y66" s="108"/>
      <c r="Z66" s="108">
        <v>0</v>
      </c>
      <c r="AA66" s="104">
        <f t="shared" si="7"/>
        <v>3095.4922299999998</v>
      </c>
      <c r="AB66" s="110">
        <f t="shared" si="6"/>
        <v>0</v>
      </c>
      <c r="AC66" s="104">
        <f t="shared" si="3"/>
        <v>3095.4922299999998</v>
      </c>
      <c r="AD66" s="111">
        <f t="shared" si="4"/>
        <v>384.40300000000002</v>
      </c>
      <c r="AE66" s="110">
        <v>10.23</v>
      </c>
      <c r="AF66" s="112">
        <f t="shared" si="5"/>
        <v>4238.6629999999996</v>
      </c>
      <c r="AG66" s="113"/>
      <c r="AH66" s="114"/>
      <c r="AI66" s="113"/>
      <c r="AJ66" s="113"/>
      <c r="AK66" s="114"/>
      <c r="AL66" s="113"/>
      <c r="AM66" s="113"/>
    </row>
    <row r="67" spans="1:53" x14ac:dyDescent="0.25">
      <c r="A67" s="98" t="s">
        <v>436</v>
      </c>
      <c r="B67" s="98" t="s">
        <v>461</v>
      </c>
      <c r="C67" s="98"/>
      <c r="D67" s="98" t="s">
        <v>136</v>
      </c>
      <c r="E67" s="98" t="s">
        <v>187</v>
      </c>
      <c r="F67" s="98"/>
      <c r="G67" s="99"/>
      <c r="H67" s="99"/>
      <c r="I67" s="101">
        <v>1400</v>
      </c>
      <c r="J67" s="99"/>
      <c r="K67" s="101">
        <f t="shared" si="0"/>
        <v>1400</v>
      </c>
      <c r="L67" s="101"/>
      <c r="M67" s="102"/>
      <c r="N67" s="102"/>
      <c r="O67" s="103"/>
      <c r="P67" s="104">
        <f t="shared" si="10"/>
        <v>1400</v>
      </c>
      <c r="Q67" s="147"/>
      <c r="R67" s="143"/>
      <c r="S67" s="143">
        <v>0</v>
      </c>
      <c r="T67" s="143"/>
      <c r="U67" s="143"/>
      <c r="V67" s="143"/>
      <c r="W67" s="148"/>
      <c r="X67" s="148"/>
      <c r="Y67" s="108"/>
      <c r="Z67" s="108">
        <v>0</v>
      </c>
      <c r="AA67" s="104">
        <f t="shared" si="7"/>
        <v>1400</v>
      </c>
      <c r="AB67" s="110">
        <f t="shared" si="6"/>
        <v>0</v>
      </c>
      <c r="AC67" s="104">
        <f t="shared" si="3"/>
        <v>1400</v>
      </c>
      <c r="AD67" s="111">
        <f t="shared" si="4"/>
        <v>140</v>
      </c>
      <c r="AE67" s="110">
        <v>10.23</v>
      </c>
      <c r="AF67" s="112">
        <f t="shared" si="5"/>
        <v>1550.23</v>
      </c>
      <c r="AG67" s="113"/>
      <c r="AH67" s="114"/>
      <c r="AI67" s="113"/>
      <c r="AJ67" s="113"/>
      <c r="AK67" s="114"/>
      <c r="AL67" s="113"/>
      <c r="AM67" s="113"/>
    </row>
    <row r="68" spans="1:53" x14ac:dyDescent="0.25">
      <c r="A68" s="118" t="s">
        <v>386</v>
      </c>
      <c r="B68" s="98" t="s">
        <v>462</v>
      </c>
      <c r="C68" s="98"/>
      <c r="D68" s="98" t="s">
        <v>263</v>
      </c>
      <c r="E68" s="98" t="s">
        <v>192</v>
      </c>
      <c r="F68" s="98"/>
      <c r="G68" s="99"/>
      <c r="H68" s="99"/>
      <c r="I68" s="101">
        <v>608.16</v>
      </c>
      <c r="J68" s="99"/>
      <c r="K68" s="101">
        <f t="shared" si="0"/>
        <v>608.16</v>
      </c>
      <c r="L68" s="101">
        <v>527.79999999999995</v>
      </c>
      <c r="M68" s="102"/>
      <c r="N68" s="102"/>
      <c r="O68" s="103"/>
      <c r="P68" s="104">
        <f t="shared" si="10"/>
        <v>1135.96</v>
      </c>
      <c r="Q68" s="147"/>
      <c r="R68" s="143"/>
      <c r="S68" s="143">
        <v>0</v>
      </c>
      <c r="T68" s="215">
        <f>P68*4.9%</f>
        <v>55.662040000000005</v>
      </c>
      <c r="U68" s="215">
        <f>P68*1%</f>
        <v>11.3596</v>
      </c>
      <c r="V68" s="143"/>
      <c r="W68" s="148"/>
      <c r="X68" s="148"/>
      <c r="Y68" s="108"/>
      <c r="Z68" s="108">
        <v>0</v>
      </c>
      <c r="AA68" s="104">
        <f t="shared" si="7"/>
        <v>1068.9383600000001</v>
      </c>
      <c r="AB68" s="110">
        <f t="shared" si="6"/>
        <v>0</v>
      </c>
      <c r="AC68" s="104">
        <f t="shared" si="3"/>
        <v>1068.9383600000001</v>
      </c>
      <c r="AD68" s="111">
        <f t="shared" si="4"/>
        <v>113.596</v>
      </c>
      <c r="AE68" s="110">
        <v>10.23</v>
      </c>
      <c r="AF68" s="112">
        <f t="shared" si="5"/>
        <v>1259.7860000000001</v>
      </c>
      <c r="AG68" s="113"/>
      <c r="AH68" s="114"/>
      <c r="AI68" s="113"/>
      <c r="AJ68" s="113"/>
      <c r="AK68" s="114"/>
      <c r="AL68" s="113"/>
      <c r="AM68" s="113"/>
    </row>
    <row r="69" spans="1:53" x14ac:dyDescent="0.25">
      <c r="A69" s="98" t="s">
        <v>380</v>
      </c>
      <c r="B69" s="98" t="s">
        <v>463</v>
      </c>
      <c r="C69" s="98"/>
      <c r="D69" s="98" t="s">
        <v>140</v>
      </c>
      <c r="E69" s="98" t="s">
        <v>187</v>
      </c>
      <c r="F69" s="98"/>
      <c r="G69" s="98"/>
      <c r="H69" s="98"/>
      <c r="I69" s="101">
        <v>1400</v>
      </c>
      <c r="J69" s="98"/>
      <c r="K69" s="101">
        <f t="shared" si="0"/>
        <v>1400</v>
      </c>
      <c r="L69" s="101"/>
      <c r="M69" s="101"/>
      <c r="N69" s="101"/>
      <c r="O69" s="103"/>
      <c r="P69" s="104">
        <f t="shared" si="10"/>
        <v>1400</v>
      </c>
      <c r="Q69" s="147"/>
      <c r="R69" s="143"/>
      <c r="S69" s="143">
        <v>0</v>
      </c>
      <c r="T69" s="143"/>
      <c r="U69" s="143"/>
      <c r="V69" s="143"/>
      <c r="W69" s="148"/>
      <c r="X69" s="148"/>
      <c r="Y69" s="108"/>
      <c r="Z69" s="108">
        <v>0</v>
      </c>
      <c r="AA69" s="104">
        <f t="shared" si="7"/>
        <v>1400</v>
      </c>
      <c r="AB69" s="110">
        <f t="shared" si="6"/>
        <v>0</v>
      </c>
      <c r="AC69" s="104">
        <f t="shared" si="3"/>
        <v>1400</v>
      </c>
      <c r="AD69" s="111">
        <f t="shared" si="4"/>
        <v>140</v>
      </c>
      <c r="AE69" s="110">
        <v>10.23</v>
      </c>
      <c r="AF69" s="112">
        <f t="shared" si="5"/>
        <v>1550.23</v>
      </c>
      <c r="AG69" s="113"/>
      <c r="AH69" s="114"/>
      <c r="AI69" s="113"/>
      <c r="AJ69" s="113"/>
      <c r="AK69" s="114"/>
      <c r="AL69" s="113"/>
      <c r="AM69" s="113" t="s">
        <v>638</v>
      </c>
    </row>
    <row r="70" spans="1:53" s="131" customFormat="1" x14ac:dyDescent="0.25">
      <c r="A70" s="118" t="s">
        <v>388</v>
      </c>
      <c r="B70" s="133" t="s">
        <v>464</v>
      </c>
      <c r="C70" s="133"/>
      <c r="D70" s="133"/>
      <c r="E70" s="133" t="s">
        <v>178</v>
      </c>
      <c r="F70" s="175">
        <v>42416</v>
      </c>
      <c r="G70" s="133"/>
      <c r="H70" s="133"/>
      <c r="I70" s="157">
        <v>739.23</v>
      </c>
      <c r="J70" s="133"/>
      <c r="K70" s="157">
        <f t="shared" si="0"/>
        <v>739.23</v>
      </c>
      <c r="L70" s="157">
        <v>1692.78</v>
      </c>
      <c r="M70" s="157"/>
      <c r="N70" s="157"/>
      <c r="O70" s="173"/>
      <c r="P70" s="126">
        <f t="shared" si="10"/>
        <v>2432.0100000000002</v>
      </c>
      <c r="Q70" s="124"/>
      <c r="R70" s="143"/>
      <c r="S70" s="124"/>
      <c r="T70" s="124"/>
      <c r="U70" s="124"/>
      <c r="V70" s="124"/>
      <c r="W70" s="130"/>
      <c r="X70" s="130"/>
      <c r="Y70" s="121"/>
      <c r="Z70" s="121"/>
      <c r="AA70" s="126">
        <f t="shared" si="7"/>
        <v>2432.0100000000002</v>
      </c>
      <c r="AB70" s="130">
        <f t="shared" si="6"/>
        <v>0</v>
      </c>
      <c r="AC70" s="126">
        <f t="shared" si="3"/>
        <v>2432.0100000000002</v>
      </c>
      <c r="AD70" s="130">
        <f t="shared" si="4"/>
        <v>243.20100000000002</v>
      </c>
      <c r="AE70" s="110">
        <v>10.23</v>
      </c>
      <c r="AF70" s="112">
        <f t="shared" si="5"/>
        <v>2685.4410000000003</v>
      </c>
      <c r="AG70" s="113"/>
      <c r="AH70" s="114"/>
      <c r="AI70" s="113"/>
      <c r="AJ70" s="113"/>
      <c r="AK70" s="114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</row>
    <row r="71" spans="1:53" x14ac:dyDescent="0.25">
      <c r="A71" s="118" t="s">
        <v>386</v>
      </c>
      <c r="B71" s="98" t="s">
        <v>465</v>
      </c>
      <c r="C71" s="98"/>
      <c r="D71" s="98" t="s">
        <v>142</v>
      </c>
      <c r="E71" s="98" t="s">
        <v>197</v>
      </c>
      <c r="F71" s="98"/>
      <c r="G71" s="99"/>
      <c r="H71" s="99"/>
      <c r="I71" s="101">
        <v>511.28</v>
      </c>
      <c r="J71" s="99"/>
      <c r="K71" s="101">
        <f t="shared" ref="K71:K90" si="11">+I71+J71</f>
        <v>511.28</v>
      </c>
      <c r="L71" s="101">
        <f>1826.28+250+200</f>
        <v>2276.2799999999997</v>
      </c>
      <c r="M71" s="102"/>
      <c r="N71" s="102"/>
      <c r="O71" s="103"/>
      <c r="P71" s="104">
        <f t="shared" si="10"/>
        <v>2787.5599999999995</v>
      </c>
      <c r="Q71" s="147"/>
      <c r="R71" s="143"/>
      <c r="S71" s="215">
        <v>300</v>
      </c>
      <c r="T71" s="143"/>
      <c r="U71" s="143"/>
      <c r="V71" s="143"/>
      <c r="W71" s="148"/>
      <c r="X71" s="148"/>
      <c r="Y71" s="108"/>
      <c r="Z71" s="108">
        <f>831.77+139.91</f>
        <v>971.68</v>
      </c>
      <c r="AA71" s="104">
        <f t="shared" si="7"/>
        <v>1515.8799999999997</v>
      </c>
      <c r="AB71" s="110">
        <f t="shared" si="6"/>
        <v>0</v>
      </c>
      <c r="AC71" s="104">
        <f t="shared" ref="AC71:AC90" si="12">+AA71-AB71</f>
        <v>1515.8799999999997</v>
      </c>
      <c r="AD71" s="111">
        <f t="shared" ref="AD71:AD90" si="13">IF(P71&lt;4500,P71*0.1,0)</f>
        <v>278.75599999999997</v>
      </c>
      <c r="AE71" s="110">
        <v>10.23</v>
      </c>
      <c r="AF71" s="112">
        <f t="shared" ref="AF71:AF90" si="14">+P71+AD71+AE71</f>
        <v>3076.5459999999994</v>
      </c>
      <c r="AG71" s="113"/>
      <c r="AH71" s="114"/>
      <c r="AI71" s="113"/>
      <c r="AJ71" s="113"/>
      <c r="AK71" s="114"/>
      <c r="AL71" s="113"/>
      <c r="AM71" s="113"/>
    </row>
    <row r="72" spans="1:53" x14ac:dyDescent="0.25">
      <c r="A72" s="98" t="s">
        <v>380</v>
      </c>
      <c r="B72" s="98" t="s">
        <v>466</v>
      </c>
      <c r="C72" s="98"/>
      <c r="D72" s="98" t="s">
        <v>144</v>
      </c>
      <c r="E72" s="98" t="s">
        <v>180</v>
      </c>
      <c r="F72" s="98"/>
      <c r="G72" s="98"/>
      <c r="H72" s="98"/>
      <c r="I72" s="101">
        <v>1166.26</v>
      </c>
      <c r="J72" s="100"/>
      <c r="K72" s="101">
        <f t="shared" si="11"/>
        <v>1166.26</v>
      </c>
      <c r="L72" s="101">
        <v>784.32</v>
      </c>
      <c r="M72" s="101"/>
      <c r="N72" s="101"/>
      <c r="O72" s="103"/>
      <c r="P72" s="104">
        <f t="shared" ref="P72:P87" si="15">SUM(K72:N72)-O72</f>
        <v>1950.58</v>
      </c>
      <c r="Q72" s="147"/>
      <c r="R72" s="143"/>
      <c r="S72" s="143">
        <v>0</v>
      </c>
      <c r="T72" s="143"/>
      <c r="U72" s="143"/>
      <c r="V72" s="143"/>
      <c r="W72" s="148"/>
      <c r="X72" s="148"/>
      <c r="Y72" s="108"/>
      <c r="Z72" s="108">
        <v>0</v>
      </c>
      <c r="AA72" s="104">
        <f t="shared" si="7"/>
        <v>1950.58</v>
      </c>
      <c r="AB72" s="110">
        <f t="shared" si="6"/>
        <v>0</v>
      </c>
      <c r="AC72" s="104">
        <f t="shared" si="12"/>
        <v>1950.58</v>
      </c>
      <c r="AD72" s="111">
        <f t="shared" si="13"/>
        <v>195.05799999999999</v>
      </c>
      <c r="AE72" s="110">
        <v>10.23</v>
      </c>
      <c r="AF72" s="112">
        <f t="shared" si="14"/>
        <v>2155.8679999999999</v>
      </c>
      <c r="AG72" s="113"/>
      <c r="AH72" s="114"/>
      <c r="AI72" s="113"/>
      <c r="AJ72" s="113"/>
      <c r="AK72" s="114"/>
      <c r="AL72" s="113"/>
      <c r="AM72" s="113"/>
    </row>
    <row r="73" spans="1:53" x14ac:dyDescent="0.25">
      <c r="A73" s="98" t="s">
        <v>436</v>
      </c>
      <c r="B73" s="98" t="s">
        <v>639</v>
      </c>
      <c r="C73" s="98"/>
      <c r="D73" s="98" t="s">
        <v>189</v>
      </c>
      <c r="E73" s="98" t="s">
        <v>186</v>
      </c>
      <c r="F73" s="98"/>
      <c r="G73" s="98"/>
      <c r="H73" s="98"/>
      <c r="I73" s="101">
        <v>1100</v>
      </c>
      <c r="J73" s="98"/>
      <c r="K73" s="101">
        <f t="shared" si="11"/>
        <v>1100</v>
      </c>
      <c r="L73" s="101"/>
      <c r="M73" s="101"/>
      <c r="N73" s="101"/>
      <c r="O73" s="103"/>
      <c r="P73" s="104">
        <f t="shared" si="15"/>
        <v>1100</v>
      </c>
      <c r="Q73" s="147"/>
      <c r="R73" s="143"/>
      <c r="S73" s="143">
        <v>0</v>
      </c>
      <c r="T73" s="143"/>
      <c r="U73" s="143"/>
      <c r="V73" s="143"/>
      <c r="W73" s="148"/>
      <c r="X73" s="148"/>
      <c r="Y73" s="108"/>
      <c r="Z73" s="108">
        <v>0</v>
      </c>
      <c r="AA73" s="104">
        <f t="shared" si="7"/>
        <v>1100</v>
      </c>
      <c r="AB73" s="110">
        <f t="shared" si="6"/>
        <v>0</v>
      </c>
      <c r="AC73" s="104">
        <f t="shared" si="12"/>
        <v>1100</v>
      </c>
      <c r="AD73" s="111">
        <f t="shared" si="13"/>
        <v>110</v>
      </c>
      <c r="AE73" s="110">
        <v>10.23</v>
      </c>
      <c r="AF73" s="112">
        <f t="shared" si="14"/>
        <v>1220.23</v>
      </c>
      <c r="AG73" s="113"/>
      <c r="AH73" s="114"/>
      <c r="AI73" s="113"/>
      <c r="AJ73" s="113"/>
      <c r="AK73" s="114"/>
      <c r="AL73" s="113"/>
      <c r="AM73" s="113"/>
    </row>
    <row r="74" spans="1:53" x14ac:dyDescent="0.25">
      <c r="A74" s="98" t="s">
        <v>382</v>
      </c>
      <c r="B74" s="98" t="s">
        <v>469</v>
      </c>
      <c r="C74" s="98" t="s">
        <v>31</v>
      </c>
      <c r="D74" s="98" t="s">
        <v>149</v>
      </c>
      <c r="E74" s="98" t="s">
        <v>191</v>
      </c>
      <c r="F74" s="98"/>
      <c r="G74" s="99"/>
      <c r="H74" s="99"/>
      <c r="I74" s="101">
        <v>513.33000000000004</v>
      </c>
      <c r="J74" s="99"/>
      <c r="K74" s="101">
        <f t="shared" si="11"/>
        <v>513.33000000000004</v>
      </c>
      <c r="L74" s="101">
        <f>513.33+4055.1</f>
        <v>4568.43</v>
      </c>
      <c r="M74" s="102"/>
      <c r="N74" s="102"/>
      <c r="O74" s="103"/>
      <c r="P74" s="104">
        <f t="shared" si="15"/>
        <v>5081.76</v>
      </c>
      <c r="Q74" s="147"/>
      <c r="R74" s="143">
        <v>58.91</v>
      </c>
      <c r="S74" s="143">
        <v>0</v>
      </c>
      <c r="T74" s="143"/>
      <c r="U74" s="143"/>
      <c r="V74" s="143"/>
      <c r="W74" s="148"/>
      <c r="X74" s="148"/>
      <c r="Y74" s="108"/>
      <c r="Z74" s="108">
        <v>0</v>
      </c>
      <c r="AA74" s="104">
        <f t="shared" si="7"/>
        <v>5022.8500000000004</v>
      </c>
      <c r="AB74" s="110">
        <f t="shared" si="6"/>
        <v>508.17600000000004</v>
      </c>
      <c r="AC74" s="104">
        <f t="shared" si="12"/>
        <v>4514.674</v>
      </c>
      <c r="AD74" s="111">
        <f t="shared" si="13"/>
        <v>0</v>
      </c>
      <c r="AE74" s="110">
        <v>10.23</v>
      </c>
      <c r="AF74" s="112">
        <f t="shared" si="14"/>
        <v>5091.99</v>
      </c>
      <c r="AG74" s="113"/>
      <c r="AH74" s="114"/>
      <c r="AI74" s="113"/>
      <c r="AJ74" s="113"/>
      <c r="AK74" s="114"/>
      <c r="AL74" s="113"/>
      <c r="AM74" s="113"/>
    </row>
    <row r="75" spans="1:53" x14ac:dyDescent="0.25">
      <c r="A75" s="118" t="s">
        <v>386</v>
      </c>
      <c r="B75" s="98" t="s">
        <v>470</v>
      </c>
      <c r="C75" s="98"/>
      <c r="D75" s="98" t="s">
        <v>265</v>
      </c>
      <c r="E75" s="98" t="s">
        <v>471</v>
      </c>
      <c r="F75" s="98"/>
      <c r="G75" s="99"/>
      <c r="H75" s="99"/>
      <c r="I75" s="101">
        <v>543.20000000000005</v>
      </c>
      <c r="J75" s="99"/>
      <c r="K75" s="101">
        <f t="shared" si="11"/>
        <v>543.20000000000005</v>
      </c>
      <c r="L75" s="101">
        <v>1059.4000000000001</v>
      </c>
      <c r="M75" s="102"/>
      <c r="N75" s="102"/>
      <c r="O75" s="103"/>
      <c r="P75" s="104">
        <f t="shared" si="15"/>
        <v>1602.6000000000001</v>
      </c>
      <c r="Q75" s="147"/>
      <c r="R75" s="143"/>
      <c r="S75" s="143">
        <v>0</v>
      </c>
      <c r="T75" s="215">
        <f>P75*4.9%</f>
        <v>78.527400000000014</v>
      </c>
      <c r="U75" s="215">
        <f>P75*1%</f>
        <v>16.026000000000003</v>
      </c>
      <c r="V75" s="143"/>
      <c r="W75" s="148"/>
      <c r="X75" s="148"/>
      <c r="Y75" s="108"/>
      <c r="Z75" s="108">
        <v>0</v>
      </c>
      <c r="AA75" s="104">
        <f t="shared" si="7"/>
        <v>1508.0466000000001</v>
      </c>
      <c r="AB75" s="110">
        <f t="shared" ref="AB75:AB90" si="16">IF(P75&gt;4500,P75*0.1,0)</f>
        <v>0</v>
      </c>
      <c r="AC75" s="104">
        <f t="shared" si="12"/>
        <v>1508.0466000000001</v>
      </c>
      <c r="AD75" s="111">
        <f t="shared" si="13"/>
        <v>160.26000000000002</v>
      </c>
      <c r="AE75" s="110">
        <v>10.23</v>
      </c>
      <c r="AF75" s="112">
        <f t="shared" si="14"/>
        <v>1773.0900000000001</v>
      </c>
      <c r="AG75" s="113"/>
      <c r="AH75" s="114"/>
      <c r="AI75" s="113"/>
      <c r="AJ75" s="113"/>
      <c r="AK75" s="114"/>
      <c r="AL75" s="113"/>
      <c r="AM75" s="113"/>
    </row>
    <row r="76" spans="1:53" x14ac:dyDescent="0.25">
      <c r="A76" s="118" t="s">
        <v>386</v>
      </c>
      <c r="B76" s="98" t="s">
        <v>472</v>
      </c>
      <c r="C76" s="98"/>
      <c r="D76" s="98" t="s">
        <v>153</v>
      </c>
      <c r="E76" s="98" t="s">
        <v>192</v>
      </c>
      <c r="F76" s="98"/>
      <c r="G76" s="99"/>
      <c r="H76" s="99"/>
      <c r="I76" s="101">
        <v>608.16</v>
      </c>
      <c r="J76" s="99"/>
      <c r="K76" s="101">
        <f t="shared" si="11"/>
        <v>608.16</v>
      </c>
      <c r="L76" s="101">
        <v>1325.5</v>
      </c>
      <c r="M76" s="102"/>
      <c r="N76" s="102"/>
      <c r="O76" s="103"/>
      <c r="P76" s="104">
        <f t="shared" si="15"/>
        <v>1933.6599999999999</v>
      </c>
      <c r="Q76" s="147"/>
      <c r="R76" s="143"/>
      <c r="S76" s="215">
        <v>200</v>
      </c>
      <c r="T76" s="215">
        <f>P76*4.9%</f>
        <v>94.749339999999989</v>
      </c>
      <c r="U76" s="215">
        <f>P76*1%</f>
        <v>19.336600000000001</v>
      </c>
      <c r="V76" s="215">
        <v>257.64</v>
      </c>
      <c r="W76" s="148"/>
      <c r="X76" s="148"/>
      <c r="Y76" s="108">
        <v>201.24</v>
      </c>
      <c r="Z76" s="108">
        <v>0</v>
      </c>
      <c r="AA76" s="104">
        <f t="shared" si="7"/>
        <v>1160.6940599999998</v>
      </c>
      <c r="AB76" s="110">
        <f t="shared" si="16"/>
        <v>0</v>
      </c>
      <c r="AC76" s="104">
        <f t="shared" si="12"/>
        <v>1160.6940599999998</v>
      </c>
      <c r="AD76" s="111">
        <f t="shared" si="13"/>
        <v>193.36599999999999</v>
      </c>
      <c r="AE76" s="110">
        <v>10.23</v>
      </c>
      <c r="AF76" s="112">
        <f t="shared" si="14"/>
        <v>2137.2559999999999</v>
      </c>
      <c r="AG76" s="113"/>
      <c r="AH76" s="114"/>
      <c r="AI76" s="113"/>
      <c r="AJ76" s="113"/>
      <c r="AK76" s="114"/>
      <c r="AL76" s="113"/>
      <c r="AM76" s="113"/>
    </row>
    <row r="77" spans="1:53" x14ac:dyDescent="0.25">
      <c r="A77" s="118" t="s">
        <v>388</v>
      </c>
      <c r="B77" s="98" t="s">
        <v>473</v>
      </c>
      <c r="C77" s="98"/>
      <c r="D77" s="98" t="s">
        <v>183</v>
      </c>
      <c r="E77" s="98" t="s">
        <v>184</v>
      </c>
      <c r="F77" s="98"/>
      <c r="G77" s="98"/>
      <c r="H77" s="98"/>
      <c r="I77" s="101">
        <v>739.23</v>
      </c>
      <c r="J77" s="98"/>
      <c r="K77" s="101">
        <f t="shared" si="11"/>
        <v>739.23</v>
      </c>
      <c r="L77" s="101">
        <v>1998.23</v>
      </c>
      <c r="M77" s="102"/>
      <c r="N77" s="102"/>
      <c r="O77" s="103"/>
      <c r="P77" s="104">
        <f t="shared" si="15"/>
        <v>2737.46</v>
      </c>
      <c r="Q77" s="147"/>
      <c r="R77" s="143"/>
      <c r="S77" s="215">
        <v>150</v>
      </c>
      <c r="T77" s="143"/>
      <c r="U77" s="143"/>
      <c r="V77" s="143"/>
      <c r="W77" s="148"/>
      <c r="X77" s="148"/>
      <c r="Y77" s="108"/>
      <c r="Z77" s="108">
        <v>0</v>
      </c>
      <c r="AA77" s="104">
        <f t="shared" si="7"/>
        <v>2587.46</v>
      </c>
      <c r="AB77" s="110">
        <f t="shared" si="16"/>
        <v>0</v>
      </c>
      <c r="AC77" s="104">
        <f t="shared" si="12"/>
        <v>2587.46</v>
      </c>
      <c r="AD77" s="111">
        <f t="shared" si="13"/>
        <v>273.74600000000004</v>
      </c>
      <c r="AE77" s="110">
        <v>10.23</v>
      </c>
      <c r="AF77" s="112">
        <f t="shared" si="14"/>
        <v>3021.4360000000001</v>
      </c>
      <c r="AG77" s="113"/>
      <c r="AH77" s="114"/>
      <c r="AI77" s="113"/>
      <c r="AJ77" s="113"/>
      <c r="AK77" s="114"/>
      <c r="AL77" s="113"/>
      <c r="AM77" s="113"/>
    </row>
    <row r="78" spans="1:53" x14ac:dyDescent="0.25">
      <c r="A78" s="98" t="s">
        <v>436</v>
      </c>
      <c r="B78" s="98" t="s">
        <v>474</v>
      </c>
      <c r="C78" s="98"/>
      <c r="D78" s="98" t="s">
        <v>156</v>
      </c>
      <c r="E78" s="98" t="s">
        <v>187</v>
      </c>
      <c r="F78" s="98"/>
      <c r="G78" s="99"/>
      <c r="H78" s="99"/>
      <c r="I78" s="101">
        <v>1400</v>
      </c>
      <c r="J78" s="99"/>
      <c r="K78" s="101">
        <f t="shared" si="11"/>
        <v>1400</v>
      </c>
      <c r="L78" s="101"/>
      <c r="M78" s="102"/>
      <c r="N78" s="102"/>
      <c r="O78" s="103"/>
      <c r="P78" s="104">
        <f t="shared" si="15"/>
        <v>1400</v>
      </c>
      <c r="Q78" s="147"/>
      <c r="R78" s="143"/>
      <c r="S78" s="143">
        <v>0</v>
      </c>
      <c r="T78" s="143"/>
      <c r="U78" s="143"/>
      <c r="V78" s="143"/>
      <c r="W78" s="148"/>
      <c r="X78" s="148"/>
      <c r="Y78" s="108"/>
      <c r="Z78" s="108">
        <f>355.65+71.38</f>
        <v>427.03</v>
      </c>
      <c r="AA78" s="104">
        <f t="shared" ref="AA78:AA87" si="17">+P78-SUM(Q78:Z78)</f>
        <v>972.97</v>
      </c>
      <c r="AB78" s="110">
        <f t="shared" si="16"/>
        <v>0</v>
      </c>
      <c r="AC78" s="104">
        <f t="shared" si="12"/>
        <v>972.97</v>
      </c>
      <c r="AD78" s="111">
        <f t="shared" si="13"/>
        <v>140</v>
      </c>
      <c r="AE78" s="110">
        <v>10.23</v>
      </c>
      <c r="AF78" s="112">
        <f t="shared" si="14"/>
        <v>1550.23</v>
      </c>
      <c r="AG78" s="113"/>
      <c r="AH78" s="114"/>
      <c r="AI78" s="113"/>
      <c r="AJ78" s="113"/>
      <c r="AK78" s="114"/>
      <c r="AL78" s="113"/>
      <c r="AM78" s="113"/>
    </row>
    <row r="79" spans="1:53" s="131" customFormat="1" x14ac:dyDescent="0.25">
      <c r="A79" s="133" t="s">
        <v>436</v>
      </c>
      <c r="B79" s="133" t="s">
        <v>640</v>
      </c>
      <c r="C79" s="133"/>
      <c r="D79" s="133"/>
      <c r="E79" s="133" t="s">
        <v>187</v>
      </c>
      <c r="F79" s="175">
        <v>42410</v>
      </c>
      <c r="G79" s="133"/>
      <c r="H79" s="133"/>
      <c r="I79" s="157">
        <v>1400</v>
      </c>
      <c r="J79" s="133"/>
      <c r="K79" s="157">
        <f t="shared" si="11"/>
        <v>1400</v>
      </c>
      <c r="L79" s="157"/>
      <c r="M79" s="157"/>
      <c r="N79" s="157"/>
      <c r="O79" s="173"/>
      <c r="P79" s="126">
        <f t="shared" si="15"/>
        <v>1400</v>
      </c>
      <c r="Q79" s="124"/>
      <c r="R79" s="143"/>
      <c r="S79" s="124"/>
      <c r="T79" s="124"/>
      <c r="U79" s="124"/>
      <c r="V79" s="124"/>
      <c r="W79" s="130"/>
      <c r="X79" s="130"/>
      <c r="Y79" s="121"/>
      <c r="Z79" s="121"/>
      <c r="AA79" s="126">
        <f t="shared" si="17"/>
        <v>1400</v>
      </c>
      <c r="AB79" s="130">
        <f t="shared" si="16"/>
        <v>0</v>
      </c>
      <c r="AC79" s="126">
        <f t="shared" si="12"/>
        <v>1400</v>
      </c>
      <c r="AD79" s="130">
        <f t="shared" si="13"/>
        <v>140</v>
      </c>
      <c r="AE79" s="110">
        <v>10.23</v>
      </c>
      <c r="AF79" s="112">
        <f t="shared" si="14"/>
        <v>1550.23</v>
      </c>
      <c r="AG79" s="113"/>
      <c r="AH79" s="114"/>
      <c r="AI79" s="113"/>
      <c r="AJ79" s="113"/>
      <c r="AK79" s="114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</row>
    <row r="80" spans="1:53" x14ac:dyDescent="0.25">
      <c r="A80" s="118" t="s">
        <v>388</v>
      </c>
      <c r="B80" s="98" t="s">
        <v>641</v>
      </c>
      <c r="C80" s="98"/>
      <c r="D80" s="98" t="s">
        <v>158</v>
      </c>
      <c r="E80" s="98" t="s">
        <v>178</v>
      </c>
      <c r="F80" s="98"/>
      <c r="G80" s="98"/>
      <c r="H80" s="98"/>
      <c r="I80" s="101">
        <v>739.23</v>
      </c>
      <c r="J80" s="98"/>
      <c r="K80" s="101">
        <f t="shared" si="11"/>
        <v>739.23</v>
      </c>
      <c r="L80" s="101">
        <v>774.3</v>
      </c>
      <c r="M80" s="102"/>
      <c r="N80" s="102"/>
      <c r="O80" s="103"/>
      <c r="P80" s="104">
        <f t="shared" si="15"/>
        <v>1513.53</v>
      </c>
      <c r="Q80" s="147"/>
      <c r="R80" s="143"/>
      <c r="S80" s="143">
        <v>0</v>
      </c>
      <c r="T80" s="143"/>
      <c r="U80" s="143"/>
      <c r="V80" s="143"/>
      <c r="W80" s="148"/>
      <c r="X80" s="148"/>
      <c r="Y80" s="108"/>
      <c r="Z80" s="108">
        <v>0</v>
      </c>
      <c r="AA80" s="104">
        <f t="shared" si="17"/>
        <v>1513.53</v>
      </c>
      <c r="AB80" s="110">
        <f t="shared" si="16"/>
        <v>0</v>
      </c>
      <c r="AC80" s="104">
        <f t="shared" si="12"/>
        <v>1513.53</v>
      </c>
      <c r="AD80" s="111">
        <f t="shared" si="13"/>
        <v>151.35300000000001</v>
      </c>
      <c r="AE80" s="110">
        <v>10.23</v>
      </c>
      <c r="AF80" s="112">
        <f t="shared" si="14"/>
        <v>1675.1130000000001</v>
      </c>
      <c r="AG80" s="113"/>
      <c r="AH80" s="114"/>
      <c r="AI80" s="113"/>
      <c r="AJ80" s="113"/>
      <c r="AK80" s="114"/>
      <c r="AL80" s="113"/>
      <c r="AM80" s="113"/>
    </row>
    <row r="81" spans="1:39" x14ac:dyDescent="0.25">
      <c r="A81" s="118" t="s">
        <v>388</v>
      </c>
      <c r="B81" s="98" t="s">
        <v>477</v>
      </c>
      <c r="C81" s="98"/>
      <c r="D81" s="98" t="s">
        <v>160</v>
      </c>
      <c r="E81" s="98" t="s">
        <v>185</v>
      </c>
      <c r="F81" s="98"/>
      <c r="G81" s="98"/>
      <c r="H81" s="98"/>
      <c r="I81" s="101">
        <v>739.23</v>
      </c>
      <c r="J81" s="98"/>
      <c r="K81" s="101">
        <f t="shared" si="11"/>
        <v>739.23</v>
      </c>
      <c r="L81" s="101">
        <v>1939.52</v>
      </c>
      <c r="M81" s="101"/>
      <c r="N81" s="101"/>
      <c r="O81" s="103"/>
      <c r="P81" s="104">
        <f t="shared" si="15"/>
        <v>2678.75</v>
      </c>
      <c r="Q81" s="147"/>
      <c r="R81" s="143"/>
      <c r="S81" s="143">
        <v>0</v>
      </c>
      <c r="T81" s="143"/>
      <c r="U81" s="143"/>
      <c r="V81" s="143"/>
      <c r="W81" s="148"/>
      <c r="X81" s="148"/>
      <c r="Y81" s="108"/>
      <c r="Z81" s="108">
        <v>0</v>
      </c>
      <c r="AA81" s="104">
        <f t="shared" si="17"/>
        <v>2678.75</v>
      </c>
      <c r="AB81" s="110">
        <f t="shared" si="16"/>
        <v>0</v>
      </c>
      <c r="AC81" s="104">
        <f t="shared" si="12"/>
        <v>2678.75</v>
      </c>
      <c r="AD81" s="111">
        <f t="shared" si="13"/>
        <v>267.875</v>
      </c>
      <c r="AE81" s="110">
        <v>10.23</v>
      </c>
      <c r="AF81" s="112">
        <f t="shared" si="14"/>
        <v>2956.855</v>
      </c>
      <c r="AG81" s="113"/>
      <c r="AH81" s="114"/>
      <c r="AI81" s="113"/>
      <c r="AJ81" s="113"/>
      <c r="AK81" s="114"/>
      <c r="AL81" s="113"/>
      <c r="AM81" s="113"/>
    </row>
    <row r="82" spans="1:39" x14ac:dyDescent="0.25">
      <c r="A82" s="98" t="s">
        <v>382</v>
      </c>
      <c r="B82" s="98" t="s">
        <v>642</v>
      </c>
      <c r="C82" s="98" t="s">
        <v>33</v>
      </c>
      <c r="D82" s="98" t="s">
        <v>164</v>
      </c>
      <c r="E82" s="98" t="s">
        <v>191</v>
      </c>
      <c r="F82" s="98"/>
      <c r="G82" s="99"/>
      <c r="H82" s="99"/>
      <c r="I82" s="101">
        <v>513.33000000000004</v>
      </c>
      <c r="J82" s="99">
        <v>653.33000000000004</v>
      </c>
      <c r="K82" s="101">
        <f t="shared" si="11"/>
        <v>1166.6600000000001</v>
      </c>
      <c r="L82" s="101">
        <v>639.69000000000005</v>
      </c>
      <c r="M82" s="102"/>
      <c r="N82" s="102"/>
      <c r="O82" s="103"/>
      <c r="P82" s="104">
        <f t="shared" si="15"/>
        <v>1806.3500000000001</v>
      </c>
      <c r="Q82" s="147"/>
      <c r="R82" s="143"/>
      <c r="S82" s="143">
        <v>0</v>
      </c>
      <c r="T82" s="143"/>
      <c r="U82" s="143"/>
      <c r="V82" s="143"/>
      <c r="W82" s="148"/>
      <c r="X82" s="148"/>
      <c r="Y82" s="108"/>
      <c r="Z82" s="108">
        <f>488.83+560.34</f>
        <v>1049.17</v>
      </c>
      <c r="AA82" s="104">
        <f t="shared" si="17"/>
        <v>757.18000000000006</v>
      </c>
      <c r="AB82" s="110">
        <f t="shared" si="16"/>
        <v>0</v>
      </c>
      <c r="AC82" s="104">
        <f t="shared" si="12"/>
        <v>757.18000000000006</v>
      </c>
      <c r="AD82" s="111">
        <f t="shared" si="13"/>
        <v>180.63500000000002</v>
      </c>
      <c r="AE82" s="110">
        <v>10.23</v>
      </c>
      <c r="AF82" s="112">
        <f t="shared" si="14"/>
        <v>1997.2150000000001</v>
      </c>
      <c r="AG82" s="113"/>
      <c r="AH82" s="114"/>
      <c r="AI82" s="113"/>
      <c r="AJ82" s="113"/>
      <c r="AK82" s="114"/>
      <c r="AL82" s="113"/>
      <c r="AM82" s="113"/>
    </row>
    <row r="83" spans="1:39" x14ac:dyDescent="0.25">
      <c r="A83" s="98" t="s">
        <v>394</v>
      </c>
      <c r="B83" s="98" t="s">
        <v>643</v>
      </c>
      <c r="C83" s="98" t="s">
        <v>396</v>
      </c>
      <c r="D83" s="98" t="s">
        <v>166</v>
      </c>
      <c r="E83" s="98" t="s">
        <v>397</v>
      </c>
      <c r="F83" s="98"/>
      <c r="G83" s="99"/>
      <c r="H83" s="99"/>
      <c r="I83" s="101">
        <v>1166.67</v>
      </c>
      <c r="J83" s="99"/>
      <c r="K83" s="101">
        <f t="shared" si="11"/>
        <v>1166.67</v>
      </c>
      <c r="L83" s="101">
        <v>2500</v>
      </c>
      <c r="M83" s="102"/>
      <c r="N83" s="102"/>
      <c r="O83" s="103"/>
      <c r="P83" s="104">
        <f t="shared" si="15"/>
        <v>3666.67</v>
      </c>
      <c r="Q83" s="147"/>
      <c r="R83" s="143">
        <v>58.91</v>
      </c>
      <c r="S83" s="143">
        <v>0</v>
      </c>
      <c r="T83" s="143"/>
      <c r="U83" s="143"/>
      <c r="V83" s="143"/>
      <c r="W83" s="148"/>
      <c r="X83" s="148"/>
      <c r="Y83" s="108"/>
      <c r="Z83" s="108">
        <v>0</v>
      </c>
      <c r="AA83" s="104">
        <f t="shared" si="17"/>
        <v>3607.76</v>
      </c>
      <c r="AB83" s="110">
        <f t="shared" si="16"/>
        <v>0</v>
      </c>
      <c r="AC83" s="104">
        <f t="shared" si="12"/>
        <v>3607.76</v>
      </c>
      <c r="AD83" s="111">
        <f t="shared" si="13"/>
        <v>366.66700000000003</v>
      </c>
      <c r="AE83" s="110">
        <v>10.23</v>
      </c>
      <c r="AF83" s="112">
        <f t="shared" si="14"/>
        <v>4043.567</v>
      </c>
      <c r="AG83" s="113"/>
      <c r="AH83" s="114"/>
      <c r="AI83" s="113"/>
      <c r="AJ83" s="113"/>
      <c r="AK83" s="114"/>
      <c r="AL83" s="113"/>
      <c r="AM83" s="113"/>
    </row>
    <row r="84" spans="1:39" x14ac:dyDescent="0.25">
      <c r="A84" s="118" t="s">
        <v>386</v>
      </c>
      <c r="B84" s="98" t="s">
        <v>480</v>
      </c>
      <c r="C84" s="98"/>
      <c r="D84" s="98" t="s">
        <v>168</v>
      </c>
      <c r="E84" s="98" t="s">
        <v>195</v>
      </c>
      <c r="F84" s="98"/>
      <c r="G84" s="99"/>
      <c r="H84" s="99"/>
      <c r="I84" s="101">
        <v>608.16</v>
      </c>
      <c r="J84" s="99"/>
      <c r="K84" s="101">
        <f t="shared" si="11"/>
        <v>608.16</v>
      </c>
      <c r="L84" s="101">
        <v>3752</v>
      </c>
      <c r="M84" s="102"/>
      <c r="N84" s="102"/>
      <c r="O84" s="103"/>
      <c r="P84" s="104">
        <f t="shared" si="15"/>
        <v>4360.16</v>
      </c>
      <c r="Q84" s="147"/>
      <c r="R84" s="143"/>
      <c r="S84" s="215">
        <v>200</v>
      </c>
      <c r="T84" s="215">
        <f>P84*4.9%</f>
        <v>213.64784</v>
      </c>
      <c r="U84" s="215">
        <f>P84*1%</f>
        <v>43.601599999999998</v>
      </c>
      <c r="V84" s="143"/>
      <c r="W84" s="148"/>
      <c r="X84" s="148"/>
      <c r="Y84" s="108"/>
      <c r="Z84" s="108">
        <v>0</v>
      </c>
      <c r="AA84" s="104">
        <f t="shared" si="17"/>
        <v>3902.9105599999998</v>
      </c>
      <c r="AB84" s="110">
        <f t="shared" si="16"/>
        <v>0</v>
      </c>
      <c r="AC84" s="104">
        <f t="shared" si="12"/>
        <v>3902.9105599999998</v>
      </c>
      <c r="AD84" s="111">
        <f t="shared" si="13"/>
        <v>436.01600000000002</v>
      </c>
      <c r="AE84" s="110">
        <v>10.23</v>
      </c>
      <c r="AF84" s="112">
        <f t="shared" si="14"/>
        <v>4806.405999999999</v>
      </c>
      <c r="AG84" s="113"/>
      <c r="AH84" s="114"/>
      <c r="AI84" s="113"/>
      <c r="AJ84" s="113"/>
      <c r="AK84" s="114"/>
      <c r="AL84" s="113"/>
      <c r="AM84" s="113"/>
    </row>
    <row r="85" spans="1:39" x14ac:dyDescent="0.25">
      <c r="A85" s="98" t="s">
        <v>380</v>
      </c>
      <c r="B85" s="98" t="s">
        <v>481</v>
      </c>
      <c r="C85" s="98"/>
      <c r="D85" s="98" t="s">
        <v>170</v>
      </c>
      <c r="E85" s="98" t="s">
        <v>186</v>
      </c>
      <c r="F85" s="98"/>
      <c r="G85" s="98"/>
      <c r="H85" s="98"/>
      <c r="I85" s="101">
        <v>1100</v>
      </c>
      <c r="J85" s="98"/>
      <c r="K85" s="101">
        <f t="shared" si="11"/>
        <v>1100</v>
      </c>
      <c r="L85" s="101"/>
      <c r="M85" s="101"/>
      <c r="N85" s="101"/>
      <c r="O85" s="103"/>
      <c r="P85" s="104">
        <f t="shared" si="15"/>
        <v>1100</v>
      </c>
      <c r="Q85" s="147"/>
      <c r="R85" s="143"/>
      <c r="S85" s="143">
        <v>0</v>
      </c>
      <c r="T85" s="143"/>
      <c r="U85" s="143"/>
      <c r="V85" s="143"/>
      <c r="W85" s="148"/>
      <c r="X85" s="148"/>
      <c r="Y85" s="108"/>
      <c r="Z85" s="108">
        <v>0</v>
      </c>
      <c r="AA85" s="104">
        <f t="shared" si="17"/>
        <v>1100</v>
      </c>
      <c r="AB85" s="110">
        <f t="shared" si="16"/>
        <v>0</v>
      </c>
      <c r="AC85" s="104">
        <f t="shared" si="12"/>
        <v>1100</v>
      </c>
      <c r="AD85" s="111">
        <f t="shared" si="13"/>
        <v>110</v>
      </c>
      <c r="AE85" s="110">
        <v>10.23</v>
      </c>
      <c r="AF85" s="112">
        <f t="shared" si="14"/>
        <v>1220.23</v>
      </c>
      <c r="AG85" s="113"/>
      <c r="AH85" s="114"/>
      <c r="AI85" s="113"/>
      <c r="AJ85" s="113"/>
      <c r="AK85" s="114"/>
      <c r="AL85" s="113"/>
      <c r="AM85" s="113"/>
    </row>
    <row r="86" spans="1:39" x14ac:dyDescent="0.25">
      <c r="A86" s="98" t="s">
        <v>382</v>
      </c>
      <c r="B86" s="98" t="s">
        <v>482</v>
      </c>
      <c r="C86" s="98" t="s">
        <v>32</v>
      </c>
      <c r="D86" s="98" t="s">
        <v>172</v>
      </c>
      <c r="E86" s="98" t="s">
        <v>191</v>
      </c>
      <c r="F86" s="98"/>
      <c r="G86" s="99"/>
      <c r="H86" s="99"/>
      <c r="I86" s="101">
        <v>513.33000000000004</v>
      </c>
      <c r="J86" s="99">
        <v>653.33000000000004</v>
      </c>
      <c r="K86" s="101">
        <f t="shared" si="11"/>
        <v>1166.6600000000001</v>
      </c>
      <c r="L86" s="101"/>
      <c r="M86" s="102"/>
      <c r="N86" s="102"/>
      <c r="O86" s="103"/>
      <c r="P86" s="104">
        <f t="shared" si="15"/>
        <v>1166.6600000000001</v>
      </c>
      <c r="Q86" s="147"/>
      <c r="R86" s="143"/>
      <c r="S86" s="143">
        <v>0</v>
      </c>
      <c r="T86" s="143"/>
      <c r="U86" s="143"/>
      <c r="V86" s="143"/>
      <c r="W86" s="148"/>
      <c r="X86" s="148"/>
      <c r="Y86" s="108"/>
      <c r="Z86" s="108">
        <v>0</v>
      </c>
      <c r="AA86" s="104">
        <f t="shared" si="17"/>
        <v>1166.6600000000001</v>
      </c>
      <c r="AB86" s="110">
        <f t="shared" si="16"/>
        <v>0</v>
      </c>
      <c r="AC86" s="104">
        <f t="shared" si="12"/>
        <v>1166.6600000000001</v>
      </c>
      <c r="AD86" s="111">
        <f t="shared" si="13"/>
        <v>116.66600000000001</v>
      </c>
      <c r="AE86" s="110">
        <v>10.23</v>
      </c>
      <c r="AF86" s="112">
        <f t="shared" si="14"/>
        <v>1293.556</v>
      </c>
      <c r="AG86" s="113"/>
      <c r="AH86" s="114"/>
      <c r="AI86" s="113"/>
      <c r="AJ86" s="113"/>
      <c r="AK86" s="114"/>
      <c r="AL86" s="113"/>
      <c r="AM86" s="113"/>
    </row>
    <row r="87" spans="1:39" x14ac:dyDescent="0.25">
      <c r="A87" s="118" t="s">
        <v>388</v>
      </c>
      <c r="B87" s="98" t="s">
        <v>483</v>
      </c>
      <c r="C87" s="98"/>
      <c r="D87" s="98" t="s">
        <v>174</v>
      </c>
      <c r="E87" s="98" t="s">
        <v>390</v>
      </c>
      <c r="F87" s="98"/>
      <c r="G87" s="98"/>
      <c r="H87" s="98"/>
      <c r="I87" s="101">
        <v>739.23</v>
      </c>
      <c r="J87" s="98"/>
      <c r="K87" s="101">
        <f t="shared" si="11"/>
        <v>739.23</v>
      </c>
      <c r="L87" s="101">
        <v>2851</v>
      </c>
      <c r="M87" s="101"/>
      <c r="N87" s="101"/>
      <c r="O87" s="103"/>
      <c r="P87" s="104">
        <f t="shared" si="15"/>
        <v>3590.23</v>
      </c>
      <c r="Q87" s="147"/>
      <c r="R87" s="143"/>
      <c r="S87" s="215">
        <v>500</v>
      </c>
      <c r="T87" s="143"/>
      <c r="U87" s="143"/>
      <c r="V87" s="143"/>
      <c r="W87" s="148"/>
      <c r="X87" s="148"/>
      <c r="Y87" s="108"/>
      <c r="Z87" s="108">
        <v>0</v>
      </c>
      <c r="AA87" s="104">
        <f t="shared" si="17"/>
        <v>3090.23</v>
      </c>
      <c r="AB87" s="110">
        <f t="shared" si="16"/>
        <v>0</v>
      </c>
      <c r="AC87" s="104">
        <f t="shared" si="12"/>
        <v>3090.23</v>
      </c>
      <c r="AD87" s="111">
        <f t="shared" si="13"/>
        <v>359.02300000000002</v>
      </c>
      <c r="AE87" s="110">
        <v>10.23</v>
      </c>
      <c r="AF87" s="112">
        <f t="shared" si="14"/>
        <v>3959.4830000000002</v>
      </c>
      <c r="AG87" s="113"/>
      <c r="AH87" s="114"/>
      <c r="AI87" s="113"/>
      <c r="AJ87" s="113"/>
      <c r="AK87" s="114"/>
      <c r="AL87" s="113"/>
      <c r="AM87" s="113"/>
    </row>
    <row r="88" spans="1:39" x14ac:dyDescent="0.25">
      <c r="A88" s="98" t="s">
        <v>382</v>
      </c>
      <c r="B88" s="98" t="s">
        <v>485</v>
      </c>
      <c r="C88" s="98" t="s">
        <v>33</v>
      </c>
      <c r="D88" s="139" t="s">
        <v>202</v>
      </c>
      <c r="E88" s="98" t="s">
        <v>191</v>
      </c>
      <c r="F88" s="98"/>
      <c r="G88" s="99"/>
      <c r="H88" s="99"/>
      <c r="I88" s="101">
        <v>513.33000000000004</v>
      </c>
      <c r="J88" s="99">
        <v>653.33000000000004</v>
      </c>
      <c r="K88" s="101">
        <f t="shared" si="11"/>
        <v>1166.6600000000001</v>
      </c>
      <c r="L88" s="101"/>
      <c r="M88" s="101"/>
      <c r="N88" s="101"/>
      <c r="O88" s="103"/>
      <c r="P88" s="104">
        <f t="shared" ref="P88" si="18">SUM(K88:N88)-O88</f>
        <v>1166.6600000000001</v>
      </c>
      <c r="Q88" s="147"/>
      <c r="R88" s="143"/>
      <c r="S88" s="143"/>
      <c r="T88" s="143"/>
      <c r="U88" s="143"/>
      <c r="V88" s="143"/>
      <c r="W88" s="148"/>
      <c r="X88" s="148"/>
      <c r="Y88" s="108"/>
      <c r="Z88" s="108">
        <v>291.5</v>
      </c>
      <c r="AA88" s="104">
        <f t="shared" ref="AA88:AA90" si="19">+P88-SUM(Q88:Z88)</f>
        <v>875.16000000000008</v>
      </c>
      <c r="AB88" s="110">
        <f t="shared" si="16"/>
        <v>0</v>
      </c>
      <c r="AC88" s="104">
        <f t="shared" si="12"/>
        <v>875.16000000000008</v>
      </c>
      <c r="AD88" s="111">
        <f t="shared" si="13"/>
        <v>116.66600000000001</v>
      </c>
      <c r="AE88" s="110">
        <v>10.23</v>
      </c>
      <c r="AF88" s="112">
        <f t="shared" si="14"/>
        <v>1293.556</v>
      </c>
      <c r="AG88" s="113"/>
      <c r="AH88" s="114"/>
      <c r="AI88" s="113"/>
      <c r="AJ88" s="113"/>
      <c r="AK88" s="114"/>
      <c r="AL88" s="113"/>
      <c r="AM88" s="113"/>
    </row>
    <row r="89" spans="1:39" x14ac:dyDescent="0.25">
      <c r="A89" s="98" t="s">
        <v>380</v>
      </c>
      <c r="B89" s="133" t="s">
        <v>486</v>
      </c>
      <c r="C89" s="133"/>
      <c r="D89" s="139"/>
      <c r="E89" s="98" t="s">
        <v>487</v>
      </c>
      <c r="F89" s="98"/>
      <c r="G89" s="99"/>
      <c r="H89" s="99"/>
      <c r="I89" s="219">
        <v>1166.26</v>
      </c>
      <c r="J89" s="99"/>
      <c r="K89" s="101">
        <f t="shared" si="11"/>
        <v>1166.26</v>
      </c>
      <c r="L89" s="101">
        <v>2280.46</v>
      </c>
      <c r="M89" s="102"/>
      <c r="N89" s="102"/>
      <c r="O89" s="103"/>
      <c r="P89" s="104">
        <f t="shared" ref="P89:P90" si="20">SUM(K89:N89)-O89</f>
        <v>3446.7200000000003</v>
      </c>
      <c r="Q89" s="147"/>
      <c r="R89" s="143"/>
      <c r="S89" s="143"/>
      <c r="T89" s="143"/>
      <c r="U89" s="143"/>
      <c r="V89" s="143"/>
      <c r="W89" s="148"/>
      <c r="X89" s="148"/>
      <c r="Y89" s="108"/>
      <c r="Z89" s="108">
        <v>0</v>
      </c>
      <c r="AA89" s="104">
        <f t="shared" si="19"/>
        <v>3446.7200000000003</v>
      </c>
      <c r="AB89" s="110">
        <f t="shared" si="16"/>
        <v>0</v>
      </c>
      <c r="AC89" s="104">
        <f t="shared" si="12"/>
        <v>3446.7200000000003</v>
      </c>
      <c r="AD89" s="111">
        <f t="shared" si="13"/>
        <v>344.67200000000003</v>
      </c>
      <c r="AE89" s="110">
        <v>10.23</v>
      </c>
      <c r="AF89" s="112">
        <f t="shared" si="14"/>
        <v>3801.6220000000003</v>
      </c>
      <c r="AG89" s="113"/>
      <c r="AH89" s="114"/>
      <c r="AI89" s="113"/>
      <c r="AJ89" s="113"/>
      <c r="AK89" s="114"/>
      <c r="AL89" s="113"/>
      <c r="AM89" s="113"/>
    </row>
    <row r="90" spans="1:39" x14ac:dyDescent="0.25">
      <c r="A90" s="98" t="s">
        <v>382</v>
      </c>
      <c r="B90" s="133" t="s">
        <v>488</v>
      </c>
      <c r="C90" s="98" t="s">
        <v>31</v>
      </c>
      <c r="D90" s="139"/>
      <c r="E90" s="98" t="s">
        <v>191</v>
      </c>
      <c r="F90" s="98"/>
      <c r="G90" s="99"/>
      <c r="H90" s="99"/>
      <c r="I90" s="219">
        <v>1166.26</v>
      </c>
      <c r="J90" s="99"/>
      <c r="K90" s="101">
        <f t="shared" si="11"/>
        <v>1166.26</v>
      </c>
      <c r="L90" s="101"/>
      <c r="M90" s="102"/>
      <c r="N90" s="102"/>
      <c r="O90" s="103"/>
      <c r="P90" s="104">
        <f t="shared" si="20"/>
        <v>1166.26</v>
      </c>
      <c r="Q90" s="147"/>
      <c r="R90" s="143">
        <v>58.91</v>
      </c>
      <c r="S90" s="143"/>
      <c r="T90" s="143"/>
      <c r="U90" s="143"/>
      <c r="V90" s="143"/>
      <c r="W90" s="148"/>
      <c r="X90" s="148"/>
      <c r="Y90" s="108"/>
      <c r="Z90" s="108">
        <v>0</v>
      </c>
      <c r="AA90" s="104">
        <f t="shared" si="19"/>
        <v>1107.3499999999999</v>
      </c>
      <c r="AB90" s="110">
        <f t="shared" si="16"/>
        <v>0</v>
      </c>
      <c r="AC90" s="104">
        <f t="shared" si="12"/>
        <v>1107.3499999999999</v>
      </c>
      <c r="AD90" s="111">
        <f t="shared" si="13"/>
        <v>116.626</v>
      </c>
      <c r="AE90" s="110">
        <v>10.23</v>
      </c>
      <c r="AF90" s="112">
        <f t="shared" si="14"/>
        <v>1293.116</v>
      </c>
      <c r="AG90" s="113"/>
      <c r="AH90" s="114"/>
      <c r="AI90" s="113"/>
      <c r="AJ90" s="113"/>
      <c r="AK90" s="114"/>
      <c r="AL90" s="113"/>
      <c r="AM90" s="113"/>
    </row>
    <row r="91" spans="1:39" x14ac:dyDescent="0.25">
      <c r="A91" s="98"/>
      <c r="B91" s="98"/>
      <c r="C91" s="98"/>
      <c r="D91" s="139"/>
      <c r="E91" s="98"/>
      <c r="F91" s="98"/>
      <c r="G91" s="99"/>
      <c r="H91" s="99"/>
      <c r="I91" s="101"/>
      <c r="J91" s="99"/>
      <c r="K91" s="101"/>
      <c r="L91" s="101"/>
      <c r="M91" s="102"/>
      <c r="N91" s="102"/>
      <c r="O91" s="103"/>
      <c r="P91" s="104"/>
      <c r="Q91" s="147"/>
      <c r="R91" s="143"/>
      <c r="S91" s="143"/>
      <c r="T91" s="143"/>
      <c r="U91" s="143"/>
      <c r="V91" s="143"/>
      <c r="W91" s="148"/>
      <c r="X91" s="148"/>
      <c r="Y91" s="143"/>
      <c r="Z91" s="108"/>
      <c r="AA91" s="104"/>
      <c r="AB91" s="110"/>
      <c r="AC91" s="104"/>
      <c r="AD91" s="111"/>
      <c r="AE91" s="110"/>
      <c r="AF91" s="112"/>
      <c r="AG91" s="113"/>
      <c r="AH91" s="114"/>
      <c r="AI91" s="113"/>
      <c r="AJ91" s="113"/>
      <c r="AK91" s="113"/>
      <c r="AL91" s="113"/>
      <c r="AM91" s="113"/>
    </row>
    <row r="92" spans="1:39" x14ac:dyDescent="0.25">
      <c r="A92" s="98"/>
      <c r="B92" s="98"/>
      <c r="C92" s="98"/>
      <c r="D92" s="139"/>
      <c r="E92" s="98"/>
      <c r="F92" s="98"/>
      <c r="G92" s="99"/>
      <c r="H92" s="99"/>
      <c r="I92" s="101"/>
      <c r="J92" s="99"/>
      <c r="K92" s="101"/>
      <c r="L92" s="101"/>
      <c r="M92" s="102"/>
      <c r="N92" s="102"/>
      <c r="O92" s="103"/>
      <c r="P92" s="104"/>
      <c r="Q92" s="147"/>
      <c r="R92" s="143"/>
      <c r="S92" s="143"/>
      <c r="T92" s="143"/>
      <c r="U92" s="143"/>
      <c r="V92" s="143"/>
      <c r="W92" s="148"/>
      <c r="X92" s="148"/>
      <c r="Y92" s="143"/>
      <c r="Z92" s="108"/>
      <c r="AA92" s="104"/>
      <c r="AB92" s="110"/>
      <c r="AC92" s="104"/>
      <c r="AD92" s="111"/>
      <c r="AE92" s="110"/>
      <c r="AF92" s="112"/>
      <c r="AG92" s="113"/>
      <c r="AH92" s="114">
        <f t="shared" ref="AH92:AH94" si="21">+AC92-AG92</f>
        <v>0</v>
      </c>
      <c r="AI92" s="113"/>
      <c r="AJ92" s="113"/>
      <c r="AK92" s="113"/>
      <c r="AL92" s="113"/>
      <c r="AM92" s="113"/>
    </row>
    <row r="93" spans="1:39" x14ac:dyDescent="0.25">
      <c r="A93" s="145"/>
      <c r="B93" s="98"/>
      <c r="C93" s="98"/>
      <c r="D93" s="99"/>
      <c r="E93" s="98"/>
      <c r="F93" s="98"/>
      <c r="G93" s="98"/>
      <c r="H93" s="98"/>
      <c r="I93" s="101"/>
      <c r="J93" s="98"/>
      <c r="K93" s="101"/>
      <c r="L93" s="101"/>
      <c r="M93" s="101"/>
      <c r="N93" s="101"/>
      <c r="O93" s="103"/>
      <c r="P93" s="104"/>
      <c r="Q93" s="147"/>
      <c r="R93" s="143"/>
      <c r="S93" s="143"/>
      <c r="T93" s="143"/>
      <c r="U93" s="143"/>
      <c r="V93" s="143"/>
      <c r="W93" s="148"/>
      <c r="X93" s="148"/>
      <c r="Y93" s="143"/>
      <c r="Z93" s="146"/>
      <c r="AA93" s="104"/>
      <c r="AB93" s="110"/>
      <c r="AC93" s="104"/>
      <c r="AD93" s="111"/>
      <c r="AE93" s="110"/>
      <c r="AF93" s="112"/>
      <c r="AG93" s="113"/>
      <c r="AH93" s="114">
        <f t="shared" si="21"/>
        <v>0</v>
      </c>
      <c r="AI93" s="113"/>
      <c r="AJ93" s="113"/>
      <c r="AK93" s="113"/>
      <c r="AL93" s="113"/>
      <c r="AM93" s="113"/>
    </row>
    <row r="94" spans="1:39" x14ac:dyDescent="0.25">
      <c r="A94" s="145"/>
      <c r="B94" s="98"/>
      <c r="C94" s="98"/>
      <c r="D94" s="99"/>
      <c r="E94" s="98"/>
      <c r="F94" s="98"/>
      <c r="G94" s="98"/>
      <c r="H94" s="98"/>
      <c r="I94" s="101"/>
      <c r="J94" s="98"/>
      <c r="K94" s="101"/>
      <c r="L94" s="101"/>
      <c r="M94" s="101"/>
      <c r="N94" s="101"/>
      <c r="O94" s="103"/>
      <c r="P94" s="104"/>
      <c r="Q94" s="147"/>
      <c r="R94" s="143"/>
      <c r="S94" s="143"/>
      <c r="T94" s="143"/>
      <c r="U94" s="143"/>
      <c r="V94" s="143"/>
      <c r="W94" s="148"/>
      <c r="X94" s="148"/>
      <c r="Y94" s="148"/>
      <c r="Z94" s="148"/>
      <c r="AA94" s="104"/>
      <c r="AB94" s="110"/>
      <c r="AC94" s="104"/>
      <c r="AD94" s="111"/>
      <c r="AE94" s="110"/>
      <c r="AF94" s="112"/>
      <c r="AG94" s="113"/>
      <c r="AH94" s="114">
        <f t="shared" si="21"/>
        <v>0</v>
      </c>
      <c r="AI94" s="113"/>
      <c r="AJ94" s="113"/>
      <c r="AK94" s="113"/>
      <c r="AL94" s="113"/>
      <c r="AM94" s="113"/>
    </row>
    <row r="95" spans="1:39" s="113" customFormat="1" x14ac:dyDescent="0.25">
      <c r="A95" s="145"/>
      <c r="B95" s="149"/>
      <c r="C95" s="149"/>
      <c r="D95" s="149"/>
      <c r="E95" s="149"/>
      <c r="F95" s="149"/>
      <c r="G95" s="149"/>
      <c r="H95" s="149"/>
      <c r="I95" s="150"/>
      <c r="J95" s="149"/>
      <c r="K95" s="150"/>
      <c r="L95" s="150"/>
      <c r="M95" s="150"/>
      <c r="N95" s="150"/>
      <c r="O95" s="150"/>
      <c r="P95" s="151"/>
      <c r="Q95" s="150"/>
      <c r="R95" s="150"/>
      <c r="S95" s="150"/>
      <c r="T95" s="150"/>
      <c r="U95" s="150"/>
      <c r="V95" s="150"/>
      <c r="W95" s="110"/>
      <c r="X95" s="110"/>
      <c r="Y95" s="110"/>
      <c r="Z95" s="110"/>
      <c r="AA95" s="152"/>
      <c r="AB95" s="110"/>
      <c r="AC95" s="151"/>
      <c r="AD95" s="110"/>
      <c r="AE95" s="110"/>
      <c r="AF95" s="151"/>
    </row>
    <row r="96" spans="1:39" ht="15.75" thickBot="1" x14ac:dyDescent="0.3">
      <c r="B96" s="153" t="s">
        <v>489</v>
      </c>
      <c r="C96" s="153"/>
      <c r="D96" s="153"/>
      <c r="E96" s="153"/>
      <c r="F96" s="153"/>
      <c r="G96" s="153"/>
      <c r="H96" s="153"/>
      <c r="I96" s="221"/>
      <c r="J96" s="153"/>
      <c r="K96" s="154">
        <f t="shared" ref="K96:Q96" si="22">SUM(K7:K95)</f>
        <v>73736.400000000081</v>
      </c>
      <c r="L96" s="154">
        <f t="shared" si="22"/>
        <v>260886.61000000002</v>
      </c>
      <c r="M96" s="154">
        <f t="shared" si="22"/>
        <v>0</v>
      </c>
      <c r="N96" s="154">
        <f t="shared" si="22"/>
        <v>0</v>
      </c>
      <c r="O96" s="154">
        <f t="shared" si="22"/>
        <v>0</v>
      </c>
      <c r="P96" s="154">
        <f t="shared" si="22"/>
        <v>334623.00999999983</v>
      </c>
      <c r="Q96" s="154">
        <f t="shared" si="22"/>
        <v>0</v>
      </c>
      <c r="R96" s="154"/>
      <c r="S96" s="155">
        <f t="shared" ref="S96:AK96" si="23">SUM(S7:S95)</f>
        <v>4828.2170000000006</v>
      </c>
      <c r="T96" s="155">
        <f t="shared" si="23"/>
        <v>1976.21606</v>
      </c>
      <c r="U96" s="155">
        <f t="shared" si="23"/>
        <v>406.86950000000002</v>
      </c>
      <c r="V96" s="155">
        <f t="shared" si="23"/>
        <v>879.38</v>
      </c>
      <c r="W96" s="154">
        <f t="shared" si="23"/>
        <v>0</v>
      </c>
      <c r="X96" s="154">
        <f t="shared" si="23"/>
        <v>0</v>
      </c>
      <c r="Y96" s="154">
        <f t="shared" si="23"/>
        <v>406.94</v>
      </c>
      <c r="Z96" s="154">
        <f t="shared" si="23"/>
        <v>7262.8375000000005</v>
      </c>
      <c r="AA96" s="154">
        <f t="shared" si="23"/>
        <v>318176.25993999984</v>
      </c>
      <c r="AB96" s="154">
        <f t="shared" si="23"/>
        <v>20983.65</v>
      </c>
      <c r="AC96" s="154">
        <f t="shared" si="23"/>
        <v>297192.60993999999</v>
      </c>
      <c r="AD96" s="154">
        <f t="shared" si="23"/>
        <v>12478.650999999994</v>
      </c>
      <c r="AE96" s="154">
        <f t="shared" si="23"/>
        <v>859.32000000000096</v>
      </c>
      <c r="AF96" s="154">
        <f t="shared" si="23"/>
        <v>347960.98099999991</v>
      </c>
      <c r="AG96" s="154">
        <f t="shared" si="23"/>
        <v>0</v>
      </c>
      <c r="AH96" s="154">
        <f t="shared" si="23"/>
        <v>0</v>
      </c>
      <c r="AI96" s="154">
        <f t="shared" si="23"/>
        <v>0</v>
      </c>
      <c r="AJ96" s="154">
        <f t="shared" si="23"/>
        <v>0</v>
      </c>
      <c r="AK96" s="154">
        <f t="shared" si="23"/>
        <v>0</v>
      </c>
    </row>
    <row r="97" spans="1:37" ht="15.75" thickTop="1" x14ac:dyDescent="0.25">
      <c r="AF97" s="91">
        <f>AF96*0.16</f>
        <v>55673.756959999984</v>
      </c>
      <c r="AG97" s="91"/>
      <c r="AH97" s="91"/>
      <c r="AI97" s="91"/>
      <c r="AJ97" s="91"/>
      <c r="AK97" s="91"/>
    </row>
    <row r="98" spans="1:37" x14ac:dyDescent="0.25">
      <c r="A98" s="253" t="s">
        <v>490</v>
      </c>
      <c r="B98" s="253"/>
      <c r="C98" s="156"/>
      <c r="AF98" s="91">
        <f>+AF96+AF97</f>
        <v>403634.73795999988</v>
      </c>
      <c r="AG98" s="91"/>
      <c r="AH98" s="91"/>
      <c r="AI98" s="91"/>
      <c r="AJ98" s="91"/>
      <c r="AK98" s="91"/>
    </row>
    <row r="99" spans="1:37" x14ac:dyDescent="0.25">
      <c r="A99" s="145"/>
      <c r="B99" s="98"/>
      <c r="C99" s="98"/>
      <c r="D99" s="99"/>
      <c r="E99" s="98"/>
      <c r="F99" s="98"/>
      <c r="G99" s="98"/>
      <c r="H99" s="98"/>
      <c r="I99" s="101"/>
      <c r="J99" s="98"/>
      <c r="K99" s="101"/>
      <c r="L99" s="101"/>
      <c r="M99" s="101"/>
      <c r="N99" s="101"/>
      <c r="O99" s="101"/>
      <c r="P99" s="104">
        <f>SUM(K99:O99)</f>
        <v>0</v>
      </c>
      <c r="Q99" s="147"/>
      <c r="R99" s="147"/>
      <c r="S99" s="157"/>
      <c r="T99" s="157"/>
      <c r="U99" s="157"/>
      <c r="V99" s="157"/>
      <c r="W99" s="158"/>
      <c r="X99" s="158"/>
      <c r="Y99" s="158"/>
      <c r="Z99" s="158"/>
      <c r="AA99" s="104">
        <f>+P99-Q99</f>
        <v>0</v>
      </c>
      <c r="AB99" s="110">
        <f>+AA99*0.05</f>
        <v>0</v>
      </c>
      <c r="AC99" s="104">
        <f>+AA99-W99-Z99</f>
        <v>0</v>
      </c>
      <c r="AD99" s="111">
        <f>IF(AA99&lt;3000,AA99*0.1,0)</f>
        <v>0</v>
      </c>
      <c r="AE99" s="110">
        <v>0</v>
      </c>
      <c r="AF99" s="104">
        <f>+AA99+AD99+AE99</f>
        <v>0</v>
      </c>
      <c r="AG99" s="104">
        <f t="shared" ref="AG99:AK100" si="24">+AB99+AE99+AF99</f>
        <v>0</v>
      </c>
      <c r="AH99" s="104">
        <f t="shared" si="24"/>
        <v>0</v>
      </c>
      <c r="AI99" s="104">
        <f t="shared" si="24"/>
        <v>0</v>
      </c>
      <c r="AJ99" s="104">
        <f t="shared" si="24"/>
        <v>0</v>
      </c>
      <c r="AK99" s="104">
        <f t="shared" si="24"/>
        <v>0</v>
      </c>
    </row>
    <row r="100" spans="1:37" x14ac:dyDescent="0.25">
      <c r="A100" s="145"/>
      <c r="B100" s="99"/>
      <c r="C100" s="99"/>
      <c r="D100" s="99"/>
      <c r="E100" s="99"/>
      <c r="F100" s="99"/>
      <c r="G100" s="99"/>
      <c r="H100" s="99"/>
      <c r="I100" s="102"/>
      <c r="J100" s="99"/>
      <c r="K100" s="102"/>
      <c r="L100" s="102"/>
      <c r="M100" s="102"/>
      <c r="N100" s="102"/>
      <c r="O100" s="102"/>
      <c r="P100" s="104">
        <f>SUM(K100:O100)</f>
        <v>0</v>
      </c>
      <c r="Q100" s="147"/>
      <c r="R100" s="147"/>
      <c r="S100" s="157"/>
      <c r="T100" s="157"/>
      <c r="U100" s="157"/>
      <c r="V100" s="157"/>
      <c r="W100" s="158"/>
      <c r="X100" s="158"/>
      <c r="Y100" s="158"/>
      <c r="Z100" s="158"/>
      <c r="AA100" s="104">
        <f>+P100-Q100</f>
        <v>0</v>
      </c>
      <c r="AB100" s="110">
        <f>+AA100*0.05</f>
        <v>0</v>
      </c>
      <c r="AC100" s="104">
        <f>+AA100-W100-Z100</f>
        <v>0</v>
      </c>
      <c r="AD100" s="111">
        <f>IF(AA100&lt;3000,AA100*0.1,0)</f>
        <v>0</v>
      </c>
      <c r="AE100" s="110">
        <v>0</v>
      </c>
      <c r="AF100" s="104">
        <f>+AA100+AD100+AE100</f>
        <v>0</v>
      </c>
      <c r="AG100" s="104">
        <f t="shared" si="24"/>
        <v>0</v>
      </c>
      <c r="AH100" s="104">
        <f t="shared" si="24"/>
        <v>0</v>
      </c>
      <c r="AI100" s="104">
        <f t="shared" si="24"/>
        <v>0</v>
      </c>
      <c r="AJ100" s="104">
        <f t="shared" si="24"/>
        <v>0</v>
      </c>
      <c r="AK100" s="104">
        <f t="shared" si="24"/>
        <v>0</v>
      </c>
    </row>
    <row r="101" spans="1:37" x14ac:dyDescent="0.25">
      <c r="AF101" s="91">
        <f>SUM(AF99:AF100)</f>
        <v>0</v>
      </c>
    </row>
    <row r="102" spans="1:37" x14ac:dyDescent="0.25">
      <c r="B102" s="159" t="s">
        <v>491</v>
      </c>
      <c r="C102" s="159"/>
      <c r="D102" s="159"/>
      <c r="AF102" s="91">
        <f>+AF101*0.16</f>
        <v>0</v>
      </c>
    </row>
    <row r="103" spans="1:37" x14ac:dyDescent="0.25">
      <c r="B103" s="159"/>
      <c r="C103" s="159"/>
      <c r="D103" s="159"/>
      <c r="AF103" s="91">
        <f>+AF101+AF102</f>
        <v>0</v>
      </c>
    </row>
    <row r="104" spans="1:37" x14ac:dyDescent="0.25">
      <c r="B104" s="159"/>
      <c r="C104" s="159"/>
      <c r="D104" s="159"/>
    </row>
    <row r="105" spans="1:37" x14ac:dyDescent="0.25">
      <c r="B105" s="159" t="s">
        <v>492</v>
      </c>
      <c r="C105" s="159"/>
      <c r="D105" s="159"/>
      <c r="AF105" s="91">
        <f>+AF98+AF103</f>
        <v>403634.73795999988</v>
      </c>
    </row>
    <row r="112" spans="1:37" x14ac:dyDescent="0.25">
      <c r="A112" s="117" t="s">
        <v>493</v>
      </c>
      <c r="B112" s="90"/>
      <c r="C112" s="90"/>
    </row>
    <row r="113" spans="1:3" x14ac:dyDescent="0.25">
      <c r="A113" s="117" t="s">
        <v>494</v>
      </c>
      <c r="B113" s="90"/>
      <c r="C113" s="90"/>
    </row>
    <row r="114" spans="1:3" x14ac:dyDescent="0.25">
      <c r="A114" s="117" t="s">
        <v>495</v>
      </c>
      <c r="B114" s="90"/>
      <c r="C114" s="90"/>
    </row>
    <row r="115" spans="1:3" x14ac:dyDescent="0.25">
      <c r="A115" s="117" t="s">
        <v>496</v>
      </c>
      <c r="B115" s="90"/>
      <c r="C115" s="90"/>
    </row>
    <row r="116" spans="1:3" x14ac:dyDescent="0.25">
      <c r="A116" s="117" t="s">
        <v>497</v>
      </c>
      <c r="B116" s="90"/>
      <c r="C116" s="90"/>
    </row>
    <row r="117" spans="1:3" x14ac:dyDescent="0.25">
      <c r="A117" s="117" t="s">
        <v>498</v>
      </c>
      <c r="B117" s="90"/>
      <c r="C117" s="90"/>
    </row>
    <row r="121" spans="1:3" x14ac:dyDescent="0.25">
      <c r="B121" s="98"/>
      <c r="C121" s="160"/>
    </row>
    <row r="122" spans="1:3" x14ac:dyDescent="0.25">
      <c r="B122" s="98"/>
      <c r="C122" s="160"/>
    </row>
    <row r="123" spans="1:3" x14ac:dyDescent="0.25">
      <c r="B123" s="98"/>
      <c r="C123" s="160"/>
    </row>
  </sheetData>
  <mergeCells count="38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V5:V6"/>
    <mergeCell ref="W5:W6"/>
    <mergeCell ref="X5:X6"/>
    <mergeCell ref="Y5:Y6"/>
    <mergeCell ref="M5:M6"/>
    <mergeCell ref="N5:N6"/>
    <mergeCell ref="O5:O6"/>
    <mergeCell ref="P5:P6"/>
    <mergeCell ref="Q5:Q6"/>
    <mergeCell ref="S5:S6"/>
    <mergeCell ref="AM5:AM6"/>
    <mergeCell ref="A98:B98"/>
    <mergeCell ref="AF5:AF6"/>
    <mergeCell ref="AG5:AG6"/>
    <mergeCell ref="AH5:AH6"/>
    <mergeCell ref="AI5:AJ5"/>
    <mergeCell ref="AK5:AK6"/>
    <mergeCell ref="AL5:AL6"/>
    <mergeCell ref="Z5:Z6"/>
    <mergeCell ref="AA5:AA6"/>
    <mergeCell ref="AB5:AB6"/>
    <mergeCell ref="AC5:AC6"/>
    <mergeCell ref="AD5:AD6"/>
    <mergeCell ref="AE5:AE6"/>
    <mergeCell ref="T5:T6"/>
    <mergeCell ref="U5:U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FACTURACIÓN</vt:lpstr>
      <vt:lpstr>C&amp;A</vt:lpstr>
      <vt:lpstr>SINDICATO</vt:lpstr>
      <vt:lpstr>INFONAVIT</vt:lpstr>
      <vt:lpstr>Hoja2</vt:lpstr>
      <vt:lpstr>Hoja1</vt:lpstr>
      <vt:lpstr>Hoja3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2016-01-16T18:55:13Z</cp:lastPrinted>
  <dcterms:created xsi:type="dcterms:W3CDTF">2016-01-16T18:25:25Z</dcterms:created>
  <dcterms:modified xsi:type="dcterms:W3CDTF">2016-03-07T23:02:12Z</dcterms:modified>
</cp:coreProperties>
</file>