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\Grupo LMJS\QUERETARO MOTORS\NOMINA\NOMINA 2016\CONSULTORES\SEMANA\"/>
    </mc:Choice>
  </mc:AlternateContent>
  <bookViews>
    <workbookView xWindow="0" yWindow="0" windowWidth="28800" windowHeight="11445"/>
  </bookViews>
  <sheets>
    <sheet name="FACTURACIÓN" sheetId="1" r:id="rId1"/>
    <sheet name="C&amp;A" sheetId="4" r:id="rId2"/>
    <sheet name="SINDICATO" sheetId="2" r:id="rId3"/>
    <sheet name="INFONAVIT" sheetId="5" r:id="rId4"/>
  </sheets>
  <calcPr calcId="152511"/>
</workbook>
</file>

<file path=xl/calcChain.xml><?xml version="1.0" encoding="utf-8"?>
<calcChain xmlns="http://schemas.openxmlformats.org/spreadsheetml/2006/main">
  <c r="AP78" i="1" l="1"/>
  <c r="AP38" i="1"/>
  <c r="AP14" i="1"/>
  <c r="AP63" i="1"/>
  <c r="AP87" i="1"/>
  <c r="AP21" i="1"/>
  <c r="AP41" i="1"/>
  <c r="AP12" i="1"/>
  <c r="AP55" i="1"/>
  <c r="AP89" i="1"/>
  <c r="AP84" i="1"/>
  <c r="AP64" i="1"/>
  <c r="AP69" i="1"/>
  <c r="AP40" i="1"/>
  <c r="AP47" i="1"/>
  <c r="AP75" i="1"/>
  <c r="AP83" i="1"/>
  <c r="AP79" i="1"/>
  <c r="AP29" i="1"/>
  <c r="AP50" i="1"/>
  <c r="AP54" i="1"/>
  <c r="AP81" i="1"/>
  <c r="AP16" i="1"/>
  <c r="AP35" i="1"/>
  <c r="AP28" i="1"/>
  <c r="AP45" i="1"/>
  <c r="AP61" i="1"/>
  <c r="AP19" i="1"/>
  <c r="AP73" i="1"/>
  <c r="AP30" i="1"/>
  <c r="AP82" i="1"/>
  <c r="AP42" i="1"/>
  <c r="AP10" i="1"/>
  <c r="AP71" i="1"/>
  <c r="AP57" i="1"/>
  <c r="AP48" i="1"/>
  <c r="AP36" i="1"/>
  <c r="AP62" i="1"/>
  <c r="AP60" i="1"/>
  <c r="AP20" i="1"/>
  <c r="AP90" i="1"/>
  <c r="AP11" i="1"/>
  <c r="AP17" i="1"/>
  <c r="AP68" i="1"/>
  <c r="AP76" i="1"/>
  <c r="AP66" i="1"/>
  <c r="AP77" i="1"/>
  <c r="AP25" i="1"/>
  <c r="AP32" i="1"/>
  <c r="AP51" i="1"/>
  <c r="AP65" i="1"/>
  <c r="AP27" i="1"/>
  <c r="AP34" i="1"/>
  <c r="AP43" i="1"/>
  <c r="AP22" i="1"/>
  <c r="AP86" i="1"/>
  <c r="AP59" i="1"/>
  <c r="AP49" i="1"/>
  <c r="AP52" i="1"/>
  <c r="AP23" i="1"/>
  <c r="AP15" i="1"/>
  <c r="AP24" i="1"/>
  <c r="AP56" i="1"/>
  <c r="AP70" i="1"/>
  <c r="AP37" i="1"/>
  <c r="AP85" i="1"/>
  <c r="AP58" i="1"/>
  <c r="AP31" i="1"/>
  <c r="AP46" i="1"/>
  <c r="AW13" i="1" l="1"/>
  <c r="AW17" i="1"/>
  <c r="AW21" i="1"/>
  <c r="AW25" i="1"/>
  <c r="AW29" i="1"/>
  <c r="AW33" i="1"/>
  <c r="AW37" i="1"/>
  <c r="AW41" i="1"/>
  <c r="AW45" i="1"/>
  <c r="AW49" i="1"/>
  <c r="AW53" i="1"/>
  <c r="AW57" i="1"/>
  <c r="AW61" i="1"/>
  <c r="AW65" i="1"/>
  <c r="AW69" i="1"/>
  <c r="AW73" i="1"/>
  <c r="AW77" i="1"/>
  <c r="AW81" i="1"/>
  <c r="AW85" i="1"/>
  <c r="AW89" i="1"/>
  <c r="H92" i="2"/>
  <c r="I31" i="4"/>
  <c r="F20" i="4"/>
  <c r="F90" i="4"/>
  <c r="F88" i="4"/>
  <c r="J88" i="4" s="1"/>
  <c r="F60" i="4"/>
  <c r="J60" i="4" s="1"/>
  <c r="J33" i="1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K25" i="4"/>
  <c r="J26" i="4"/>
  <c r="J27" i="4"/>
  <c r="J28" i="4"/>
  <c r="J29" i="4"/>
  <c r="J30" i="4"/>
  <c r="J32" i="4"/>
  <c r="J33" i="4"/>
  <c r="J34" i="4"/>
  <c r="J35" i="4"/>
  <c r="J36" i="4"/>
  <c r="J37" i="4"/>
  <c r="J38" i="4"/>
  <c r="K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K58" i="4"/>
  <c r="J59" i="4"/>
  <c r="J61" i="4"/>
  <c r="J62" i="4"/>
  <c r="J63" i="4"/>
  <c r="J64" i="4"/>
  <c r="K64" i="4"/>
  <c r="J65" i="4"/>
  <c r="J66" i="4"/>
  <c r="J67" i="4"/>
  <c r="K67" i="4" s="1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K83" i="4"/>
  <c r="J84" i="4"/>
  <c r="J85" i="4"/>
  <c r="J86" i="4"/>
  <c r="J87" i="4"/>
  <c r="J89" i="4"/>
  <c r="J90" i="4"/>
  <c r="J10" i="4"/>
  <c r="E11" i="4"/>
  <c r="K11" i="4" s="1"/>
  <c r="E12" i="4"/>
  <c r="J12" i="1" s="1"/>
  <c r="E13" i="4"/>
  <c r="K13" i="4" s="1"/>
  <c r="E14" i="4"/>
  <c r="E15" i="4"/>
  <c r="K15" i="4" s="1"/>
  <c r="E16" i="4"/>
  <c r="J16" i="1" s="1"/>
  <c r="E17" i="4"/>
  <c r="K17" i="4" s="1"/>
  <c r="E18" i="4"/>
  <c r="E19" i="4"/>
  <c r="E20" i="4"/>
  <c r="J20" i="1" s="1"/>
  <c r="E21" i="4"/>
  <c r="K21" i="4" s="1"/>
  <c r="E22" i="4"/>
  <c r="E23" i="4"/>
  <c r="E24" i="4"/>
  <c r="E25" i="4"/>
  <c r="E26" i="4"/>
  <c r="E27" i="4"/>
  <c r="K27" i="4" s="1"/>
  <c r="E28" i="4"/>
  <c r="E29" i="4"/>
  <c r="K29" i="4" s="1"/>
  <c r="E30" i="4"/>
  <c r="K30" i="4" s="1"/>
  <c r="E31" i="4"/>
  <c r="E32" i="4"/>
  <c r="K33" i="4"/>
  <c r="E34" i="4"/>
  <c r="K34" i="4" s="1"/>
  <c r="E35" i="4"/>
  <c r="E36" i="4"/>
  <c r="K36" i="4" s="1"/>
  <c r="E37" i="4"/>
  <c r="K37" i="4" s="1"/>
  <c r="E38" i="4"/>
  <c r="E39" i="4"/>
  <c r="E40" i="4"/>
  <c r="K40" i="4" s="1"/>
  <c r="E41" i="4"/>
  <c r="E42" i="4"/>
  <c r="E43" i="4"/>
  <c r="E44" i="4"/>
  <c r="K44" i="4" s="1"/>
  <c r="E45" i="4"/>
  <c r="K45" i="4" s="1"/>
  <c r="E46" i="4"/>
  <c r="E47" i="4"/>
  <c r="K47" i="4" s="1"/>
  <c r="E48" i="4"/>
  <c r="K48" i="4" s="1"/>
  <c r="E49" i="4"/>
  <c r="K49" i="4" s="1"/>
  <c r="E50" i="4"/>
  <c r="K50" i="4" s="1"/>
  <c r="E51" i="4"/>
  <c r="K51" i="4" s="1"/>
  <c r="E52" i="4"/>
  <c r="E53" i="4"/>
  <c r="K53" i="4" s="1"/>
  <c r="E54" i="4"/>
  <c r="K54" i="4" s="1"/>
  <c r="E55" i="4"/>
  <c r="E56" i="4"/>
  <c r="K56" i="4" s="1"/>
  <c r="E57" i="4"/>
  <c r="K57" i="4" s="1"/>
  <c r="E58" i="4"/>
  <c r="E59" i="4"/>
  <c r="K59" i="4" s="1"/>
  <c r="E60" i="4"/>
  <c r="J60" i="1" s="1"/>
  <c r="E61" i="4"/>
  <c r="K61" i="4" s="1"/>
  <c r="E62" i="4"/>
  <c r="K62" i="4" s="1"/>
  <c r="E63" i="4"/>
  <c r="E64" i="4"/>
  <c r="J64" i="1" s="1"/>
  <c r="E65" i="4"/>
  <c r="K65" i="4" s="1"/>
  <c r="E66" i="4"/>
  <c r="K66" i="4" s="1"/>
  <c r="E67" i="4"/>
  <c r="E68" i="4"/>
  <c r="K68" i="4" s="1"/>
  <c r="E69" i="4"/>
  <c r="E70" i="4"/>
  <c r="K70" i="4" s="1"/>
  <c r="E71" i="4"/>
  <c r="E72" i="4"/>
  <c r="K72" i="4" s="1"/>
  <c r="E73" i="4"/>
  <c r="E74" i="4"/>
  <c r="E75" i="4"/>
  <c r="K75" i="4" s="1"/>
  <c r="E76" i="4"/>
  <c r="K76" i="4" s="1"/>
  <c r="E77" i="4"/>
  <c r="E78" i="4"/>
  <c r="K78" i="4" s="1"/>
  <c r="E79" i="4"/>
  <c r="K79" i="4" s="1"/>
  <c r="E80" i="4"/>
  <c r="E81" i="4"/>
  <c r="E82" i="4"/>
  <c r="K82" i="4" s="1"/>
  <c r="E83" i="4"/>
  <c r="E84" i="4"/>
  <c r="K84" i="4" s="1"/>
  <c r="E85" i="4"/>
  <c r="E86" i="4"/>
  <c r="K86" i="4" s="1"/>
  <c r="E87" i="4"/>
  <c r="K87" i="4" s="1"/>
  <c r="E88" i="4"/>
  <c r="J88" i="1" s="1"/>
  <c r="E89" i="4"/>
  <c r="K89" i="4" s="1"/>
  <c r="E90" i="4"/>
  <c r="E10" i="4"/>
  <c r="K10" i="4" s="1"/>
  <c r="D92" i="2"/>
  <c r="G50" i="2"/>
  <c r="F18" i="2"/>
  <c r="F20" i="2"/>
  <c r="F83" i="2"/>
  <c r="J10" i="1"/>
  <c r="C11" i="1"/>
  <c r="D11" i="1"/>
  <c r="E11" i="1"/>
  <c r="C12" i="1"/>
  <c r="AW12" i="1" s="1"/>
  <c r="D12" i="1"/>
  <c r="E12" i="1"/>
  <c r="C13" i="1"/>
  <c r="D13" i="1"/>
  <c r="E13" i="1"/>
  <c r="C14" i="1"/>
  <c r="AW14" i="1" s="1"/>
  <c r="D14" i="1"/>
  <c r="E14" i="1"/>
  <c r="C15" i="1"/>
  <c r="D15" i="1"/>
  <c r="D92" i="1" s="1"/>
  <c r="E15" i="1"/>
  <c r="C16" i="1"/>
  <c r="AW16" i="1" s="1"/>
  <c r="D16" i="1"/>
  <c r="E16" i="1"/>
  <c r="C17" i="1"/>
  <c r="D17" i="1"/>
  <c r="E17" i="1"/>
  <c r="C18" i="1"/>
  <c r="AW18" i="1" s="1"/>
  <c r="D18" i="1"/>
  <c r="E18" i="1"/>
  <c r="C19" i="1"/>
  <c r="D19" i="1"/>
  <c r="E19" i="1"/>
  <c r="C20" i="1"/>
  <c r="AW20" i="1" s="1"/>
  <c r="D20" i="1"/>
  <c r="E20" i="1"/>
  <c r="C21" i="1"/>
  <c r="D21" i="1"/>
  <c r="E21" i="1"/>
  <c r="C22" i="1"/>
  <c r="AW22" i="1" s="1"/>
  <c r="D22" i="1"/>
  <c r="E22" i="1"/>
  <c r="C23" i="1"/>
  <c r="AW23" i="1" s="1"/>
  <c r="D23" i="1"/>
  <c r="E23" i="1"/>
  <c r="C24" i="1"/>
  <c r="AW24" i="1" s="1"/>
  <c r="D24" i="1"/>
  <c r="E24" i="1"/>
  <c r="C25" i="1"/>
  <c r="D25" i="1"/>
  <c r="E25" i="1"/>
  <c r="C26" i="1"/>
  <c r="AW26" i="1" s="1"/>
  <c r="D26" i="1"/>
  <c r="E26" i="1"/>
  <c r="C27" i="1"/>
  <c r="AW27" i="1" s="1"/>
  <c r="D27" i="1"/>
  <c r="E27" i="1"/>
  <c r="C28" i="1"/>
  <c r="AW28" i="1" s="1"/>
  <c r="D28" i="1"/>
  <c r="E28" i="1"/>
  <c r="C29" i="1"/>
  <c r="D29" i="1"/>
  <c r="E29" i="1"/>
  <c r="C30" i="1"/>
  <c r="AW30" i="1" s="1"/>
  <c r="D30" i="1"/>
  <c r="E30" i="1"/>
  <c r="C31" i="1"/>
  <c r="AW31" i="1" s="1"/>
  <c r="D31" i="1"/>
  <c r="E31" i="1"/>
  <c r="C32" i="1"/>
  <c r="AW32" i="1" s="1"/>
  <c r="D32" i="1"/>
  <c r="E32" i="1"/>
  <c r="C33" i="1"/>
  <c r="D33" i="1"/>
  <c r="E33" i="1"/>
  <c r="C34" i="1"/>
  <c r="AW34" i="1" s="1"/>
  <c r="D34" i="1"/>
  <c r="E34" i="1"/>
  <c r="C35" i="1"/>
  <c r="AW35" i="1" s="1"/>
  <c r="D35" i="1"/>
  <c r="E35" i="1"/>
  <c r="C36" i="1"/>
  <c r="AW36" i="1" s="1"/>
  <c r="D36" i="1"/>
  <c r="E36" i="1"/>
  <c r="C37" i="1"/>
  <c r="D37" i="1"/>
  <c r="E37" i="1"/>
  <c r="C38" i="1"/>
  <c r="AW38" i="1" s="1"/>
  <c r="D38" i="1"/>
  <c r="E38" i="1"/>
  <c r="C39" i="1"/>
  <c r="D39" i="1"/>
  <c r="E39" i="1"/>
  <c r="C40" i="1"/>
  <c r="AW40" i="1" s="1"/>
  <c r="D40" i="1"/>
  <c r="E40" i="1"/>
  <c r="C41" i="1"/>
  <c r="D41" i="1"/>
  <c r="E41" i="1"/>
  <c r="C42" i="1"/>
  <c r="AW42" i="1" s="1"/>
  <c r="D42" i="1"/>
  <c r="E42" i="1"/>
  <c r="C43" i="1"/>
  <c r="AW43" i="1" s="1"/>
  <c r="D43" i="1"/>
  <c r="E43" i="1"/>
  <c r="C44" i="1"/>
  <c r="AW44" i="1" s="1"/>
  <c r="D44" i="1"/>
  <c r="E44" i="1"/>
  <c r="C45" i="1"/>
  <c r="D45" i="1"/>
  <c r="E45" i="1"/>
  <c r="C46" i="1"/>
  <c r="AW46" i="1" s="1"/>
  <c r="D46" i="1"/>
  <c r="E46" i="1"/>
  <c r="C47" i="1"/>
  <c r="D47" i="1"/>
  <c r="E47" i="1"/>
  <c r="C48" i="1"/>
  <c r="AW48" i="1" s="1"/>
  <c r="D48" i="1"/>
  <c r="E48" i="1"/>
  <c r="C49" i="1"/>
  <c r="D49" i="1"/>
  <c r="E49" i="1"/>
  <c r="C50" i="1"/>
  <c r="AW50" i="1" s="1"/>
  <c r="D50" i="1"/>
  <c r="E50" i="1"/>
  <c r="C51" i="1"/>
  <c r="AW51" i="1" s="1"/>
  <c r="D51" i="1"/>
  <c r="E51" i="1"/>
  <c r="C52" i="1"/>
  <c r="AW52" i="1" s="1"/>
  <c r="D52" i="1"/>
  <c r="E52" i="1"/>
  <c r="C53" i="1"/>
  <c r="D53" i="1"/>
  <c r="E53" i="1"/>
  <c r="C54" i="1"/>
  <c r="AW54" i="1" s="1"/>
  <c r="D54" i="1"/>
  <c r="E54" i="1"/>
  <c r="C55" i="1"/>
  <c r="D55" i="1"/>
  <c r="E55" i="1"/>
  <c r="C56" i="1"/>
  <c r="AW56" i="1" s="1"/>
  <c r="D56" i="1"/>
  <c r="E56" i="1"/>
  <c r="C57" i="1"/>
  <c r="D57" i="1"/>
  <c r="E57" i="1"/>
  <c r="C58" i="1"/>
  <c r="AW58" i="1" s="1"/>
  <c r="D58" i="1"/>
  <c r="E58" i="1"/>
  <c r="C59" i="1"/>
  <c r="AW59" i="1" s="1"/>
  <c r="D59" i="1"/>
  <c r="E59" i="1"/>
  <c r="C60" i="1"/>
  <c r="AW60" i="1" s="1"/>
  <c r="D60" i="1"/>
  <c r="E60" i="1"/>
  <c r="C61" i="1"/>
  <c r="D61" i="1"/>
  <c r="E61" i="1"/>
  <c r="C62" i="1"/>
  <c r="AW62" i="1" s="1"/>
  <c r="D62" i="1"/>
  <c r="E62" i="1"/>
  <c r="C63" i="1"/>
  <c r="D63" i="1"/>
  <c r="E63" i="1"/>
  <c r="C64" i="1"/>
  <c r="AW64" i="1" s="1"/>
  <c r="D64" i="1"/>
  <c r="E64" i="1"/>
  <c r="C65" i="1"/>
  <c r="D65" i="1"/>
  <c r="E65" i="1"/>
  <c r="C66" i="1"/>
  <c r="AW66" i="1" s="1"/>
  <c r="D66" i="1"/>
  <c r="E66" i="1"/>
  <c r="C67" i="1"/>
  <c r="D67" i="1"/>
  <c r="E67" i="1"/>
  <c r="C68" i="1"/>
  <c r="AW68" i="1" s="1"/>
  <c r="D68" i="1"/>
  <c r="E68" i="1"/>
  <c r="C69" i="1"/>
  <c r="D69" i="1"/>
  <c r="E69" i="1"/>
  <c r="C70" i="1"/>
  <c r="AW70" i="1" s="1"/>
  <c r="D70" i="1"/>
  <c r="E70" i="1"/>
  <c r="C71" i="1"/>
  <c r="D71" i="1"/>
  <c r="E71" i="1"/>
  <c r="C72" i="1"/>
  <c r="AW72" i="1" s="1"/>
  <c r="D72" i="1"/>
  <c r="E72" i="1"/>
  <c r="C73" i="1"/>
  <c r="D73" i="1"/>
  <c r="E73" i="1"/>
  <c r="C74" i="1"/>
  <c r="AW74" i="1" s="1"/>
  <c r="D74" i="1"/>
  <c r="E74" i="1"/>
  <c r="C75" i="1"/>
  <c r="D75" i="1"/>
  <c r="E75" i="1"/>
  <c r="C76" i="1"/>
  <c r="AW76" i="1" s="1"/>
  <c r="D76" i="1"/>
  <c r="E76" i="1"/>
  <c r="C77" i="1"/>
  <c r="D77" i="1"/>
  <c r="E77" i="1"/>
  <c r="C78" i="1"/>
  <c r="AW78" i="1" s="1"/>
  <c r="D78" i="1"/>
  <c r="E78" i="1"/>
  <c r="C79" i="1"/>
  <c r="D79" i="1"/>
  <c r="E79" i="1"/>
  <c r="C80" i="1"/>
  <c r="AW80" i="1" s="1"/>
  <c r="D80" i="1"/>
  <c r="E80" i="1"/>
  <c r="C81" i="1"/>
  <c r="D81" i="1"/>
  <c r="E81" i="1"/>
  <c r="C82" i="1"/>
  <c r="AW82" i="1" s="1"/>
  <c r="D82" i="1"/>
  <c r="E82" i="1"/>
  <c r="C83" i="1"/>
  <c r="D83" i="1"/>
  <c r="E83" i="1"/>
  <c r="C84" i="1"/>
  <c r="AW84" i="1" s="1"/>
  <c r="D84" i="1"/>
  <c r="E84" i="1"/>
  <c r="C85" i="1"/>
  <c r="D85" i="1"/>
  <c r="E85" i="1"/>
  <c r="C86" i="1"/>
  <c r="AW86" i="1" s="1"/>
  <c r="D86" i="1"/>
  <c r="E86" i="1"/>
  <c r="C87" i="1"/>
  <c r="D87" i="1"/>
  <c r="E87" i="1"/>
  <c r="C88" i="1"/>
  <c r="AW88" i="1" s="1"/>
  <c r="D88" i="1"/>
  <c r="E88" i="1"/>
  <c r="C89" i="1"/>
  <c r="D89" i="1"/>
  <c r="E89" i="1"/>
  <c r="C90" i="1"/>
  <c r="AW90" i="1" s="1"/>
  <c r="D90" i="1"/>
  <c r="E90" i="1"/>
  <c r="D10" i="1"/>
  <c r="E10" i="1"/>
  <c r="C10" i="1"/>
  <c r="AW10" i="1" s="1"/>
  <c r="N92" i="1"/>
  <c r="O92" i="1"/>
  <c r="P92" i="1"/>
  <c r="Q92" i="1"/>
  <c r="R92" i="1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10" i="2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G11" i="1"/>
  <c r="G11" i="2" s="1"/>
  <c r="G12" i="1"/>
  <c r="G12" i="2" s="1"/>
  <c r="G13" i="1"/>
  <c r="G13" i="2" s="1"/>
  <c r="G14" i="1"/>
  <c r="G14" i="2" s="1"/>
  <c r="G15" i="1"/>
  <c r="G15" i="2" s="1"/>
  <c r="G16" i="1"/>
  <c r="G16" i="2" s="1"/>
  <c r="G17" i="1"/>
  <c r="G17" i="2" s="1"/>
  <c r="G18" i="1"/>
  <c r="G18" i="2" s="1"/>
  <c r="G19" i="1"/>
  <c r="G19" i="2" s="1"/>
  <c r="G20" i="1"/>
  <c r="G20" i="2" s="1"/>
  <c r="G21" i="1"/>
  <c r="G21" i="2" s="1"/>
  <c r="G22" i="1"/>
  <c r="G22" i="2" s="1"/>
  <c r="G23" i="1"/>
  <c r="G23" i="2" s="1"/>
  <c r="G24" i="1"/>
  <c r="G24" i="2" s="1"/>
  <c r="G25" i="1"/>
  <c r="G25" i="2" s="1"/>
  <c r="G27" i="1"/>
  <c r="G27" i="2" s="1"/>
  <c r="G28" i="1"/>
  <c r="G28" i="2" s="1"/>
  <c r="G29" i="1"/>
  <c r="G29" i="2" s="1"/>
  <c r="G30" i="1"/>
  <c r="G30" i="2" s="1"/>
  <c r="G31" i="1"/>
  <c r="G31" i="2" s="1"/>
  <c r="G32" i="1"/>
  <c r="G32" i="2" s="1"/>
  <c r="G33" i="1"/>
  <c r="G33" i="2" s="1"/>
  <c r="G34" i="1"/>
  <c r="G34" i="2" s="1"/>
  <c r="G35" i="1"/>
  <c r="G35" i="2" s="1"/>
  <c r="G36" i="1"/>
  <c r="G36" i="2" s="1"/>
  <c r="G37" i="1"/>
  <c r="G37" i="2" s="1"/>
  <c r="G38" i="1"/>
  <c r="G38" i="2" s="1"/>
  <c r="G39" i="1"/>
  <c r="G39" i="2" s="1"/>
  <c r="G40" i="1"/>
  <c r="G40" i="2" s="1"/>
  <c r="G41" i="1"/>
  <c r="G41" i="2" s="1"/>
  <c r="G43" i="1"/>
  <c r="G43" i="2" s="1"/>
  <c r="G44" i="1"/>
  <c r="G44" i="2" s="1"/>
  <c r="G45" i="1"/>
  <c r="G45" i="2" s="1"/>
  <c r="G46" i="1"/>
  <c r="G47" i="1"/>
  <c r="G47" i="2" s="1"/>
  <c r="G48" i="1"/>
  <c r="G48" i="2" s="1"/>
  <c r="G49" i="1"/>
  <c r="G49" i="2" s="1"/>
  <c r="G50" i="1"/>
  <c r="G51" i="1"/>
  <c r="G51" i="2" s="1"/>
  <c r="G52" i="1"/>
  <c r="G52" i="2" s="1"/>
  <c r="G53" i="1"/>
  <c r="G53" i="2" s="1"/>
  <c r="G54" i="1"/>
  <c r="G54" i="2" s="1"/>
  <c r="G55" i="1"/>
  <c r="G55" i="2" s="1"/>
  <c r="G56" i="1"/>
  <c r="G56" i="2" s="1"/>
  <c r="G57" i="1"/>
  <c r="G57" i="2" s="1"/>
  <c r="G58" i="1"/>
  <c r="G58" i="2" s="1"/>
  <c r="G59" i="1"/>
  <c r="G59" i="2" s="1"/>
  <c r="G60" i="1"/>
  <c r="G60" i="2" s="1"/>
  <c r="G61" i="1"/>
  <c r="G61" i="2" s="1"/>
  <c r="G62" i="1"/>
  <c r="G62" i="2" s="1"/>
  <c r="G63" i="1"/>
  <c r="G63" i="2" s="1"/>
  <c r="G64" i="1"/>
  <c r="G64" i="2" s="1"/>
  <c r="G65" i="1"/>
  <c r="G65" i="2" s="1"/>
  <c r="G66" i="1"/>
  <c r="G66" i="2" s="1"/>
  <c r="G67" i="1"/>
  <c r="G68" i="1"/>
  <c r="G68" i="2" s="1"/>
  <c r="G69" i="1"/>
  <c r="G69" i="2" s="1"/>
  <c r="G70" i="1"/>
  <c r="G70" i="2" s="1"/>
  <c r="G71" i="1"/>
  <c r="G71" i="2" s="1"/>
  <c r="G72" i="1"/>
  <c r="G72" i="2" s="1"/>
  <c r="G73" i="1"/>
  <c r="G73" i="2" s="1"/>
  <c r="G74" i="1"/>
  <c r="G74" i="2" s="1"/>
  <c r="G75" i="1"/>
  <c r="G75" i="2" s="1"/>
  <c r="G76" i="1"/>
  <c r="G76" i="2" s="1"/>
  <c r="G77" i="1"/>
  <c r="G77" i="2" s="1"/>
  <c r="G78" i="1"/>
  <c r="G78" i="2" s="1"/>
  <c r="G79" i="1"/>
  <c r="G79" i="2" s="1"/>
  <c r="G80" i="1"/>
  <c r="G80" i="2" s="1"/>
  <c r="G81" i="1"/>
  <c r="G81" i="2" s="1"/>
  <c r="G82" i="1"/>
  <c r="G82" i="2" s="1"/>
  <c r="G83" i="1"/>
  <c r="G83" i="2" s="1"/>
  <c r="G84" i="1"/>
  <c r="G84" i="2" s="1"/>
  <c r="G85" i="1"/>
  <c r="G85" i="2" s="1"/>
  <c r="G86" i="1"/>
  <c r="G86" i="2" s="1"/>
  <c r="G87" i="1"/>
  <c r="G87" i="2" s="1"/>
  <c r="G88" i="1"/>
  <c r="G88" i="2" s="1"/>
  <c r="G89" i="1"/>
  <c r="G89" i="2" s="1"/>
  <c r="G90" i="1"/>
  <c r="G90" i="2" s="1"/>
  <c r="G10" i="1"/>
  <c r="G10" i="2" s="1"/>
  <c r="J11" i="1"/>
  <c r="J13" i="1"/>
  <c r="J14" i="1"/>
  <c r="J15" i="1"/>
  <c r="J17" i="1"/>
  <c r="J18" i="1"/>
  <c r="J19" i="1"/>
  <c r="J21" i="1"/>
  <c r="J22" i="1"/>
  <c r="J23" i="1"/>
  <c r="J25" i="1"/>
  <c r="J26" i="1"/>
  <c r="J27" i="1"/>
  <c r="J29" i="1"/>
  <c r="J30" i="1"/>
  <c r="J31" i="1"/>
  <c r="J34" i="1"/>
  <c r="J35" i="1"/>
  <c r="J37" i="1"/>
  <c r="J38" i="1"/>
  <c r="J39" i="1"/>
  <c r="J41" i="1"/>
  <c r="J42" i="1"/>
  <c r="J43" i="1"/>
  <c r="J45" i="1"/>
  <c r="J46" i="1"/>
  <c r="J47" i="1"/>
  <c r="J49" i="1"/>
  <c r="J50" i="1"/>
  <c r="J51" i="1"/>
  <c r="J53" i="1"/>
  <c r="J54" i="1"/>
  <c r="J55" i="1"/>
  <c r="J57" i="1"/>
  <c r="J58" i="1"/>
  <c r="J59" i="1"/>
  <c r="J61" i="1"/>
  <c r="J62" i="1"/>
  <c r="J63" i="1"/>
  <c r="J65" i="1"/>
  <c r="J66" i="1"/>
  <c r="J67" i="1"/>
  <c r="J69" i="1"/>
  <c r="J70" i="1"/>
  <c r="J71" i="1"/>
  <c r="J73" i="1"/>
  <c r="J74" i="1"/>
  <c r="J75" i="1"/>
  <c r="J77" i="1"/>
  <c r="J78" i="1"/>
  <c r="J79" i="1"/>
  <c r="J81" i="1"/>
  <c r="J82" i="1"/>
  <c r="J83" i="1"/>
  <c r="J85" i="1"/>
  <c r="J86" i="1"/>
  <c r="J87" i="1"/>
  <c r="J89" i="1"/>
  <c r="J90" i="1"/>
  <c r="H18" i="1"/>
  <c r="H23" i="1"/>
  <c r="H35" i="1"/>
  <c r="H43" i="1"/>
  <c r="H68" i="1"/>
  <c r="H76" i="1"/>
  <c r="F11" i="1"/>
  <c r="F11" i="2" s="1"/>
  <c r="F12" i="1"/>
  <c r="F12" i="2" s="1"/>
  <c r="F13" i="1"/>
  <c r="F13" i="2" s="1"/>
  <c r="F14" i="1"/>
  <c r="F14" i="2" s="1"/>
  <c r="F15" i="1"/>
  <c r="F15" i="2" s="1"/>
  <c r="F16" i="1"/>
  <c r="F16" i="2" s="1"/>
  <c r="F17" i="1"/>
  <c r="F17" i="2" s="1"/>
  <c r="F18" i="1"/>
  <c r="F19" i="1"/>
  <c r="F19" i="2" s="1"/>
  <c r="F21" i="1"/>
  <c r="F21" i="2" s="1"/>
  <c r="F22" i="1"/>
  <c r="F22" i="2" s="1"/>
  <c r="F23" i="1"/>
  <c r="F23" i="2" s="1"/>
  <c r="F24" i="1"/>
  <c r="F24" i="2" s="1"/>
  <c r="F25" i="1"/>
  <c r="F25" i="2" s="1"/>
  <c r="F26" i="1"/>
  <c r="F26" i="2" s="1"/>
  <c r="I26" i="2" s="1"/>
  <c r="F27" i="1"/>
  <c r="F27" i="2" s="1"/>
  <c r="F28" i="1"/>
  <c r="F28" i="2" s="1"/>
  <c r="F29" i="1"/>
  <c r="F29" i="2" s="1"/>
  <c r="F30" i="1"/>
  <c r="F30" i="2" s="1"/>
  <c r="F31" i="1"/>
  <c r="F31" i="2" s="1"/>
  <c r="F32" i="1"/>
  <c r="F32" i="2" s="1"/>
  <c r="F33" i="1"/>
  <c r="F33" i="2" s="1"/>
  <c r="F34" i="1"/>
  <c r="F34" i="2" s="1"/>
  <c r="F35" i="1"/>
  <c r="F35" i="2" s="1"/>
  <c r="F36" i="1"/>
  <c r="F36" i="2" s="1"/>
  <c r="F37" i="1"/>
  <c r="F37" i="2" s="1"/>
  <c r="F38" i="1"/>
  <c r="F38" i="2" s="1"/>
  <c r="F39" i="1"/>
  <c r="F39" i="2" s="1"/>
  <c r="I39" i="2" s="1"/>
  <c r="F40" i="1"/>
  <c r="F40" i="2" s="1"/>
  <c r="F41" i="1"/>
  <c r="F41" i="2" s="1"/>
  <c r="F42" i="1"/>
  <c r="F42" i="2" s="1"/>
  <c r="I42" i="2" s="1"/>
  <c r="F43" i="1"/>
  <c r="F43" i="2" s="1"/>
  <c r="F44" i="1"/>
  <c r="F44" i="2" s="1"/>
  <c r="F45" i="1"/>
  <c r="F45" i="2" s="1"/>
  <c r="F46" i="1"/>
  <c r="F46" i="2" s="1"/>
  <c r="I46" i="2" s="1"/>
  <c r="F47" i="1"/>
  <c r="F47" i="2" s="1"/>
  <c r="F48" i="1"/>
  <c r="F48" i="2" s="1"/>
  <c r="F49" i="1"/>
  <c r="F49" i="2" s="1"/>
  <c r="F50" i="1"/>
  <c r="F50" i="2" s="1"/>
  <c r="F51" i="1"/>
  <c r="F51" i="2" s="1"/>
  <c r="F52" i="1"/>
  <c r="F52" i="2" s="1"/>
  <c r="F53" i="1"/>
  <c r="F53" i="2" s="1"/>
  <c r="F54" i="1"/>
  <c r="F54" i="2" s="1"/>
  <c r="F55" i="1"/>
  <c r="F55" i="2" s="1"/>
  <c r="F56" i="1"/>
  <c r="F56" i="2" s="1"/>
  <c r="F57" i="1"/>
  <c r="F57" i="2" s="1"/>
  <c r="F58" i="1"/>
  <c r="F58" i="2" s="1"/>
  <c r="F59" i="1"/>
  <c r="F59" i="2" s="1"/>
  <c r="F60" i="1"/>
  <c r="F60" i="2" s="1"/>
  <c r="F61" i="1"/>
  <c r="F61" i="2" s="1"/>
  <c r="F62" i="1"/>
  <c r="F62" i="2" s="1"/>
  <c r="F63" i="1"/>
  <c r="F63" i="2" s="1"/>
  <c r="F64" i="1"/>
  <c r="F64" i="2" s="1"/>
  <c r="F65" i="1"/>
  <c r="F65" i="2" s="1"/>
  <c r="F66" i="1"/>
  <c r="F66" i="2" s="1"/>
  <c r="F67" i="1"/>
  <c r="F67" i="2" s="1"/>
  <c r="I67" i="2" s="1"/>
  <c r="F68" i="1"/>
  <c r="F68" i="2" s="1"/>
  <c r="F69" i="1"/>
  <c r="F69" i="2" s="1"/>
  <c r="F70" i="1"/>
  <c r="F70" i="2" s="1"/>
  <c r="F71" i="1"/>
  <c r="F71" i="2" s="1"/>
  <c r="F72" i="1"/>
  <c r="F72" i="2" s="1"/>
  <c r="F73" i="1"/>
  <c r="F73" i="2" s="1"/>
  <c r="F74" i="1"/>
  <c r="F74" i="2" s="1"/>
  <c r="F75" i="1"/>
  <c r="F75" i="2" s="1"/>
  <c r="F76" i="1"/>
  <c r="F76" i="2" s="1"/>
  <c r="F77" i="1"/>
  <c r="F77" i="2" s="1"/>
  <c r="F78" i="1"/>
  <c r="F78" i="2" s="1"/>
  <c r="F79" i="1"/>
  <c r="F79" i="2" s="1"/>
  <c r="F80" i="1"/>
  <c r="F80" i="2" s="1"/>
  <c r="F81" i="1"/>
  <c r="F81" i="2" s="1"/>
  <c r="F82" i="1"/>
  <c r="F82" i="2" s="1"/>
  <c r="F83" i="1"/>
  <c r="F84" i="1"/>
  <c r="F84" i="2" s="1"/>
  <c r="F85" i="1"/>
  <c r="F85" i="2" s="1"/>
  <c r="F86" i="1"/>
  <c r="F86" i="2" s="1"/>
  <c r="F87" i="1"/>
  <c r="F87" i="2" s="1"/>
  <c r="F88" i="1"/>
  <c r="F88" i="2" s="1"/>
  <c r="F89" i="1"/>
  <c r="F89" i="2" s="1"/>
  <c r="F90" i="1"/>
  <c r="F90" i="2" s="1"/>
  <c r="F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I62" i="2" l="1"/>
  <c r="I23" i="2"/>
  <c r="H84" i="1"/>
  <c r="C84" i="2" s="1"/>
  <c r="H51" i="1"/>
  <c r="C51" i="2" s="1"/>
  <c r="H27" i="1"/>
  <c r="K63" i="1"/>
  <c r="K71" i="4"/>
  <c r="I74" i="2"/>
  <c r="I84" i="2"/>
  <c r="I40" i="2"/>
  <c r="I28" i="2"/>
  <c r="H59" i="1"/>
  <c r="H31" i="1"/>
  <c r="K31" i="1" s="1"/>
  <c r="H14" i="1"/>
  <c r="K77" i="4"/>
  <c r="K74" i="4"/>
  <c r="K22" i="4"/>
  <c r="K81" i="4"/>
  <c r="K46" i="4"/>
  <c r="K16" i="4"/>
  <c r="H89" i="1"/>
  <c r="C89" i="2" s="1"/>
  <c r="H88" i="1"/>
  <c r="H87" i="1"/>
  <c r="H85" i="1"/>
  <c r="H83" i="1"/>
  <c r="H81" i="1"/>
  <c r="H80" i="1"/>
  <c r="H79" i="1"/>
  <c r="C79" i="2" s="1"/>
  <c r="H77" i="1"/>
  <c r="C77" i="2" s="1"/>
  <c r="H75" i="1"/>
  <c r="H73" i="1"/>
  <c r="H72" i="1"/>
  <c r="H71" i="1"/>
  <c r="K71" i="1" s="1"/>
  <c r="H69" i="1"/>
  <c r="H67" i="1"/>
  <c r="C67" i="2" s="1"/>
  <c r="H65" i="1"/>
  <c r="H64" i="1"/>
  <c r="C64" i="2" s="1"/>
  <c r="H63" i="1"/>
  <c r="H61" i="1"/>
  <c r="H60" i="1"/>
  <c r="H57" i="1"/>
  <c r="K57" i="1" s="1"/>
  <c r="H56" i="1"/>
  <c r="H55" i="1"/>
  <c r="H53" i="1"/>
  <c r="C53" i="2" s="1"/>
  <c r="H52" i="1"/>
  <c r="H49" i="1"/>
  <c r="H48" i="1"/>
  <c r="H47" i="1"/>
  <c r="C47" i="2" s="1"/>
  <c r="H45" i="1"/>
  <c r="C45" i="2" s="1"/>
  <c r="H44" i="1"/>
  <c r="H41" i="1"/>
  <c r="H40" i="1"/>
  <c r="H39" i="1"/>
  <c r="H37" i="1"/>
  <c r="H36" i="1"/>
  <c r="H33" i="1"/>
  <c r="H32" i="1"/>
  <c r="H29" i="1"/>
  <c r="H28" i="1"/>
  <c r="H25" i="1"/>
  <c r="H24" i="1"/>
  <c r="H21" i="1"/>
  <c r="H19" i="1"/>
  <c r="H16" i="1"/>
  <c r="H15" i="1"/>
  <c r="K15" i="1" s="1"/>
  <c r="H12" i="1"/>
  <c r="H11" i="1"/>
  <c r="K80" i="4"/>
  <c r="K73" i="4"/>
  <c r="C73" i="2" s="1"/>
  <c r="K18" i="4"/>
  <c r="C18" i="2" s="1"/>
  <c r="K55" i="4"/>
  <c r="K35" i="4"/>
  <c r="C35" i="2" s="1"/>
  <c r="K85" i="4"/>
  <c r="K69" i="4"/>
  <c r="K14" i="4"/>
  <c r="AW87" i="1"/>
  <c r="AW83" i="1"/>
  <c r="AW79" i="1"/>
  <c r="AW75" i="1"/>
  <c r="AW71" i="1"/>
  <c r="AW67" i="1"/>
  <c r="AW63" i="1"/>
  <c r="AW55" i="1"/>
  <c r="AW47" i="1"/>
  <c r="AW39" i="1"/>
  <c r="AW19" i="1"/>
  <c r="AW15" i="1"/>
  <c r="AW11" i="1"/>
  <c r="I43" i="2"/>
  <c r="I90" i="2"/>
  <c r="I54" i="2"/>
  <c r="I57" i="2"/>
  <c r="I29" i="2"/>
  <c r="I25" i="2"/>
  <c r="I21" i="2"/>
  <c r="I16" i="2"/>
  <c r="I12" i="2"/>
  <c r="C68" i="2"/>
  <c r="I88" i="2"/>
  <c r="I63" i="2"/>
  <c r="I37" i="2"/>
  <c r="I55" i="2"/>
  <c r="I51" i="2"/>
  <c r="I71" i="2"/>
  <c r="I72" i="2"/>
  <c r="I64" i="2"/>
  <c r="I56" i="2"/>
  <c r="I48" i="2"/>
  <c r="I50" i="2"/>
  <c r="I59" i="2"/>
  <c r="I31" i="2"/>
  <c r="I27" i="2"/>
  <c r="C27" i="2"/>
  <c r="I24" i="2"/>
  <c r="I87" i="2"/>
  <c r="I82" i="2"/>
  <c r="I78" i="2"/>
  <c r="I66" i="2"/>
  <c r="I58" i="2"/>
  <c r="I38" i="2"/>
  <c r="I34" i="2"/>
  <c r="I30" i="2"/>
  <c r="I22" i="2"/>
  <c r="I17" i="2"/>
  <c r="I13" i="2"/>
  <c r="C76" i="2"/>
  <c r="I81" i="2"/>
  <c r="I77" i="2"/>
  <c r="I73" i="2"/>
  <c r="I36" i="2"/>
  <c r="I19" i="2"/>
  <c r="I11" i="2"/>
  <c r="I47" i="2"/>
  <c r="I80" i="2"/>
  <c r="I60" i="2"/>
  <c r="I52" i="2"/>
  <c r="I44" i="2"/>
  <c r="C59" i="2"/>
  <c r="I83" i="2"/>
  <c r="H10" i="1"/>
  <c r="K10" i="1" s="1"/>
  <c r="C87" i="2"/>
  <c r="C83" i="2"/>
  <c r="C81" i="2"/>
  <c r="C80" i="2"/>
  <c r="C75" i="2"/>
  <c r="C72" i="2"/>
  <c r="C69" i="2"/>
  <c r="C65" i="2"/>
  <c r="C61" i="2"/>
  <c r="C57" i="2"/>
  <c r="C56" i="2"/>
  <c r="C55" i="2"/>
  <c r="C49" i="2"/>
  <c r="C48" i="2"/>
  <c r="C44" i="2"/>
  <c r="C40" i="2"/>
  <c r="C37" i="2"/>
  <c r="C36" i="2"/>
  <c r="C29" i="2"/>
  <c r="C21" i="2"/>
  <c r="C16" i="2"/>
  <c r="C11" i="2"/>
  <c r="I53" i="2"/>
  <c r="I35" i="2"/>
  <c r="I33" i="2"/>
  <c r="I32" i="2"/>
  <c r="K58" i="1"/>
  <c r="K47" i="1"/>
  <c r="K33" i="1"/>
  <c r="C33" i="2"/>
  <c r="C25" i="2"/>
  <c r="H17" i="1"/>
  <c r="C17" i="2" s="1"/>
  <c r="H13" i="1"/>
  <c r="C13" i="2" s="1"/>
  <c r="K83" i="1"/>
  <c r="K67" i="1"/>
  <c r="K51" i="1"/>
  <c r="K35" i="1"/>
  <c r="K29" i="1"/>
  <c r="K23" i="1"/>
  <c r="K18" i="1"/>
  <c r="K13" i="1"/>
  <c r="I89" i="2"/>
  <c r="I85" i="2"/>
  <c r="I69" i="2"/>
  <c r="I79" i="2"/>
  <c r="K88" i="1"/>
  <c r="K60" i="1"/>
  <c r="I86" i="2"/>
  <c r="I70" i="2"/>
  <c r="K87" i="1"/>
  <c r="K55" i="1"/>
  <c r="K39" i="1"/>
  <c r="K27" i="1"/>
  <c r="K17" i="1"/>
  <c r="K11" i="1"/>
  <c r="I18" i="2"/>
  <c r="C92" i="1"/>
  <c r="I65" i="2"/>
  <c r="I61" i="2"/>
  <c r="I49" i="2"/>
  <c r="I45" i="2"/>
  <c r="I41" i="2"/>
  <c r="K75" i="1"/>
  <c r="K59" i="1"/>
  <c r="K43" i="1"/>
  <c r="E92" i="1"/>
  <c r="H90" i="1"/>
  <c r="K90" i="1" s="1"/>
  <c r="H86" i="1"/>
  <c r="C86" i="2" s="1"/>
  <c r="H82" i="1"/>
  <c r="C82" i="2" s="1"/>
  <c r="H78" i="1"/>
  <c r="C78" i="2" s="1"/>
  <c r="H74" i="1"/>
  <c r="C74" i="2" s="1"/>
  <c r="H70" i="1"/>
  <c r="C70" i="2" s="1"/>
  <c r="H66" i="1"/>
  <c r="C66" i="2" s="1"/>
  <c r="H62" i="1"/>
  <c r="C62" i="2" s="1"/>
  <c r="H58" i="1"/>
  <c r="C58" i="2" s="1"/>
  <c r="H54" i="1"/>
  <c r="C54" i="2" s="1"/>
  <c r="H50" i="1"/>
  <c r="C50" i="2" s="1"/>
  <c r="H46" i="1"/>
  <c r="C46" i="2" s="1"/>
  <c r="H42" i="1"/>
  <c r="K42" i="1" s="1"/>
  <c r="H38" i="1"/>
  <c r="C38" i="2" s="1"/>
  <c r="H34" i="1"/>
  <c r="C34" i="2" s="1"/>
  <c r="H30" i="1"/>
  <c r="C30" i="2" s="1"/>
  <c r="H26" i="1"/>
  <c r="H22" i="1"/>
  <c r="C22" i="2" s="1"/>
  <c r="I14" i="2"/>
  <c r="K52" i="4"/>
  <c r="K28" i="4"/>
  <c r="C28" i="2" s="1"/>
  <c r="J28" i="1"/>
  <c r="K28" i="1" s="1"/>
  <c r="K16" i="1"/>
  <c r="K12" i="4"/>
  <c r="C12" i="2" s="1"/>
  <c r="I76" i="2"/>
  <c r="I68" i="2"/>
  <c r="I15" i="2"/>
  <c r="K26" i="1"/>
  <c r="K21" i="1"/>
  <c r="H20" i="1"/>
  <c r="K23" i="4"/>
  <c r="C23" i="2" s="1"/>
  <c r="K32" i="4"/>
  <c r="J32" i="1"/>
  <c r="K24" i="4"/>
  <c r="J24" i="1"/>
  <c r="K24" i="1" s="1"/>
  <c r="K12" i="1"/>
  <c r="F92" i="1"/>
  <c r="J84" i="1"/>
  <c r="J80" i="1"/>
  <c r="K80" i="1" s="1"/>
  <c r="J76" i="1"/>
  <c r="K76" i="1" s="1"/>
  <c r="J72" i="1"/>
  <c r="K72" i="1" s="1"/>
  <c r="J68" i="1"/>
  <c r="K68" i="1" s="1"/>
  <c r="J56" i="1"/>
  <c r="K56" i="1" s="1"/>
  <c r="J52" i="1"/>
  <c r="J48" i="1"/>
  <c r="K48" i="1" s="1"/>
  <c r="J44" i="1"/>
  <c r="K44" i="1" s="1"/>
  <c r="J40" i="1"/>
  <c r="K40" i="1" s="1"/>
  <c r="J36" i="1"/>
  <c r="K36" i="1" s="1"/>
  <c r="K25" i="1"/>
  <c r="K19" i="1"/>
  <c r="K14" i="1"/>
  <c r="I75" i="2"/>
  <c r="G92" i="1"/>
  <c r="F10" i="2"/>
  <c r="I10" i="2" s="1"/>
  <c r="K41" i="4"/>
  <c r="C41" i="2" s="1"/>
  <c r="I91" i="4"/>
  <c r="J31" i="4"/>
  <c r="K31" i="4" s="1"/>
  <c r="K85" i="1"/>
  <c r="K81" i="1"/>
  <c r="K73" i="1"/>
  <c r="K69" i="1"/>
  <c r="K65" i="1"/>
  <c r="K61" i="1"/>
  <c r="K53" i="1"/>
  <c r="K49" i="1"/>
  <c r="K41" i="1"/>
  <c r="K37" i="1"/>
  <c r="K63" i="4"/>
  <c r="C63" i="2" s="1"/>
  <c r="K19" i="4"/>
  <c r="C19" i="2" s="1"/>
  <c r="K90" i="4"/>
  <c r="K42" i="4"/>
  <c r="K20" i="4"/>
  <c r="K88" i="4"/>
  <c r="C88" i="2" s="1"/>
  <c r="K60" i="4"/>
  <c r="C60" i="2" s="1"/>
  <c r="K43" i="4"/>
  <c r="C43" i="2" s="1"/>
  <c r="G92" i="2"/>
  <c r="K39" i="4"/>
  <c r="C39" i="2" s="1"/>
  <c r="K26" i="4"/>
  <c r="I20" i="2"/>
  <c r="K45" i="1" l="1"/>
  <c r="K77" i="1"/>
  <c r="K52" i="1"/>
  <c r="C32" i="2"/>
  <c r="K64" i="1"/>
  <c r="C15" i="2"/>
  <c r="C14" i="2"/>
  <c r="K84" i="1"/>
  <c r="C24" i="2"/>
  <c r="C71" i="2"/>
  <c r="C85" i="2"/>
  <c r="K79" i="1"/>
  <c r="C31" i="2"/>
  <c r="K32" i="1"/>
  <c r="K89" i="1"/>
  <c r="C52" i="2"/>
  <c r="H92" i="1"/>
  <c r="I92" i="2"/>
  <c r="F92" i="2"/>
  <c r="J92" i="1"/>
  <c r="K38" i="1"/>
  <c r="L38" i="1" s="1"/>
  <c r="M38" i="1" s="1"/>
  <c r="K70" i="1"/>
  <c r="K22" i="1"/>
  <c r="K50" i="1"/>
  <c r="K82" i="1"/>
  <c r="K62" i="1"/>
  <c r="C10" i="2"/>
  <c r="K74" i="1"/>
  <c r="K30" i="1"/>
  <c r="C20" i="2"/>
  <c r="C26" i="2"/>
  <c r="C42" i="2"/>
  <c r="C90" i="2"/>
  <c r="K54" i="1"/>
  <c r="K86" i="1"/>
  <c r="K34" i="1"/>
  <c r="K66" i="1"/>
  <c r="K46" i="1"/>
  <c r="K78" i="1"/>
  <c r="S10" i="1"/>
  <c r="C92" i="2" l="1"/>
  <c r="M10" i="4"/>
  <c r="O21" i="2" l="1"/>
  <c r="P21" i="2" s="1"/>
  <c r="O22" i="2"/>
  <c r="P22" i="2" s="1"/>
  <c r="O23" i="2"/>
  <c r="P23" i="2" s="1"/>
  <c r="O24" i="2"/>
  <c r="P24" i="2" s="1"/>
  <c r="O25" i="2"/>
  <c r="P25" i="2" s="1"/>
  <c r="O26" i="2"/>
  <c r="P26" i="2" s="1"/>
  <c r="O27" i="2"/>
  <c r="P27" i="2" s="1"/>
  <c r="O28" i="2"/>
  <c r="P28" i="2" s="1"/>
  <c r="O29" i="2"/>
  <c r="P29" i="2" s="1"/>
  <c r="O30" i="2"/>
  <c r="P30" i="2" s="1"/>
  <c r="O31" i="2"/>
  <c r="P31" i="2" s="1"/>
  <c r="O32" i="2"/>
  <c r="P32" i="2" s="1"/>
  <c r="O33" i="2"/>
  <c r="P33" i="2" s="1"/>
  <c r="O34" i="2"/>
  <c r="P34" i="2" s="1"/>
  <c r="O35" i="2"/>
  <c r="P35" i="2" s="1"/>
  <c r="O36" i="2"/>
  <c r="P36" i="2" s="1"/>
  <c r="O37" i="2"/>
  <c r="P37" i="2" s="1"/>
  <c r="O38" i="2"/>
  <c r="P38" i="2" s="1"/>
  <c r="O39" i="2"/>
  <c r="P39" i="2" s="1"/>
  <c r="O40" i="2"/>
  <c r="P40" i="2" s="1"/>
  <c r="O41" i="2"/>
  <c r="P41" i="2" s="1"/>
  <c r="O42" i="2"/>
  <c r="P42" i="2" s="1"/>
  <c r="O43" i="2"/>
  <c r="P43" i="2" s="1"/>
  <c r="O44" i="2"/>
  <c r="P44" i="2" s="1"/>
  <c r="O45" i="2"/>
  <c r="P45" i="2" s="1"/>
  <c r="O46" i="2"/>
  <c r="P46" i="2" s="1"/>
  <c r="O47" i="2"/>
  <c r="P47" i="2" s="1"/>
  <c r="O48" i="2"/>
  <c r="P48" i="2" s="1"/>
  <c r="O49" i="2"/>
  <c r="P49" i="2" s="1"/>
  <c r="O50" i="2"/>
  <c r="P50" i="2" s="1"/>
  <c r="O51" i="2"/>
  <c r="P51" i="2" s="1"/>
  <c r="O52" i="2"/>
  <c r="P52" i="2" s="1"/>
  <c r="O53" i="2"/>
  <c r="P53" i="2" s="1"/>
  <c r="O54" i="2"/>
  <c r="P54" i="2" s="1"/>
  <c r="O55" i="2"/>
  <c r="P55" i="2" s="1"/>
  <c r="O56" i="2"/>
  <c r="P56" i="2" s="1"/>
  <c r="O57" i="2"/>
  <c r="P57" i="2" s="1"/>
  <c r="O58" i="2"/>
  <c r="P58" i="2" s="1"/>
  <c r="O59" i="2"/>
  <c r="P59" i="2" s="1"/>
  <c r="O60" i="2"/>
  <c r="P60" i="2" s="1"/>
  <c r="O61" i="2"/>
  <c r="P61" i="2" s="1"/>
  <c r="O62" i="2"/>
  <c r="P62" i="2" s="1"/>
  <c r="O63" i="2"/>
  <c r="P63" i="2" s="1"/>
  <c r="O64" i="2"/>
  <c r="P64" i="2" s="1"/>
  <c r="O65" i="2"/>
  <c r="P65" i="2" s="1"/>
  <c r="O66" i="2"/>
  <c r="P66" i="2" s="1"/>
  <c r="O67" i="2"/>
  <c r="P67" i="2" s="1"/>
  <c r="O68" i="2"/>
  <c r="P68" i="2" s="1"/>
  <c r="O69" i="2"/>
  <c r="P69" i="2" s="1"/>
  <c r="O70" i="2"/>
  <c r="P70" i="2" s="1"/>
  <c r="O71" i="2"/>
  <c r="P71" i="2" s="1"/>
  <c r="O72" i="2"/>
  <c r="P72" i="2" s="1"/>
  <c r="O73" i="2"/>
  <c r="P73" i="2" s="1"/>
  <c r="O74" i="2"/>
  <c r="P74" i="2" s="1"/>
  <c r="O75" i="2"/>
  <c r="P75" i="2" s="1"/>
  <c r="O76" i="2"/>
  <c r="P76" i="2" s="1"/>
  <c r="O77" i="2"/>
  <c r="P77" i="2" s="1"/>
  <c r="O78" i="2"/>
  <c r="P78" i="2" s="1"/>
  <c r="O79" i="2"/>
  <c r="P79" i="2" s="1"/>
  <c r="O80" i="2"/>
  <c r="P80" i="2" s="1"/>
  <c r="O81" i="2"/>
  <c r="P81" i="2" s="1"/>
  <c r="O82" i="2"/>
  <c r="P82" i="2" s="1"/>
  <c r="O83" i="2"/>
  <c r="P83" i="2" s="1"/>
  <c r="O84" i="2"/>
  <c r="P84" i="2" s="1"/>
  <c r="O85" i="2"/>
  <c r="P85" i="2" s="1"/>
  <c r="O86" i="2"/>
  <c r="P86" i="2" s="1"/>
  <c r="O87" i="2"/>
  <c r="P87" i="2" s="1"/>
  <c r="O88" i="2"/>
  <c r="P88" i="2" s="1"/>
  <c r="O89" i="2"/>
  <c r="P89" i="2" s="1"/>
  <c r="O90" i="2"/>
  <c r="P90" i="2" s="1"/>
  <c r="O11" i="2"/>
  <c r="P11" i="2" s="1"/>
  <c r="O12" i="2"/>
  <c r="P12" i="2" s="1"/>
  <c r="O13" i="2"/>
  <c r="P13" i="2" s="1"/>
  <c r="O14" i="2"/>
  <c r="P14" i="2" s="1"/>
  <c r="O15" i="2"/>
  <c r="P15" i="2" s="1"/>
  <c r="O16" i="2"/>
  <c r="P16" i="2" s="1"/>
  <c r="O17" i="2"/>
  <c r="P17" i="2" s="1"/>
  <c r="O18" i="2"/>
  <c r="P18" i="2" s="1"/>
  <c r="O19" i="2"/>
  <c r="P19" i="2" s="1"/>
  <c r="O20" i="2"/>
  <c r="P20" i="2" s="1"/>
  <c r="O10" i="2"/>
  <c r="P10" i="2" s="1"/>
  <c r="N6" i="2"/>
  <c r="E38" i="2"/>
  <c r="J38" i="2" s="1"/>
  <c r="D91" i="4"/>
  <c r="E91" i="4"/>
  <c r="F91" i="4"/>
  <c r="G91" i="4"/>
  <c r="AN93" i="1" s="1"/>
  <c r="H91" i="4"/>
  <c r="C91" i="4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10" i="1"/>
  <c r="AN38" i="1" l="1"/>
  <c r="AT38" i="1"/>
  <c r="K91" i="4"/>
  <c r="J91" i="4"/>
  <c r="AV38" i="1" l="1"/>
  <c r="AU38" i="1"/>
  <c r="F102" i="1"/>
  <c r="H102" i="1" s="1"/>
  <c r="L67" i="1" l="1"/>
  <c r="M67" i="1" s="1"/>
  <c r="E67" i="2"/>
  <c r="J67" i="2" s="1"/>
  <c r="E74" i="2"/>
  <c r="J74" i="2" s="1"/>
  <c r="E55" i="2"/>
  <c r="J55" i="2" s="1"/>
  <c r="E65" i="2"/>
  <c r="J65" i="2" s="1"/>
  <c r="E66" i="2"/>
  <c r="J66" i="2" s="1"/>
  <c r="E14" i="2"/>
  <c r="J14" i="2" s="1"/>
  <c r="E13" i="2"/>
  <c r="J13" i="2" s="1"/>
  <c r="E18" i="2"/>
  <c r="J18" i="2" s="1"/>
  <c r="E22" i="2"/>
  <c r="J22" i="2" s="1"/>
  <c r="E25" i="2"/>
  <c r="J25" i="2" s="1"/>
  <c r="E26" i="2"/>
  <c r="J26" i="2" s="1"/>
  <c r="E30" i="2"/>
  <c r="J30" i="2" s="1"/>
  <c r="E33" i="2"/>
  <c r="J33" i="2" s="1"/>
  <c r="E39" i="2"/>
  <c r="J39" i="2" s="1"/>
  <c r="E43" i="2"/>
  <c r="J43" i="2" s="1"/>
  <c r="E47" i="2"/>
  <c r="J47" i="2" s="1"/>
  <c r="E50" i="2"/>
  <c r="J50" i="2" s="1"/>
  <c r="E51" i="2"/>
  <c r="J51" i="2" s="1"/>
  <c r="AN51" i="1" l="1"/>
  <c r="AT51" i="1"/>
  <c r="AN47" i="1"/>
  <c r="AT47" i="1"/>
  <c r="AN39" i="1"/>
  <c r="AT39" i="1"/>
  <c r="AN30" i="1"/>
  <c r="AT30" i="1"/>
  <c r="AN25" i="1"/>
  <c r="AT25" i="1"/>
  <c r="AN18" i="1"/>
  <c r="AT18" i="1"/>
  <c r="AN14" i="1"/>
  <c r="AT14" i="1"/>
  <c r="AN65" i="1"/>
  <c r="AT65" i="1"/>
  <c r="AN74" i="1"/>
  <c r="AT74" i="1"/>
  <c r="AN50" i="1"/>
  <c r="AT50" i="1"/>
  <c r="AN43" i="1"/>
  <c r="AT43" i="1"/>
  <c r="AN33" i="1"/>
  <c r="AT33" i="1"/>
  <c r="AN26" i="1"/>
  <c r="AT26" i="1"/>
  <c r="AN22" i="1"/>
  <c r="AT22" i="1"/>
  <c r="AN13" i="1"/>
  <c r="AT13" i="1"/>
  <c r="AN66" i="1"/>
  <c r="AT66" i="1"/>
  <c r="AN55" i="1"/>
  <c r="AT55" i="1"/>
  <c r="AN67" i="1"/>
  <c r="AT67" i="1"/>
  <c r="L35" i="1"/>
  <c r="M35" i="1" s="1"/>
  <c r="E35" i="2"/>
  <c r="J35" i="2" s="1"/>
  <c r="L31" i="1"/>
  <c r="M31" i="1" s="1"/>
  <c r="E31" i="2"/>
  <c r="J31" i="2" s="1"/>
  <c r="L28" i="1"/>
  <c r="M28" i="1" s="1"/>
  <c r="E28" i="2"/>
  <c r="J28" i="2" s="1"/>
  <c r="L24" i="1"/>
  <c r="M24" i="1" s="1"/>
  <c r="E24" i="2"/>
  <c r="J24" i="2" s="1"/>
  <c r="L19" i="1"/>
  <c r="M19" i="1" s="1"/>
  <c r="E19" i="2"/>
  <c r="J19" i="2" s="1"/>
  <c r="L16" i="1"/>
  <c r="M16" i="1" s="1"/>
  <c r="E16" i="2"/>
  <c r="J16" i="2" s="1"/>
  <c r="E11" i="2"/>
  <c r="J11" i="2" s="1"/>
  <c r="L70" i="1"/>
  <c r="M70" i="1" s="1"/>
  <c r="E70" i="2"/>
  <c r="J70" i="2" s="1"/>
  <c r="L62" i="1"/>
  <c r="M62" i="1" s="1"/>
  <c r="E62" i="2"/>
  <c r="J62" i="2" s="1"/>
  <c r="L57" i="1"/>
  <c r="M57" i="1" s="1"/>
  <c r="E57" i="2"/>
  <c r="J57" i="2" s="1"/>
  <c r="L56" i="1"/>
  <c r="M56" i="1" s="1"/>
  <c r="E56" i="2"/>
  <c r="J56" i="2" s="1"/>
  <c r="L54" i="1"/>
  <c r="M54" i="1" s="1"/>
  <c r="E54" i="2"/>
  <c r="J54" i="2" s="1"/>
  <c r="L89" i="1"/>
  <c r="M89" i="1" s="1"/>
  <c r="E89" i="2"/>
  <c r="J89" i="2" s="1"/>
  <c r="L82" i="1"/>
  <c r="M82" i="1" s="1"/>
  <c r="E82" i="2"/>
  <c r="J82" i="2" s="1"/>
  <c r="L78" i="1"/>
  <c r="M78" i="1" s="1"/>
  <c r="E78" i="2"/>
  <c r="J78" i="2" s="1"/>
  <c r="L44" i="1"/>
  <c r="M44" i="1" s="1"/>
  <c r="E44" i="2"/>
  <c r="J44" i="2" s="1"/>
  <c r="L42" i="1"/>
  <c r="M42" i="1" s="1"/>
  <c r="E42" i="2"/>
  <c r="J42" i="2" s="1"/>
  <c r="L46" i="1"/>
  <c r="M46" i="1" s="1"/>
  <c r="E46" i="2"/>
  <c r="J46" i="2" s="1"/>
  <c r="L41" i="1"/>
  <c r="M41" i="1" s="1"/>
  <c r="E41" i="2"/>
  <c r="J41" i="2" s="1"/>
  <c r="L36" i="1"/>
  <c r="M36" i="1" s="1"/>
  <c r="E36" i="2"/>
  <c r="J36" i="2" s="1"/>
  <c r="L27" i="1"/>
  <c r="M27" i="1" s="1"/>
  <c r="E27" i="2"/>
  <c r="J27" i="2" s="1"/>
  <c r="L23" i="1"/>
  <c r="M23" i="1" s="1"/>
  <c r="E23" i="2"/>
  <c r="J23" i="2" s="1"/>
  <c r="E20" i="2"/>
  <c r="L15" i="1"/>
  <c r="M15" i="1" s="1"/>
  <c r="E15" i="2"/>
  <c r="J15" i="2" s="1"/>
  <c r="L53" i="1"/>
  <c r="M53" i="1" s="1"/>
  <c r="E53" i="2"/>
  <c r="J53" i="2" s="1"/>
  <c r="L63" i="1"/>
  <c r="M63" i="1" s="1"/>
  <c r="E63" i="2"/>
  <c r="J63" i="2" s="1"/>
  <c r="L61" i="1"/>
  <c r="M61" i="1" s="1"/>
  <c r="E61" i="2"/>
  <c r="J61" i="2" s="1"/>
  <c r="L58" i="1"/>
  <c r="M58" i="1" s="1"/>
  <c r="E58" i="2"/>
  <c r="J58" i="2" s="1"/>
  <c r="L72" i="1"/>
  <c r="M72" i="1" s="1"/>
  <c r="E72" i="2"/>
  <c r="J72" i="2" s="1"/>
  <c r="L84" i="1"/>
  <c r="M84" i="1" s="1"/>
  <c r="E84" i="2"/>
  <c r="J84" i="2" s="1"/>
  <c r="L79" i="1"/>
  <c r="M79" i="1" s="1"/>
  <c r="E79" i="2"/>
  <c r="J79" i="2" s="1"/>
  <c r="L75" i="1"/>
  <c r="M75" i="1" s="1"/>
  <c r="E75" i="2"/>
  <c r="J75" i="2" s="1"/>
  <c r="L73" i="1"/>
  <c r="M73" i="1" s="1"/>
  <c r="E73" i="2"/>
  <c r="J73" i="2" s="1"/>
  <c r="L74" i="1"/>
  <c r="M74" i="1" s="1"/>
  <c r="L66" i="1"/>
  <c r="M66" i="1" s="1"/>
  <c r="L65" i="1"/>
  <c r="M65" i="1" s="1"/>
  <c r="L55" i="1"/>
  <c r="M55" i="1" s="1"/>
  <c r="L43" i="1"/>
  <c r="M43" i="1" s="1"/>
  <c r="L30" i="1"/>
  <c r="M30" i="1" s="1"/>
  <c r="L26" i="1"/>
  <c r="M26" i="1" s="1"/>
  <c r="L22" i="1"/>
  <c r="M22" i="1" s="1"/>
  <c r="L18" i="1"/>
  <c r="M18" i="1" s="1"/>
  <c r="L47" i="1"/>
  <c r="M47" i="1" s="1"/>
  <c r="L33" i="1"/>
  <c r="M33" i="1" s="1"/>
  <c r="L51" i="1"/>
  <c r="M51" i="1" s="1"/>
  <c r="L39" i="1"/>
  <c r="M39" i="1" s="1"/>
  <c r="L14" i="1"/>
  <c r="M14" i="1" s="1"/>
  <c r="L50" i="1"/>
  <c r="M50" i="1" s="1"/>
  <c r="L25" i="1"/>
  <c r="M25" i="1" s="1"/>
  <c r="L13" i="1"/>
  <c r="M13" i="1" s="1"/>
  <c r="AN23" i="1" l="1"/>
  <c r="AT23" i="1"/>
  <c r="AN27" i="1"/>
  <c r="AT27" i="1"/>
  <c r="AN36" i="1"/>
  <c r="AT36" i="1"/>
  <c r="AN41" i="1"/>
  <c r="AT41" i="1"/>
  <c r="AN46" i="1"/>
  <c r="AT46" i="1"/>
  <c r="AN42" i="1"/>
  <c r="AT42" i="1"/>
  <c r="AN44" i="1"/>
  <c r="AT44" i="1"/>
  <c r="AN78" i="1"/>
  <c r="AT78" i="1"/>
  <c r="AN82" i="1"/>
  <c r="AT82" i="1"/>
  <c r="AN89" i="1"/>
  <c r="AT89" i="1"/>
  <c r="AN54" i="1"/>
  <c r="AT54" i="1"/>
  <c r="AN56" i="1"/>
  <c r="AT56" i="1"/>
  <c r="AN57" i="1"/>
  <c r="AT57" i="1"/>
  <c r="AN62" i="1"/>
  <c r="AT62" i="1"/>
  <c r="AN70" i="1"/>
  <c r="AT70" i="1"/>
  <c r="AN11" i="1"/>
  <c r="AT11" i="1"/>
  <c r="AN73" i="1"/>
  <c r="AT73" i="1"/>
  <c r="AN75" i="1"/>
  <c r="AT75" i="1"/>
  <c r="AN79" i="1"/>
  <c r="AT79" i="1"/>
  <c r="AN84" i="1"/>
  <c r="AT84" i="1"/>
  <c r="AN72" i="1"/>
  <c r="AT72" i="1"/>
  <c r="AN58" i="1"/>
  <c r="AT58" i="1"/>
  <c r="AN61" i="1"/>
  <c r="AT61" i="1"/>
  <c r="AN63" i="1"/>
  <c r="AT63" i="1"/>
  <c r="AN53" i="1"/>
  <c r="AT53" i="1"/>
  <c r="AN15" i="1"/>
  <c r="AT15" i="1"/>
  <c r="AN16" i="1"/>
  <c r="AT16" i="1"/>
  <c r="AN19" i="1"/>
  <c r="AT19" i="1"/>
  <c r="AN24" i="1"/>
  <c r="AT24" i="1"/>
  <c r="AN28" i="1"/>
  <c r="AT28" i="1"/>
  <c r="AN31" i="1"/>
  <c r="AT31" i="1"/>
  <c r="AN35" i="1"/>
  <c r="AT35" i="1"/>
  <c r="AU67" i="1"/>
  <c r="AV67" i="1"/>
  <c r="AU55" i="1"/>
  <c r="AV55" i="1"/>
  <c r="AV66" i="1"/>
  <c r="AU66" i="1"/>
  <c r="AU13" i="1"/>
  <c r="AV13" i="1"/>
  <c r="AV22" i="1"/>
  <c r="AU22" i="1"/>
  <c r="AV26" i="1"/>
  <c r="AU26" i="1"/>
  <c r="AU33" i="1"/>
  <c r="AV33" i="1"/>
  <c r="AU43" i="1"/>
  <c r="AV43" i="1"/>
  <c r="AV50" i="1"/>
  <c r="AU50" i="1"/>
  <c r="AV74" i="1"/>
  <c r="AU74" i="1"/>
  <c r="AU65" i="1"/>
  <c r="AV65" i="1"/>
  <c r="AV14" i="1"/>
  <c r="AU14" i="1"/>
  <c r="AV18" i="1"/>
  <c r="AU18" i="1"/>
  <c r="AU25" i="1"/>
  <c r="AV25" i="1"/>
  <c r="AV30" i="1"/>
  <c r="AU30" i="1"/>
  <c r="AU39" i="1"/>
  <c r="AV39" i="1"/>
  <c r="AU47" i="1"/>
  <c r="AV47" i="1"/>
  <c r="AU51" i="1"/>
  <c r="AV51" i="1"/>
  <c r="K20" i="1"/>
  <c r="L20" i="1" s="1"/>
  <c r="M20" i="1" s="1"/>
  <c r="J20" i="2"/>
  <c r="L11" i="1"/>
  <c r="M11" i="1" s="1"/>
  <c r="E45" i="2"/>
  <c r="J45" i="2" s="1"/>
  <c r="E37" i="2"/>
  <c r="J37" i="2" s="1"/>
  <c r="E90" i="2"/>
  <c r="J90" i="2" s="1"/>
  <c r="E87" i="2"/>
  <c r="J87" i="2" s="1"/>
  <c r="E83" i="2"/>
  <c r="J83" i="2" s="1"/>
  <c r="E80" i="2"/>
  <c r="J80" i="2" s="1"/>
  <c r="E69" i="2"/>
  <c r="J69" i="2" s="1"/>
  <c r="E52" i="2"/>
  <c r="J52" i="2" s="1"/>
  <c r="E40" i="2"/>
  <c r="J40" i="2" s="1"/>
  <c r="E29" i="2"/>
  <c r="J29" i="2" s="1"/>
  <c r="E60" i="2"/>
  <c r="J60" i="2" s="1"/>
  <c r="E88" i="2"/>
  <c r="J88" i="2" s="1"/>
  <c r="E85" i="2"/>
  <c r="J85" i="2" s="1"/>
  <c r="E81" i="2"/>
  <c r="J81" i="2" s="1"/>
  <c r="E71" i="2"/>
  <c r="J71" i="2" s="1"/>
  <c r="L60" i="1"/>
  <c r="M60" i="1" s="1"/>
  <c r="L37" i="1"/>
  <c r="M37" i="1" s="1"/>
  <c r="L69" i="1"/>
  <c r="M69" i="1" s="1"/>
  <c r="L29" i="1"/>
  <c r="M29" i="1" s="1"/>
  <c r="L81" i="1"/>
  <c r="M81" i="1" s="1"/>
  <c r="E21" i="2"/>
  <c r="J21" i="2" s="1"/>
  <c r="L87" i="1"/>
  <c r="M87" i="1" s="1"/>
  <c r="L40" i="1"/>
  <c r="M40" i="1" s="1"/>
  <c r="E86" i="2"/>
  <c r="J86" i="2" s="1"/>
  <c r="E59" i="2"/>
  <c r="J59" i="2" s="1"/>
  <c r="E64" i="2"/>
  <c r="J64" i="2" s="1"/>
  <c r="E76" i="2"/>
  <c r="J76" i="2" s="1"/>
  <c r="E77" i="2"/>
  <c r="J77" i="2" s="1"/>
  <c r="E17" i="2"/>
  <c r="J17" i="2" s="1"/>
  <c r="E32" i="2"/>
  <c r="J32" i="2" s="1"/>
  <c r="E34" i="2"/>
  <c r="J34" i="2" s="1"/>
  <c r="E48" i="2"/>
  <c r="J48" i="2" s="1"/>
  <c r="E49" i="2"/>
  <c r="J49" i="2" s="1"/>
  <c r="AN49" i="1" l="1"/>
  <c r="AT49" i="1"/>
  <c r="AN48" i="1"/>
  <c r="AT48" i="1"/>
  <c r="AN32" i="1"/>
  <c r="AT32" i="1"/>
  <c r="AN77" i="1"/>
  <c r="AT77" i="1"/>
  <c r="AN64" i="1"/>
  <c r="AT64" i="1"/>
  <c r="AN86" i="1"/>
  <c r="AT86" i="1"/>
  <c r="AN81" i="1"/>
  <c r="AT81" i="1"/>
  <c r="AN88" i="1"/>
  <c r="AT88" i="1"/>
  <c r="AN29" i="1"/>
  <c r="AT29" i="1"/>
  <c r="AN52" i="1"/>
  <c r="AT52" i="1"/>
  <c r="AN80" i="1"/>
  <c r="AT80" i="1"/>
  <c r="AN87" i="1"/>
  <c r="AT87" i="1"/>
  <c r="AN37" i="1"/>
  <c r="AT37" i="1"/>
  <c r="AN34" i="1"/>
  <c r="AT34" i="1"/>
  <c r="AN17" i="1"/>
  <c r="AT17" i="1"/>
  <c r="AN76" i="1"/>
  <c r="AT76" i="1"/>
  <c r="AN59" i="1"/>
  <c r="AT59" i="1"/>
  <c r="AN21" i="1"/>
  <c r="AT21" i="1"/>
  <c r="AN71" i="1"/>
  <c r="AT71" i="1"/>
  <c r="AN85" i="1"/>
  <c r="AT85" i="1"/>
  <c r="AN60" i="1"/>
  <c r="AT60" i="1"/>
  <c r="AN40" i="1"/>
  <c r="AT40" i="1"/>
  <c r="AN69" i="1"/>
  <c r="AT69" i="1"/>
  <c r="AN83" i="1"/>
  <c r="AT83" i="1"/>
  <c r="AN90" i="1"/>
  <c r="AT90" i="1"/>
  <c r="AN45" i="1"/>
  <c r="AT45" i="1"/>
  <c r="AN20" i="1"/>
  <c r="AT20" i="1"/>
  <c r="AU35" i="1"/>
  <c r="AV35" i="1"/>
  <c r="AU31" i="1"/>
  <c r="AV31" i="1"/>
  <c r="AV28" i="1"/>
  <c r="AU28" i="1"/>
  <c r="AV24" i="1"/>
  <c r="AU24" i="1"/>
  <c r="AU19" i="1"/>
  <c r="AV19" i="1"/>
  <c r="AV16" i="1"/>
  <c r="AU16" i="1"/>
  <c r="AU15" i="1"/>
  <c r="AV15" i="1"/>
  <c r="AU53" i="1"/>
  <c r="AV53" i="1"/>
  <c r="AU63" i="1"/>
  <c r="AV63" i="1"/>
  <c r="AU61" i="1"/>
  <c r="AV61" i="1"/>
  <c r="AV58" i="1"/>
  <c r="AU58" i="1"/>
  <c r="AV72" i="1"/>
  <c r="AU72" i="1"/>
  <c r="AV84" i="1"/>
  <c r="AU84" i="1"/>
  <c r="AU79" i="1"/>
  <c r="AV79" i="1"/>
  <c r="AU75" i="1"/>
  <c r="AV75" i="1"/>
  <c r="AU73" i="1"/>
  <c r="AV73" i="1"/>
  <c r="AU11" i="1"/>
  <c r="AV11" i="1"/>
  <c r="AV70" i="1"/>
  <c r="AU70" i="1"/>
  <c r="AV62" i="1"/>
  <c r="AU62" i="1"/>
  <c r="AU57" i="1"/>
  <c r="AV57" i="1"/>
  <c r="AV56" i="1"/>
  <c r="AU56" i="1"/>
  <c r="AV54" i="1"/>
  <c r="AU54" i="1"/>
  <c r="AU89" i="1"/>
  <c r="AV89" i="1"/>
  <c r="AV82" i="1"/>
  <c r="AU82" i="1"/>
  <c r="AV78" i="1"/>
  <c r="AU78" i="1"/>
  <c r="AV44" i="1"/>
  <c r="AU44" i="1"/>
  <c r="AV42" i="1"/>
  <c r="AU42" i="1"/>
  <c r="AV46" i="1"/>
  <c r="AU46" i="1"/>
  <c r="AU41" i="1"/>
  <c r="AV41" i="1"/>
  <c r="AV36" i="1"/>
  <c r="AU36" i="1"/>
  <c r="AU27" i="1"/>
  <c r="AV27" i="1"/>
  <c r="AU23" i="1"/>
  <c r="AV23" i="1"/>
  <c r="L83" i="1"/>
  <c r="M83" i="1" s="1"/>
  <c r="L85" i="1"/>
  <c r="M85" i="1" s="1"/>
  <c r="L80" i="1"/>
  <c r="M80" i="1" s="1"/>
  <c r="L45" i="1"/>
  <c r="M45" i="1" s="1"/>
  <c r="L88" i="1"/>
  <c r="M88" i="1" s="1"/>
  <c r="L52" i="1"/>
  <c r="M52" i="1" s="1"/>
  <c r="L90" i="1"/>
  <c r="M90" i="1" s="1"/>
  <c r="L71" i="1"/>
  <c r="M71" i="1" s="1"/>
  <c r="L59" i="1"/>
  <c r="M59" i="1" s="1"/>
  <c r="L86" i="1"/>
  <c r="M86" i="1" s="1"/>
  <c r="L49" i="1"/>
  <c r="M49" i="1" s="1"/>
  <c r="L17" i="1"/>
  <c r="M17" i="1" s="1"/>
  <c r="L48" i="1"/>
  <c r="M48" i="1" s="1"/>
  <c r="L68" i="1"/>
  <c r="M68" i="1" s="1"/>
  <c r="L34" i="1"/>
  <c r="M34" i="1" s="1"/>
  <c r="L64" i="1"/>
  <c r="M64" i="1" s="1"/>
  <c r="L21" i="1"/>
  <c r="M21" i="1" s="1"/>
  <c r="L32" i="1"/>
  <c r="M32" i="1" s="1"/>
  <c r="L77" i="1"/>
  <c r="M77" i="1" s="1"/>
  <c r="L76" i="1"/>
  <c r="M76" i="1" s="1"/>
  <c r="E12" i="2"/>
  <c r="J12" i="2" s="1"/>
  <c r="AN12" i="1" l="1"/>
  <c r="AT12" i="1"/>
  <c r="AV20" i="1"/>
  <c r="AU20" i="1"/>
  <c r="AU45" i="1"/>
  <c r="AV45" i="1"/>
  <c r="AV90" i="1"/>
  <c r="AU90" i="1"/>
  <c r="AU83" i="1"/>
  <c r="AV83" i="1"/>
  <c r="AU69" i="1"/>
  <c r="AV69" i="1"/>
  <c r="AV40" i="1"/>
  <c r="AU40" i="1"/>
  <c r="AV60" i="1"/>
  <c r="AU60" i="1"/>
  <c r="AU85" i="1"/>
  <c r="AV85" i="1"/>
  <c r="AU71" i="1"/>
  <c r="AV71" i="1"/>
  <c r="AU21" i="1"/>
  <c r="AV21" i="1"/>
  <c r="AU59" i="1"/>
  <c r="AV59" i="1"/>
  <c r="AV76" i="1"/>
  <c r="AU76" i="1"/>
  <c r="AU17" i="1"/>
  <c r="AV17" i="1"/>
  <c r="AV34" i="1"/>
  <c r="AU34" i="1"/>
  <c r="AU37" i="1"/>
  <c r="AV37" i="1"/>
  <c r="AU87" i="1"/>
  <c r="AV87" i="1"/>
  <c r="AV80" i="1"/>
  <c r="AU80" i="1"/>
  <c r="AV52" i="1"/>
  <c r="AU52" i="1"/>
  <c r="AU29" i="1"/>
  <c r="AV29" i="1"/>
  <c r="AV88" i="1"/>
  <c r="AU88" i="1"/>
  <c r="AU81" i="1"/>
  <c r="AV81" i="1"/>
  <c r="AV86" i="1"/>
  <c r="AU86" i="1"/>
  <c r="AV64" i="1"/>
  <c r="AU64" i="1"/>
  <c r="AU77" i="1"/>
  <c r="AV77" i="1"/>
  <c r="AV32" i="1"/>
  <c r="AU32" i="1"/>
  <c r="AV48" i="1"/>
  <c r="AU48" i="1"/>
  <c r="AU49" i="1"/>
  <c r="AV49" i="1"/>
  <c r="E68" i="2"/>
  <c r="J68" i="2" s="1"/>
  <c r="AN68" i="1" l="1"/>
  <c r="AT68" i="1"/>
  <c r="AV12" i="1"/>
  <c r="AU12" i="1"/>
  <c r="I92" i="1"/>
  <c r="B4" i="2"/>
  <c r="AV68" i="1" l="1"/>
  <c r="AU68" i="1"/>
  <c r="L12" i="1"/>
  <c r="M12" i="1" s="1"/>
  <c r="E10" i="2"/>
  <c r="J10" i="2" l="1"/>
  <c r="E92" i="2"/>
  <c r="K92" i="1"/>
  <c r="AN10" i="1" l="1"/>
  <c r="AN91" i="1" s="1"/>
  <c r="AN94" i="1" s="1"/>
  <c r="AT10" i="1"/>
  <c r="J92" i="2"/>
  <c r="L10" i="1"/>
  <c r="L92" i="1" s="1"/>
  <c r="AU10" i="1" l="1"/>
  <c r="AV10" i="1"/>
  <c r="M10" i="1"/>
  <c r="M92" i="1" s="1"/>
</calcChain>
</file>

<file path=xl/sharedStrings.xml><?xml version="1.0" encoding="utf-8"?>
<sst xmlns="http://schemas.openxmlformats.org/spreadsheetml/2006/main" count="1762" uniqueCount="505">
  <si>
    <t>CONTPAQ i</t>
  </si>
  <si>
    <t xml:space="preserve">      NÓMINAS</t>
  </si>
  <si>
    <t>05 CONSULTORES &amp; ASESORES INTEGRALES SC_</t>
  </si>
  <si>
    <t>Lista de Raya (forma tabular)</t>
  </si>
  <si>
    <t>Reg Pat IMSS: 00000000000,B4251548102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</si>
  <si>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</si>
  <si>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</si>
  <si>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</si>
  <si>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</si>
  <si>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</si>
  <si>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</si>
  <si>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Ajuste al neto</t>
  </si>
  <si>
    <t>*TOTAL* *DEDUCCIONES*</t>
  </si>
  <si>
    <t>*NETO*</t>
  </si>
  <si>
    <t xml:space="preserve">    Reg. Pat. IMSS:  B4251548102</t>
  </si>
  <si>
    <t>AC19</t>
  </si>
  <si>
    <t>0018</t>
  </si>
  <si>
    <t xml:space="preserve">  =============</t>
  </si>
  <si>
    <t>Total Gral.</t>
  </si>
  <si>
    <t xml:space="preserve"> </t>
  </si>
  <si>
    <t>RICARDO</t>
  </si>
  <si>
    <t>JULIO CESAR</t>
  </si>
  <si>
    <t>CARLOS</t>
  </si>
  <si>
    <t>MIGUEL ANGEL</t>
  </si>
  <si>
    <t>ALEJANDRO</t>
  </si>
  <si>
    <t>TOTAL</t>
  </si>
  <si>
    <t>IVA</t>
  </si>
  <si>
    <t>SUELDO BASE</t>
  </si>
  <si>
    <t>COMISIONES</t>
  </si>
  <si>
    <t>Comision 10%</t>
  </si>
  <si>
    <t>2% S/N</t>
  </si>
  <si>
    <t>SUBTOTAL</t>
  </si>
  <si>
    <t>SUBSIDO ENTREGADO</t>
  </si>
  <si>
    <t>Apoyo Sindicato Apoyo 23 c.c.</t>
  </si>
  <si>
    <t>Apoyo Extra</t>
  </si>
  <si>
    <t xml:space="preserve"> generales</t>
  </si>
  <si>
    <t xml:space="preserve"> Infonavit</t>
  </si>
  <si>
    <t>Comisión</t>
  </si>
  <si>
    <t>SGV</t>
  </si>
  <si>
    <t>AGUILAR BRAVO</t>
  </si>
  <si>
    <t>CRISTIAN SAUL</t>
  </si>
  <si>
    <t>AGUILAR GONZALEZ</t>
  </si>
  <si>
    <t>ANAEL</t>
  </si>
  <si>
    <t>ALAVEZ LOPEZ</t>
  </si>
  <si>
    <t>INOCENCIO</t>
  </si>
  <si>
    <t>ALVAREZ ORTIZ</t>
  </si>
  <si>
    <t>ARENAS VARGAS</t>
  </si>
  <si>
    <t>MOISES</t>
  </si>
  <si>
    <t>ARROYO ZARAZUA</t>
  </si>
  <si>
    <t>GILBERTO</t>
  </si>
  <si>
    <t>ARVIZU RODRIGUEZ</t>
  </si>
  <si>
    <t>ALEJANDRO URIEL</t>
  </si>
  <si>
    <t>AYALA CONTRERAS</t>
  </si>
  <si>
    <t>HECTOR MANUEL</t>
  </si>
  <si>
    <t>BARCENAS COMENERO</t>
  </si>
  <si>
    <t>JORGE ALEJANDRO</t>
  </si>
  <si>
    <t>BERDEJA LEON</t>
  </si>
  <si>
    <t>FRANCISCO GERARDO</t>
  </si>
  <si>
    <t>CALDERON MARTINEZ</t>
  </si>
  <si>
    <t>MARIO RAUL</t>
  </si>
  <si>
    <t>CANCINO RODRIGUEZ</t>
  </si>
  <si>
    <t>GREGORIO</t>
  </si>
  <si>
    <t>CARRASCO TOVAR</t>
  </si>
  <si>
    <t>ARTURO</t>
  </si>
  <si>
    <t>CASTAÑON TAVARES</t>
  </si>
  <si>
    <t>MANUEL</t>
  </si>
  <si>
    <t>CASTELLANOS ROCHA</t>
  </si>
  <si>
    <t>LUCIA MARCELA</t>
  </si>
  <si>
    <t>CASTILLO ORDOÑEZ</t>
  </si>
  <si>
    <t>JORGE</t>
  </si>
  <si>
    <t>CORTES HERNANDEZ</t>
  </si>
  <si>
    <t>GERMAN</t>
  </si>
  <si>
    <t>CORTES MIRANDA</t>
  </si>
  <si>
    <t>CARLOS ARMANDO</t>
  </si>
  <si>
    <t>CORTEZ OVANDO</t>
  </si>
  <si>
    <t>FAUSTINO ALI</t>
  </si>
  <si>
    <t>CRUZ ORTIZ</t>
  </si>
  <si>
    <t>JUAN ANTONIO</t>
  </si>
  <si>
    <t>DE JESUS CRUZ</t>
  </si>
  <si>
    <t>JUAN CARLOS</t>
  </si>
  <si>
    <t>ENRIQUEZ RUBIO</t>
  </si>
  <si>
    <t>FERNANDO</t>
  </si>
  <si>
    <t>ESCARCEGA BUSTAMANTE</t>
  </si>
  <si>
    <t>FONSECA GUILLEN</t>
  </si>
  <si>
    <t>JOSE FELIPE</t>
  </si>
  <si>
    <t>GALICIA ZARATE</t>
  </si>
  <si>
    <t>SERGIO</t>
  </si>
  <si>
    <t xml:space="preserve">GUTIERREZ OLVERA </t>
  </si>
  <si>
    <t>MARIHURI</t>
  </si>
  <si>
    <t>HERNANDEZ CARREON</t>
  </si>
  <si>
    <t>HERNANDEZ GOMEZ</t>
  </si>
  <si>
    <t>MARIO ALBERTO</t>
  </si>
  <si>
    <t>EDGAR SAMUEL</t>
  </si>
  <si>
    <t>HERNANDEZ SILVA</t>
  </si>
  <si>
    <t>HERNANDEZ SOLIS</t>
  </si>
  <si>
    <t>GUMECINDO</t>
  </si>
  <si>
    <t>JIMENEZ HERNANDEZ</t>
  </si>
  <si>
    <t>LARA OVIEDO</t>
  </si>
  <si>
    <t>SORAYA</t>
  </si>
  <si>
    <t>LOBATO RECAMIER</t>
  </si>
  <si>
    <t>ROSSELIN CATALINA</t>
  </si>
  <si>
    <t>LOPEZ DE LEON</t>
  </si>
  <si>
    <t>DANIEL</t>
  </si>
  <si>
    <t>LOPEZ ROSETE</t>
  </si>
  <si>
    <t>VICTOR MANUEL</t>
  </si>
  <si>
    <t>MALDONADO HERNANDEZ</t>
  </si>
  <si>
    <t>ERICK</t>
  </si>
  <si>
    <t>MARTINEZ ALVARADO</t>
  </si>
  <si>
    <t>ADRIAN</t>
  </si>
  <si>
    <t>MARTINEZ GUERRERO</t>
  </si>
  <si>
    <t>LEONEL</t>
  </si>
  <si>
    <t>MARTINEZ LORENZO</t>
  </si>
  <si>
    <t>LUIS ALEJANDRO</t>
  </si>
  <si>
    <t>MEDINA CASTRO</t>
  </si>
  <si>
    <t>CARLOS MANUEL</t>
  </si>
  <si>
    <t>MELENDEZ PADILLA</t>
  </si>
  <si>
    <t>CLAUDIA CRISTINA</t>
  </si>
  <si>
    <t xml:space="preserve">MIRANDA PEON </t>
  </si>
  <si>
    <t>NORIA BADILLO</t>
  </si>
  <si>
    <t>JUAN JOSE</t>
  </si>
  <si>
    <t>NUÑEZ DE JESUS</t>
  </si>
  <si>
    <t>JOSE DANIEL</t>
  </si>
  <si>
    <t>OLVERA BAUTISTA</t>
  </si>
  <si>
    <t>J DOLORES GILBERTO</t>
  </si>
  <si>
    <t>OLVERA HERNANDEZ</t>
  </si>
  <si>
    <t>JOSE TOMAS</t>
  </si>
  <si>
    <t>LUIS ANGEL</t>
  </si>
  <si>
    <t>OLVERA SOTO</t>
  </si>
  <si>
    <t>PALETA GUADARRAMA</t>
  </si>
  <si>
    <t>PEREZ PEREZ</t>
  </si>
  <si>
    <t>ISMAEL</t>
  </si>
  <si>
    <t>PIÑA JUAREZ</t>
  </si>
  <si>
    <t>JOSE MARTIN</t>
  </si>
  <si>
    <t>RAMIREZ BAUTISTA</t>
  </si>
  <si>
    <t>MARCOS SAMUEL</t>
  </si>
  <si>
    <t>RESENDIZ CRESPO</t>
  </si>
  <si>
    <t>JOSE DAVID</t>
  </si>
  <si>
    <t>RESENDIZ ECHEVERRIA</t>
  </si>
  <si>
    <t>EMILIO</t>
  </si>
  <si>
    <t>RESENDIZ SOTO</t>
  </si>
  <si>
    <t>REYES HURTADO</t>
  </si>
  <si>
    <t>GUILLERMO</t>
  </si>
  <si>
    <t xml:space="preserve">RIVERA AGUILAR </t>
  </si>
  <si>
    <t>GABRIEL</t>
  </si>
  <si>
    <t>RIVERA GONZALEZ</t>
  </si>
  <si>
    <t>JOSE ADAN</t>
  </si>
  <si>
    <t>RODRIGUEZ RODRIGUEZ</t>
  </si>
  <si>
    <t>RODOLFO ANUAR</t>
  </si>
  <si>
    <t>ROMERO OLVERA</t>
  </si>
  <si>
    <t>ROMO PARGA</t>
  </si>
  <si>
    <t>RUIZ RODRIGUEZ</t>
  </si>
  <si>
    <t>OMAR</t>
  </si>
  <si>
    <t>SALDAÑA GARCIA</t>
  </si>
  <si>
    <t>MARCO ANTONIO</t>
  </si>
  <si>
    <t>SANCHEZ HURTADO</t>
  </si>
  <si>
    <t>SANCHEZ RODRIGUEZ</t>
  </si>
  <si>
    <t>FREDY</t>
  </si>
  <si>
    <t>SERENO CUELLAR</t>
  </si>
  <si>
    <t>JUVENAL</t>
  </si>
  <si>
    <t>SUAREZ LUNA</t>
  </si>
  <si>
    <t>EFREN AGUSTIN</t>
  </si>
  <si>
    <t>TELLEZ GAYTAN</t>
  </si>
  <si>
    <t xml:space="preserve">TINOCO LOPEZ </t>
  </si>
  <si>
    <t>ALFREDO</t>
  </si>
  <si>
    <t>TIRADO SAAVEDRA</t>
  </si>
  <si>
    <t>CARLOS ALEJANDRO</t>
  </si>
  <si>
    <t>TORIBIO DEL ANGEL</t>
  </si>
  <si>
    <t>OSCAR</t>
  </si>
  <si>
    <t>VALDEZ MARTINEZ</t>
  </si>
  <si>
    <t>VEGA RIVERA</t>
  </si>
  <si>
    <t>VERA GARCIA</t>
  </si>
  <si>
    <t>GERARDO</t>
  </si>
  <si>
    <t>VIGUERAS MARTINEZ</t>
  </si>
  <si>
    <t>ZAMORANO MENDOZA</t>
  </si>
  <si>
    <t>ELIAS DAVID</t>
  </si>
  <si>
    <t>AB27</t>
  </si>
  <si>
    <t>Aguilar Bravo Cristian Saul</t>
  </si>
  <si>
    <t>AG07</t>
  </si>
  <si>
    <t>Aguilar Gonzalez Anael</t>
  </si>
  <si>
    <t>AL17</t>
  </si>
  <si>
    <t>Alavez Lopez Inocencio</t>
  </si>
  <si>
    <t>AOR15</t>
  </si>
  <si>
    <t>Alvarez Ortiz Ricardo</t>
  </si>
  <si>
    <t>00016</t>
  </si>
  <si>
    <t>Arenas Vargas Moises</t>
  </si>
  <si>
    <t>AZ14</t>
  </si>
  <si>
    <t>Arroyo Zarazua Gilberto</t>
  </si>
  <si>
    <t>Arvizu Rodriguez Alejandro Uriel</t>
  </si>
  <si>
    <t>Ayala Contreras Hector Manuel</t>
  </si>
  <si>
    <t>BC22</t>
  </si>
  <si>
    <t>Barcenas Comenero Jorge Alejandro</t>
  </si>
  <si>
    <t>BL011</t>
  </si>
  <si>
    <t>Berdeja Leon Francisco Gerardo</t>
  </si>
  <si>
    <t>Calderon Martinez Mario Raul</t>
  </si>
  <si>
    <t>CR14</t>
  </si>
  <si>
    <t>Cancino Rodriguez Gregorio</t>
  </si>
  <si>
    <t>Carrasco Tovar Arturo</t>
  </si>
  <si>
    <t>CT26</t>
  </si>
  <si>
    <t>Castañon Tavares Manuel</t>
  </si>
  <si>
    <t>CR06</t>
  </si>
  <si>
    <t>Castellanos Rocha Lucia Marcela</t>
  </si>
  <si>
    <t>CO24</t>
  </si>
  <si>
    <t>Castillo Ordoñez Jorge</t>
  </si>
  <si>
    <t>CHG</t>
  </si>
  <si>
    <t>Cortes Hernandez German</t>
  </si>
  <si>
    <t>CM22</t>
  </si>
  <si>
    <t>Cortes Miranda Carlos Armando</t>
  </si>
  <si>
    <t>CO02</t>
  </si>
  <si>
    <t>Cortez Ovando Faustino Ali</t>
  </si>
  <si>
    <t>CO16</t>
  </si>
  <si>
    <t>Cruz Ortiz Juan Antonio</t>
  </si>
  <si>
    <t>DC20</t>
  </si>
  <si>
    <t>De Jesus Cruz Juan Carlos</t>
  </si>
  <si>
    <t>ER14</t>
  </si>
  <si>
    <t>Enriquez Rubio Fernando</t>
  </si>
  <si>
    <t>EB11</t>
  </si>
  <si>
    <t>Escarcega Bustamante  Jorge</t>
  </si>
  <si>
    <t>FG14</t>
  </si>
  <si>
    <t>Fonseca Gillen Jose Felipe</t>
  </si>
  <si>
    <t>GZ20</t>
  </si>
  <si>
    <t>Galicia Zarate Sergio</t>
  </si>
  <si>
    <t>GO001</t>
  </si>
  <si>
    <t>Gutierrez Olvera Marihuri</t>
  </si>
  <si>
    <t>HCG28</t>
  </si>
  <si>
    <t>Hernandez Carreon Gregorio</t>
  </si>
  <si>
    <t>HG04</t>
  </si>
  <si>
    <t>Hernandez Gomez Mario Alberto</t>
  </si>
  <si>
    <t>HS11</t>
  </si>
  <si>
    <t>Hernandez Silva Edgar Samuel</t>
  </si>
  <si>
    <t>HS08</t>
  </si>
  <si>
    <t>Hernandez Solis Gumecindo</t>
  </si>
  <si>
    <t>JH19</t>
  </si>
  <si>
    <t>Jimenez Hernandez Julio Cesar</t>
  </si>
  <si>
    <t>LO14</t>
  </si>
  <si>
    <t>Lara Oviedo Soraya</t>
  </si>
  <si>
    <t>LR05</t>
  </si>
  <si>
    <t>Lobato Recamier Rosselin Catalina</t>
  </si>
  <si>
    <t>LL19</t>
  </si>
  <si>
    <t>Lopez De Leon Daniel</t>
  </si>
  <si>
    <t>LR09</t>
  </si>
  <si>
    <t>Lopez Rosete Victor Manuel</t>
  </si>
  <si>
    <t>MH09</t>
  </si>
  <si>
    <t>Maldonado Hernandez Erick</t>
  </si>
  <si>
    <t>MA08</t>
  </si>
  <si>
    <t>Martinez Alvarado  Adrian</t>
  </si>
  <si>
    <t>MG14</t>
  </si>
  <si>
    <t>Martinez Guerrero Leonel</t>
  </si>
  <si>
    <t>ML23</t>
  </si>
  <si>
    <t>Martinez Lorenzo Luis Alejandro</t>
  </si>
  <si>
    <t>MC14</t>
  </si>
  <si>
    <t>Medina Castro Carlos Manuel</t>
  </si>
  <si>
    <t>0030</t>
  </si>
  <si>
    <t>Melendez Padilla Claudia Cristina</t>
  </si>
  <si>
    <t>MPJ04</t>
  </si>
  <si>
    <t>Miranda Peon Julio Cesar</t>
  </si>
  <si>
    <t>NB02</t>
  </si>
  <si>
    <t>Noria Badillo Juan Jose</t>
  </si>
  <si>
    <t>NS26</t>
  </si>
  <si>
    <t>Nuñez De Jesus Jose Daniel</t>
  </si>
  <si>
    <t>OB15</t>
  </si>
  <si>
    <t>Olvera Bautista J. Dolores  Gilberto</t>
  </si>
  <si>
    <t>OH11</t>
  </si>
  <si>
    <t>Olvera Hernandez Jose Tomas</t>
  </si>
  <si>
    <t>OS06</t>
  </si>
  <si>
    <t>Olvera  Soto Luis Angel</t>
  </si>
  <si>
    <t>PG04</t>
  </si>
  <si>
    <t>Paleta Guadarrama Ricardo</t>
  </si>
  <si>
    <t>PP05</t>
  </si>
  <si>
    <t>Perez Perez Ismael</t>
  </si>
  <si>
    <t>PJ03</t>
  </si>
  <si>
    <t>Piña Juarez Jose Martin</t>
  </si>
  <si>
    <t>RB08</t>
  </si>
  <si>
    <t>Ramirez Bautista Marcos Samuel</t>
  </si>
  <si>
    <t>RCJ07</t>
  </si>
  <si>
    <t>Resendiz Crespo Jose David</t>
  </si>
  <si>
    <t>RE14</t>
  </si>
  <si>
    <t>Resendiz Echeverria Mario Alberto</t>
  </si>
  <si>
    <t>RS03</t>
  </si>
  <si>
    <t>Resendiz Soto Emilio</t>
  </si>
  <si>
    <t>RZ014</t>
  </si>
  <si>
    <t>Reyes Hurtado Guillermo</t>
  </si>
  <si>
    <t>RA13</t>
  </si>
  <si>
    <t>Rivera Aguilar Gabriel</t>
  </si>
  <si>
    <t>RG12</t>
  </si>
  <si>
    <t>Rivera Gonzalez Jose Adan</t>
  </si>
  <si>
    <t>RR02</t>
  </si>
  <si>
    <t>Rodriguez Rodriguez Rodolfo Anuar</t>
  </si>
  <si>
    <t>RO21</t>
  </si>
  <si>
    <t>Romero Olvera Miguel Angel</t>
  </si>
  <si>
    <t>0021</t>
  </si>
  <si>
    <t>Romo Parga Alejandro</t>
  </si>
  <si>
    <t>RR05</t>
  </si>
  <si>
    <t>Ruiz Rodriguez Omar</t>
  </si>
  <si>
    <t>SG005</t>
  </si>
  <si>
    <t>Saldaña Garcia Marco Antonio</t>
  </si>
  <si>
    <t>SH17</t>
  </si>
  <si>
    <t>Sanchez Hurtado Carlos</t>
  </si>
  <si>
    <t>Sanchez Rodriguez Fredy</t>
  </si>
  <si>
    <t>SC25</t>
  </si>
  <si>
    <t>Sereno Cuellar Juvenal</t>
  </si>
  <si>
    <t>SL08</t>
  </si>
  <si>
    <t>Suarez Luna Efren Agustin</t>
  </si>
  <si>
    <t>TG06</t>
  </si>
  <si>
    <t>Tellez Gaytan Daniel</t>
  </si>
  <si>
    <t>TL20</t>
  </si>
  <si>
    <t>Tinoco Lopez Alfredo</t>
  </si>
  <si>
    <t>TS31</t>
  </si>
  <si>
    <t>Tirado Saavedra Carlos Alejandro</t>
  </si>
  <si>
    <t>TDA18</t>
  </si>
  <si>
    <t>Toribio Del Angel Oscar</t>
  </si>
  <si>
    <t>VM14</t>
  </si>
  <si>
    <t>Valdez Martinez Jose Martin</t>
  </si>
  <si>
    <t>VR23</t>
  </si>
  <si>
    <t>Vega Rivera Ismael</t>
  </si>
  <si>
    <t>VG25</t>
  </si>
  <si>
    <t>Vera Garcia Gerardo</t>
  </si>
  <si>
    <t>VM21</t>
  </si>
  <si>
    <t>Vigueras Martinez Juan Carlos</t>
  </si>
  <si>
    <t>ZM22</t>
  </si>
  <si>
    <t>Zamorano Mendoza Elias David</t>
  </si>
  <si>
    <t>TECNICO</t>
  </si>
  <si>
    <t>HOJALATERO</t>
  </si>
  <si>
    <t>Alfaro Lazaro Isaac</t>
  </si>
  <si>
    <t>ALFARO LAZARO</t>
  </si>
  <si>
    <t>ISAAC</t>
  </si>
  <si>
    <t>SILVA</t>
  </si>
  <si>
    <t>HUGO</t>
  </si>
  <si>
    <t>VENDEDOR</t>
  </si>
  <si>
    <t>Silva Hugo</t>
  </si>
  <si>
    <t>ASESOR</t>
  </si>
  <si>
    <t>COUCH</t>
  </si>
  <si>
    <t>CALL CENTER</t>
  </si>
  <si>
    <t>ASESOR DE SERVICIO</t>
  </si>
  <si>
    <t>CMM24</t>
  </si>
  <si>
    <t>PREPARADOR</t>
  </si>
  <si>
    <t>SR27</t>
  </si>
  <si>
    <t>ARMADOR</t>
  </si>
  <si>
    <t>PINTOR</t>
  </si>
  <si>
    <t>AYUDANTE DE HOJALATERO</t>
  </si>
  <si>
    <t>AYUDANTE GENERAL</t>
  </si>
  <si>
    <t>VIGILANTE</t>
  </si>
  <si>
    <t>MANTENIMIENTO</t>
  </si>
  <si>
    <t>RV23</t>
  </si>
  <si>
    <t>Rodriguez Ventura Ca</t>
  </si>
  <si>
    <t>RODRIGUEZ VENTURA</t>
  </si>
  <si>
    <t>CA</t>
  </si>
  <si>
    <t>ASESOR DE VENTAS</t>
  </si>
  <si>
    <t>AYUDANTE DE MECANICO</t>
  </si>
  <si>
    <t>AR01</t>
  </si>
  <si>
    <t>OPERARIO B</t>
  </si>
  <si>
    <t>OPERARIO A</t>
  </si>
  <si>
    <t>AYUDANTE DE PREVIAS</t>
  </si>
  <si>
    <t>ESTETICAS</t>
  </si>
  <si>
    <t>MH25</t>
  </si>
  <si>
    <t>Mijangos Hernandez J</t>
  </si>
  <si>
    <t xml:space="preserve">MIJANGOS HERNANDEZ </t>
  </si>
  <si>
    <t>J</t>
  </si>
  <si>
    <t>HC24</t>
  </si>
  <si>
    <t>Hernandez Chavez Pedro</t>
  </si>
  <si>
    <t>RF27</t>
  </si>
  <si>
    <t>Reyes Flores Alan</t>
  </si>
  <si>
    <t>S10-01/2016</t>
  </si>
  <si>
    <t xml:space="preserve">         An</t>
  </si>
  <si>
    <t>Clave</t>
  </si>
  <si>
    <t xml:space="preserve"> Nombre</t>
  </si>
  <si>
    <t>nfonavit  p</t>
  </si>
  <si>
    <t xml:space="preserve"> AGUILAR BRAVO CRISTI</t>
  </si>
  <si>
    <t xml:space="preserve"> ALVAREZ ORTIZ RICARD</t>
  </si>
  <si>
    <t xml:space="preserve"> CALDERON MARTINEZ MA</t>
  </si>
  <si>
    <t xml:space="preserve"> GALICIA ZARATE SERGI</t>
  </si>
  <si>
    <t>MR27</t>
  </si>
  <si>
    <t xml:space="preserve"> MOLINA RAMIREZ JESUS</t>
  </si>
  <si>
    <t xml:space="preserve"> RODRIGUEZ RODRIGUEZ</t>
  </si>
  <si>
    <t xml:space="preserve"> TINOCO LOPEZ ALFREDO</t>
  </si>
  <si>
    <t xml:space="preserve"> CORTES HERNANDEZ GER</t>
  </si>
  <si>
    <t xml:space="preserve"> HERNANDEZ SILVA EDGA</t>
  </si>
  <si>
    <t xml:space="preserve"> MARTINEZ LORENZO LUI</t>
  </si>
  <si>
    <t>NL23</t>
  </si>
  <si>
    <t xml:space="preserve"> NUÑEZ LUJAN ANGEL DA</t>
  </si>
  <si>
    <t xml:space="preserve"> OLVERA BAUTISTA J. D</t>
  </si>
  <si>
    <t xml:space="preserve"> PEREZ PEREZ ISMAEL</t>
  </si>
  <si>
    <t xml:space="preserve"> RAMIREZ BAUTISTA MAR</t>
  </si>
  <si>
    <t xml:space="preserve"> ROMERO OLVERA MIGUEL</t>
  </si>
  <si>
    <t xml:space="preserve"> SUAREZ LUNA EFREN AG</t>
  </si>
  <si>
    <t xml:space="preserve"> SANCHEZ RODRIGUEZ FR</t>
  </si>
  <si>
    <t xml:space="preserve"> TELLEZ GAYTAN DANIEL</t>
  </si>
  <si>
    <t xml:space="preserve"> VIGUERAS MARTINEZ JU</t>
  </si>
  <si>
    <t xml:space="preserve"> VEGA RIVERA ISMAEL</t>
  </si>
  <si>
    <t xml:space="preserve"> BARCENAS COMENERO JO</t>
  </si>
  <si>
    <t xml:space="preserve"> CRUZ ORTIZ JUAN ANTO</t>
  </si>
  <si>
    <t xml:space="preserve"> CASTELLANOS ROCHA LU</t>
  </si>
  <si>
    <t xml:space="preserve"> CORTEZ OVANDO FAUSTI</t>
  </si>
  <si>
    <t xml:space="preserve"> DE JESUS CRUZ JUAN C</t>
  </si>
  <si>
    <t xml:space="preserve"> LOPEZ DE LEON DANIEL</t>
  </si>
  <si>
    <t xml:space="preserve"> RIVERA AGUILAR GABRI</t>
  </si>
  <si>
    <t xml:space="preserve"> RESENDIZ SOTO EMILIO</t>
  </si>
  <si>
    <t xml:space="preserve"> SERENO CUELLAR JUVEN</t>
  </si>
  <si>
    <t>AC14</t>
  </si>
  <si>
    <t xml:space="preserve"> AVILA CASTELLANOS JE</t>
  </si>
  <si>
    <t xml:space="preserve"> CORTES MIRANDA CARLO</t>
  </si>
  <si>
    <t xml:space="preserve"> CASTILLO ORDOÑEZ JOR</t>
  </si>
  <si>
    <t xml:space="preserve"> HERNANDEZ GOMEZ MARI</t>
  </si>
  <si>
    <t xml:space="preserve"> LARA OVIEDO SORAYA</t>
  </si>
  <si>
    <t xml:space="preserve"> MIRANDA PEON JULIO C</t>
  </si>
  <si>
    <t xml:space="preserve"> PIÑA JUAREZ JOSE MAR</t>
  </si>
  <si>
    <t xml:space="preserve"> TORIBIO DEL ANGEL OS</t>
  </si>
  <si>
    <t xml:space="preserve"> ALAVEZ LOPEZ INOCENC</t>
  </si>
  <si>
    <t xml:space="preserve"> ARVIZU RODRIGUEZ  AL</t>
  </si>
  <si>
    <t xml:space="preserve"> CANCINO RODRIGUEZ GR</t>
  </si>
  <si>
    <t xml:space="preserve"> CASTAÑON TAVARES MAN</t>
  </si>
  <si>
    <t xml:space="preserve"> ENRIQUEZ RUBIO FERNA</t>
  </si>
  <si>
    <t xml:space="preserve"> FONSECA GUILLEN JOSE</t>
  </si>
  <si>
    <t xml:space="preserve"> MARTINEZ ALVARADO AD</t>
  </si>
  <si>
    <t xml:space="preserve"> MARTINEZ GUERRERO LE</t>
  </si>
  <si>
    <t xml:space="preserve"> NUÑEZ DE JESUS JOSE</t>
  </si>
  <si>
    <t xml:space="preserve"> OLVERA HERNANDEZ JOS</t>
  </si>
  <si>
    <t xml:space="preserve"> OLVERA SOTO LUIS ANG</t>
  </si>
  <si>
    <t xml:space="preserve"> RESENDIZ CRESPO JOSE</t>
  </si>
  <si>
    <t xml:space="preserve"> RESENDIZ ECHEVERRIA</t>
  </si>
  <si>
    <t xml:space="preserve"> RIVERA GONZALEZ JOSE</t>
  </si>
  <si>
    <t>RH14</t>
  </si>
  <si>
    <t xml:space="preserve"> REYES HURTADO GUILLE</t>
  </si>
  <si>
    <t>SG05</t>
  </si>
  <si>
    <t xml:space="preserve"> SALDAñA GARCIA MARCO</t>
  </si>
  <si>
    <t xml:space="preserve"> SANCHEZ HURTADO CARL</t>
  </si>
  <si>
    <t xml:space="preserve"> VALDEZ MARTINEZ MART</t>
  </si>
  <si>
    <t xml:space="preserve"> ARENAS VARGAS MOISES</t>
  </si>
  <si>
    <t xml:space="preserve"> CARRASCO TOVAR ARTUR</t>
  </si>
  <si>
    <t xml:space="preserve"> ROMO PARGA ALEJANDRO</t>
  </si>
  <si>
    <t xml:space="preserve"> MELENDEZ PADILLA CLA</t>
  </si>
  <si>
    <t xml:space="preserve"> AYALA CONTRERAS HECT</t>
  </si>
  <si>
    <t xml:space="preserve"> AGUILAR GONZALEZ ANA</t>
  </si>
  <si>
    <t xml:space="preserve"> BERDEJA LEON FRANCIS</t>
  </si>
  <si>
    <t xml:space="preserve"> ESCARCEGA BUSTAMANTE</t>
  </si>
  <si>
    <t>GO01</t>
  </si>
  <si>
    <t xml:space="preserve"> GUTIERREZ OLVERA MAR</t>
  </si>
  <si>
    <t xml:space="preserve"> HERNANDEZ CHAVEZ PED</t>
  </si>
  <si>
    <t xml:space="preserve"> HERNANDEZ CARREON GR</t>
  </si>
  <si>
    <t xml:space="preserve"> HERNANDEZ SOLIS GUME</t>
  </si>
  <si>
    <t xml:space="preserve"> JIMENEZ HERNANDEZ JU</t>
  </si>
  <si>
    <t xml:space="preserve"> LOBATO RECAMIER ROSS</t>
  </si>
  <si>
    <t xml:space="preserve"> LOPEZ ROSETE VICTOR</t>
  </si>
  <si>
    <t xml:space="preserve"> MEDINA CASTRO CARLOS</t>
  </si>
  <si>
    <t xml:space="preserve"> MALDONADO HERNANDEZ</t>
  </si>
  <si>
    <t xml:space="preserve"> NORIA BADILLO JUAN J</t>
  </si>
  <si>
    <t xml:space="preserve"> PALETA GUADARRAMA RI</t>
  </si>
  <si>
    <t xml:space="preserve"> RUIZ RODRIGUEZ OMAR</t>
  </si>
  <si>
    <t xml:space="preserve"> TIRADO SAAVEDRA CARL</t>
  </si>
  <si>
    <t xml:space="preserve"> VERA GARCIA GERARDO</t>
  </si>
  <si>
    <t xml:space="preserve"> ZAMORANO MENDOZA ELI</t>
  </si>
  <si>
    <t>AL26</t>
  </si>
  <si>
    <t>AR001</t>
  </si>
  <si>
    <t>CM024</t>
  </si>
  <si>
    <t>HMP14</t>
  </si>
  <si>
    <t>Hernandez Martinez Paulino</t>
  </si>
  <si>
    <t>HM17</t>
  </si>
  <si>
    <t>Hernandez Medina Diego Omar</t>
  </si>
  <si>
    <t>Mijangos Hernandez Julio Cesar</t>
  </si>
  <si>
    <t>OS05</t>
  </si>
  <si>
    <t>Orozco Sandoval Luis Enrique</t>
  </si>
  <si>
    <t>PR05</t>
  </si>
  <si>
    <t>Parra Rodriguez Javier Sebastian</t>
  </si>
  <si>
    <t>PB05</t>
  </si>
  <si>
    <t>Pino Blanco Gustavo</t>
  </si>
  <si>
    <t>RHO14</t>
  </si>
  <si>
    <t>Resendiz Huerta Oscar</t>
  </si>
  <si>
    <t>RA22</t>
  </si>
  <si>
    <t>Reyes Alcala Luz</t>
  </si>
  <si>
    <t>RA06</t>
  </si>
  <si>
    <t>Reyes Armadillo Jorge Andres</t>
  </si>
  <si>
    <t>Reyes Flores Alan Ricardo</t>
  </si>
  <si>
    <t>RP19</t>
  </si>
  <si>
    <t>Rios Perales David</t>
  </si>
  <si>
    <t>RF22</t>
  </si>
  <si>
    <t>Rodriguez Fernandez De Jauregui Mauricio</t>
  </si>
  <si>
    <t>Rodriguez Ventura Carlos Javier</t>
  </si>
  <si>
    <t>RGG01</t>
  </si>
  <si>
    <t>Rosas Guillen Gina Elizabeth</t>
  </si>
  <si>
    <t>SR027</t>
  </si>
  <si>
    <t>SP14</t>
  </si>
  <si>
    <t>Sierra Polina Cesar Alan</t>
  </si>
  <si>
    <t>TN15</t>
  </si>
  <si>
    <t>Tirado Navarrete Edgar</t>
  </si>
  <si>
    <t>VZ31</t>
  </si>
  <si>
    <t>Valdelamar Zuñiga Jose Sixto Carl</t>
  </si>
  <si>
    <t>VZ23</t>
  </si>
  <si>
    <t>Vega Zuñiga Joel Omar</t>
  </si>
  <si>
    <t>VC30</t>
  </si>
  <si>
    <t>Velazquez Calva Humberto Carlos</t>
  </si>
  <si>
    <t>SOLICITAR DATO</t>
  </si>
  <si>
    <t>11 CONSULTORES &amp; ASESORES INTEGRALES SC</t>
  </si>
  <si>
    <t>Periodo 6 al 6 Semanal del 03/02/2016 al 09/02/2016</t>
  </si>
  <si>
    <t>Reg Pat IMSS: E2375841103</t>
  </si>
  <si>
    <t>Séptimo día</t>
  </si>
  <si>
    <t>Préstamo Infonavit</t>
  </si>
  <si>
    <t>Pension Alimenticia</t>
  </si>
  <si>
    <t>Semana 6 del 03/02/2016 al 09/02/2016</t>
  </si>
  <si>
    <t>INFONAVIT</t>
  </si>
  <si>
    <t>NO SE LE ALCANZA A DESCONTAR</t>
  </si>
  <si>
    <t>SOLO SE LE PUEDEN DESCONTAR LOS 513.33</t>
  </si>
  <si>
    <t>SOLO SE LE PUEDEN DESCONTAR LOS 540</t>
  </si>
  <si>
    <t>FACTURACIÓN</t>
  </si>
  <si>
    <t>DIFERENCIA EN PAGO</t>
  </si>
  <si>
    <t>NO TIENE SUELDO BASE EN KEPLER</t>
  </si>
  <si>
    <t>LO QUE SE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</si>
</sst>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.00_-;\-* #,##0.00_-;_-* \-??_-;_-@_-"/>
    <numFmt numFmtId="166" formatCode="0.00_ ;[Red]\-0.00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sz val="11"/>
      <name val="Century Gothic"/>
      <family val="2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  <charset val="1"/>
    </font>
    <font>
      <b/>
      <sz val="9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11"/>
      <color rgb="FFFF0000"/>
      <name val="Century Gothic"/>
      <family val="2"/>
    </font>
    <font>
      <b/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24" fillId="0" borderId="0"/>
  </cellStyleXfs>
  <cellXfs count="144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49" fontId="11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164" fontId="13" fillId="0" borderId="0" xfId="0" applyNumberFormat="1" applyFont="1"/>
    <xf numFmtId="0" fontId="0" fillId="0" borderId="0" xfId="0" applyAlignment="1"/>
    <xf numFmtId="165" fontId="15" fillId="0" borderId="5" xfId="1" applyNumberFormat="1" applyFont="1" applyFill="1" applyBorder="1" applyAlignment="1" applyProtection="1">
      <alignment horizontal="center"/>
    </xf>
    <xf numFmtId="0" fontId="15" fillId="0" borderId="5" xfId="0" applyFont="1" applyFill="1" applyBorder="1"/>
    <xf numFmtId="0" fontId="16" fillId="0" borderId="5" xfId="0" applyFont="1" applyFill="1" applyBorder="1"/>
    <xf numFmtId="49" fontId="2" fillId="3" borderId="0" xfId="0" applyNumberFormat="1" applyFont="1" applyFill="1"/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centerContinuous"/>
    </xf>
    <xf numFmtId="0" fontId="19" fillId="0" borderId="0" xfId="0" applyFont="1" applyAlignment="1"/>
    <xf numFmtId="0" fontId="18" fillId="0" borderId="0" xfId="0" applyFont="1"/>
    <xf numFmtId="49" fontId="20" fillId="0" borderId="0" xfId="0" applyNumberFormat="1" applyFont="1" applyAlignment="1">
      <alignment horizontal="centerContinuous" vertical="top"/>
    </xf>
    <xf numFmtId="49" fontId="18" fillId="0" borderId="0" xfId="0" applyNumberFormat="1" applyFont="1"/>
    <xf numFmtId="0" fontId="21" fillId="2" borderId="1" xfId="0" applyFont="1" applyFill="1" applyBorder="1" applyAlignment="1">
      <alignment horizontal="center" vertical="center" wrapText="1"/>
    </xf>
    <xf numFmtId="49" fontId="18" fillId="0" borderId="0" xfId="0" applyNumberFormat="1" applyFont="1" applyFill="1"/>
    <xf numFmtId="0" fontId="18" fillId="0" borderId="0" xfId="0" applyFont="1" applyFill="1"/>
    <xf numFmtId="44" fontId="18" fillId="0" borderId="0" xfId="2" applyFont="1" applyFill="1"/>
    <xf numFmtId="0" fontId="18" fillId="0" borderId="0" xfId="0" applyFont="1" applyFill="1" applyAlignment="1">
      <alignment horizontal="right"/>
    </xf>
    <xf numFmtId="0" fontId="22" fillId="0" borderId="0" xfId="0" applyFont="1" applyFill="1"/>
    <xf numFmtId="49" fontId="23" fillId="0" borderId="0" xfId="0" applyNumberFormat="1" applyFont="1" applyFill="1" applyAlignment="1">
      <alignment horizontal="left"/>
    </xf>
    <xf numFmtId="164" fontId="23" fillId="0" borderId="7" xfId="0" applyNumberFormat="1" applyFont="1" applyFill="1" applyBorder="1"/>
    <xf numFmtId="0" fontId="21" fillId="0" borderId="0" xfId="0" applyFont="1" applyFill="1"/>
    <xf numFmtId="166" fontId="11" fillId="2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Alignment="1"/>
    <xf numFmtId="0" fontId="0" fillId="0" borderId="0" xfId="0" applyAlignment="1"/>
    <xf numFmtId="49" fontId="18" fillId="4" borderId="0" xfId="0" applyNumberFormat="1" applyFont="1" applyFill="1"/>
    <xf numFmtId="0" fontId="2" fillId="0" borderId="0" xfId="0" applyFont="1"/>
    <xf numFmtId="49" fontId="2" fillId="0" borderId="0" xfId="0" applyNumberFormat="1" applyFont="1"/>
    <xf numFmtId="0" fontId="18" fillId="4" borderId="0" xfId="0" applyFont="1" applyFill="1"/>
    <xf numFmtId="44" fontId="18" fillId="4" borderId="0" xfId="2" applyFont="1" applyFill="1"/>
    <xf numFmtId="0" fontId="15" fillId="4" borderId="2" xfId="0" applyFont="1" applyFill="1" applyBorder="1"/>
    <xf numFmtId="0" fontId="16" fillId="4" borderId="2" xfId="0" applyFont="1" applyFill="1" applyBorder="1"/>
    <xf numFmtId="165" fontId="15" fillId="4" borderId="2" xfId="1" applyNumberFormat="1" applyFont="1" applyFill="1" applyBorder="1" applyAlignment="1" applyProtection="1">
      <alignment horizontal="center"/>
    </xf>
    <xf numFmtId="165" fontId="15" fillId="4" borderId="0" xfId="1" applyNumberFormat="1" applyFont="1" applyFill="1" applyBorder="1" applyAlignment="1">
      <alignment horizontal="center"/>
    </xf>
    <xf numFmtId="49" fontId="2" fillId="4" borderId="0" xfId="0" applyNumberFormat="1" applyFont="1" applyFill="1"/>
    <xf numFmtId="0" fontId="2" fillId="4" borderId="0" xfId="0" applyFont="1" applyFill="1"/>
    <xf numFmtId="165" fontId="15" fillId="4" borderId="5" xfId="1" applyNumberFormat="1" applyFont="1" applyFill="1" applyBorder="1" applyAlignment="1" applyProtection="1">
      <alignment horizontal="center"/>
    </xf>
    <xf numFmtId="0" fontId="15" fillId="4" borderId="3" xfId="0" applyFont="1" applyFill="1" applyBorder="1"/>
    <xf numFmtId="0" fontId="16" fillId="4" borderId="3" xfId="0" applyFont="1" applyFill="1" applyBorder="1"/>
    <xf numFmtId="165" fontId="15" fillId="4" borderId="3" xfId="1" applyNumberFormat="1" applyFont="1" applyFill="1" applyBorder="1" applyAlignment="1" applyProtection="1">
      <alignment horizontal="center"/>
    </xf>
    <xf numFmtId="0" fontId="15" fillId="4" borderId="5" xfId="0" applyFont="1" applyFill="1" applyBorder="1"/>
    <xf numFmtId="0" fontId="16" fillId="4" borderId="5" xfId="0" applyFont="1" applyFill="1" applyBorder="1"/>
    <xf numFmtId="0" fontId="18" fillId="4" borderId="0" xfId="0" applyFont="1" applyFill="1" applyAlignment="1">
      <alignment horizontal="right"/>
    </xf>
    <xf numFmtId="0" fontId="22" fillId="4" borderId="0" xfId="0" applyFont="1" applyFill="1"/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12" fillId="0" borderId="0" xfId="0" applyNumberFormat="1" applyFont="1"/>
    <xf numFmtId="0" fontId="0" fillId="0" borderId="0" xfId="0" applyAlignment="1">
      <alignment horizontal="center" vertical="center"/>
    </xf>
    <xf numFmtId="164" fontId="25" fillId="0" borderId="7" xfId="0" applyNumberFormat="1" applyFont="1" applyBorder="1"/>
    <xf numFmtId="49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4" fontId="2" fillId="4" borderId="0" xfId="0" applyNumberFormat="1" applyFont="1" applyFill="1"/>
    <xf numFmtId="164" fontId="2" fillId="4" borderId="0" xfId="0" applyNumberFormat="1" applyFont="1" applyFill="1"/>
    <xf numFmtId="164" fontId="18" fillId="4" borderId="0" xfId="0" applyNumberFormat="1" applyFont="1" applyFill="1"/>
    <xf numFmtId="164" fontId="12" fillId="4" borderId="0" xfId="0" applyNumberFormat="1" applyFont="1" applyFill="1"/>
    <xf numFmtId="0" fontId="0" fillId="4" borderId="0" xfId="0" applyFill="1"/>
    <xf numFmtId="0" fontId="2" fillId="4" borderId="0" xfId="0" applyFont="1" applyFill="1" applyAlignment="1">
      <alignment horizontal="right"/>
    </xf>
    <xf numFmtId="0" fontId="2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8" fillId="3" borderId="0" xfId="0" applyFont="1" applyFill="1" applyAlignment="1"/>
    <xf numFmtId="0" fontId="18" fillId="0" borderId="0" xfId="0" applyFont="1" applyAlignment="1">
      <alignment horizontal="left"/>
    </xf>
    <xf numFmtId="49" fontId="21" fillId="0" borderId="0" xfId="0" applyNumberFormat="1" applyFont="1" applyFill="1"/>
    <xf numFmtId="0" fontId="15" fillId="0" borderId="2" xfId="0" applyFont="1" applyFill="1" applyBorder="1"/>
    <xf numFmtId="0" fontId="16" fillId="0" borderId="2" xfId="0" applyFont="1" applyFill="1" applyBorder="1"/>
    <xf numFmtId="165" fontId="15" fillId="0" borderId="2" xfId="1" applyNumberFormat="1" applyFont="1" applyFill="1" applyBorder="1" applyAlignment="1" applyProtection="1">
      <alignment horizontal="center"/>
    </xf>
    <xf numFmtId="165" fontId="15" fillId="0" borderId="0" xfId="1" applyNumberFormat="1" applyFont="1" applyFill="1" applyBorder="1" applyAlignment="1">
      <alignment horizontal="center"/>
    </xf>
    <xf numFmtId="49" fontId="2" fillId="0" borderId="0" xfId="0" applyNumberFormat="1" applyFont="1" applyFill="1"/>
    <xf numFmtId="0" fontId="2" fillId="0" borderId="0" xfId="0" applyFont="1" applyFill="1"/>
    <xf numFmtId="165" fontId="15" fillId="0" borderId="2" xfId="1" applyNumberFormat="1" applyFont="1" applyFill="1" applyBorder="1" applyAlignment="1">
      <alignment horizontal="center"/>
    </xf>
    <xf numFmtId="165" fontId="15" fillId="0" borderId="3" xfId="1" applyNumberFormat="1" applyFont="1" applyFill="1" applyBorder="1" applyAlignment="1">
      <alignment horizontal="center"/>
    </xf>
    <xf numFmtId="0" fontId="16" fillId="0" borderId="4" xfId="0" applyFont="1" applyFill="1" applyBorder="1"/>
    <xf numFmtId="0" fontId="15" fillId="0" borderId="3" xfId="0" applyFont="1" applyFill="1" applyBorder="1"/>
    <xf numFmtId="0" fontId="16" fillId="0" borderId="3" xfId="0" applyFont="1" applyFill="1" applyBorder="1"/>
    <xf numFmtId="165" fontId="15" fillId="0" borderId="3" xfId="1" applyNumberFormat="1" applyFont="1" applyFill="1" applyBorder="1" applyAlignment="1" applyProtection="1">
      <alignment horizontal="center"/>
    </xf>
    <xf numFmtId="0" fontId="15" fillId="0" borderId="0" xfId="0" applyFont="1" applyFill="1" applyBorder="1"/>
    <xf numFmtId="0" fontId="16" fillId="0" borderId="0" xfId="0" applyFont="1" applyFill="1" applyBorder="1"/>
    <xf numFmtId="165" fontId="15" fillId="0" borderId="0" xfId="1" applyNumberFormat="1" applyFont="1" applyFill="1" applyBorder="1" applyAlignment="1" applyProtection="1">
      <alignment horizontal="center"/>
    </xf>
    <xf numFmtId="165" fontId="15" fillId="0" borderId="5" xfId="1" applyNumberFormat="1" applyFont="1" applyFill="1" applyBorder="1" applyAlignment="1">
      <alignment horizontal="center"/>
    </xf>
    <xf numFmtId="165" fontId="15" fillId="0" borderId="5" xfId="1" applyNumberFormat="1" applyFont="1" applyFill="1" applyBorder="1" applyAlignment="1" applyProtection="1">
      <alignment horizontal="center" vertical="center"/>
    </xf>
    <xf numFmtId="0" fontId="15" fillId="0" borderId="6" xfId="0" applyFont="1" applyFill="1" applyBorder="1"/>
    <xf numFmtId="0" fontId="16" fillId="0" borderId="6" xfId="0" applyFont="1" applyFill="1" applyBorder="1"/>
    <xf numFmtId="165" fontId="15" fillId="0" borderId="6" xfId="1" applyNumberFormat="1" applyFont="1" applyFill="1" applyBorder="1" applyAlignment="1" applyProtection="1">
      <alignment horizontal="center"/>
    </xf>
    <xf numFmtId="164" fontId="18" fillId="0" borderId="0" xfId="0" applyNumberFormat="1" applyFont="1"/>
    <xf numFmtId="49" fontId="29" fillId="0" borderId="0" xfId="0" applyNumberFormat="1" applyFont="1"/>
    <xf numFmtId="0" fontId="29" fillId="0" borderId="0" xfId="0" applyFont="1" applyFill="1"/>
    <xf numFmtId="164" fontId="29" fillId="0" borderId="0" xfId="0" applyNumberFormat="1" applyFont="1"/>
    <xf numFmtId="0" fontId="29" fillId="0" borderId="0" xfId="0" applyFont="1"/>
    <xf numFmtId="165" fontId="30" fillId="4" borderId="0" xfId="1" applyNumberFormat="1" applyFont="1" applyFill="1" applyBorder="1" applyAlignment="1">
      <alignment horizontal="center"/>
    </xf>
    <xf numFmtId="49" fontId="29" fillId="0" borderId="0" xfId="0" applyNumberFormat="1" applyFont="1" applyFill="1"/>
    <xf numFmtId="44" fontId="2" fillId="0" borderId="0" xfId="0" applyNumberFormat="1" applyFont="1" applyFill="1"/>
    <xf numFmtId="164" fontId="2" fillId="0" borderId="0" xfId="0" applyNumberFormat="1" applyFont="1" applyFill="1"/>
    <xf numFmtId="164" fontId="18" fillId="0" borderId="0" xfId="0" applyNumberFormat="1" applyFont="1" applyFill="1"/>
    <xf numFmtId="0" fontId="0" fillId="0" borderId="0" xfId="0" applyFill="1"/>
    <xf numFmtId="0" fontId="2" fillId="0" borderId="0" xfId="0" applyFont="1" applyFill="1" applyAlignment="1">
      <alignment horizontal="right"/>
    </xf>
    <xf numFmtId="164" fontId="13" fillId="0" borderId="0" xfId="0" applyNumberFormat="1" applyFont="1" applyFill="1"/>
    <xf numFmtId="0" fontId="1" fillId="0" borderId="0" xfId="0" applyFont="1" applyFill="1"/>
    <xf numFmtId="8" fontId="2" fillId="0" borderId="0" xfId="0" applyNumberFormat="1" applyFont="1" applyFill="1"/>
    <xf numFmtId="8" fontId="18" fillId="0" borderId="0" xfId="0" applyNumberFormat="1" applyFont="1" applyFill="1"/>
    <xf numFmtId="0" fontId="31" fillId="4" borderId="0" xfId="0" applyFont="1" applyFill="1"/>
    <xf numFmtId="8" fontId="31" fillId="4" borderId="0" xfId="0" applyNumberFormat="1" applyFont="1" applyFill="1"/>
    <xf numFmtId="8" fontId="2" fillId="4" borderId="0" xfId="0" applyNumberFormat="1" applyFont="1" applyFill="1"/>
    <xf numFmtId="8" fontId="18" fillId="4" borderId="0" xfId="0" applyNumberFormat="1" applyFont="1" applyFill="1"/>
    <xf numFmtId="44" fontId="18" fillId="0" borderId="0" xfId="0" applyNumberFormat="1" applyFont="1"/>
    <xf numFmtId="8" fontId="18" fillId="0" borderId="0" xfId="0" applyNumberFormat="1" applyFont="1"/>
    <xf numFmtId="8" fontId="18" fillId="0" borderId="0" xfId="2" applyNumberFormat="1" applyFont="1" applyFill="1"/>
    <xf numFmtId="0" fontId="21" fillId="2" borderId="8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44" fontId="18" fillId="0" borderId="0" xfId="0" applyNumberFormat="1" applyFont="1" applyFill="1"/>
    <xf numFmtId="44" fontId="18" fillId="6" borderId="0" xfId="0" applyNumberFormat="1" applyFont="1" applyFill="1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/>
    <xf numFmtId="0" fontId="27" fillId="0" borderId="0" xfId="0" applyFont="1" applyAlignment="1">
      <alignment horizontal="center"/>
    </xf>
    <xf numFmtId="0" fontId="23" fillId="4" borderId="9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center"/>
    </xf>
    <xf numFmtId="0" fontId="23" fillId="4" borderId="1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Excel Built-in Normal" xfId="4"/>
    <cellStyle name="Millares" xfId="1" builtinId="3"/>
    <cellStyle name="Moneda" xfId="2" builtinId="4"/>
    <cellStyle name="Normal" xfId="0" builtinId="0"/>
    <cellStyle name="Normal 4" xfId="3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02"/>
  <sheetViews>
    <sheetView tabSelected="1" workbookViewId="0">
      <pane xSplit="2" ySplit="9" topLeftCell="C64" activePane="bottomRight" state="frozen"/>
      <selection pane="topRight" activeCell="C1" sqref="C1"/>
      <selection pane="bottomLeft" activeCell="A13" sqref="A13"/>
      <selection pane="bottomRight" activeCell="H81" sqref="H81"/>
    </sheetView>
  </sheetViews>
  <sheetFormatPr baseColWidth="10" defaultRowHeight="11.25" x14ac:dyDescent="0.2"/>
  <cols>
    <col min="1" max="1" width="12.28515625" style="27" customWidth="1"/>
    <col min="2" max="2" width="30.7109375" style="25" customWidth="1"/>
    <col min="3" max="3" width="13" style="25" bestFit="1" customWidth="1"/>
    <col min="4" max="7" width="13" style="25" customWidth="1"/>
    <col min="8" max="8" width="13.5703125" style="25" bestFit="1" customWidth="1"/>
    <col min="9" max="13" width="13" style="25" bestFit="1" customWidth="1"/>
    <col min="14" max="14" width="10.28515625" style="25" hidden="1" customWidth="1"/>
    <col min="15" max="15" width="29" style="25" hidden="1" customWidth="1"/>
    <col min="16" max="16" width="24.85546875" style="25" hidden="1" customWidth="1"/>
    <col min="17" max="17" width="34.28515625" style="25" hidden="1" customWidth="1"/>
    <col min="18" max="18" width="12.7109375" style="25" hidden="1" customWidth="1"/>
    <col min="19" max="20" width="11.5703125" style="30" hidden="1" customWidth="1"/>
    <col min="21" max="21" width="11.5703125" style="25" hidden="1" customWidth="1"/>
    <col min="22" max="22" width="31" style="25" hidden="1" customWidth="1"/>
    <col min="23" max="23" width="12.28515625" style="27" hidden="1" customWidth="1"/>
    <col min="24" max="24" width="30.7109375" style="25" hidden="1" customWidth="1"/>
    <col min="25" max="29" width="13" style="25" hidden="1" customWidth="1"/>
    <col min="30" max="30" width="13.5703125" style="25" hidden="1" customWidth="1"/>
    <col min="31" max="35" width="13" style="25" hidden="1" customWidth="1"/>
    <col min="36" max="36" width="0" style="25" hidden="1" customWidth="1"/>
    <col min="37" max="41" width="11.42578125" style="25" hidden="1" customWidth="1"/>
    <col min="42" max="42" width="13" style="25" customWidth="1"/>
    <col min="43" max="44" width="11.42578125" style="25" customWidth="1"/>
    <col min="45" max="45" width="11.42578125" style="25"/>
    <col min="46" max="48" width="11.42578125" style="25" hidden="1" customWidth="1"/>
    <col min="49" max="49" width="14.140625" style="25" customWidth="1"/>
    <col min="50" max="16384" width="11.42578125" style="25"/>
  </cols>
  <sheetData>
    <row r="1" spans="1:49" ht="18" customHeight="1" x14ac:dyDescent="0.25">
      <c r="A1" s="23" t="s">
        <v>0</v>
      </c>
      <c r="B1" s="132" t="s">
        <v>19</v>
      </c>
      <c r="C1" s="133"/>
      <c r="D1" s="24"/>
      <c r="E1" s="24"/>
      <c r="F1" s="24"/>
      <c r="G1" s="41"/>
      <c r="W1" s="23" t="s">
        <v>0</v>
      </c>
      <c r="X1" s="132" t="s">
        <v>19</v>
      </c>
      <c r="Y1" s="133"/>
      <c r="Z1" s="41"/>
      <c r="AA1" s="41"/>
      <c r="AB1" s="41"/>
      <c r="AC1" s="41"/>
    </row>
    <row r="2" spans="1:49" ht="24.95" customHeight="1" x14ac:dyDescent="0.2">
      <c r="A2" s="26" t="s">
        <v>1</v>
      </c>
      <c r="B2" s="138" t="s">
        <v>490</v>
      </c>
      <c r="C2" s="139"/>
      <c r="D2" s="139"/>
      <c r="E2" s="139"/>
      <c r="F2" s="139"/>
      <c r="G2" s="68"/>
      <c r="W2" s="26" t="s">
        <v>1</v>
      </c>
      <c r="X2" s="79" t="s">
        <v>2</v>
      </c>
      <c r="Y2" s="80"/>
      <c r="Z2" s="80"/>
      <c r="AA2" s="80"/>
      <c r="AB2" s="80"/>
      <c r="AC2" s="80"/>
    </row>
    <row r="3" spans="1:49" ht="15.75" x14ac:dyDescent="0.25">
      <c r="B3" s="140" t="s">
        <v>3</v>
      </c>
      <c r="C3" s="141"/>
      <c r="D3" s="141"/>
      <c r="E3" s="141"/>
      <c r="F3" s="141"/>
      <c r="G3" s="42"/>
      <c r="X3" s="134" t="s">
        <v>3</v>
      </c>
      <c r="Y3" s="133"/>
      <c r="Z3" s="41"/>
      <c r="AA3" s="41"/>
      <c r="AB3" s="41"/>
      <c r="AC3" s="41"/>
    </row>
    <row r="4" spans="1:49" ht="15" x14ac:dyDescent="0.25">
      <c r="B4" s="142" t="s">
        <v>491</v>
      </c>
      <c r="C4" s="141"/>
      <c r="D4" s="141"/>
      <c r="E4" s="141"/>
      <c r="F4" s="141"/>
      <c r="G4" s="42"/>
      <c r="H4" s="124"/>
      <c r="X4" s="81" t="s">
        <v>496</v>
      </c>
      <c r="Y4" s="41"/>
      <c r="Z4" s="41"/>
      <c r="AA4" s="41"/>
      <c r="AB4" s="41"/>
      <c r="AC4" s="41"/>
    </row>
    <row r="5" spans="1:49" ht="15" x14ac:dyDescent="0.25">
      <c r="B5" s="65" t="s">
        <v>492</v>
      </c>
      <c r="C5" s="62"/>
      <c r="D5" s="62"/>
      <c r="E5" s="62"/>
      <c r="F5" s="62"/>
      <c r="G5" s="62"/>
      <c r="I5" s="124"/>
      <c r="X5" s="82"/>
    </row>
    <row r="6" spans="1:49" ht="15" x14ac:dyDescent="0.25">
      <c r="B6" s="65" t="s">
        <v>5</v>
      </c>
      <c r="C6" s="62"/>
      <c r="D6" s="62"/>
      <c r="E6" s="62"/>
      <c r="F6" s="62"/>
      <c r="G6" s="62"/>
      <c r="X6" s="82"/>
    </row>
    <row r="7" spans="1:49" ht="15" x14ac:dyDescent="0.25">
      <c r="B7" s="63"/>
      <c r="C7" s="63"/>
      <c r="D7" s="63"/>
      <c r="E7" s="63"/>
      <c r="F7" s="63"/>
      <c r="G7" s="63"/>
      <c r="K7" s="135" t="s">
        <v>501</v>
      </c>
      <c r="L7" s="136"/>
      <c r="M7" s="137"/>
    </row>
    <row r="8" spans="1:49" s="39" customFormat="1" ht="23.25" thickBot="1" x14ac:dyDescent="0.3">
      <c r="A8" s="38" t="s">
        <v>6</v>
      </c>
      <c r="B8" s="28" t="s">
        <v>7</v>
      </c>
      <c r="C8" s="28" t="s">
        <v>27</v>
      </c>
      <c r="D8" s="28" t="s">
        <v>32</v>
      </c>
      <c r="E8" s="28" t="s">
        <v>28</v>
      </c>
      <c r="F8" s="28" t="s">
        <v>38</v>
      </c>
      <c r="G8" s="28" t="s">
        <v>497</v>
      </c>
      <c r="H8" s="28" t="s">
        <v>9</v>
      </c>
      <c r="I8" s="28" t="s">
        <v>29</v>
      </c>
      <c r="J8" s="28" t="s">
        <v>30</v>
      </c>
      <c r="K8" s="127" t="s">
        <v>31</v>
      </c>
      <c r="L8" s="127" t="s">
        <v>26</v>
      </c>
      <c r="M8" s="127" t="s">
        <v>25</v>
      </c>
      <c r="S8" s="40"/>
      <c r="T8" s="40"/>
      <c r="W8" s="38" t="s">
        <v>6</v>
      </c>
      <c r="X8" s="28" t="s">
        <v>7</v>
      </c>
      <c r="Y8" s="28" t="s">
        <v>27</v>
      </c>
      <c r="Z8" s="28" t="s">
        <v>32</v>
      </c>
      <c r="AA8" s="28" t="s">
        <v>28</v>
      </c>
      <c r="AB8" s="28" t="s">
        <v>38</v>
      </c>
      <c r="AC8" s="28" t="s">
        <v>497</v>
      </c>
      <c r="AD8" s="28" t="s">
        <v>9</v>
      </c>
      <c r="AE8" s="28" t="s">
        <v>29</v>
      </c>
      <c r="AF8" s="28" t="s">
        <v>30</v>
      </c>
      <c r="AG8" s="28" t="s">
        <v>31</v>
      </c>
      <c r="AH8" s="28" t="s">
        <v>26</v>
      </c>
      <c r="AI8" s="28" t="s">
        <v>25</v>
      </c>
      <c r="AP8" s="131" t="s">
        <v>504</v>
      </c>
      <c r="AW8" s="128" t="s">
        <v>502</v>
      </c>
    </row>
    <row r="9" spans="1:49" s="30" customFormat="1" ht="12" thickTop="1" x14ac:dyDescent="0.2">
      <c r="A9" s="83"/>
      <c r="W9" s="83"/>
    </row>
    <row r="10" spans="1:49" s="30" customFormat="1" ht="16.5" x14ac:dyDescent="0.3">
      <c r="A10" s="29" t="s">
        <v>175</v>
      </c>
      <c r="B10" s="30" t="s">
        <v>176</v>
      </c>
      <c r="C10" s="31">
        <f>+Y10</f>
        <v>1166.26</v>
      </c>
      <c r="D10" s="31">
        <f t="shared" ref="D10:E10" si="0">+Z10</f>
        <v>0</v>
      </c>
      <c r="E10" s="31">
        <f t="shared" si="0"/>
        <v>1036.03</v>
      </c>
      <c r="F10" s="31">
        <f>AB10</f>
        <v>-45.13</v>
      </c>
      <c r="G10" s="31">
        <f>-AC10</f>
        <v>0</v>
      </c>
      <c r="H10" s="31">
        <f>+C10+D10+E10+F10</f>
        <v>2157.16</v>
      </c>
      <c r="I10" s="31">
        <v>215.71600000000001</v>
      </c>
      <c r="J10" s="31">
        <f>+'C&amp;A'!E10*0.02</f>
        <v>10.2256</v>
      </c>
      <c r="K10" s="31">
        <f>SUM(H10:J10)</f>
        <v>2383.1016</v>
      </c>
      <c r="L10" s="31">
        <f t="shared" ref="L10:L73" si="1">+K10*0.16</f>
        <v>381.29625600000003</v>
      </c>
      <c r="M10" s="31">
        <f t="shared" ref="M10" si="2">+K10+L10</f>
        <v>2764.397856</v>
      </c>
      <c r="O10" s="84" t="s">
        <v>39</v>
      </c>
      <c r="P10" s="84" t="s">
        <v>40</v>
      </c>
      <c r="Q10" s="85" t="s">
        <v>332</v>
      </c>
      <c r="R10" s="86">
        <v>1166.26</v>
      </c>
      <c r="S10" s="87" t="str">
        <f>IF(A10=W10,"SI","NO")</f>
        <v>SI</v>
      </c>
      <c r="T10" s="87" t="str">
        <f>IF(A10=U10,"SI","NO")</f>
        <v>SI</v>
      </c>
      <c r="U10" s="88" t="s">
        <v>175</v>
      </c>
      <c r="V10" s="89" t="s">
        <v>176</v>
      </c>
      <c r="W10" s="29" t="s">
        <v>175</v>
      </c>
      <c r="X10" s="30" t="s">
        <v>176</v>
      </c>
      <c r="Y10" s="31">
        <v>1166.26</v>
      </c>
      <c r="Z10" s="31">
        <v>0</v>
      </c>
      <c r="AA10" s="31">
        <v>1036.03</v>
      </c>
      <c r="AB10" s="31">
        <v>-45.13</v>
      </c>
      <c r="AC10" s="31">
        <v>0</v>
      </c>
      <c r="AD10" s="31">
        <v>2157.16</v>
      </c>
      <c r="AE10" s="31">
        <v>215.71600000000001</v>
      </c>
      <c r="AF10" s="31">
        <v>21.911999999999999</v>
      </c>
      <c r="AG10" s="31">
        <v>2394.7879999999996</v>
      </c>
      <c r="AH10" s="31">
        <v>383.16607999999997</v>
      </c>
      <c r="AI10" s="31">
        <v>2777.9540799999995</v>
      </c>
      <c r="AK10" s="119"/>
      <c r="AN10" s="119">
        <f>+H10-'C&amp;A'!K10-SINDICATO!J10</f>
        <v>0</v>
      </c>
      <c r="AP10" s="30">
        <f>577.4+1579.76</f>
        <v>2157.16</v>
      </c>
      <c r="AS10" s="30">
        <v>1166.26</v>
      </c>
      <c r="AT10" s="119">
        <f>+'C&amp;A'!K10+SINDICATO!J10</f>
        <v>2157.16</v>
      </c>
      <c r="AU10" s="31">
        <f>IF(AT10&lt;=5000,AT10*0.1,0)</f>
        <v>215.71600000000001</v>
      </c>
      <c r="AV10" s="31">
        <f>IF(AT10&gt;=5000,AT10*0.1,0)</f>
        <v>0</v>
      </c>
      <c r="AW10" s="129">
        <f>+AS10-C10</f>
        <v>0</v>
      </c>
    </row>
    <row r="11" spans="1:49" s="30" customFormat="1" ht="16.5" x14ac:dyDescent="0.3">
      <c r="A11" s="29" t="s">
        <v>177</v>
      </c>
      <c r="B11" s="30" t="s">
        <v>178</v>
      </c>
      <c r="C11" s="31">
        <f t="shared" ref="C11:C74" si="3">+Y11</f>
        <v>1633.33</v>
      </c>
      <c r="D11" s="31">
        <f t="shared" ref="D11:D74" si="4">+Z11</f>
        <v>0</v>
      </c>
      <c r="E11" s="31">
        <f t="shared" ref="E11:E74" si="5">+AA11</f>
        <v>6288.43</v>
      </c>
      <c r="F11" s="31">
        <f t="shared" ref="F11:F74" si="6">AB11</f>
        <v>-45.13</v>
      </c>
      <c r="G11" s="31">
        <f t="shared" ref="G11:G74" si="7">-AC11</f>
        <v>0</v>
      </c>
      <c r="H11" s="31">
        <f t="shared" ref="H11:H74" si="8">+C11+D11+E11+F11</f>
        <v>7876.63</v>
      </c>
      <c r="I11" s="31">
        <v>0</v>
      </c>
      <c r="J11" s="31">
        <f>+'C&amp;A'!E11*0.02</f>
        <v>10.2256</v>
      </c>
      <c r="K11" s="31">
        <f t="shared" ref="K11:K74" si="9">SUM(H11:J11)</f>
        <v>7886.8555999999999</v>
      </c>
      <c r="L11" s="31">
        <f t="shared" si="1"/>
        <v>1261.896896</v>
      </c>
      <c r="M11" s="31">
        <f t="shared" ref="M11:M74" si="10">+K11+L11</f>
        <v>9148.7524959999992</v>
      </c>
      <c r="O11" s="84" t="s">
        <v>41</v>
      </c>
      <c r="P11" s="84" t="s">
        <v>42</v>
      </c>
      <c r="Q11" s="85" t="s">
        <v>330</v>
      </c>
      <c r="R11" s="86">
        <v>1633.33</v>
      </c>
      <c r="S11" s="87" t="str">
        <f t="shared" ref="S11:S74" si="11">IF(A11=W11,"SI","NO")</f>
        <v>SI</v>
      </c>
      <c r="T11" s="87" t="str">
        <f t="shared" ref="T11:T74" si="12">IF(A11=U11,"SI","NO")</f>
        <v>SI</v>
      </c>
      <c r="U11" s="88" t="s">
        <v>177</v>
      </c>
      <c r="V11" s="89" t="s">
        <v>178</v>
      </c>
      <c r="W11" s="29" t="s">
        <v>177</v>
      </c>
      <c r="X11" s="30" t="s">
        <v>178</v>
      </c>
      <c r="Y11" s="31">
        <v>1633.33</v>
      </c>
      <c r="Z11" s="31">
        <v>0</v>
      </c>
      <c r="AA11" s="31">
        <v>6288.43</v>
      </c>
      <c r="AB11" s="31">
        <v>-45.13</v>
      </c>
      <c r="AC11" s="31">
        <v>0</v>
      </c>
      <c r="AD11" s="31">
        <v>7876.63</v>
      </c>
      <c r="AE11" s="31">
        <v>0</v>
      </c>
      <c r="AF11" s="31">
        <v>21.911999999999999</v>
      </c>
      <c r="AG11" s="31">
        <v>7898.5420000000004</v>
      </c>
      <c r="AH11" s="31">
        <v>1263.7667200000001</v>
      </c>
      <c r="AI11" s="31">
        <v>9162.3087200000009</v>
      </c>
      <c r="AK11" s="119"/>
      <c r="AN11" s="119">
        <f>+H11-'C&amp;A'!K11-SINDICATO!J11</f>
        <v>708.89670000000024</v>
      </c>
      <c r="AP11" s="30">
        <f>577.4+6590.33</f>
        <v>7167.73</v>
      </c>
      <c r="AS11" s="30">
        <v>1633.33</v>
      </c>
      <c r="AT11" s="119">
        <f>+'C&amp;A'!K11+SINDICATO!J11</f>
        <v>7167.7332999999999</v>
      </c>
      <c r="AU11" s="31">
        <f t="shared" ref="AU11:AU74" si="13">IF(AT11&lt;=5000,AT11*0.1,0)</f>
        <v>0</v>
      </c>
      <c r="AV11" s="31">
        <f t="shared" ref="AV11:AV74" si="14">IF(AT11&gt;=5000,AT11*0.1,0)</f>
        <v>716.77332999999999</v>
      </c>
      <c r="AW11" s="129">
        <f t="shared" ref="AW11:AW74" si="15">+AS11-C11</f>
        <v>0</v>
      </c>
    </row>
    <row r="12" spans="1:49" s="30" customFormat="1" ht="16.5" x14ac:dyDescent="0.3">
      <c r="A12" s="29" t="s">
        <v>179</v>
      </c>
      <c r="B12" s="30" t="s">
        <v>180</v>
      </c>
      <c r="C12" s="31">
        <f t="shared" si="3"/>
        <v>608.16</v>
      </c>
      <c r="D12" s="31">
        <f t="shared" si="4"/>
        <v>0</v>
      </c>
      <c r="E12" s="31">
        <f t="shared" si="5"/>
        <v>5128.8</v>
      </c>
      <c r="F12" s="31">
        <f t="shared" si="6"/>
        <v>-88.79</v>
      </c>
      <c r="G12" s="31">
        <f t="shared" si="7"/>
        <v>0</v>
      </c>
      <c r="H12" s="31">
        <f t="shared" si="8"/>
        <v>5648.17</v>
      </c>
      <c r="I12" s="31">
        <v>0</v>
      </c>
      <c r="J12" s="31">
        <f>+'C&amp;A'!E12*0.02</f>
        <v>10.2256</v>
      </c>
      <c r="K12" s="31">
        <f t="shared" si="9"/>
        <v>5658.3955999999998</v>
      </c>
      <c r="L12" s="31">
        <f t="shared" si="1"/>
        <v>905.34329600000001</v>
      </c>
      <c r="M12" s="31">
        <f t="shared" si="10"/>
        <v>6563.7388959999998</v>
      </c>
      <c r="O12" s="84" t="s">
        <v>43</v>
      </c>
      <c r="P12" s="84" t="s">
        <v>44</v>
      </c>
      <c r="Q12" s="85" t="s">
        <v>347</v>
      </c>
      <c r="R12" s="90">
        <v>608.16</v>
      </c>
      <c r="S12" s="87" t="str">
        <f t="shared" si="11"/>
        <v>SI</v>
      </c>
      <c r="T12" s="87" t="str">
        <f t="shared" si="12"/>
        <v>SI</v>
      </c>
      <c r="U12" s="88" t="s">
        <v>179</v>
      </c>
      <c r="V12" s="89" t="s">
        <v>180</v>
      </c>
      <c r="W12" s="29" t="s">
        <v>179</v>
      </c>
      <c r="X12" s="30" t="s">
        <v>180</v>
      </c>
      <c r="Y12" s="31">
        <v>608.16</v>
      </c>
      <c r="Z12" s="31">
        <v>0</v>
      </c>
      <c r="AA12" s="31">
        <v>5128.8</v>
      </c>
      <c r="AB12" s="31">
        <v>-88.79</v>
      </c>
      <c r="AC12" s="31">
        <v>0</v>
      </c>
      <c r="AD12" s="31">
        <v>5648.17</v>
      </c>
      <c r="AE12" s="31">
        <v>0</v>
      </c>
      <c r="AF12" s="31">
        <v>21.911999999999999</v>
      </c>
      <c r="AG12" s="31">
        <v>5670.0820000000003</v>
      </c>
      <c r="AH12" s="31">
        <v>907.21312000000012</v>
      </c>
      <c r="AI12" s="31">
        <v>6577.2951200000007</v>
      </c>
      <c r="AK12" s="119"/>
      <c r="AN12" s="119">
        <f>+H12-'C&amp;A'!K12-SINDICATO!J12</f>
        <v>508.33529999999973</v>
      </c>
      <c r="AP12" s="30">
        <f>577.4+4562.43</f>
        <v>5139.83</v>
      </c>
      <c r="AS12" s="30">
        <v>608.16</v>
      </c>
      <c r="AT12" s="119">
        <f>+'C&amp;A'!K12+SINDICATO!J12</f>
        <v>5139.8347000000003</v>
      </c>
      <c r="AU12" s="31">
        <f t="shared" si="13"/>
        <v>0</v>
      </c>
      <c r="AV12" s="31">
        <f t="shared" si="14"/>
        <v>513.98347000000001</v>
      </c>
      <c r="AW12" s="129">
        <f t="shared" si="15"/>
        <v>0</v>
      </c>
    </row>
    <row r="13" spans="1:49" s="30" customFormat="1" ht="16.5" x14ac:dyDescent="0.3">
      <c r="A13" s="88" t="s">
        <v>450</v>
      </c>
      <c r="B13" s="30" t="s">
        <v>322</v>
      </c>
      <c r="C13" s="31">
        <f t="shared" si="3"/>
        <v>0</v>
      </c>
      <c r="D13" s="31">
        <f t="shared" si="4"/>
        <v>0</v>
      </c>
      <c r="E13" s="31">
        <f t="shared" si="5"/>
        <v>1685.46</v>
      </c>
      <c r="F13" s="31">
        <f t="shared" si="6"/>
        <v>0</v>
      </c>
      <c r="G13" s="31">
        <f t="shared" si="7"/>
        <v>0</v>
      </c>
      <c r="H13" s="31">
        <f t="shared" si="8"/>
        <v>1685.46</v>
      </c>
      <c r="I13" s="31">
        <v>168.54600000000002</v>
      </c>
      <c r="J13" s="31">
        <f>+'C&amp;A'!E13*0.02</f>
        <v>10.2256</v>
      </c>
      <c r="K13" s="31">
        <f t="shared" si="9"/>
        <v>1864.2316000000001</v>
      </c>
      <c r="L13" s="31">
        <f t="shared" si="1"/>
        <v>298.27705600000002</v>
      </c>
      <c r="M13" s="31">
        <f t="shared" si="10"/>
        <v>2162.508656</v>
      </c>
      <c r="O13" s="84" t="s">
        <v>323</v>
      </c>
      <c r="P13" s="84" t="s">
        <v>324</v>
      </c>
      <c r="Q13" s="85" t="s">
        <v>321</v>
      </c>
      <c r="R13" s="86">
        <v>739.23</v>
      </c>
      <c r="S13" s="87" t="str">
        <f t="shared" si="11"/>
        <v>SI</v>
      </c>
      <c r="T13" s="87" t="str">
        <f t="shared" si="12"/>
        <v>SI</v>
      </c>
      <c r="U13" s="88" t="s">
        <v>450</v>
      </c>
      <c r="V13" s="89" t="s">
        <v>322</v>
      </c>
      <c r="W13" s="88" t="s">
        <v>450</v>
      </c>
      <c r="X13" s="30" t="s">
        <v>322</v>
      </c>
      <c r="Y13" s="31">
        <v>0</v>
      </c>
      <c r="Z13" s="31">
        <v>0</v>
      </c>
      <c r="AA13" s="31">
        <v>1685.46</v>
      </c>
      <c r="AB13" s="31">
        <v>0</v>
      </c>
      <c r="AC13" s="31">
        <v>0</v>
      </c>
      <c r="AD13" s="31">
        <v>1685.46</v>
      </c>
      <c r="AE13" s="31">
        <v>168.54600000000002</v>
      </c>
      <c r="AF13" s="31">
        <v>21.911999999999999</v>
      </c>
      <c r="AG13" s="31">
        <v>1875.9180000000001</v>
      </c>
      <c r="AH13" s="31">
        <v>300.14688000000001</v>
      </c>
      <c r="AI13" s="31">
        <v>2176.0648799999999</v>
      </c>
      <c r="AK13" s="119"/>
      <c r="AN13" s="119">
        <f>+H13-'C&amp;A'!K13-SINDICATO!J13</f>
        <v>0</v>
      </c>
      <c r="AP13" s="30">
        <v>513.33000000000004</v>
      </c>
      <c r="AS13" s="30">
        <v>739.23</v>
      </c>
      <c r="AT13" s="119">
        <f>+'C&amp;A'!K13+SINDICATO!J13</f>
        <v>1685.46</v>
      </c>
      <c r="AU13" s="31">
        <f t="shared" si="13"/>
        <v>168.54600000000002</v>
      </c>
      <c r="AV13" s="31">
        <f t="shared" si="14"/>
        <v>0</v>
      </c>
      <c r="AW13" s="129">
        <f t="shared" si="15"/>
        <v>739.23</v>
      </c>
    </row>
    <row r="14" spans="1:49" s="30" customFormat="1" ht="16.5" x14ac:dyDescent="0.3">
      <c r="A14" s="29" t="s">
        <v>181</v>
      </c>
      <c r="B14" s="30" t="s">
        <v>182</v>
      </c>
      <c r="C14" s="31">
        <f t="shared" si="3"/>
        <v>1166.26</v>
      </c>
      <c r="D14" s="31">
        <f t="shared" si="4"/>
        <v>0</v>
      </c>
      <c r="E14" s="31">
        <f t="shared" si="5"/>
        <v>1948.74</v>
      </c>
      <c r="F14" s="31">
        <f t="shared" si="6"/>
        <v>-45.13</v>
      </c>
      <c r="G14" s="31">
        <f t="shared" si="7"/>
        <v>0</v>
      </c>
      <c r="H14" s="31">
        <f t="shared" si="8"/>
        <v>3069.87</v>
      </c>
      <c r="I14" s="31">
        <v>306.98700000000002</v>
      </c>
      <c r="J14" s="31">
        <f>+'C&amp;A'!E14*0.02</f>
        <v>10.2256</v>
      </c>
      <c r="K14" s="31">
        <f t="shared" si="9"/>
        <v>3387.0826000000002</v>
      </c>
      <c r="L14" s="31">
        <f t="shared" si="1"/>
        <v>541.93321600000002</v>
      </c>
      <c r="M14" s="31">
        <f t="shared" si="10"/>
        <v>3929.0158160000001</v>
      </c>
      <c r="O14" s="84" t="s">
        <v>45</v>
      </c>
      <c r="P14" s="84" t="s">
        <v>20</v>
      </c>
      <c r="Q14" s="85" t="s">
        <v>332</v>
      </c>
      <c r="R14" s="86">
        <v>1166.26</v>
      </c>
      <c r="S14" s="87" t="str">
        <f t="shared" si="11"/>
        <v>SI</v>
      </c>
      <c r="T14" s="87" t="str">
        <f t="shared" si="12"/>
        <v>SI</v>
      </c>
      <c r="U14" s="88" t="s">
        <v>181</v>
      </c>
      <c r="V14" s="89" t="s">
        <v>182</v>
      </c>
      <c r="W14" s="29" t="s">
        <v>181</v>
      </c>
      <c r="X14" s="30" t="s">
        <v>182</v>
      </c>
      <c r="Y14" s="31">
        <v>1166.26</v>
      </c>
      <c r="Z14" s="31">
        <v>0</v>
      </c>
      <c r="AA14" s="31">
        <v>1948.74</v>
      </c>
      <c r="AB14" s="31">
        <v>-45.13</v>
      </c>
      <c r="AC14" s="31">
        <v>0</v>
      </c>
      <c r="AD14" s="31">
        <v>3069.87</v>
      </c>
      <c r="AE14" s="31">
        <v>306.98700000000002</v>
      </c>
      <c r="AF14" s="31">
        <v>21.911999999999999</v>
      </c>
      <c r="AG14" s="31">
        <v>3398.7689999999998</v>
      </c>
      <c r="AH14" s="31">
        <v>543.80304000000001</v>
      </c>
      <c r="AI14" s="31">
        <v>3942.57204</v>
      </c>
      <c r="AK14" s="119"/>
      <c r="AN14" s="119">
        <f>+H14-'C&amp;A'!K14-SINDICATO!J14</f>
        <v>0</v>
      </c>
      <c r="AP14" s="30">
        <f>577.4+2492.47</f>
        <v>3069.87</v>
      </c>
      <c r="AS14" s="30">
        <v>1166.26</v>
      </c>
      <c r="AT14" s="119">
        <f>+'C&amp;A'!K14+SINDICATO!J14</f>
        <v>3069.87</v>
      </c>
      <c r="AU14" s="31">
        <f t="shared" si="13"/>
        <v>306.98700000000002</v>
      </c>
      <c r="AV14" s="31">
        <f t="shared" si="14"/>
        <v>0</v>
      </c>
      <c r="AW14" s="129">
        <f t="shared" si="15"/>
        <v>0</v>
      </c>
    </row>
    <row r="15" spans="1:49" s="30" customFormat="1" ht="16.5" x14ac:dyDescent="0.3">
      <c r="A15" s="29" t="s">
        <v>183</v>
      </c>
      <c r="B15" s="30" t="s">
        <v>184</v>
      </c>
      <c r="C15" s="31">
        <f t="shared" si="3"/>
        <v>1633.33</v>
      </c>
      <c r="D15" s="31">
        <f t="shared" si="4"/>
        <v>0</v>
      </c>
      <c r="E15" s="31">
        <f t="shared" si="5"/>
        <v>1807.91</v>
      </c>
      <c r="F15" s="31">
        <f t="shared" si="6"/>
        <v>-45.13</v>
      </c>
      <c r="G15" s="31">
        <f t="shared" si="7"/>
        <v>0</v>
      </c>
      <c r="H15" s="31">
        <f t="shared" si="8"/>
        <v>3396.1099999999997</v>
      </c>
      <c r="I15" s="31">
        <v>339.61099999999999</v>
      </c>
      <c r="J15" s="31">
        <f>+'C&amp;A'!E15*0.02</f>
        <v>10.2256</v>
      </c>
      <c r="K15" s="31">
        <f t="shared" si="9"/>
        <v>3745.9465999999998</v>
      </c>
      <c r="L15" s="31">
        <f t="shared" si="1"/>
        <v>599.35145599999998</v>
      </c>
      <c r="M15" s="31">
        <f t="shared" si="10"/>
        <v>4345.2980559999996</v>
      </c>
      <c r="O15" s="84" t="s">
        <v>46</v>
      </c>
      <c r="P15" s="84" t="s">
        <v>47</v>
      </c>
      <c r="Q15" s="85" t="s">
        <v>330</v>
      </c>
      <c r="R15" s="90">
        <v>1633.33</v>
      </c>
      <c r="S15" s="87" t="str">
        <f t="shared" si="11"/>
        <v>SI</v>
      </c>
      <c r="T15" s="87" t="str">
        <f t="shared" si="12"/>
        <v>SI</v>
      </c>
      <c r="U15" s="88" t="s">
        <v>183</v>
      </c>
      <c r="V15" s="89" t="s">
        <v>184</v>
      </c>
      <c r="W15" s="29" t="s">
        <v>183</v>
      </c>
      <c r="X15" s="30" t="s">
        <v>184</v>
      </c>
      <c r="Y15" s="31">
        <v>1633.33</v>
      </c>
      <c r="Z15" s="31">
        <v>0</v>
      </c>
      <c r="AA15" s="31">
        <v>1807.91</v>
      </c>
      <c r="AB15" s="31">
        <v>-45.13</v>
      </c>
      <c r="AC15" s="31">
        <v>0</v>
      </c>
      <c r="AD15" s="31">
        <v>3396.1099999999997</v>
      </c>
      <c r="AE15" s="31">
        <v>339.61099999999999</v>
      </c>
      <c r="AF15" s="31">
        <v>21.911999999999999</v>
      </c>
      <c r="AG15" s="31">
        <v>3757.6329999999994</v>
      </c>
      <c r="AH15" s="31">
        <v>601.22127999999987</v>
      </c>
      <c r="AI15" s="31">
        <v>4358.8542799999996</v>
      </c>
      <c r="AK15" s="119"/>
      <c r="AN15" s="119">
        <f>+H15-'C&amp;A'!K15-SINDICATO!J15</f>
        <v>0</v>
      </c>
      <c r="AP15" s="30">
        <f>577.4+2818.71</f>
        <v>3396.11</v>
      </c>
      <c r="AS15" s="30">
        <v>1633.33</v>
      </c>
      <c r="AT15" s="119">
        <f>+'C&amp;A'!K15+SINDICATO!J15</f>
        <v>3396.1099999999997</v>
      </c>
      <c r="AU15" s="31">
        <f t="shared" si="13"/>
        <v>339.61099999999999</v>
      </c>
      <c r="AV15" s="31">
        <f t="shared" si="14"/>
        <v>0</v>
      </c>
      <c r="AW15" s="129">
        <f t="shared" si="15"/>
        <v>0</v>
      </c>
    </row>
    <row r="16" spans="1:49" s="30" customFormat="1" ht="16.5" x14ac:dyDescent="0.3">
      <c r="A16" s="29" t="s">
        <v>185</v>
      </c>
      <c r="B16" s="30" t="s">
        <v>186</v>
      </c>
      <c r="C16" s="31">
        <f t="shared" si="3"/>
        <v>513.33000000000004</v>
      </c>
      <c r="D16" s="31">
        <f t="shared" si="4"/>
        <v>0</v>
      </c>
      <c r="E16" s="31">
        <f t="shared" si="5"/>
        <v>14721.23</v>
      </c>
      <c r="F16" s="31">
        <f t="shared" si="6"/>
        <v>0</v>
      </c>
      <c r="G16" s="31">
        <f t="shared" si="7"/>
        <v>316.8</v>
      </c>
      <c r="H16" s="31">
        <f t="shared" si="8"/>
        <v>15234.56</v>
      </c>
      <c r="I16" s="31">
        <v>0</v>
      </c>
      <c r="J16" s="31">
        <f>+'C&amp;A'!E16*0.02</f>
        <v>10.2256</v>
      </c>
      <c r="K16" s="31">
        <f t="shared" si="9"/>
        <v>15244.785599999999</v>
      </c>
      <c r="L16" s="31">
        <f t="shared" si="1"/>
        <v>2439.165696</v>
      </c>
      <c r="M16" s="31">
        <f t="shared" si="10"/>
        <v>17683.951295999999</v>
      </c>
      <c r="O16" s="84" t="s">
        <v>48</v>
      </c>
      <c r="P16" s="84" t="s">
        <v>49</v>
      </c>
      <c r="Q16" s="85" t="s">
        <v>327</v>
      </c>
      <c r="R16" s="86">
        <v>513.33000000000004</v>
      </c>
      <c r="S16" s="87" t="str">
        <f t="shared" si="11"/>
        <v>SI</v>
      </c>
      <c r="T16" s="87" t="str">
        <f t="shared" si="12"/>
        <v>SI</v>
      </c>
      <c r="U16" s="88" t="s">
        <v>185</v>
      </c>
      <c r="V16" s="89" t="s">
        <v>186</v>
      </c>
      <c r="W16" s="29" t="s">
        <v>185</v>
      </c>
      <c r="X16" s="30" t="s">
        <v>186</v>
      </c>
      <c r="Y16" s="31">
        <v>513.33000000000004</v>
      </c>
      <c r="Z16" s="31">
        <v>0</v>
      </c>
      <c r="AA16" s="31">
        <v>14721.23</v>
      </c>
      <c r="AB16" s="31">
        <v>0</v>
      </c>
      <c r="AC16" s="31">
        <v>-316.8</v>
      </c>
      <c r="AD16" s="31">
        <v>14917.76</v>
      </c>
      <c r="AE16" s="31">
        <v>0</v>
      </c>
      <c r="AF16" s="31">
        <v>21.911999999999999</v>
      </c>
      <c r="AG16" s="31">
        <v>14939.672</v>
      </c>
      <c r="AH16" s="31">
        <v>2390.3475200000003</v>
      </c>
      <c r="AI16" s="31">
        <v>17330.019520000002</v>
      </c>
      <c r="AK16" s="119"/>
      <c r="AN16" s="119">
        <f>+H16-'C&amp;A'!K16-SINDICATO!J16</f>
        <v>1656.2304000000004</v>
      </c>
      <c r="AP16" s="30">
        <f>577.4+13000.93</f>
        <v>13578.33</v>
      </c>
      <c r="AS16" s="30">
        <v>513.33000000000004</v>
      </c>
      <c r="AT16" s="119">
        <f>+'C&amp;A'!K16+SINDICATO!J16</f>
        <v>13578.329599999999</v>
      </c>
      <c r="AU16" s="31">
        <f t="shared" si="13"/>
        <v>0</v>
      </c>
      <c r="AV16" s="31">
        <f t="shared" si="14"/>
        <v>1357.83296</v>
      </c>
      <c r="AW16" s="129">
        <f t="shared" si="15"/>
        <v>0</v>
      </c>
    </row>
    <row r="17" spans="1:50" s="30" customFormat="1" ht="16.5" x14ac:dyDescent="0.3">
      <c r="A17" s="29" t="s">
        <v>451</v>
      </c>
      <c r="B17" s="30" t="s">
        <v>187</v>
      </c>
      <c r="C17" s="31">
        <f t="shared" si="3"/>
        <v>543.20000000000005</v>
      </c>
      <c r="D17" s="31">
        <f t="shared" si="4"/>
        <v>88.07</v>
      </c>
      <c r="E17" s="31">
        <f t="shared" si="5"/>
        <v>684.3</v>
      </c>
      <c r="F17" s="31">
        <f t="shared" si="6"/>
        <v>-45.13</v>
      </c>
      <c r="G17" s="31">
        <f t="shared" si="7"/>
        <v>0</v>
      </c>
      <c r="H17" s="31">
        <f t="shared" si="8"/>
        <v>1270.4399999999998</v>
      </c>
      <c r="I17" s="31">
        <v>127.04399999999998</v>
      </c>
      <c r="J17" s="31">
        <f>+'C&amp;A'!E17*0.02</f>
        <v>10.2256</v>
      </c>
      <c r="K17" s="31">
        <f t="shared" si="9"/>
        <v>1407.7095999999999</v>
      </c>
      <c r="L17" s="31">
        <f t="shared" si="1"/>
        <v>225.23353599999999</v>
      </c>
      <c r="M17" s="31">
        <f t="shared" si="10"/>
        <v>1632.9431359999999</v>
      </c>
      <c r="O17" s="84" t="s">
        <v>50</v>
      </c>
      <c r="P17" s="84" t="s">
        <v>51</v>
      </c>
      <c r="Q17" s="85" t="s">
        <v>347</v>
      </c>
      <c r="R17" s="90">
        <v>543.20000000000005</v>
      </c>
      <c r="S17" s="87" t="str">
        <f t="shared" si="11"/>
        <v>SI</v>
      </c>
      <c r="T17" s="87" t="str">
        <f t="shared" si="12"/>
        <v>SI</v>
      </c>
      <c r="U17" s="88" t="s">
        <v>451</v>
      </c>
      <c r="V17" s="89" t="s">
        <v>187</v>
      </c>
      <c r="W17" s="29" t="s">
        <v>451</v>
      </c>
      <c r="X17" s="30" t="s">
        <v>187</v>
      </c>
      <c r="Y17" s="31">
        <v>543.20000000000005</v>
      </c>
      <c r="Z17" s="31">
        <v>88.07</v>
      </c>
      <c r="AA17" s="31">
        <v>684.3</v>
      </c>
      <c r="AB17" s="31">
        <v>-45.13</v>
      </c>
      <c r="AC17" s="31">
        <v>0</v>
      </c>
      <c r="AD17" s="31">
        <v>1270.4399999999998</v>
      </c>
      <c r="AE17" s="31">
        <v>127.04399999999998</v>
      </c>
      <c r="AF17" s="31">
        <v>21.911999999999999</v>
      </c>
      <c r="AG17" s="31">
        <v>1419.396</v>
      </c>
      <c r="AH17" s="31">
        <v>227.10336000000001</v>
      </c>
      <c r="AI17" s="31">
        <v>1646.49936</v>
      </c>
      <c r="AK17" s="119"/>
      <c r="AN17" s="119">
        <f>+H17-'C&amp;A'!K17-SINDICATO!J17</f>
        <v>0</v>
      </c>
      <c r="AP17" s="30">
        <f>577.4+693.24</f>
        <v>1270.6399999999999</v>
      </c>
      <c r="AS17" s="30">
        <v>543.20000000000005</v>
      </c>
      <c r="AT17" s="119">
        <f>+'C&amp;A'!K17+SINDICATO!J17</f>
        <v>1270.4399999999998</v>
      </c>
      <c r="AU17" s="31">
        <f t="shared" si="13"/>
        <v>127.04399999999998</v>
      </c>
      <c r="AV17" s="31">
        <f t="shared" si="14"/>
        <v>0</v>
      </c>
      <c r="AW17" s="129">
        <f t="shared" si="15"/>
        <v>0</v>
      </c>
    </row>
    <row r="18" spans="1:50" s="30" customFormat="1" ht="16.5" x14ac:dyDescent="0.3">
      <c r="A18" s="29" t="s">
        <v>15</v>
      </c>
      <c r="B18" s="30" t="s">
        <v>188</v>
      </c>
      <c r="C18" s="31">
        <f t="shared" si="3"/>
        <v>513.33000000000004</v>
      </c>
      <c r="D18" s="31">
        <f t="shared" si="4"/>
        <v>0</v>
      </c>
      <c r="E18" s="31">
        <f t="shared" si="5"/>
        <v>378.52</v>
      </c>
      <c r="F18" s="31">
        <f t="shared" si="6"/>
        <v>0</v>
      </c>
      <c r="G18" s="31">
        <f t="shared" si="7"/>
        <v>879.45</v>
      </c>
      <c r="H18" s="31">
        <f t="shared" si="8"/>
        <v>891.85</v>
      </c>
      <c r="I18" s="31">
        <v>1.2399999999999978</v>
      </c>
      <c r="J18" s="31">
        <f>+'C&amp;A'!E18*0.02</f>
        <v>10.2256</v>
      </c>
      <c r="K18" s="31">
        <f t="shared" si="9"/>
        <v>903.31560000000002</v>
      </c>
      <c r="L18" s="31">
        <f t="shared" si="1"/>
        <v>144.530496</v>
      </c>
      <c r="M18" s="31">
        <f t="shared" si="10"/>
        <v>1047.846096</v>
      </c>
      <c r="O18" s="84" t="s">
        <v>52</v>
      </c>
      <c r="P18" s="84" t="s">
        <v>53</v>
      </c>
      <c r="Q18" s="85" t="s">
        <v>327</v>
      </c>
      <c r="R18" s="90">
        <v>513.33000000000004</v>
      </c>
      <c r="S18" s="87" t="str">
        <f t="shared" si="11"/>
        <v>SI</v>
      </c>
      <c r="T18" s="87" t="str">
        <f t="shared" si="12"/>
        <v>SI</v>
      </c>
      <c r="U18" s="88" t="s">
        <v>15</v>
      </c>
      <c r="V18" s="89" t="s">
        <v>188</v>
      </c>
      <c r="W18" s="29" t="s">
        <v>15</v>
      </c>
      <c r="X18" s="30" t="s">
        <v>188</v>
      </c>
      <c r="Y18" s="31">
        <v>513.33000000000004</v>
      </c>
      <c r="Z18" s="31">
        <v>0</v>
      </c>
      <c r="AA18" s="31">
        <v>378.52</v>
      </c>
      <c r="AB18" s="31">
        <v>0</v>
      </c>
      <c r="AC18" s="31">
        <v>-879.45</v>
      </c>
      <c r="AD18" s="31">
        <v>12.399999999999977</v>
      </c>
      <c r="AE18" s="31">
        <v>1.2399999999999978</v>
      </c>
      <c r="AF18" s="31">
        <v>21.911999999999999</v>
      </c>
      <c r="AG18" s="31">
        <v>35.551999999999978</v>
      </c>
      <c r="AH18" s="31">
        <v>5.6883199999999965</v>
      </c>
      <c r="AI18" s="31">
        <v>41.240319999999976</v>
      </c>
      <c r="AK18" s="119"/>
      <c r="AN18" s="119">
        <f>+H18-'C&amp;A'!K18-SINDICATO!J18</f>
        <v>879.45</v>
      </c>
      <c r="AS18" s="30">
        <v>513.33000000000004</v>
      </c>
      <c r="AT18" s="119">
        <f>+'C&amp;A'!K18+SINDICATO!J18</f>
        <v>12.399999999999977</v>
      </c>
      <c r="AU18" s="31">
        <f t="shared" si="13"/>
        <v>1.2399999999999978</v>
      </c>
      <c r="AV18" s="31">
        <f t="shared" si="14"/>
        <v>0</v>
      </c>
      <c r="AW18" s="129">
        <f t="shared" si="15"/>
        <v>0</v>
      </c>
    </row>
    <row r="19" spans="1:50" s="30" customFormat="1" ht="16.5" x14ac:dyDescent="0.3">
      <c r="A19" s="29" t="s">
        <v>189</v>
      </c>
      <c r="B19" s="30" t="s">
        <v>190</v>
      </c>
      <c r="C19" s="31">
        <f t="shared" si="3"/>
        <v>933.33</v>
      </c>
      <c r="D19" s="31">
        <f t="shared" si="4"/>
        <v>74.81</v>
      </c>
      <c r="E19" s="31">
        <f t="shared" si="5"/>
        <v>260</v>
      </c>
      <c r="F19" s="31">
        <f t="shared" si="6"/>
        <v>-45.13</v>
      </c>
      <c r="G19" s="31">
        <f t="shared" si="7"/>
        <v>0</v>
      </c>
      <c r="H19" s="31">
        <f t="shared" si="8"/>
        <v>1223.01</v>
      </c>
      <c r="I19" s="31">
        <v>122.301</v>
      </c>
      <c r="J19" s="31">
        <f>+'C&amp;A'!E19*0.02</f>
        <v>10.2256</v>
      </c>
      <c r="K19" s="31">
        <f t="shared" si="9"/>
        <v>1355.5365999999999</v>
      </c>
      <c r="L19" s="31">
        <f t="shared" si="1"/>
        <v>216.88585599999999</v>
      </c>
      <c r="M19" s="31">
        <f t="shared" si="10"/>
        <v>1572.4224559999998</v>
      </c>
      <c r="O19" s="84" t="s">
        <v>54</v>
      </c>
      <c r="P19" s="84" t="s">
        <v>55</v>
      </c>
      <c r="Q19" s="85" t="s">
        <v>331</v>
      </c>
      <c r="R19" s="86">
        <v>933.33</v>
      </c>
      <c r="S19" s="87" t="str">
        <f t="shared" si="11"/>
        <v>SI</v>
      </c>
      <c r="T19" s="87" t="str">
        <f t="shared" si="12"/>
        <v>SI</v>
      </c>
      <c r="U19" s="88" t="s">
        <v>189</v>
      </c>
      <c r="V19" s="89" t="s">
        <v>190</v>
      </c>
      <c r="W19" s="29" t="s">
        <v>189</v>
      </c>
      <c r="X19" s="30" t="s">
        <v>190</v>
      </c>
      <c r="Y19" s="31">
        <v>933.33</v>
      </c>
      <c r="Z19" s="31">
        <v>74.81</v>
      </c>
      <c r="AA19" s="31">
        <v>260</v>
      </c>
      <c r="AB19" s="31">
        <v>-45.13</v>
      </c>
      <c r="AC19" s="31">
        <v>0</v>
      </c>
      <c r="AD19" s="31">
        <v>1223.01</v>
      </c>
      <c r="AE19" s="31">
        <v>122.301</v>
      </c>
      <c r="AF19" s="31">
        <v>21.911999999999999</v>
      </c>
      <c r="AG19" s="31">
        <v>1367.223</v>
      </c>
      <c r="AH19" s="31">
        <v>218.75567999999998</v>
      </c>
      <c r="AI19" s="31">
        <v>1585.9786799999999</v>
      </c>
      <c r="AK19" s="119"/>
      <c r="AN19" s="119">
        <f>+H19-'C&amp;A'!K19-SINDICATO!J19</f>
        <v>0</v>
      </c>
      <c r="AP19" s="30">
        <f>577.4+645.61</f>
        <v>1223.01</v>
      </c>
      <c r="AS19" s="30">
        <v>933.33</v>
      </c>
      <c r="AT19" s="119">
        <f>+'C&amp;A'!K19+SINDICATO!J19</f>
        <v>1223.01</v>
      </c>
      <c r="AU19" s="31">
        <f t="shared" si="13"/>
        <v>122.301</v>
      </c>
      <c r="AV19" s="31">
        <f t="shared" si="14"/>
        <v>0</v>
      </c>
      <c r="AW19" s="129">
        <f t="shared" si="15"/>
        <v>0</v>
      </c>
    </row>
    <row r="20" spans="1:50" s="46" customFormat="1" ht="16.5" x14ac:dyDescent="0.3">
      <c r="A20" s="43" t="s">
        <v>191</v>
      </c>
      <c r="B20" s="46" t="s">
        <v>192</v>
      </c>
      <c r="C20" s="47">
        <f t="shared" si="3"/>
        <v>513.33000000000004</v>
      </c>
      <c r="D20" s="47">
        <f t="shared" si="4"/>
        <v>93.68</v>
      </c>
      <c r="E20" s="47">
        <f t="shared" si="5"/>
        <v>0</v>
      </c>
      <c r="F20" s="47">
        <v>0</v>
      </c>
      <c r="G20" s="47">
        <f t="shared" si="7"/>
        <v>136.65</v>
      </c>
      <c r="H20" s="47">
        <f>+C20+D20+E20+F20</f>
        <v>607.01</v>
      </c>
      <c r="I20" s="47">
        <v>30.291999999999998</v>
      </c>
      <c r="J20" s="47">
        <f>+'C&amp;A'!E20*0.02</f>
        <v>6.8170000000000002</v>
      </c>
      <c r="K20" s="47">
        <f t="shared" si="9"/>
        <v>644.11900000000003</v>
      </c>
      <c r="L20" s="47">
        <f t="shared" si="1"/>
        <v>103.05904000000001</v>
      </c>
      <c r="M20" s="47">
        <f t="shared" si="10"/>
        <v>747.17804000000001</v>
      </c>
      <c r="O20" s="48" t="s">
        <v>56</v>
      </c>
      <c r="P20" s="48" t="s">
        <v>57</v>
      </c>
      <c r="Q20" s="49" t="s">
        <v>327</v>
      </c>
      <c r="R20" s="50">
        <v>513.33000000000004</v>
      </c>
      <c r="S20" s="51" t="str">
        <f t="shared" si="11"/>
        <v>SI</v>
      </c>
      <c r="T20" s="51" t="str">
        <f t="shared" si="12"/>
        <v>SI</v>
      </c>
      <c r="U20" s="52" t="s">
        <v>191</v>
      </c>
      <c r="V20" s="53" t="s">
        <v>192</v>
      </c>
      <c r="W20" s="43" t="s">
        <v>191</v>
      </c>
      <c r="X20" s="46" t="s">
        <v>192</v>
      </c>
      <c r="Y20" s="47">
        <v>513.33000000000004</v>
      </c>
      <c r="Z20" s="47">
        <v>93.68</v>
      </c>
      <c r="AA20" s="47">
        <v>0</v>
      </c>
      <c r="AB20" s="47">
        <v>-1660.58</v>
      </c>
      <c r="AC20" s="47">
        <v>-136.65</v>
      </c>
      <c r="AD20" s="47">
        <v>-1190.22</v>
      </c>
      <c r="AE20" s="47">
        <v>-119.02200000000001</v>
      </c>
      <c r="AF20" s="47">
        <v>21.911999999999999</v>
      </c>
      <c r="AG20" s="47">
        <v>-1287.33</v>
      </c>
      <c r="AH20" s="47">
        <v>-205.97280000000001</v>
      </c>
      <c r="AI20" s="47">
        <v>-1493.3027999999999</v>
      </c>
      <c r="AJ20" s="120">
        <v>1660.58</v>
      </c>
      <c r="AK20" s="121" t="s">
        <v>498</v>
      </c>
      <c r="AL20" s="120"/>
      <c r="AN20" s="119">
        <f>+H20-'C&amp;A'!K20-SINDICATO!J20</f>
        <v>304.09000000000003</v>
      </c>
      <c r="AP20" s="46">
        <f>220.6+82.32</f>
        <v>302.91999999999996</v>
      </c>
      <c r="AS20" s="46">
        <v>513.33000000000004</v>
      </c>
      <c r="AT20" s="119">
        <f>+'C&amp;A'!K20+SINDICATO!J20</f>
        <v>302.91999999999996</v>
      </c>
      <c r="AU20" s="31">
        <f t="shared" si="13"/>
        <v>30.291999999999998</v>
      </c>
      <c r="AV20" s="31">
        <f t="shared" si="14"/>
        <v>0</v>
      </c>
      <c r="AW20" s="129">
        <f t="shared" si="15"/>
        <v>0</v>
      </c>
    </row>
    <row r="21" spans="1:50" s="30" customFormat="1" ht="16.5" x14ac:dyDescent="0.3">
      <c r="A21" s="29" t="s">
        <v>452</v>
      </c>
      <c r="B21" s="30" t="s">
        <v>193</v>
      </c>
      <c r="C21" s="31">
        <f t="shared" si="3"/>
        <v>1166.26</v>
      </c>
      <c r="D21" s="31">
        <f t="shared" si="4"/>
        <v>0</v>
      </c>
      <c r="E21" s="31">
        <f t="shared" si="5"/>
        <v>706.66</v>
      </c>
      <c r="F21" s="31">
        <f t="shared" si="6"/>
        <v>0</v>
      </c>
      <c r="G21" s="31">
        <f t="shared" si="7"/>
        <v>0</v>
      </c>
      <c r="H21" s="31">
        <f t="shared" si="8"/>
        <v>1872.92</v>
      </c>
      <c r="I21" s="31">
        <v>187.29200000000003</v>
      </c>
      <c r="J21" s="31">
        <f>+'C&amp;A'!E21*0.02</f>
        <v>10.2256</v>
      </c>
      <c r="K21" s="31">
        <f t="shared" si="9"/>
        <v>2070.4376000000002</v>
      </c>
      <c r="L21" s="31">
        <f t="shared" si="1"/>
        <v>331.27001600000006</v>
      </c>
      <c r="M21" s="31">
        <f t="shared" si="10"/>
        <v>2401.7076160000001</v>
      </c>
      <c r="O21" s="84" t="s">
        <v>58</v>
      </c>
      <c r="P21" s="84" t="s">
        <v>59</v>
      </c>
      <c r="Q21" s="85" t="s">
        <v>332</v>
      </c>
      <c r="R21" s="86">
        <v>1166.26</v>
      </c>
      <c r="S21" s="87" t="str">
        <f t="shared" si="11"/>
        <v>SI</v>
      </c>
      <c r="T21" s="87" t="str">
        <f t="shared" si="12"/>
        <v>SI</v>
      </c>
      <c r="U21" s="88" t="s">
        <v>452</v>
      </c>
      <c r="V21" s="89" t="s">
        <v>193</v>
      </c>
      <c r="W21" s="29" t="s">
        <v>452</v>
      </c>
      <c r="X21" s="30" t="s">
        <v>193</v>
      </c>
      <c r="Y21" s="31">
        <v>1166.26</v>
      </c>
      <c r="Z21" s="31">
        <v>0</v>
      </c>
      <c r="AA21" s="31">
        <v>706.66</v>
      </c>
      <c r="AB21" s="31">
        <v>0</v>
      </c>
      <c r="AC21" s="31">
        <v>0</v>
      </c>
      <c r="AD21" s="31">
        <v>1872.92</v>
      </c>
      <c r="AE21" s="31">
        <v>187.29200000000003</v>
      </c>
      <c r="AF21" s="31">
        <v>21.911999999999999</v>
      </c>
      <c r="AG21" s="31">
        <v>2082.1239999999998</v>
      </c>
      <c r="AH21" s="31">
        <v>333.13983999999999</v>
      </c>
      <c r="AI21" s="31">
        <v>2415.2638399999996</v>
      </c>
      <c r="AK21" s="119"/>
      <c r="AN21" s="119">
        <f>+H21-'C&amp;A'!K21-SINDICATO!J21</f>
        <v>0</v>
      </c>
      <c r="AP21" s="30">
        <f>577.4+1295.52</f>
        <v>1872.92</v>
      </c>
      <c r="AS21" s="30">
        <v>1166.26</v>
      </c>
      <c r="AT21" s="119">
        <f>+'C&amp;A'!K21+SINDICATO!J21</f>
        <v>1872.92</v>
      </c>
      <c r="AU21" s="31">
        <f t="shared" si="13"/>
        <v>187.29200000000003</v>
      </c>
      <c r="AV21" s="31">
        <f t="shared" si="14"/>
        <v>0</v>
      </c>
      <c r="AW21" s="129">
        <f t="shared" si="15"/>
        <v>0</v>
      </c>
    </row>
    <row r="22" spans="1:50" s="30" customFormat="1" ht="16.5" x14ac:dyDescent="0.3">
      <c r="A22" s="29" t="s">
        <v>194</v>
      </c>
      <c r="B22" s="30" t="s">
        <v>195</v>
      </c>
      <c r="C22" s="31">
        <f t="shared" si="3"/>
        <v>511.28</v>
      </c>
      <c r="D22" s="31">
        <f t="shared" si="4"/>
        <v>0</v>
      </c>
      <c r="E22" s="31">
        <f t="shared" si="5"/>
        <v>2189.4</v>
      </c>
      <c r="F22" s="31">
        <f t="shared" si="6"/>
        <v>-45.13</v>
      </c>
      <c r="G22" s="31">
        <f t="shared" si="7"/>
        <v>0</v>
      </c>
      <c r="H22" s="31">
        <f t="shared" si="8"/>
        <v>2655.55</v>
      </c>
      <c r="I22" s="31">
        <v>265.55500000000001</v>
      </c>
      <c r="J22" s="31">
        <f>+'C&amp;A'!E22*0.02</f>
        <v>10.2256</v>
      </c>
      <c r="K22" s="31">
        <f t="shared" si="9"/>
        <v>2931.3306000000002</v>
      </c>
      <c r="L22" s="31">
        <f t="shared" si="1"/>
        <v>469.01289600000007</v>
      </c>
      <c r="M22" s="31">
        <f t="shared" si="10"/>
        <v>3400.3434960000004</v>
      </c>
      <c r="O22" s="84" t="s">
        <v>60</v>
      </c>
      <c r="P22" s="84" t="s">
        <v>61</v>
      </c>
      <c r="Q22" s="85" t="s">
        <v>334</v>
      </c>
      <c r="R22" s="86">
        <v>511.28</v>
      </c>
      <c r="S22" s="87" t="str">
        <f t="shared" si="11"/>
        <v>SI</v>
      </c>
      <c r="T22" s="87" t="str">
        <f t="shared" si="12"/>
        <v>SI</v>
      </c>
      <c r="U22" s="88" t="s">
        <v>194</v>
      </c>
      <c r="V22" s="89" t="s">
        <v>195</v>
      </c>
      <c r="W22" s="29" t="s">
        <v>194</v>
      </c>
      <c r="X22" s="30" t="s">
        <v>195</v>
      </c>
      <c r="Y22" s="31">
        <v>511.28</v>
      </c>
      <c r="Z22" s="31">
        <v>0</v>
      </c>
      <c r="AA22" s="31">
        <v>2189.4</v>
      </c>
      <c r="AB22" s="31">
        <v>-45.13</v>
      </c>
      <c r="AC22" s="31">
        <v>0</v>
      </c>
      <c r="AD22" s="31">
        <v>2655.55</v>
      </c>
      <c r="AE22" s="31">
        <v>265.55500000000001</v>
      </c>
      <c r="AF22" s="31">
        <v>21.911999999999999</v>
      </c>
      <c r="AG22" s="31">
        <v>2943.0169999999998</v>
      </c>
      <c r="AH22" s="31">
        <v>470.88272000000001</v>
      </c>
      <c r="AI22" s="31">
        <v>3413.8997199999999</v>
      </c>
      <c r="AK22" s="119"/>
      <c r="AN22" s="119">
        <f>+H22-'C&amp;A'!K22-SINDICATO!J22</f>
        <v>0</v>
      </c>
      <c r="AP22" s="30">
        <f>577.4+2078.15</f>
        <v>2655.55</v>
      </c>
      <c r="AS22" s="30">
        <v>511.28</v>
      </c>
      <c r="AT22" s="119">
        <f>+'C&amp;A'!K22+SINDICATO!J22</f>
        <v>2655.55</v>
      </c>
      <c r="AU22" s="31">
        <f t="shared" si="13"/>
        <v>265.55500000000001</v>
      </c>
      <c r="AV22" s="31">
        <f t="shared" si="14"/>
        <v>0</v>
      </c>
      <c r="AW22" s="129">
        <f t="shared" si="15"/>
        <v>0</v>
      </c>
    </row>
    <row r="23" spans="1:50" s="30" customFormat="1" ht="16.5" x14ac:dyDescent="0.3">
      <c r="A23" s="29" t="s">
        <v>16</v>
      </c>
      <c r="B23" s="30" t="s">
        <v>196</v>
      </c>
      <c r="C23" s="31">
        <f t="shared" si="3"/>
        <v>1633.33</v>
      </c>
      <c r="D23" s="31">
        <f t="shared" si="4"/>
        <v>0</v>
      </c>
      <c r="E23" s="31">
        <f t="shared" si="5"/>
        <v>11070.07</v>
      </c>
      <c r="F23" s="31">
        <f t="shared" si="6"/>
        <v>-250.83</v>
      </c>
      <c r="G23" s="31">
        <f t="shared" si="7"/>
        <v>0</v>
      </c>
      <c r="H23" s="31">
        <f t="shared" si="8"/>
        <v>12452.57</v>
      </c>
      <c r="I23" s="31">
        <v>0</v>
      </c>
      <c r="J23" s="31">
        <f>+'C&amp;A'!E23*0.02</f>
        <v>10.2256</v>
      </c>
      <c r="K23" s="31">
        <f t="shared" si="9"/>
        <v>12462.795599999999</v>
      </c>
      <c r="L23" s="31">
        <f t="shared" si="1"/>
        <v>1994.047296</v>
      </c>
      <c r="M23" s="31">
        <f t="shared" si="10"/>
        <v>14456.842896</v>
      </c>
      <c r="O23" s="84" t="s">
        <v>62</v>
      </c>
      <c r="P23" s="84" t="s">
        <v>63</v>
      </c>
      <c r="Q23" s="85" t="s">
        <v>330</v>
      </c>
      <c r="R23" s="91">
        <v>1633.33</v>
      </c>
      <c r="S23" s="87" t="str">
        <f t="shared" si="11"/>
        <v>SI</v>
      </c>
      <c r="T23" s="87" t="str">
        <f t="shared" si="12"/>
        <v>SI</v>
      </c>
      <c r="U23" s="88" t="s">
        <v>16</v>
      </c>
      <c r="V23" s="89" t="s">
        <v>196</v>
      </c>
      <c r="W23" s="29" t="s">
        <v>16</v>
      </c>
      <c r="X23" s="30" t="s">
        <v>196</v>
      </c>
      <c r="Y23" s="31">
        <v>1633.33</v>
      </c>
      <c r="Z23" s="31">
        <v>0</v>
      </c>
      <c r="AA23" s="31">
        <v>11070.07</v>
      </c>
      <c r="AB23" s="31">
        <v>-250.83</v>
      </c>
      <c r="AC23" s="31">
        <v>0</v>
      </c>
      <c r="AD23" s="31">
        <v>12452.57</v>
      </c>
      <c r="AE23" s="31">
        <v>0</v>
      </c>
      <c r="AF23" s="31">
        <v>21.911999999999999</v>
      </c>
      <c r="AG23" s="31">
        <v>12474.482</v>
      </c>
      <c r="AH23" s="31">
        <v>1995.9171200000001</v>
      </c>
      <c r="AI23" s="31">
        <v>14470.39912</v>
      </c>
      <c r="AK23" s="119"/>
      <c r="AN23" s="119">
        <f>+H23-'C&amp;A'!K23-SINDICATO!J23</f>
        <v>1120.7312999999995</v>
      </c>
      <c r="AP23" s="30">
        <f>577.4+10754.44</f>
        <v>11331.84</v>
      </c>
      <c r="AS23" s="30">
        <v>1633.33</v>
      </c>
      <c r="AT23" s="119">
        <f>+'C&amp;A'!K23+SINDICATO!J23</f>
        <v>11331.8387</v>
      </c>
      <c r="AU23" s="31">
        <f t="shared" si="13"/>
        <v>0</v>
      </c>
      <c r="AV23" s="31">
        <f t="shared" si="14"/>
        <v>1133.1838700000001</v>
      </c>
      <c r="AW23" s="129">
        <f t="shared" si="15"/>
        <v>0</v>
      </c>
    </row>
    <row r="24" spans="1:50" s="30" customFormat="1" ht="16.5" x14ac:dyDescent="0.3">
      <c r="A24" s="29" t="s">
        <v>197</v>
      </c>
      <c r="B24" s="30" t="s">
        <v>198</v>
      </c>
      <c r="C24" s="31">
        <f t="shared" si="3"/>
        <v>1100</v>
      </c>
      <c r="D24" s="31">
        <f t="shared" si="4"/>
        <v>74.81</v>
      </c>
      <c r="E24" s="31">
        <f t="shared" si="5"/>
        <v>0</v>
      </c>
      <c r="F24" s="31">
        <f t="shared" si="6"/>
        <v>0</v>
      </c>
      <c r="G24" s="31">
        <f t="shared" si="7"/>
        <v>0</v>
      </c>
      <c r="H24" s="31">
        <f t="shared" si="8"/>
        <v>1174.81</v>
      </c>
      <c r="I24" s="31">
        <v>117.48099999999999</v>
      </c>
      <c r="J24" s="31">
        <f>+'C&amp;A'!E24*0.02</f>
        <v>10.2256</v>
      </c>
      <c r="K24" s="31">
        <f t="shared" si="9"/>
        <v>1302.5165999999999</v>
      </c>
      <c r="L24" s="31">
        <f t="shared" si="1"/>
        <v>208.40265599999998</v>
      </c>
      <c r="M24" s="31">
        <f t="shared" si="10"/>
        <v>1510.9192559999999</v>
      </c>
      <c r="O24" s="84" t="s">
        <v>64</v>
      </c>
      <c r="P24" s="84" t="s">
        <v>65</v>
      </c>
      <c r="Q24" s="92" t="s">
        <v>339</v>
      </c>
      <c r="R24" s="17">
        <v>1100</v>
      </c>
      <c r="S24" s="87" t="str">
        <f t="shared" si="11"/>
        <v>SI</v>
      </c>
      <c r="T24" s="87" t="str">
        <f t="shared" si="12"/>
        <v>SI</v>
      </c>
      <c r="U24" s="88" t="s">
        <v>197</v>
      </c>
      <c r="V24" s="89" t="s">
        <v>198</v>
      </c>
      <c r="W24" s="29" t="s">
        <v>197</v>
      </c>
      <c r="X24" s="30" t="s">
        <v>198</v>
      </c>
      <c r="Y24" s="31">
        <v>1100</v>
      </c>
      <c r="Z24" s="31">
        <v>74.81</v>
      </c>
      <c r="AA24" s="31">
        <v>0</v>
      </c>
      <c r="AB24" s="31">
        <v>0</v>
      </c>
      <c r="AC24" s="31">
        <v>0</v>
      </c>
      <c r="AD24" s="31">
        <v>1174.81</v>
      </c>
      <c r="AE24" s="31">
        <v>117.48099999999999</v>
      </c>
      <c r="AF24" s="31">
        <v>21.911999999999999</v>
      </c>
      <c r="AG24" s="31">
        <v>1314.203</v>
      </c>
      <c r="AH24" s="31">
        <v>210.27248</v>
      </c>
      <c r="AI24" s="31">
        <v>1524.4754800000001</v>
      </c>
      <c r="AK24" s="119"/>
      <c r="AN24" s="119">
        <f>+H24-'C&amp;A'!K24-SINDICATO!J24</f>
        <v>0</v>
      </c>
      <c r="AP24" s="30">
        <f>577.4+597.41</f>
        <v>1174.81</v>
      </c>
      <c r="AS24" s="30">
        <v>1100</v>
      </c>
      <c r="AT24" s="119">
        <f>+'C&amp;A'!K24+SINDICATO!J24</f>
        <v>1174.81</v>
      </c>
      <c r="AU24" s="31">
        <f t="shared" si="13"/>
        <v>117.48099999999999</v>
      </c>
      <c r="AV24" s="31">
        <f t="shared" si="14"/>
        <v>0</v>
      </c>
      <c r="AW24" s="129">
        <f t="shared" si="15"/>
        <v>0</v>
      </c>
    </row>
    <row r="25" spans="1:50" s="30" customFormat="1" ht="16.5" x14ac:dyDescent="0.3">
      <c r="A25" s="29" t="s">
        <v>199</v>
      </c>
      <c r="B25" s="30" t="s">
        <v>200</v>
      </c>
      <c r="C25" s="31">
        <f t="shared" si="3"/>
        <v>933.33</v>
      </c>
      <c r="D25" s="31">
        <f t="shared" si="4"/>
        <v>67.84</v>
      </c>
      <c r="E25" s="31">
        <f t="shared" si="5"/>
        <v>300</v>
      </c>
      <c r="F25" s="31">
        <f t="shared" si="6"/>
        <v>-45.13</v>
      </c>
      <c r="G25" s="31">
        <f t="shared" si="7"/>
        <v>357.73</v>
      </c>
      <c r="H25" s="31">
        <f t="shared" si="8"/>
        <v>1256.04</v>
      </c>
      <c r="I25" s="31">
        <v>89.831000000000003</v>
      </c>
      <c r="J25" s="31">
        <f>+'C&amp;A'!E25*0.02</f>
        <v>10.2256</v>
      </c>
      <c r="K25" s="31">
        <f t="shared" si="9"/>
        <v>1356.0965999999999</v>
      </c>
      <c r="L25" s="31">
        <f t="shared" si="1"/>
        <v>216.97545599999998</v>
      </c>
      <c r="M25" s="31">
        <f t="shared" si="10"/>
        <v>1573.0720559999997</v>
      </c>
      <c r="O25" s="84" t="s">
        <v>66</v>
      </c>
      <c r="P25" s="84" t="s">
        <v>67</v>
      </c>
      <c r="Q25" s="85" t="s">
        <v>331</v>
      </c>
      <c r="R25" s="86">
        <v>933.33</v>
      </c>
      <c r="S25" s="87" t="str">
        <f t="shared" si="11"/>
        <v>SI</v>
      </c>
      <c r="T25" s="87" t="str">
        <f t="shared" si="12"/>
        <v>SI</v>
      </c>
      <c r="U25" s="88" t="s">
        <v>199</v>
      </c>
      <c r="V25" s="89" t="s">
        <v>200</v>
      </c>
      <c r="W25" s="29" t="s">
        <v>199</v>
      </c>
      <c r="X25" s="30" t="s">
        <v>200</v>
      </c>
      <c r="Y25" s="31">
        <v>933.33</v>
      </c>
      <c r="Z25" s="31">
        <v>67.84</v>
      </c>
      <c r="AA25" s="31">
        <v>300</v>
      </c>
      <c r="AB25" s="31">
        <v>-45.13</v>
      </c>
      <c r="AC25" s="31">
        <v>-357.73</v>
      </c>
      <c r="AD25" s="31">
        <v>898.31</v>
      </c>
      <c r="AE25" s="31">
        <v>89.831000000000003</v>
      </c>
      <c r="AF25" s="31">
        <v>21.911999999999999</v>
      </c>
      <c r="AG25" s="31">
        <v>1010.053</v>
      </c>
      <c r="AH25" s="31">
        <v>161.60848000000001</v>
      </c>
      <c r="AI25" s="31">
        <v>1171.66148</v>
      </c>
      <c r="AK25" s="119"/>
      <c r="AN25" s="119">
        <f>+H25-'C&amp;A'!K25-SINDICATO!J25</f>
        <v>357.73</v>
      </c>
      <c r="AP25" s="30">
        <f>577.4+320.91</f>
        <v>898.31</v>
      </c>
      <c r="AS25" s="30">
        <v>933.33</v>
      </c>
      <c r="AT25" s="119">
        <f>+'C&amp;A'!K25+SINDICATO!J25</f>
        <v>898.31</v>
      </c>
      <c r="AU25" s="31">
        <f t="shared" si="13"/>
        <v>89.831000000000003</v>
      </c>
      <c r="AV25" s="31">
        <f t="shared" si="14"/>
        <v>0</v>
      </c>
      <c r="AW25" s="129">
        <f t="shared" si="15"/>
        <v>0</v>
      </c>
    </row>
    <row r="26" spans="1:50" s="46" customFormat="1" ht="16.5" x14ac:dyDescent="0.3">
      <c r="A26" s="43" t="s">
        <v>201</v>
      </c>
      <c r="B26" s="46" t="s">
        <v>202</v>
      </c>
      <c r="C26" s="47">
        <f t="shared" si="3"/>
        <v>513.33000000000004</v>
      </c>
      <c r="D26" s="47">
        <f t="shared" si="4"/>
        <v>0</v>
      </c>
      <c r="E26" s="47">
        <f t="shared" si="5"/>
        <v>0</v>
      </c>
      <c r="F26" s="47">
        <f t="shared" si="6"/>
        <v>0</v>
      </c>
      <c r="G26" s="47">
        <v>513.33000000000004</v>
      </c>
      <c r="H26" s="47">
        <f t="shared" si="8"/>
        <v>513.33000000000004</v>
      </c>
      <c r="I26" s="47">
        <v>0</v>
      </c>
      <c r="J26" s="47">
        <f>+'C&amp;A'!E26*0.02</f>
        <v>8.9448000000000008</v>
      </c>
      <c r="K26" s="47">
        <f t="shared" si="9"/>
        <v>522.27480000000003</v>
      </c>
      <c r="L26" s="47">
        <f t="shared" si="1"/>
        <v>83.563968000000003</v>
      </c>
      <c r="M26" s="47">
        <f t="shared" si="10"/>
        <v>605.83876800000007</v>
      </c>
      <c r="O26" s="55" t="s">
        <v>68</v>
      </c>
      <c r="P26" s="55" t="s">
        <v>69</v>
      </c>
      <c r="Q26" s="56" t="s">
        <v>327</v>
      </c>
      <c r="R26" s="57">
        <v>513.33000000000004</v>
      </c>
      <c r="S26" s="51" t="str">
        <f t="shared" si="11"/>
        <v>SI</v>
      </c>
      <c r="T26" s="51" t="str">
        <f t="shared" si="12"/>
        <v>SI</v>
      </c>
      <c r="U26" s="52" t="s">
        <v>201</v>
      </c>
      <c r="V26" s="53" t="s">
        <v>202</v>
      </c>
      <c r="W26" s="43" t="s">
        <v>201</v>
      </c>
      <c r="X26" s="46" t="s">
        <v>202</v>
      </c>
      <c r="Y26" s="47">
        <v>513.33000000000004</v>
      </c>
      <c r="Z26" s="47">
        <v>0</v>
      </c>
      <c r="AA26" s="47">
        <v>0</v>
      </c>
      <c r="AB26" s="47">
        <v>0</v>
      </c>
      <c r="AC26" s="47">
        <v>-797.62</v>
      </c>
      <c r="AD26" s="47">
        <v>-284.28999999999996</v>
      </c>
      <c r="AE26" s="47">
        <v>-28.428999999999998</v>
      </c>
      <c r="AF26" s="47">
        <v>21.911999999999999</v>
      </c>
      <c r="AG26" s="47">
        <v>-290.80699999999996</v>
      </c>
      <c r="AH26" s="47">
        <v>-46.529119999999992</v>
      </c>
      <c r="AI26" s="47">
        <v>-337.33611999999994</v>
      </c>
      <c r="AJ26" s="120">
        <v>513.33000000000004</v>
      </c>
      <c r="AK26" s="121" t="s">
        <v>499</v>
      </c>
      <c r="AN26" s="119">
        <f>+H26-'C&amp;A'!K26-SINDICATO!J26</f>
        <v>513.33000000000004</v>
      </c>
      <c r="AO26" s="46">
        <v>797.62</v>
      </c>
      <c r="AS26" s="46">
        <v>513.33000000000004</v>
      </c>
      <c r="AT26" s="119">
        <f>+'C&amp;A'!K26+SINDICATO!J26</f>
        <v>0</v>
      </c>
      <c r="AU26" s="31">
        <f t="shared" si="13"/>
        <v>0</v>
      </c>
      <c r="AV26" s="31">
        <f t="shared" si="14"/>
        <v>0</v>
      </c>
      <c r="AW26" s="129">
        <f t="shared" si="15"/>
        <v>0</v>
      </c>
    </row>
    <row r="27" spans="1:50" s="30" customFormat="1" ht="16.5" x14ac:dyDescent="0.3">
      <c r="A27" s="29" t="s">
        <v>203</v>
      </c>
      <c r="B27" s="30" t="s">
        <v>204</v>
      </c>
      <c r="C27" s="31">
        <f t="shared" si="3"/>
        <v>0</v>
      </c>
      <c r="D27" s="31">
        <f t="shared" si="4"/>
        <v>0</v>
      </c>
      <c r="E27" s="31">
        <f t="shared" si="5"/>
        <v>2403.77</v>
      </c>
      <c r="F27" s="31">
        <f t="shared" si="6"/>
        <v>-45.13</v>
      </c>
      <c r="G27" s="31">
        <f t="shared" si="7"/>
        <v>0</v>
      </c>
      <c r="H27" s="31">
        <f t="shared" si="8"/>
        <v>2358.64</v>
      </c>
      <c r="I27" s="31">
        <v>235.864</v>
      </c>
      <c r="J27" s="31">
        <f>+'C&amp;A'!E27*0.02</f>
        <v>10.2256</v>
      </c>
      <c r="K27" s="31">
        <f t="shared" si="9"/>
        <v>2604.7296000000001</v>
      </c>
      <c r="L27" s="31">
        <f t="shared" si="1"/>
        <v>416.75673600000005</v>
      </c>
      <c r="M27" s="31">
        <f t="shared" si="10"/>
        <v>3021.4863359999999</v>
      </c>
      <c r="O27" s="93" t="s">
        <v>70</v>
      </c>
      <c r="P27" s="93" t="s">
        <v>71</v>
      </c>
      <c r="Q27" s="94" t="s">
        <v>321</v>
      </c>
      <c r="R27" s="95">
        <v>0</v>
      </c>
      <c r="S27" s="87" t="str">
        <f t="shared" si="11"/>
        <v>SI</v>
      </c>
      <c r="T27" s="87" t="str">
        <f t="shared" si="12"/>
        <v>SI</v>
      </c>
      <c r="U27" s="88" t="s">
        <v>203</v>
      </c>
      <c r="V27" s="89" t="s">
        <v>204</v>
      </c>
      <c r="W27" s="29" t="s">
        <v>203</v>
      </c>
      <c r="X27" s="30" t="s">
        <v>204</v>
      </c>
      <c r="Y27" s="31">
        <v>0</v>
      </c>
      <c r="Z27" s="31">
        <v>0</v>
      </c>
      <c r="AA27" s="31">
        <v>2403.77</v>
      </c>
      <c r="AB27" s="31">
        <v>-45.13</v>
      </c>
      <c r="AC27" s="31">
        <v>0</v>
      </c>
      <c r="AD27" s="31">
        <v>2358.64</v>
      </c>
      <c r="AE27" s="31">
        <v>235.864</v>
      </c>
      <c r="AF27" s="31">
        <v>21.911999999999999</v>
      </c>
      <c r="AG27" s="31">
        <v>2616.4159999999997</v>
      </c>
      <c r="AH27" s="31">
        <v>418.62655999999998</v>
      </c>
      <c r="AI27" s="31">
        <v>3035.0425599999999</v>
      </c>
      <c r="AK27" s="119"/>
      <c r="AN27" s="119">
        <f>+H27-'C&amp;A'!K27-SINDICATO!J27</f>
        <v>0</v>
      </c>
      <c r="AP27" s="30">
        <f>513.33+577.2+1781.44</f>
        <v>2871.9700000000003</v>
      </c>
      <c r="AT27" s="119">
        <f>+'C&amp;A'!K27+SINDICATO!J27</f>
        <v>2358.64</v>
      </c>
      <c r="AU27" s="31">
        <f t="shared" si="13"/>
        <v>235.864</v>
      </c>
      <c r="AV27" s="31">
        <f t="shared" si="14"/>
        <v>0</v>
      </c>
      <c r="AW27" s="130">
        <f t="shared" si="15"/>
        <v>0</v>
      </c>
      <c r="AX27" s="30" t="s">
        <v>503</v>
      </c>
    </row>
    <row r="28" spans="1:50" s="30" customFormat="1" ht="16.5" x14ac:dyDescent="0.3">
      <c r="A28" s="29" t="s">
        <v>205</v>
      </c>
      <c r="B28" s="30" t="s">
        <v>206</v>
      </c>
      <c r="C28" s="31">
        <f t="shared" si="3"/>
        <v>513.33000000000004</v>
      </c>
      <c r="D28" s="31">
        <f t="shared" si="4"/>
        <v>0</v>
      </c>
      <c r="E28" s="31">
        <f t="shared" si="5"/>
        <v>1523.1</v>
      </c>
      <c r="F28" s="31">
        <f t="shared" si="6"/>
        <v>0</v>
      </c>
      <c r="G28" s="31">
        <f t="shared" si="7"/>
        <v>0</v>
      </c>
      <c r="H28" s="31">
        <f t="shared" si="8"/>
        <v>2036.4299999999998</v>
      </c>
      <c r="I28" s="31">
        <v>203.643</v>
      </c>
      <c r="J28" s="31">
        <f>+'C&amp;A'!E28*0.02</f>
        <v>10.2256</v>
      </c>
      <c r="K28" s="31">
        <f t="shared" si="9"/>
        <v>2250.2986000000001</v>
      </c>
      <c r="L28" s="31">
        <f t="shared" si="1"/>
        <v>360.047776</v>
      </c>
      <c r="M28" s="31">
        <f t="shared" si="10"/>
        <v>2610.346376</v>
      </c>
      <c r="O28" s="84" t="s">
        <v>72</v>
      </c>
      <c r="P28" s="84" t="s">
        <v>73</v>
      </c>
      <c r="Q28" s="85" t="s">
        <v>327</v>
      </c>
      <c r="R28" s="86">
        <v>513.33000000000004</v>
      </c>
      <c r="S28" s="87" t="str">
        <f t="shared" si="11"/>
        <v>SI</v>
      </c>
      <c r="T28" s="87" t="str">
        <f t="shared" si="12"/>
        <v>SI</v>
      </c>
      <c r="U28" s="88" t="s">
        <v>205</v>
      </c>
      <c r="V28" s="89" t="s">
        <v>206</v>
      </c>
      <c r="W28" s="29" t="s">
        <v>205</v>
      </c>
      <c r="X28" s="30" t="s">
        <v>206</v>
      </c>
      <c r="Y28" s="31">
        <v>513.33000000000004</v>
      </c>
      <c r="Z28" s="31">
        <v>0</v>
      </c>
      <c r="AA28" s="31">
        <v>1523.1</v>
      </c>
      <c r="AB28" s="31">
        <v>0</v>
      </c>
      <c r="AC28" s="31">
        <v>0</v>
      </c>
      <c r="AD28" s="31">
        <v>2036.4299999999998</v>
      </c>
      <c r="AE28" s="31">
        <v>203.643</v>
      </c>
      <c r="AF28" s="31">
        <v>21.911999999999999</v>
      </c>
      <c r="AG28" s="31">
        <v>2261.9849999999997</v>
      </c>
      <c r="AH28" s="31">
        <v>361.91759999999994</v>
      </c>
      <c r="AI28" s="31">
        <v>2623.9025999999994</v>
      </c>
      <c r="AK28" s="119"/>
      <c r="AN28" s="119">
        <f>+H28-'C&amp;A'!K28-SINDICATO!J28</f>
        <v>0</v>
      </c>
      <c r="AP28" s="30">
        <f>577.4+1459.03</f>
        <v>2036.4299999999998</v>
      </c>
      <c r="AS28" s="30">
        <v>513.33000000000004</v>
      </c>
      <c r="AT28" s="119">
        <f>+'C&amp;A'!K28+SINDICATO!J28</f>
        <v>2036.4299999999998</v>
      </c>
      <c r="AU28" s="31">
        <f t="shared" si="13"/>
        <v>203.643</v>
      </c>
      <c r="AV28" s="31">
        <f t="shared" si="14"/>
        <v>0</v>
      </c>
      <c r="AW28" s="129">
        <f t="shared" si="15"/>
        <v>0</v>
      </c>
    </row>
    <row r="29" spans="1:50" s="30" customFormat="1" ht="16.5" x14ac:dyDescent="0.3">
      <c r="A29" s="29" t="s">
        <v>207</v>
      </c>
      <c r="B29" s="30" t="s">
        <v>208</v>
      </c>
      <c r="C29" s="31">
        <f t="shared" si="3"/>
        <v>1100</v>
      </c>
      <c r="D29" s="31">
        <f t="shared" si="4"/>
        <v>74.81</v>
      </c>
      <c r="E29" s="31">
        <f t="shared" si="5"/>
        <v>0</v>
      </c>
      <c r="F29" s="31">
        <f t="shared" si="6"/>
        <v>0</v>
      </c>
      <c r="G29" s="31">
        <f t="shared" si="7"/>
        <v>0</v>
      </c>
      <c r="H29" s="31">
        <f t="shared" si="8"/>
        <v>1174.81</v>
      </c>
      <c r="I29" s="31">
        <v>117.48099999999999</v>
      </c>
      <c r="J29" s="31">
        <f>+'C&amp;A'!E29*0.02</f>
        <v>10.2256</v>
      </c>
      <c r="K29" s="31">
        <f t="shared" si="9"/>
        <v>1302.5165999999999</v>
      </c>
      <c r="L29" s="31">
        <f t="shared" si="1"/>
        <v>208.40265599999998</v>
      </c>
      <c r="M29" s="31">
        <f t="shared" si="10"/>
        <v>1510.9192559999999</v>
      </c>
      <c r="O29" s="84" t="s">
        <v>74</v>
      </c>
      <c r="P29" s="84" t="s">
        <v>75</v>
      </c>
      <c r="Q29" s="85" t="s">
        <v>338</v>
      </c>
      <c r="R29" s="91">
        <v>1100</v>
      </c>
      <c r="S29" s="87" t="str">
        <f t="shared" si="11"/>
        <v>SI</v>
      </c>
      <c r="T29" s="87" t="str">
        <f t="shared" si="12"/>
        <v>SI</v>
      </c>
      <c r="U29" s="88" t="s">
        <v>207</v>
      </c>
      <c r="V29" s="89" t="s">
        <v>208</v>
      </c>
      <c r="W29" s="29" t="s">
        <v>207</v>
      </c>
      <c r="X29" s="30" t="s">
        <v>208</v>
      </c>
      <c r="Y29" s="31">
        <v>1100</v>
      </c>
      <c r="Z29" s="31">
        <v>74.81</v>
      </c>
      <c r="AA29" s="31">
        <v>0</v>
      </c>
      <c r="AB29" s="31">
        <v>0</v>
      </c>
      <c r="AC29" s="31">
        <v>0</v>
      </c>
      <c r="AD29" s="31">
        <v>1174.81</v>
      </c>
      <c r="AE29" s="31">
        <v>117.48099999999999</v>
      </c>
      <c r="AF29" s="31">
        <v>21.911999999999999</v>
      </c>
      <c r="AG29" s="31">
        <v>1314.203</v>
      </c>
      <c r="AH29" s="31">
        <v>210.27248</v>
      </c>
      <c r="AI29" s="31">
        <v>1524.4754800000001</v>
      </c>
      <c r="AK29" s="119"/>
      <c r="AN29" s="119">
        <f>+H29-'C&amp;A'!K29-SINDICATO!J29</f>
        <v>0</v>
      </c>
      <c r="AP29" s="30">
        <f>577.4+597.41</f>
        <v>1174.81</v>
      </c>
      <c r="AS29" s="30">
        <v>1100</v>
      </c>
      <c r="AT29" s="119">
        <f>+'C&amp;A'!K29+SINDICATO!J29</f>
        <v>1174.81</v>
      </c>
      <c r="AU29" s="31">
        <f t="shared" si="13"/>
        <v>117.48099999999999</v>
      </c>
      <c r="AV29" s="31">
        <f t="shared" si="14"/>
        <v>0</v>
      </c>
      <c r="AW29" s="129">
        <f t="shared" si="15"/>
        <v>0</v>
      </c>
    </row>
    <row r="30" spans="1:50" s="30" customFormat="1" ht="16.5" x14ac:dyDescent="0.3">
      <c r="A30" s="29" t="s">
        <v>209</v>
      </c>
      <c r="B30" s="30" t="s">
        <v>210</v>
      </c>
      <c r="C30" s="31">
        <f t="shared" si="3"/>
        <v>933.33</v>
      </c>
      <c r="D30" s="31">
        <f t="shared" si="4"/>
        <v>67.84</v>
      </c>
      <c r="E30" s="31">
        <f t="shared" si="5"/>
        <v>300</v>
      </c>
      <c r="F30" s="31">
        <f t="shared" si="6"/>
        <v>-45.13</v>
      </c>
      <c r="G30" s="31">
        <f t="shared" si="7"/>
        <v>0</v>
      </c>
      <c r="H30" s="31">
        <f t="shared" si="8"/>
        <v>1256.04</v>
      </c>
      <c r="I30" s="31">
        <v>125.604</v>
      </c>
      <c r="J30" s="31">
        <f>+'C&amp;A'!E30*0.02</f>
        <v>10.2256</v>
      </c>
      <c r="K30" s="31">
        <f t="shared" si="9"/>
        <v>1391.8696</v>
      </c>
      <c r="L30" s="31">
        <f t="shared" si="1"/>
        <v>222.69913600000001</v>
      </c>
      <c r="M30" s="31">
        <f t="shared" si="10"/>
        <v>1614.5687359999999</v>
      </c>
      <c r="O30" s="84" t="s">
        <v>76</v>
      </c>
      <c r="P30" s="84" t="s">
        <v>77</v>
      </c>
      <c r="Q30" s="85" t="s">
        <v>331</v>
      </c>
      <c r="R30" s="95">
        <v>933.33</v>
      </c>
      <c r="S30" s="87" t="str">
        <f t="shared" si="11"/>
        <v>SI</v>
      </c>
      <c r="T30" s="87" t="str">
        <f t="shared" si="12"/>
        <v>SI</v>
      </c>
      <c r="U30" s="88" t="s">
        <v>209</v>
      </c>
      <c r="V30" s="89" t="s">
        <v>210</v>
      </c>
      <c r="W30" s="29" t="s">
        <v>209</v>
      </c>
      <c r="X30" s="30" t="s">
        <v>210</v>
      </c>
      <c r="Y30" s="31">
        <v>933.33</v>
      </c>
      <c r="Z30" s="31">
        <v>67.84</v>
      </c>
      <c r="AA30" s="31">
        <v>300</v>
      </c>
      <c r="AB30" s="31">
        <v>-45.13</v>
      </c>
      <c r="AC30" s="31">
        <v>0</v>
      </c>
      <c r="AD30" s="31">
        <v>1256.04</v>
      </c>
      <c r="AE30" s="31">
        <v>125.604</v>
      </c>
      <c r="AF30" s="31">
        <v>21.911999999999999</v>
      </c>
      <c r="AG30" s="31">
        <v>1403.556</v>
      </c>
      <c r="AH30" s="31">
        <v>224.56896</v>
      </c>
      <c r="AI30" s="31">
        <v>1628.1249600000001</v>
      </c>
      <c r="AK30" s="119"/>
      <c r="AN30" s="119">
        <f>+H30-'C&amp;A'!K30-SINDICATO!J30</f>
        <v>0</v>
      </c>
      <c r="AP30" s="30">
        <f>577.4+678.64</f>
        <v>1256.04</v>
      </c>
      <c r="AS30" s="30">
        <v>933.33</v>
      </c>
      <c r="AT30" s="119">
        <f>+'C&amp;A'!K30+SINDICATO!J30</f>
        <v>1256.04</v>
      </c>
      <c r="AU30" s="31">
        <f t="shared" si="13"/>
        <v>125.604</v>
      </c>
      <c r="AV30" s="31">
        <f t="shared" si="14"/>
        <v>0</v>
      </c>
      <c r="AW30" s="129">
        <f t="shared" si="15"/>
        <v>0</v>
      </c>
    </row>
    <row r="31" spans="1:50" s="30" customFormat="1" ht="16.5" x14ac:dyDescent="0.3">
      <c r="A31" s="29" t="s">
        <v>211</v>
      </c>
      <c r="B31" s="30" t="s">
        <v>212</v>
      </c>
      <c r="C31" s="31">
        <f t="shared" si="3"/>
        <v>1516.67</v>
      </c>
      <c r="D31" s="31">
        <f t="shared" si="4"/>
        <v>0</v>
      </c>
      <c r="E31" s="31">
        <f t="shared" si="5"/>
        <v>0</v>
      </c>
      <c r="F31" s="31">
        <f t="shared" si="6"/>
        <v>-45.13</v>
      </c>
      <c r="G31" s="31">
        <f t="shared" si="7"/>
        <v>0</v>
      </c>
      <c r="H31" s="31">
        <f t="shared" si="8"/>
        <v>1471.54</v>
      </c>
      <c r="I31" s="31">
        <v>130.34800000000001</v>
      </c>
      <c r="J31" s="31">
        <f>+'C&amp;A'!E31*0.02</f>
        <v>10.2256</v>
      </c>
      <c r="K31" s="31">
        <f t="shared" si="9"/>
        <v>1612.1135999999999</v>
      </c>
      <c r="L31" s="31">
        <f t="shared" si="1"/>
        <v>257.938176</v>
      </c>
      <c r="M31" s="31">
        <f t="shared" si="10"/>
        <v>1870.0517759999998</v>
      </c>
      <c r="O31" s="84" t="s">
        <v>78</v>
      </c>
      <c r="P31" s="84" t="s">
        <v>79</v>
      </c>
      <c r="Q31" s="85" t="s">
        <v>340</v>
      </c>
      <c r="R31" s="90">
        <v>1516.67</v>
      </c>
      <c r="S31" s="87" t="str">
        <f t="shared" si="11"/>
        <v>SI</v>
      </c>
      <c r="T31" s="87" t="str">
        <f t="shared" si="12"/>
        <v>SI</v>
      </c>
      <c r="U31" s="88" t="s">
        <v>211</v>
      </c>
      <c r="V31" s="89" t="s">
        <v>212</v>
      </c>
      <c r="W31" s="29" t="s">
        <v>211</v>
      </c>
      <c r="X31" s="30" t="s">
        <v>212</v>
      </c>
      <c r="Y31" s="31">
        <v>1516.67</v>
      </c>
      <c r="Z31" s="31">
        <v>0</v>
      </c>
      <c r="AA31" s="31">
        <v>0</v>
      </c>
      <c r="AB31" s="31">
        <v>-45.13</v>
      </c>
      <c r="AC31" s="31">
        <v>0</v>
      </c>
      <c r="AD31" s="31">
        <v>1471.54</v>
      </c>
      <c r="AE31" s="31">
        <v>147.154</v>
      </c>
      <c r="AF31" s="31">
        <v>21.911999999999999</v>
      </c>
      <c r="AG31" s="31">
        <v>1640.606</v>
      </c>
      <c r="AH31" s="31">
        <v>262.49696</v>
      </c>
      <c r="AI31" s="31">
        <v>1903.1029599999999</v>
      </c>
      <c r="AK31" s="119"/>
      <c r="AN31" s="119">
        <f>+H31-'C&amp;A'!K31-SINDICATO!J31</f>
        <v>168.05999999999995</v>
      </c>
      <c r="AP31" s="30">
        <f>409.2+894.28</f>
        <v>1303.48</v>
      </c>
      <c r="AS31" s="30">
        <v>1516.67</v>
      </c>
      <c r="AT31" s="119">
        <f>+'C&amp;A'!K31+SINDICATO!J31</f>
        <v>1303.48</v>
      </c>
      <c r="AU31" s="31">
        <f t="shared" si="13"/>
        <v>130.34800000000001</v>
      </c>
      <c r="AV31" s="31">
        <f t="shared" si="14"/>
        <v>0</v>
      </c>
      <c r="AW31" s="129">
        <f t="shared" si="15"/>
        <v>0</v>
      </c>
    </row>
    <row r="32" spans="1:50" s="30" customFormat="1" ht="16.5" x14ac:dyDescent="0.3">
      <c r="A32" s="29" t="s">
        <v>213</v>
      </c>
      <c r="B32" s="30" t="s">
        <v>214</v>
      </c>
      <c r="C32" s="31">
        <f t="shared" si="3"/>
        <v>608.16</v>
      </c>
      <c r="D32" s="31">
        <f t="shared" si="4"/>
        <v>0</v>
      </c>
      <c r="E32" s="31">
        <f t="shared" si="5"/>
        <v>3234.98</v>
      </c>
      <c r="F32" s="31">
        <f t="shared" si="6"/>
        <v>-88.79</v>
      </c>
      <c r="G32" s="31">
        <f t="shared" si="7"/>
        <v>0</v>
      </c>
      <c r="H32" s="31">
        <f t="shared" si="8"/>
        <v>3754.35</v>
      </c>
      <c r="I32" s="31">
        <v>375.435</v>
      </c>
      <c r="J32" s="31">
        <f>+'C&amp;A'!E32*0.02</f>
        <v>10.2256</v>
      </c>
      <c r="K32" s="31">
        <f t="shared" si="9"/>
        <v>4140.0105999999996</v>
      </c>
      <c r="L32" s="31">
        <f t="shared" si="1"/>
        <v>662.4016959999999</v>
      </c>
      <c r="M32" s="31">
        <f t="shared" si="10"/>
        <v>4802.4122959999995</v>
      </c>
      <c r="O32" s="84" t="s">
        <v>80</v>
      </c>
      <c r="P32" s="84" t="s">
        <v>81</v>
      </c>
      <c r="Q32" s="85" t="s">
        <v>347</v>
      </c>
      <c r="R32" s="90">
        <v>608.16</v>
      </c>
      <c r="S32" s="87" t="str">
        <f t="shared" si="11"/>
        <v>SI</v>
      </c>
      <c r="T32" s="87" t="str">
        <f t="shared" si="12"/>
        <v>SI</v>
      </c>
      <c r="U32" s="88" t="s">
        <v>213</v>
      </c>
      <c r="V32" s="89" t="s">
        <v>214</v>
      </c>
      <c r="W32" s="29" t="s">
        <v>213</v>
      </c>
      <c r="X32" s="30" t="s">
        <v>214</v>
      </c>
      <c r="Y32" s="31">
        <v>608.16</v>
      </c>
      <c r="Z32" s="31">
        <v>0</v>
      </c>
      <c r="AA32" s="31">
        <v>3234.98</v>
      </c>
      <c r="AB32" s="31">
        <v>-88.79</v>
      </c>
      <c r="AC32" s="31">
        <v>0</v>
      </c>
      <c r="AD32" s="31">
        <v>3754.35</v>
      </c>
      <c r="AE32" s="31">
        <v>375.435</v>
      </c>
      <c r="AF32" s="31">
        <v>21.911999999999999</v>
      </c>
      <c r="AG32" s="31">
        <v>4151.6970000000001</v>
      </c>
      <c r="AH32" s="31">
        <v>664.27152000000001</v>
      </c>
      <c r="AI32" s="31">
        <v>4815.9685200000004</v>
      </c>
      <c r="AK32" s="119"/>
      <c r="AN32" s="119">
        <f>+H32-'C&amp;A'!K32-SINDICATO!J32</f>
        <v>0</v>
      </c>
      <c r="AP32" s="30">
        <f>577.4+3176.95</f>
        <v>3754.35</v>
      </c>
      <c r="AS32" s="30">
        <v>608.16</v>
      </c>
      <c r="AT32" s="119">
        <f>+'C&amp;A'!K32+SINDICATO!J32</f>
        <v>3754.35</v>
      </c>
      <c r="AU32" s="31">
        <f t="shared" si="13"/>
        <v>375.435</v>
      </c>
      <c r="AV32" s="31">
        <f t="shared" si="14"/>
        <v>0</v>
      </c>
      <c r="AW32" s="129">
        <f t="shared" si="15"/>
        <v>0</v>
      </c>
    </row>
    <row r="33" spans="1:50" s="30" customFormat="1" ht="16.5" x14ac:dyDescent="0.3">
      <c r="A33" s="29" t="s">
        <v>215</v>
      </c>
      <c r="B33" s="30" t="s">
        <v>216</v>
      </c>
      <c r="C33" s="31">
        <f t="shared" si="3"/>
        <v>513.33000000000004</v>
      </c>
      <c r="D33" s="31">
        <f t="shared" si="4"/>
        <v>93.68</v>
      </c>
      <c r="E33" s="31">
        <f t="shared" si="5"/>
        <v>0</v>
      </c>
      <c r="F33" s="31">
        <f t="shared" si="6"/>
        <v>-438.76</v>
      </c>
      <c r="G33" s="31">
        <f t="shared" si="7"/>
        <v>136.65</v>
      </c>
      <c r="H33" s="31">
        <f t="shared" si="8"/>
        <v>168.25</v>
      </c>
      <c r="I33" s="31">
        <v>3.1600000000000024</v>
      </c>
      <c r="J33" s="31">
        <f>+'C&amp;A'!E33*0.02</f>
        <v>0</v>
      </c>
      <c r="K33" s="31">
        <f t="shared" si="9"/>
        <v>171.41</v>
      </c>
      <c r="L33" s="31">
        <f t="shared" si="1"/>
        <v>27.425599999999999</v>
      </c>
      <c r="M33" s="31">
        <f t="shared" si="10"/>
        <v>198.8356</v>
      </c>
      <c r="O33" s="84" t="s">
        <v>82</v>
      </c>
      <c r="P33" s="84" t="s">
        <v>69</v>
      </c>
      <c r="Q33" s="85" t="s">
        <v>327</v>
      </c>
      <c r="R33" s="86">
        <v>513.33000000000004</v>
      </c>
      <c r="S33" s="87" t="str">
        <f t="shared" si="11"/>
        <v>SI</v>
      </c>
      <c r="T33" s="87" t="str">
        <f t="shared" si="12"/>
        <v>SI</v>
      </c>
      <c r="U33" s="88" t="s">
        <v>215</v>
      </c>
      <c r="V33" s="89" t="s">
        <v>216</v>
      </c>
      <c r="W33" s="29" t="s">
        <v>215</v>
      </c>
      <c r="X33" s="30" t="s">
        <v>216</v>
      </c>
      <c r="Y33" s="31">
        <v>513.33000000000004</v>
      </c>
      <c r="Z33" s="31">
        <v>93.68</v>
      </c>
      <c r="AA33" s="31">
        <v>0</v>
      </c>
      <c r="AB33" s="31">
        <v>-438.76</v>
      </c>
      <c r="AC33" s="31">
        <v>-136.65</v>
      </c>
      <c r="AD33" s="31">
        <v>31.599999999999994</v>
      </c>
      <c r="AE33" s="31">
        <v>3.1599999999999997</v>
      </c>
      <c r="AF33" s="31">
        <v>21.911999999999999</v>
      </c>
      <c r="AG33" s="31">
        <v>56.67199999999999</v>
      </c>
      <c r="AH33" s="31">
        <v>9.0675199999999982</v>
      </c>
      <c r="AI33" s="31">
        <v>65.739519999999985</v>
      </c>
      <c r="AK33" s="119"/>
      <c r="AN33" s="119">
        <f>+H33-'C&amp;A'!K33-SINDICATO!J33</f>
        <v>136.64999999999998</v>
      </c>
      <c r="AP33" s="30">
        <v>31.6</v>
      </c>
      <c r="AS33" s="30">
        <v>513.33000000000004</v>
      </c>
      <c r="AT33" s="119">
        <f>+'C&amp;A'!K33+SINDICATO!J33</f>
        <v>31.600000000000023</v>
      </c>
      <c r="AU33" s="31">
        <f t="shared" si="13"/>
        <v>3.1600000000000024</v>
      </c>
      <c r="AV33" s="31">
        <f t="shared" si="14"/>
        <v>0</v>
      </c>
      <c r="AW33" s="129">
        <f t="shared" si="15"/>
        <v>0</v>
      </c>
    </row>
    <row r="34" spans="1:50" s="30" customFormat="1" ht="16.5" x14ac:dyDescent="0.3">
      <c r="A34" s="29" t="s">
        <v>217</v>
      </c>
      <c r="B34" s="30" t="s">
        <v>218</v>
      </c>
      <c r="C34" s="31">
        <f t="shared" si="3"/>
        <v>608.16</v>
      </c>
      <c r="D34" s="31">
        <f t="shared" si="4"/>
        <v>0</v>
      </c>
      <c r="E34" s="31">
        <f t="shared" si="5"/>
        <v>2980.79</v>
      </c>
      <c r="F34" s="31">
        <f t="shared" si="6"/>
        <v>-88.79</v>
      </c>
      <c r="G34" s="31">
        <f t="shared" si="7"/>
        <v>0</v>
      </c>
      <c r="H34" s="31">
        <f t="shared" si="8"/>
        <v>3500.16</v>
      </c>
      <c r="I34" s="31">
        <v>350.01600000000002</v>
      </c>
      <c r="J34" s="31">
        <f>+'C&amp;A'!E34*0.02</f>
        <v>10.2256</v>
      </c>
      <c r="K34" s="31">
        <f t="shared" si="9"/>
        <v>3860.4016000000001</v>
      </c>
      <c r="L34" s="31">
        <f t="shared" si="1"/>
        <v>617.66425600000002</v>
      </c>
      <c r="M34" s="31">
        <f t="shared" si="10"/>
        <v>4478.0658560000002</v>
      </c>
      <c r="O34" s="84" t="s">
        <v>83</v>
      </c>
      <c r="P34" s="84" t="s">
        <v>84</v>
      </c>
      <c r="Q34" s="85" t="s">
        <v>347</v>
      </c>
      <c r="R34" s="90">
        <v>608.16</v>
      </c>
      <c r="S34" s="87" t="str">
        <f t="shared" si="11"/>
        <v>SI</v>
      </c>
      <c r="T34" s="87" t="str">
        <f t="shared" si="12"/>
        <v>SI</v>
      </c>
      <c r="U34" s="88" t="s">
        <v>217</v>
      </c>
      <c r="V34" s="89" t="s">
        <v>218</v>
      </c>
      <c r="W34" s="29" t="s">
        <v>217</v>
      </c>
      <c r="X34" s="30" t="s">
        <v>218</v>
      </c>
      <c r="Y34" s="31">
        <v>608.16</v>
      </c>
      <c r="Z34" s="31">
        <v>0</v>
      </c>
      <c r="AA34" s="31">
        <v>2980.79</v>
      </c>
      <c r="AB34" s="31">
        <v>-88.79</v>
      </c>
      <c r="AC34" s="31">
        <v>0</v>
      </c>
      <c r="AD34" s="31">
        <v>3500.16</v>
      </c>
      <c r="AE34" s="31">
        <v>350.01600000000002</v>
      </c>
      <c r="AF34" s="31">
        <v>21.911999999999999</v>
      </c>
      <c r="AG34" s="31">
        <v>3872.0879999999997</v>
      </c>
      <c r="AH34" s="31">
        <v>619.53408000000002</v>
      </c>
      <c r="AI34" s="31">
        <v>4491.6220800000001</v>
      </c>
      <c r="AK34" s="119"/>
      <c r="AN34" s="119">
        <f>+H34-'C&amp;A'!K34-SINDICATO!J34</f>
        <v>0</v>
      </c>
      <c r="AP34" s="30">
        <f>577.4+2922.76</f>
        <v>3500.1600000000003</v>
      </c>
      <c r="AS34" s="30">
        <v>608.16</v>
      </c>
      <c r="AT34" s="119">
        <f>+'C&amp;A'!K34+SINDICATO!J34</f>
        <v>3500.16</v>
      </c>
      <c r="AU34" s="31">
        <f t="shared" si="13"/>
        <v>350.01600000000002</v>
      </c>
      <c r="AV34" s="31">
        <f t="shared" si="14"/>
        <v>0</v>
      </c>
      <c r="AW34" s="129">
        <f t="shared" si="15"/>
        <v>0</v>
      </c>
    </row>
    <row r="35" spans="1:50" s="30" customFormat="1" ht="16.5" x14ac:dyDescent="0.3">
      <c r="A35" s="29" t="s">
        <v>219</v>
      </c>
      <c r="B35" s="30" t="s">
        <v>220</v>
      </c>
      <c r="C35" s="31">
        <f t="shared" si="3"/>
        <v>1166.26</v>
      </c>
      <c r="D35" s="31">
        <f t="shared" si="4"/>
        <v>0</v>
      </c>
      <c r="E35" s="31">
        <f t="shared" si="5"/>
        <v>1813.25</v>
      </c>
      <c r="F35" s="31">
        <f t="shared" si="6"/>
        <v>-45.13</v>
      </c>
      <c r="G35" s="31">
        <f t="shared" si="7"/>
        <v>0</v>
      </c>
      <c r="H35" s="31">
        <f t="shared" si="8"/>
        <v>2934.38</v>
      </c>
      <c r="I35" s="31">
        <v>293.43800000000005</v>
      </c>
      <c r="J35" s="31">
        <f>+'C&amp;A'!E35*0.02</f>
        <v>10.2256</v>
      </c>
      <c r="K35" s="31">
        <f t="shared" si="9"/>
        <v>3238.0436000000004</v>
      </c>
      <c r="L35" s="31">
        <f t="shared" si="1"/>
        <v>518.08697600000005</v>
      </c>
      <c r="M35" s="31">
        <f t="shared" si="10"/>
        <v>3756.1305760000005</v>
      </c>
      <c r="O35" s="84" t="s">
        <v>85</v>
      </c>
      <c r="P35" s="84" t="s">
        <v>86</v>
      </c>
      <c r="Q35" s="85" t="s">
        <v>332</v>
      </c>
      <c r="R35" s="86">
        <v>1166.26</v>
      </c>
      <c r="S35" s="87" t="str">
        <f t="shared" si="11"/>
        <v>SI</v>
      </c>
      <c r="T35" s="87" t="str">
        <f t="shared" si="12"/>
        <v>SI</v>
      </c>
      <c r="U35" s="88" t="s">
        <v>219</v>
      </c>
      <c r="V35" s="89" t="s">
        <v>220</v>
      </c>
      <c r="W35" s="29" t="s">
        <v>219</v>
      </c>
      <c r="X35" s="30" t="s">
        <v>220</v>
      </c>
      <c r="Y35" s="31">
        <v>1166.26</v>
      </c>
      <c r="Z35" s="31">
        <v>0</v>
      </c>
      <c r="AA35" s="31">
        <v>1813.25</v>
      </c>
      <c r="AB35" s="31">
        <v>-45.13</v>
      </c>
      <c r="AC35" s="31">
        <v>0</v>
      </c>
      <c r="AD35" s="31">
        <v>2934.38</v>
      </c>
      <c r="AE35" s="31">
        <v>293.43800000000005</v>
      </c>
      <c r="AF35" s="31">
        <v>21.911999999999999</v>
      </c>
      <c r="AG35" s="31">
        <v>3249.73</v>
      </c>
      <c r="AH35" s="31">
        <v>519.95680000000004</v>
      </c>
      <c r="AI35" s="31">
        <v>3769.6867999999999</v>
      </c>
      <c r="AK35" s="119"/>
      <c r="AN35" s="119">
        <f>+H35-'C&amp;A'!K35-SINDICATO!J35</f>
        <v>0</v>
      </c>
      <c r="AP35" s="30">
        <f>577.2+2357.18</f>
        <v>2934.38</v>
      </c>
      <c r="AS35" s="30">
        <v>1166.26</v>
      </c>
      <c r="AT35" s="119">
        <f>+'C&amp;A'!K35+SINDICATO!J35</f>
        <v>2934.38</v>
      </c>
      <c r="AU35" s="31">
        <f t="shared" si="13"/>
        <v>293.43800000000005</v>
      </c>
      <c r="AV35" s="31">
        <f t="shared" si="14"/>
        <v>0</v>
      </c>
      <c r="AW35" s="129">
        <f t="shared" si="15"/>
        <v>0</v>
      </c>
    </row>
    <row r="36" spans="1:50" s="30" customFormat="1" ht="16.5" x14ac:dyDescent="0.3">
      <c r="A36" s="29" t="s">
        <v>221</v>
      </c>
      <c r="B36" s="30" t="s">
        <v>222</v>
      </c>
      <c r="C36" s="31">
        <f t="shared" si="3"/>
        <v>513.33000000000004</v>
      </c>
      <c r="D36" s="31">
        <f t="shared" si="4"/>
        <v>0</v>
      </c>
      <c r="E36" s="31">
        <f t="shared" si="5"/>
        <v>24064.01</v>
      </c>
      <c r="F36" s="31">
        <f t="shared" si="6"/>
        <v>-258.75</v>
      </c>
      <c r="G36" s="31">
        <f t="shared" si="7"/>
        <v>360.45</v>
      </c>
      <c r="H36" s="31">
        <f t="shared" si="8"/>
        <v>24318.59</v>
      </c>
      <c r="I36" s="31">
        <v>0</v>
      </c>
      <c r="J36" s="31">
        <f>+'C&amp;A'!E36*0.02</f>
        <v>10.2256</v>
      </c>
      <c r="K36" s="31">
        <f t="shared" si="9"/>
        <v>24328.815600000002</v>
      </c>
      <c r="L36" s="31">
        <f t="shared" si="1"/>
        <v>3892.6104960000002</v>
      </c>
      <c r="M36" s="31">
        <f t="shared" si="10"/>
        <v>28221.426096000003</v>
      </c>
      <c r="O36" s="84" t="s">
        <v>87</v>
      </c>
      <c r="P36" s="84" t="s">
        <v>88</v>
      </c>
      <c r="Q36" s="85" t="s">
        <v>327</v>
      </c>
      <c r="R36" s="86">
        <v>513.33000000000004</v>
      </c>
      <c r="S36" s="87" t="str">
        <f t="shared" si="11"/>
        <v>SI</v>
      </c>
      <c r="T36" s="87" t="str">
        <f t="shared" si="12"/>
        <v>SI</v>
      </c>
      <c r="U36" s="88" t="s">
        <v>221</v>
      </c>
      <c r="V36" s="89" t="s">
        <v>222</v>
      </c>
      <c r="W36" s="29" t="s">
        <v>221</v>
      </c>
      <c r="X36" s="30" t="s">
        <v>222</v>
      </c>
      <c r="Y36" s="31">
        <v>513.33000000000004</v>
      </c>
      <c r="Z36" s="31">
        <v>0</v>
      </c>
      <c r="AA36" s="31">
        <v>24064.01</v>
      </c>
      <c r="AB36" s="31">
        <v>-258.75</v>
      </c>
      <c r="AC36" s="31">
        <v>-360.45</v>
      </c>
      <c r="AD36" s="31">
        <v>23958.14</v>
      </c>
      <c r="AE36" s="31">
        <v>0</v>
      </c>
      <c r="AF36" s="31">
        <v>21.911999999999999</v>
      </c>
      <c r="AG36" s="31">
        <v>23980.052</v>
      </c>
      <c r="AH36" s="31">
        <v>3836.8083200000001</v>
      </c>
      <c r="AI36" s="31">
        <v>27816.86032</v>
      </c>
      <c r="AK36" s="119"/>
      <c r="AN36" s="119">
        <f>+H36-'C&amp;A'!K36-SINDICATO!J36</f>
        <v>2513.0780999999988</v>
      </c>
      <c r="AP36" s="30">
        <f>577.4+21228.11</f>
        <v>21805.510000000002</v>
      </c>
      <c r="AS36" s="30">
        <v>513.33000000000004</v>
      </c>
      <c r="AT36" s="119">
        <f>+'C&amp;A'!K36+SINDICATO!J36</f>
        <v>21805.511900000001</v>
      </c>
      <c r="AU36" s="31">
        <f t="shared" si="13"/>
        <v>0</v>
      </c>
      <c r="AV36" s="31">
        <f t="shared" si="14"/>
        <v>2180.5511900000001</v>
      </c>
      <c r="AW36" s="129">
        <f t="shared" si="15"/>
        <v>0</v>
      </c>
    </row>
    <row r="37" spans="1:50" s="30" customFormat="1" ht="16.5" x14ac:dyDescent="0.3">
      <c r="A37" s="29" t="s">
        <v>223</v>
      </c>
      <c r="B37" s="30" t="s">
        <v>224</v>
      </c>
      <c r="C37" s="31">
        <f t="shared" si="3"/>
        <v>513.33000000000004</v>
      </c>
      <c r="D37" s="31">
        <f t="shared" si="4"/>
        <v>93.68</v>
      </c>
      <c r="E37" s="31">
        <f t="shared" si="5"/>
        <v>6915.43</v>
      </c>
      <c r="F37" s="31">
        <f t="shared" si="6"/>
        <v>-45.13</v>
      </c>
      <c r="G37" s="31">
        <f t="shared" si="7"/>
        <v>0</v>
      </c>
      <c r="H37" s="31">
        <f t="shared" si="8"/>
        <v>7477.31</v>
      </c>
      <c r="I37" s="31">
        <v>0</v>
      </c>
      <c r="J37" s="31">
        <f>+'C&amp;A'!E37*0.02</f>
        <v>10.2256</v>
      </c>
      <c r="K37" s="31">
        <f t="shared" si="9"/>
        <v>7487.5356000000002</v>
      </c>
      <c r="L37" s="31">
        <f t="shared" si="1"/>
        <v>1198.0056959999999</v>
      </c>
      <c r="M37" s="31">
        <f t="shared" si="10"/>
        <v>8685.5412959999994</v>
      </c>
      <c r="O37" s="84" t="s">
        <v>89</v>
      </c>
      <c r="P37" s="84" t="s">
        <v>61</v>
      </c>
      <c r="Q37" s="85" t="s">
        <v>327</v>
      </c>
      <c r="R37" s="86">
        <v>513.33000000000004</v>
      </c>
      <c r="S37" s="87" t="str">
        <f t="shared" si="11"/>
        <v>SI</v>
      </c>
      <c r="T37" s="87" t="str">
        <f t="shared" si="12"/>
        <v>SI</v>
      </c>
      <c r="U37" s="88" t="s">
        <v>223</v>
      </c>
      <c r="V37" s="89" t="s">
        <v>224</v>
      </c>
      <c r="W37" s="29" t="s">
        <v>223</v>
      </c>
      <c r="X37" s="30" t="s">
        <v>224</v>
      </c>
      <c r="Y37" s="31">
        <v>513.33000000000004</v>
      </c>
      <c r="Z37" s="31">
        <v>93.68</v>
      </c>
      <c r="AA37" s="31">
        <v>6915.43</v>
      </c>
      <c r="AB37" s="31">
        <v>-45.13</v>
      </c>
      <c r="AC37" s="31">
        <v>0</v>
      </c>
      <c r="AD37" s="31">
        <v>7477.31</v>
      </c>
      <c r="AE37" s="31">
        <v>0</v>
      </c>
      <c r="AF37" s="31">
        <v>21.911999999999999</v>
      </c>
      <c r="AG37" s="31">
        <v>7499.2220000000007</v>
      </c>
      <c r="AH37" s="31">
        <v>1199.8755200000001</v>
      </c>
      <c r="AI37" s="31">
        <v>8699.0975200000012</v>
      </c>
      <c r="AK37" s="119"/>
      <c r="AN37" s="119">
        <f>+H37-'C&amp;A'!K37-SINDICATO!J37</f>
        <v>672.95790000000034</v>
      </c>
      <c r="AP37" s="30">
        <f>577.4+6226.95</f>
        <v>6804.3499999999995</v>
      </c>
      <c r="AS37" s="30">
        <v>513.33000000000004</v>
      </c>
      <c r="AT37" s="119">
        <f>+'C&amp;A'!K37+SINDICATO!J37</f>
        <v>6804.3521000000001</v>
      </c>
      <c r="AU37" s="31">
        <f t="shared" si="13"/>
        <v>0</v>
      </c>
      <c r="AV37" s="31">
        <f t="shared" si="14"/>
        <v>680.4352100000001</v>
      </c>
      <c r="AW37" s="129">
        <f t="shared" si="15"/>
        <v>0</v>
      </c>
    </row>
    <row r="38" spans="1:50" s="30" customFormat="1" ht="16.5" x14ac:dyDescent="0.3">
      <c r="A38" s="29" t="s">
        <v>357</v>
      </c>
      <c r="B38" s="30" t="s">
        <v>358</v>
      </c>
      <c r="C38" s="31">
        <f t="shared" si="3"/>
        <v>513.33000000000004</v>
      </c>
      <c r="D38" s="31">
        <f t="shared" si="4"/>
        <v>0</v>
      </c>
      <c r="E38" s="31">
        <f t="shared" si="5"/>
        <v>805.41</v>
      </c>
      <c r="F38" s="31">
        <f t="shared" si="6"/>
        <v>0</v>
      </c>
      <c r="G38" s="31">
        <f t="shared" si="7"/>
        <v>0</v>
      </c>
      <c r="H38" s="31">
        <f t="shared" si="8"/>
        <v>1318.74</v>
      </c>
      <c r="I38" s="31">
        <v>131.874</v>
      </c>
      <c r="J38" s="31">
        <f>+'C&amp;A'!E38*0.02</f>
        <v>10.2256</v>
      </c>
      <c r="K38" s="31">
        <f t="shared" si="9"/>
        <v>1460.8396</v>
      </c>
      <c r="L38" s="31">
        <f t="shared" si="1"/>
        <v>233.73433600000001</v>
      </c>
      <c r="M38" s="31">
        <f t="shared" si="10"/>
        <v>1694.573936</v>
      </c>
      <c r="O38" s="96"/>
      <c r="P38" s="96"/>
      <c r="Q38" s="97"/>
      <c r="R38" s="98"/>
      <c r="S38" s="87" t="str">
        <f t="shared" si="11"/>
        <v>SI</v>
      </c>
      <c r="T38" s="87" t="str">
        <f t="shared" si="12"/>
        <v>SI</v>
      </c>
      <c r="U38" s="88" t="s">
        <v>357</v>
      </c>
      <c r="V38" s="89" t="s">
        <v>358</v>
      </c>
      <c r="W38" s="29" t="s">
        <v>357</v>
      </c>
      <c r="X38" s="30" t="s">
        <v>358</v>
      </c>
      <c r="Y38" s="31">
        <v>513.33000000000004</v>
      </c>
      <c r="Z38" s="31">
        <v>0</v>
      </c>
      <c r="AA38" s="31">
        <v>805.41</v>
      </c>
      <c r="AB38" s="31">
        <v>0</v>
      </c>
      <c r="AC38" s="31">
        <v>0</v>
      </c>
      <c r="AD38" s="31"/>
      <c r="AE38" s="31"/>
      <c r="AF38" s="31"/>
      <c r="AG38" s="31"/>
      <c r="AH38" s="31"/>
      <c r="AI38" s="31"/>
      <c r="AK38" s="119"/>
      <c r="AN38" s="119">
        <f>+H38-'C&amp;A'!K38-SINDICATO!J38</f>
        <v>0</v>
      </c>
      <c r="AP38" s="30">
        <f>577.4+741.34</f>
        <v>1318.74</v>
      </c>
      <c r="AS38" s="30">
        <v>513.33000000000004</v>
      </c>
      <c r="AT38" s="119">
        <f>+'C&amp;A'!K38+SINDICATO!J38</f>
        <v>1318.74</v>
      </c>
      <c r="AU38" s="31">
        <f t="shared" si="13"/>
        <v>131.874</v>
      </c>
      <c r="AV38" s="31">
        <f t="shared" si="14"/>
        <v>0</v>
      </c>
      <c r="AW38" s="129">
        <f t="shared" si="15"/>
        <v>0</v>
      </c>
    </row>
    <row r="39" spans="1:50" s="30" customFormat="1" ht="16.5" x14ac:dyDescent="0.3">
      <c r="A39" s="29" t="s">
        <v>225</v>
      </c>
      <c r="B39" s="30" t="s">
        <v>226</v>
      </c>
      <c r="C39" s="31">
        <f t="shared" si="3"/>
        <v>513.33000000000004</v>
      </c>
      <c r="D39" s="31">
        <f t="shared" si="4"/>
        <v>93.68</v>
      </c>
      <c r="E39" s="31">
        <f t="shared" si="5"/>
        <v>0</v>
      </c>
      <c r="F39" s="31">
        <f t="shared" si="6"/>
        <v>-45.13</v>
      </c>
      <c r="G39" s="31">
        <f t="shared" si="7"/>
        <v>0</v>
      </c>
      <c r="H39" s="31">
        <f t="shared" si="8"/>
        <v>561.88</v>
      </c>
      <c r="I39" s="31">
        <v>56.188000000000002</v>
      </c>
      <c r="J39" s="31">
        <f>+'C&amp;A'!E39*0.02</f>
        <v>9.5866000000000007</v>
      </c>
      <c r="K39" s="31">
        <f t="shared" si="9"/>
        <v>627.65459999999996</v>
      </c>
      <c r="L39" s="31">
        <f t="shared" si="1"/>
        <v>100.424736</v>
      </c>
      <c r="M39" s="31">
        <f t="shared" si="10"/>
        <v>728.07933600000001</v>
      </c>
      <c r="O39" s="18" t="s">
        <v>90</v>
      </c>
      <c r="P39" s="18" t="s">
        <v>91</v>
      </c>
      <c r="Q39" s="19" t="s">
        <v>327</v>
      </c>
      <c r="R39" s="99">
        <v>513.33000000000004</v>
      </c>
      <c r="S39" s="87" t="str">
        <f t="shared" si="11"/>
        <v>SI</v>
      </c>
      <c r="T39" s="87" t="str">
        <f t="shared" si="12"/>
        <v>SI</v>
      </c>
      <c r="U39" s="88" t="s">
        <v>225</v>
      </c>
      <c r="V39" s="89" t="s">
        <v>226</v>
      </c>
      <c r="W39" s="29" t="s">
        <v>225</v>
      </c>
      <c r="X39" s="30" t="s">
        <v>226</v>
      </c>
      <c r="Y39" s="31">
        <v>513.33000000000004</v>
      </c>
      <c r="Z39" s="31">
        <v>93.68</v>
      </c>
      <c r="AA39" s="31">
        <v>0</v>
      </c>
      <c r="AB39" s="31">
        <v>-45.13</v>
      </c>
      <c r="AC39" s="31">
        <v>0</v>
      </c>
      <c r="AD39" s="31">
        <v>561.88</v>
      </c>
      <c r="AE39" s="31">
        <v>56.188000000000002</v>
      </c>
      <c r="AF39" s="31">
        <v>21.911999999999999</v>
      </c>
      <c r="AG39" s="31">
        <v>639.98</v>
      </c>
      <c r="AH39" s="31">
        <v>102.3968</v>
      </c>
      <c r="AI39" s="31">
        <v>742.3768</v>
      </c>
      <c r="AK39" s="119"/>
      <c r="AN39" s="119">
        <f>+H39-'C&amp;A'!K39-SINDICATO!J39</f>
        <v>0</v>
      </c>
      <c r="AS39" s="30">
        <v>513.33000000000004</v>
      </c>
      <c r="AT39" s="119">
        <f>+'C&amp;A'!K39+SINDICATO!J39</f>
        <v>561.88</v>
      </c>
      <c r="AU39" s="31">
        <f t="shared" si="13"/>
        <v>56.188000000000002</v>
      </c>
      <c r="AV39" s="31">
        <f t="shared" si="14"/>
        <v>0</v>
      </c>
      <c r="AW39" s="129">
        <f t="shared" si="15"/>
        <v>0</v>
      </c>
    </row>
    <row r="40" spans="1:50" s="30" customFormat="1" ht="16.5" x14ac:dyDescent="0.3">
      <c r="A40" s="29" t="s">
        <v>227</v>
      </c>
      <c r="B40" s="30" t="s">
        <v>228</v>
      </c>
      <c r="C40" s="31">
        <f t="shared" si="3"/>
        <v>0</v>
      </c>
      <c r="D40" s="31">
        <f t="shared" si="4"/>
        <v>0</v>
      </c>
      <c r="E40" s="31">
        <f t="shared" si="5"/>
        <v>1753.12</v>
      </c>
      <c r="F40" s="31">
        <f t="shared" si="6"/>
        <v>0</v>
      </c>
      <c r="G40" s="31">
        <f t="shared" si="7"/>
        <v>0</v>
      </c>
      <c r="H40" s="31">
        <f t="shared" si="8"/>
        <v>1753.12</v>
      </c>
      <c r="I40" s="31">
        <v>175.31200000000001</v>
      </c>
      <c r="J40" s="31">
        <f>+'C&amp;A'!E40*0.02</f>
        <v>10.2256</v>
      </c>
      <c r="K40" s="31">
        <f t="shared" si="9"/>
        <v>1938.6575999999998</v>
      </c>
      <c r="L40" s="31">
        <f t="shared" si="1"/>
        <v>310.18521599999997</v>
      </c>
      <c r="M40" s="31">
        <f t="shared" si="10"/>
        <v>2248.8428159999999</v>
      </c>
      <c r="O40" s="18" t="s">
        <v>93</v>
      </c>
      <c r="P40" s="18" t="s">
        <v>92</v>
      </c>
      <c r="Q40" s="19" t="s">
        <v>334</v>
      </c>
      <c r="R40" s="17">
        <v>0</v>
      </c>
      <c r="S40" s="87" t="str">
        <f t="shared" si="11"/>
        <v>SI</v>
      </c>
      <c r="T40" s="87" t="str">
        <f t="shared" si="12"/>
        <v>SI</v>
      </c>
      <c r="U40" s="88" t="s">
        <v>227</v>
      </c>
      <c r="V40" s="89" t="s">
        <v>228</v>
      </c>
      <c r="W40" s="29" t="s">
        <v>227</v>
      </c>
      <c r="X40" s="30" t="s">
        <v>228</v>
      </c>
      <c r="Y40" s="31">
        <v>0</v>
      </c>
      <c r="Z40" s="31">
        <v>0</v>
      </c>
      <c r="AA40" s="31">
        <v>1753.12</v>
      </c>
      <c r="AB40" s="31">
        <v>0</v>
      </c>
      <c r="AC40" s="31">
        <v>0</v>
      </c>
      <c r="AD40" s="31">
        <v>1753.12</v>
      </c>
      <c r="AE40" s="31">
        <v>175.31200000000001</v>
      </c>
      <c r="AF40" s="31">
        <v>21.911999999999999</v>
      </c>
      <c r="AG40" s="31">
        <v>1950.3439999999998</v>
      </c>
      <c r="AH40" s="31">
        <v>312.05503999999996</v>
      </c>
      <c r="AI40" s="31">
        <v>2262.3990399999998</v>
      </c>
      <c r="AK40" s="119"/>
      <c r="AN40" s="119">
        <f>+H40-'C&amp;A'!K40-SINDICATO!J40</f>
        <v>0</v>
      </c>
      <c r="AP40" s="30">
        <f>513.33+577.4+1175.72</f>
        <v>2266.4499999999998</v>
      </c>
      <c r="AT40" s="119">
        <f>+'C&amp;A'!K40+SINDICATO!J40</f>
        <v>1753.12</v>
      </c>
      <c r="AU40" s="31">
        <f t="shared" si="13"/>
        <v>175.31200000000001</v>
      </c>
      <c r="AV40" s="31">
        <f t="shared" si="14"/>
        <v>0</v>
      </c>
      <c r="AW40" s="130">
        <f t="shared" si="15"/>
        <v>0</v>
      </c>
      <c r="AX40" s="30" t="s">
        <v>503</v>
      </c>
    </row>
    <row r="41" spans="1:50" s="30" customFormat="1" ht="16.5" x14ac:dyDescent="0.3">
      <c r="A41" s="29" t="s">
        <v>229</v>
      </c>
      <c r="B41" s="30" t="s">
        <v>230</v>
      </c>
      <c r="C41" s="31">
        <f t="shared" si="3"/>
        <v>513.33000000000004</v>
      </c>
      <c r="D41" s="31">
        <f t="shared" si="4"/>
        <v>0</v>
      </c>
      <c r="E41" s="31">
        <f t="shared" si="5"/>
        <v>13617.36</v>
      </c>
      <c r="F41" s="31">
        <f t="shared" si="6"/>
        <v>-45.13</v>
      </c>
      <c r="G41" s="31">
        <f t="shared" si="7"/>
        <v>0</v>
      </c>
      <c r="H41" s="31">
        <f t="shared" si="8"/>
        <v>14085.560000000001</v>
      </c>
      <c r="I41" s="31">
        <v>0</v>
      </c>
      <c r="J41" s="31">
        <f>+'C&amp;A'!E41*0.02</f>
        <v>10.2256</v>
      </c>
      <c r="K41" s="31">
        <f t="shared" si="9"/>
        <v>14095.785600000001</v>
      </c>
      <c r="L41" s="31">
        <f t="shared" si="1"/>
        <v>2255.3256960000003</v>
      </c>
      <c r="M41" s="31">
        <f t="shared" si="10"/>
        <v>16351.111296000001</v>
      </c>
      <c r="O41" s="18" t="s">
        <v>94</v>
      </c>
      <c r="P41" s="18" t="s">
        <v>95</v>
      </c>
      <c r="Q41" s="19" t="s">
        <v>327</v>
      </c>
      <c r="R41" s="99">
        <v>513.33000000000004</v>
      </c>
      <c r="S41" s="87" t="str">
        <f t="shared" si="11"/>
        <v>SI</v>
      </c>
      <c r="T41" s="87" t="str">
        <f t="shared" si="12"/>
        <v>SI</v>
      </c>
      <c r="U41" s="88" t="s">
        <v>229</v>
      </c>
      <c r="V41" s="89" t="s">
        <v>230</v>
      </c>
      <c r="W41" s="29" t="s">
        <v>229</v>
      </c>
      <c r="X41" s="30" t="s">
        <v>230</v>
      </c>
      <c r="Y41" s="31">
        <v>513.33000000000004</v>
      </c>
      <c r="Z41" s="31">
        <v>0</v>
      </c>
      <c r="AA41" s="31">
        <v>13617.36</v>
      </c>
      <c r="AB41" s="31">
        <v>-45.13</v>
      </c>
      <c r="AC41" s="31">
        <v>0</v>
      </c>
      <c r="AD41" s="31">
        <v>14085.560000000001</v>
      </c>
      <c r="AE41" s="31">
        <v>0</v>
      </c>
      <c r="AF41" s="31">
        <v>21.911999999999999</v>
      </c>
      <c r="AG41" s="31">
        <v>14107.472000000002</v>
      </c>
      <c r="AH41" s="31">
        <v>2257.1955200000002</v>
      </c>
      <c r="AI41" s="31">
        <v>16364.667520000003</v>
      </c>
      <c r="AK41" s="119"/>
      <c r="AN41" s="119">
        <f>+H41-'C&amp;A'!K41-SINDICATO!J41</f>
        <v>1267.7004000000015</v>
      </c>
      <c r="AP41" s="30">
        <f>577.4+12240.46</f>
        <v>12817.859999999999</v>
      </c>
      <c r="AS41" s="30">
        <v>513.33000000000004</v>
      </c>
      <c r="AT41" s="119">
        <f>+'C&amp;A'!K41+SINDICATO!J41</f>
        <v>12817.8596</v>
      </c>
      <c r="AU41" s="31">
        <f t="shared" si="13"/>
        <v>0</v>
      </c>
      <c r="AV41" s="31">
        <f t="shared" si="14"/>
        <v>1281.7859600000002</v>
      </c>
      <c r="AW41" s="129">
        <f t="shared" si="15"/>
        <v>0</v>
      </c>
    </row>
    <row r="42" spans="1:50" s="46" customFormat="1" ht="16.5" x14ac:dyDescent="0.3">
      <c r="A42" s="43" t="s">
        <v>231</v>
      </c>
      <c r="B42" s="46" t="s">
        <v>232</v>
      </c>
      <c r="C42" s="47">
        <f t="shared" si="3"/>
        <v>513.33000000000004</v>
      </c>
      <c r="D42" s="47">
        <f t="shared" si="4"/>
        <v>67.84</v>
      </c>
      <c r="E42" s="47">
        <f t="shared" si="5"/>
        <v>0</v>
      </c>
      <c r="F42" s="47">
        <f t="shared" si="6"/>
        <v>0</v>
      </c>
      <c r="G42" s="47">
        <v>540</v>
      </c>
      <c r="H42" s="47">
        <f t="shared" si="8"/>
        <v>581.17000000000007</v>
      </c>
      <c r="I42" s="47">
        <v>2.1170000000000018</v>
      </c>
      <c r="J42" s="47">
        <f>+'C&amp;A'!E42*0.02</f>
        <v>10.2256</v>
      </c>
      <c r="K42" s="47">
        <f t="shared" si="9"/>
        <v>593.51260000000002</v>
      </c>
      <c r="L42" s="47">
        <f t="shared" si="1"/>
        <v>94.962016000000006</v>
      </c>
      <c r="M42" s="47">
        <f t="shared" si="10"/>
        <v>688.47461599999997</v>
      </c>
      <c r="O42" s="58" t="s">
        <v>96</v>
      </c>
      <c r="P42" s="58" t="s">
        <v>21</v>
      </c>
      <c r="Q42" s="59" t="s">
        <v>327</v>
      </c>
      <c r="R42" s="54">
        <v>513.33000000000004</v>
      </c>
      <c r="S42" s="51" t="str">
        <f t="shared" si="11"/>
        <v>SI</v>
      </c>
      <c r="T42" s="51" t="str">
        <f t="shared" si="12"/>
        <v>SI</v>
      </c>
      <c r="U42" s="52" t="s">
        <v>231</v>
      </c>
      <c r="V42" s="53" t="s">
        <v>232</v>
      </c>
      <c r="W42" s="43" t="s">
        <v>231</v>
      </c>
      <c r="X42" s="46" t="s">
        <v>232</v>
      </c>
      <c r="Y42" s="47">
        <v>513.33000000000004</v>
      </c>
      <c r="Z42" s="47">
        <v>67.84</v>
      </c>
      <c r="AA42" s="47">
        <v>0</v>
      </c>
      <c r="AB42" s="47">
        <v>0</v>
      </c>
      <c r="AC42" s="47">
        <v>-771.61</v>
      </c>
      <c r="AD42" s="47">
        <v>-190.43999999999994</v>
      </c>
      <c r="AE42" s="47">
        <v>-19.043999999999993</v>
      </c>
      <c r="AF42" s="47">
        <v>21.911999999999999</v>
      </c>
      <c r="AG42" s="47">
        <v>-187.57199999999992</v>
      </c>
      <c r="AH42" s="47">
        <v>-30.011519999999987</v>
      </c>
      <c r="AI42" s="47">
        <v>-217.58351999999991</v>
      </c>
      <c r="AJ42" s="46">
        <v>771.61</v>
      </c>
      <c r="AK42" s="121" t="s">
        <v>500</v>
      </c>
      <c r="AN42" s="123">
        <f>+H42-'C&amp;A'!K42-SINDICATO!J42</f>
        <v>560</v>
      </c>
      <c r="AP42" s="46">
        <f>17.4+3.77</f>
        <v>21.169999999999998</v>
      </c>
      <c r="AS42" s="46">
        <v>513.33000000000004</v>
      </c>
      <c r="AT42" s="119">
        <f>+'C&amp;A'!K42+SINDICATO!J42</f>
        <v>21.170000000000016</v>
      </c>
      <c r="AU42" s="31">
        <f t="shared" si="13"/>
        <v>2.1170000000000018</v>
      </c>
      <c r="AV42" s="31">
        <f t="shared" si="14"/>
        <v>0</v>
      </c>
      <c r="AW42" s="129">
        <f t="shared" si="15"/>
        <v>0</v>
      </c>
    </row>
    <row r="43" spans="1:50" s="30" customFormat="1" ht="16.5" x14ac:dyDescent="0.3">
      <c r="A43" s="29" t="s">
        <v>233</v>
      </c>
      <c r="B43" s="30" t="s">
        <v>234</v>
      </c>
      <c r="C43" s="31">
        <f t="shared" si="3"/>
        <v>513.33000000000004</v>
      </c>
      <c r="D43" s="31">
        <f t="shared" si="4"/>
        <v>93.68</v>
      </c>
      <c r="E43" s="31">
        <f t="shared" si="5"/>
        <v>0</v>
      </c>
      <c r="F43" s="31">
        <f t="shared" si="6"/>
        <v>-45.13</v>
      </c>
      <c r="G43" s="31">
        <f t="shared" si="7"/>
        <v>0</v>
      </c>
      <c r="H43" s="31">
        <f t="shared" si="8"/>
        <v>561.88</v>
      </c>
      <c r="I43" s="31">
        <v>56.188000000000002</v>
      </c>
      <c r="J43" s="31">
        <f>+'C&amp;A'!E43*0.02</f>
        <v>9.7995999999999999</v>
      </c>
      <c r="K43" s="31">
        <f t="shared" si="9"/>
        <v>627.86760000000004</v>
      </c>
      <c r="L43" s="31">
        <f t="shared" si="1"/>
        <v>100.45881600000001</v>
      </c>
      <c r="M43" s="31">
        <f t="shared" si="10"/>
        <v>728.32641600000011</v>
      </c>
      <c r="O43" s="18" t="s">
        <v>97</v>
      </c>
      <c r="P43" s="18" t="s">
        <v>98</v>
      </c>
      <c r="Q43" s="19" t="s">
        <v>327</v>
      </c>
      <c r="R43" s="100">
        <v>513.33000000000004</v>
      </c>
      <c r="S43" s="87" t="str">
        <f t="shared" si="11"/>
        <v>SI</v>
      </c>
      <c r="T43" s="87" t="str">
        <f t="shared" si="12"/>
        <v>SI</v>
      </c>
      <c r="U43" s="88" t="s">
        <v>233</v>
      </c>
      <c r="V43" s="89" t="s">
        <v>234</v>
      </c>
      <c r="W43" s="29" t="s">
        <v>233</v>
      </c>
      <c r="X43" s="30" t="s">
        <v>234</v>
      </c>
      <c r="Y43" s="31">
        <v>513.33000000000004</v>
      </c>
      <c r="Z43" s="31">
        <v>93.68</v>
      </c>
      <c r="AA43" s="31">
        <v>0</v>
      </c>
      <c r="AB43" s="31">
        <v>-45.13</v>
      </c>
      <c r="AC43" s="31">
        <v>0</v>
      </c>
      <c r="AD43" s="31">
        <v>561.88</v>
      </c>
      <c r="AE43" s="31">
        <v>56.188000000000002</v>
      </c>
      <c r="AF43" s="31">
        <v>21.911999999999999</v>
      </c>
      <c r="AG43" s="31">
        <v>639.98</v>
      </c>
      <c r="AH43" s="31">
        <v>102.3968</v>
      </c>
      <c r="AI43" s="31">
        <v>742.3768</v>
      </c>
      <c r="AK43" s="119"/>
      <c r="AN43" s="119">
        <f>+H43-'C&amp;A'!K43-SINDICATO!J43</f>
        <v>0</v>
      </c>
      <c r="AP43" s="30">
        <f>557.4+4.48</f>
        <v>561.88</v>
      </c>
      <c r="AS43" s="30">
        <v>513.33000000000004</v>
      </c>
      <c r="AT43" s="119">
        <f>+'C&amp;A'!K43+SINDICATO!J43</f>
        <v>561.88</v>
      </c>
      <c r="AU43" s="31">
        <f t="shared" si="13"/>
        <v>56.188000000000002</v>
      </c>
      <c r="AV43" s="31">
        <f t="shared" si="14"/>
        <v>0</v>
      </c>
      <c r="AW43" s="129">
        <f t="shared" si="15"/>
        <v>0</v>
      </c>
    </row>
    <row r="44" spans="1:50" s="30" customFormat="1" ht="16.5" x14ac:dyDescent="0.3">
      <c r="A44" s="29" t="s">
        <v>235</v>
      </c>
      <c r="B44" s="30" t="s">
        <v>236</v>
      </c>
      <c r="C44" s="31">
        <f t="shared" si="3"/>
        <v>513.33000000000004</v>
      </c>
      <c r="D44" s="31">
        <f t="shared" si="4"/>
        <v>93.68</v>
      </c>
      <c r="E44" s="31">
        <f t="shared" si="5"/>
        <v>1092.26</v>
      </c>
      <c r="F44" s="31">
        <f t="shared" si="6"/>
        <v>0</v>
      </c>
      <c r="G44" s="31">
        <f t="shared" si="7"/>
        <v>0</v>
      </c>
      <c r="H44" s="31">
        <f t="shared" si="8"/>
        <v>1699.27</v>
      </c>
      <c r="I44" s="31">
        <v>169.92700000000002</v>
      </c>
      <c r="J44" s="31">
        <f>+'C&amp;A'!E44*0.02</f>
        <v>10.2256</v>
      </c>
      <c r="K44" s="31">
        <f t="shared" si="9"/>
        <v>1879.4226000000001</v>
      </c>
      <c r="L44" s="31">
        <f t="shared" si="1"/>
        <v>300.70761600000003</v>
      </c>
      <c r="M44" s="31">
        <f t="shared" si="10"/>
        <v>2180.130216</v>
      </c>
      <c r="O44" s="18" t="s">
        <v>99</v>
      </c>
      <c r="P44" s="18" t="s">
        <v>100</v>
      </c>
      <c r="Q44" s="19" t="s">
        <v>327</v>
      </c>
      <c r="R44" s="17">
        <v>513.33000000000004</v>
      </c>
      <c r="S44" s="87" t="str">
        <f t="shared" si="11"/>
        <v>SI</v>
      </c>
      <c r="T44" s="87" t="str">
        <f t="shared" si="12"/>
        <v>SI</v>
      </c>
      <c r="U44" s="88" t="s">
        <v>235</v>
      </c>
      <c r="V44" s="89" t="s">
        <v>236</v>
      </c>
      <c r="W44" s="29" t="s">
        <v>235</v>
      </c>
      <c r="X44" s="30" t="s">
        <v>236</v>
      </c>
      <c r="Y44" s="31">
        <v>513.33000000000004</v>
      </c>
      <c r="Z44" s="31">
        <v>93.68</v>
      </c>
      <c r="AA44" s="31">
        <v>1092.26</v>
      </c>
      <c r="AB44" s="31">
        <v>0</v>
      </c>
      <c r="AC44" s="31">
        <v>0</v>
      </c>
      <c r="AD44" s="31">
        <v>1699.27</v>
      </c>
      <c r="AE44" s="31">
        <v>169.92700000000002</v>
      </c>
      <c r="AF44" s="31">
        <v>21.911999999999999</v>
      </c>
      <c r="AG44" s="31">
        <v>1891.1090000000002</v>
      </c>
      <c r="AH44" s="31">
        <v>302.57744000000002</v>
      </c>
      <c r="AI44" s="31">
        <v>2193.6864400000004</v>
      </c>
      <c r="AK44" s="119"/>
      <c r="AN44" s="119">
        <f>+H44-'C&amp;A'!K44-SINDICATO!J44</f>
        <v>0</v>
      </c>
      <c r="AS44" s="30">
        <v>513.33000000000004</v>
      </c>
      <c r="AT44" s="119">
        <f>+'C&amp;A'!K44+SINDICATO!J44</f>
        <v>1699.27</v>
      </c>
      <c r="AU44" s="31">
        <f t="shared" si="13"/>
        <v>169.92700000000002</v>
      </c>
      <c r="AV44" s="31">
        <f t="shared" si="14"/>
        <v>0</v>
      </c>
      <c r="AW44" s="129">
        <f t="shared" si="15"/>
        <v>0</v>
      </c>
    </row>
    <row r="45" spans="1:50" s="30" customFormat="1" ht="16.5" x14ac:dyDescent="0.3">
      <c r="A45" s="29" t="s">
        <v>237</v>
      </c>
      <c r="B45" s="30" t="s">
        <v>238</v>
      </c>
      <c r="C45" s="31">
        <f t="shared" si="3"/>
        <v>1633.33</v>
      </c>
      <c r="D45" s="31">
        <f t="shared" si="4"/>
        <v>58.38</v>
      </c>
      <c r="E45" s="31">
        <f t="shared" si="5"/>
        <v>0</v>
      </c>
      <c r="F45" s="31">
        <f t="shared" si="6"/>
        <v>0</v>
      </c>
      <c r="G45" s="31">
        <f t="shared" si="7"/>
        <v>0</v>
      </c>
      <c r="H45" s="31">
        <f t="shared" si="8"/>
        <v>1691.71</v>
      </c>
      <c r="I45" s="31">
        <v>169.17100000000002</v>
      </c>
      <c r="J45" s="31">
        <f>+'C&amp;A'!E45*0.02</f>
        <v>10.2256</v>
      </c>
      <c r="K45" s="31">
        <f t="shared" si="9"/>
        <v>1871.1066000000001</v>
      </c>
      <c r="L45" s="31">
        <f t="shared" si="1"/>
        <v>299.37705600000004</v>
      </c>
      <c r="M45" s="31">
        <f t="shared" si="10"/>
        <v>2170.4836560000003</v>
      </c>
      <c r="O45" s="18" t="s">
        <v>101</v>
      </c>
      <c r="P45" s="18" t="s">
        <v>102</v>
      </c>
      <c r="Q45" s="19" t="s">
        <v>341</v>
      </c>
      <c r="R45" s="17">
        <v>1633.33</v>
      </c>
      <c r="S45" s="87" t="str">
        <f t="shared" si="11"/>
        <v>SI</v>
      </c>
      <c r="T45" s="87" t="str">
        <f t="shared" si="12"/>
        <v>SI</v>
      </c>
      <c r="U45" s="88" t="s">
        <v>237</v>
      </c>
      <c r="V45" s="89" t="s">
        <v>238</v>
      </c>
      <c r="W45" s="29" t="s">
        <v>237</v>
      </c>
      <c r="X45" s="30" t="s">
        <v>238</v>
      </c>
      <c r="Y45" s="31">
        <v>1633.33</v>
      </c>
      <c r="Z45" s="31">
        <v>58.38</v>
      </c>
      <c r="AA45" s="31">
        <v>0</v>
      </c>
      <c r="AB45" s="31">
        <v>0</v>
      </c>
      <c r="AC45" s="31">
        <v>0</v>
      </c>
      <c r="AD45" s="31">
        <v>1691.71</v>
      </c>
      <c r="AE45" s="31">
        <v>169.17100000000002</v>
      </c>
      <c r="AF45" s="31">
        <v>21.911999999999999</v>
      </c>
      <c r="AG45" s="31">
        <v>1882.7930000000001</v>
      </c>
      <c r="AH45" s="31">
        <v>301.24688000000003</v>
      </c>
      <c r="AI45" s="31">
        <v>2184.0398800000003</v>
      </c>
      <c r="AK45" s="119"/>
      <c r="AN45" s="119">
        <f>+H45-'C&amp;A'!K45-SINDICATO!J45</f>
        <v>0</v>
      </c>
      <c r="AP45" s="30">
        <f>577.2+1114.51</f>
        <v>1691.71</v>
      </c>
      <c r="AS45" s="30">
        <v>1633.33</v>
      </c>
      <c r="AT45" s="119">
        <f>+'C&amp;A'!K45+SINDICATO!J45</f>
        <v>1691.71</v>
      </c>
      <c r="AU45" s="31">
        <f t="shared" si="13"/>
        <v>169.17100000000002</v>
      </c>
      <c r="AV45" s="31">
        <f t="shared" si="14"/>
        <v>0</v>
      </c>
      <c r="AW45" s="129">
        <f t="shared" si="15"/>
        <v>0</v>
      </c>
    </row>
    <row r="46" spans="1:50" s="30" customFormat="1" ht="16.5" x14ac:dyDescent="0.3">
      <c r="A46" s="29" t="s">
        <v>239</v>
      </c>
      <c r="B46" s="30" t="s">
        <v>240</v>
      </c>
      <c r="C46" s="31">
        <f t="shared" si="3"/>
        <v>513.33000000000004</v>
      </c>
      <c r="D46" s="31">
        <f t="shared" si="4"/>
        <v>74.31</v>
      </c>
      <c r="E46" s="31">
        <f t="shared" si="5"/>
        <v>0</v>
      </c>
      <c r="F46" s="31">
        <f t="shared" si="6"/>
        <v>0</v>
      </c>
      <c r="G46" s="31">
        <f t="shared" si="7"/>
        <v>697.64</v>
      </c>
      <c r="H46" s="31">
        <f t="shared" si="8"/>
        <v>587.6400000000001</v>
      </c>
      <c r="I46" s="31">
        <v>1.0640000000000043</v>
      </c>
      <c r="J46" s="31">
        <f>+'C&amp;A'!E46*0.02</f>
        <v>10.2256</v>
      </c>
      <c r="K46" s="31">
        <f t="shared" si="9"/>
        <v>598.92960000000005</v>
      </c>
      <c r="L46" s="31">
        <f t="shared" si="1"/>
        <v>95.828736000000006</v>
      </c>
      <c r="M46" s="31">
        <f t="shared" si="10"/>
        <v>694.7583360000001</v>
      </c>
      <c r="O46" s="18" t="s">
        <v>103</v>
      </c>
      <c r="P46" s="18" t="s">
        <v>104</v>
      </c>
      <c r="Q46" s="19" t="s">
        <v>327</v>
      </c>
      <c r="R46" s="17">
        <v>513.33000000000004</v>
      </c>
      <c r="S46" s="87" t="str">
        <f t="shared" si="11"/>
        <v>SI</v>
      </c>
      <c r="T46" s="87" t="str">
        <f t="shared" si="12"/>
        <v>SI</v>
      </c>
      <c r="U46" s="88" t="s">
        <v>239</v>
      </c>
      <c r="V46" s="89" t="s">
        <v>240</v>
      </c>
      <c r="W46" s="29" t="s">
        <v>239</v>
      </c>
      <c r="X46" s="30" t="s">
        <v>240</v>
      </c>
      <c r="Y46" s="31">
        <v>513.33000000000004</v>
      </c>
      <c r="Z46" s="31">
        <v>74.31</v>
      </c>
      <c r="AA46" s="31">
        <v>0</v>
      </c>
      <c r="AB46" s="31">
        <v>0</v>
      </c>
      <c r="AC46" s="31">
        <v>-697.64</v>
      </c>
      <c r="AD46" s="31">
        <v>-109.99999999999989</v>
      </c>
      <c r="AE46" s="31">
        <v>-10.999999999999989</v>
      </c>
      <c r="AF46" s="31">
        <v>21.911999999999999</v>
      </c>
      <c r="AG46" s="31">
        <v>-99.08799999999988</v>
      </c>
      <c r="AH46" s="31">
        <v>-15.854079999999982</v>
      </c>
      <c r="AI46" s="31">
        <v>-114.94207999999986</v>
      </c>
      <c r="AK46" s="119"/>
      <c r="AN46" s="119">
        <f>+H46-'C&amp;A'!K46-SINDICATO!J46</f>
        <v>577</v>
      </c>
      <c r="AP46" s="30">
        <f>0.4+10.24</f>
        <v>10.64</v>
      </c>
      <c r="AS46" s="30">
        <v>513.33000000000004</v>
      </c>
      <c r="AT46" s="119">
        <f>+'C&amp;A'!K46+SINDICATO!J46</f>
        <v>10.640000000000043</v>
      </c>
      <c r="AU46" s="31">
        <f t="shared" si="13"/>
        <v>1.0640000000000043</v>
      </c>
      <c r="AV46" s="31">
        <f t="shared" si="14"/>
        <v>0</v>
      </c>
      <c r="AW46" s="129">
        <f t="shared" si="15"/>
        <v>0</v>
      </c>
    </row>
    <row r="47" spans="1:50" s="30" customFormat="1" ht="16.5" x14ac:dyDescent="0.3">
      <c r="A47" s="29" t="s">
        <v>241</v>
      </c>
      <c r="B47" s="30" t="s">
        <v>242</v>
      </c>
      <c r="C47" s="31">
        <f t="shared" si="3"/>
        <v>513.33000000000004</v>
      </c>
      <c r="D47" s="31">
        <f t="shared" si="4"/>
        <v>0</v>
      </c>
      <c r="E47" s="31">
        <f t="shared" si="5"/>
        <v>2281.39</v>
      </c>
      <c r="F47" s="31">
        <f t="shared" si="6"/>
        <v>-38.36</v>
      </c>
      <c r="G47" s="31">
        <f t="shared" si="7"/>
        <v>217.33</v>
      </c>
      <c r="H47" s="31">
        <f t="shared" si="8"/>
        <v>2756.3599999999997</v>
      </c>
      <c r="I47" s="31">
        <v>253.90299999999999</v>
      </c>
      <c r="J47" s="31">
        <f>+'C&amp;A'!E47*0.02</f>
        <v>10.2256</v>
      </c>
      <c r="K47" s="31">
        <f t="shared" si="9"/>
        <v>3020.4885999999997</v>
      </c>
      <c r="L47" s="31">
        <f t="shared" si="1"/>
        <v>483.27817599999997</v>
      </c>
      <c r="M47" s="31">
        <f t="shared" si="10"/>
        <v>3503.7667759999995</v>
      </c>
      <c r="O47" s="101" t="s">
        <v>105</v>
      </c>
      <c r="P47" s="101" t="s">
        <v>106</v>
      </c>
      <c r="Q47" s="102" t="s">
        <v>327</v>
      </c>
      <c r="R47" s="103">
        <v>513.33000000000004</v>
      </c>
      <c r="S47" s="87" t="str">
        <f t="shared" si="11"/>
        <v>SI</v>
      </c>
      <c r="T47" s="87" t="str">
        <f t="shared" si="12"/>
        <v>SI</v>
      </c>
      <c r="U47" s="88" t="s">
        <v>241</v>
      </c>
      <c r="V47" s="89" t="s">
        <v>242</v>
      </c>
      <c r="W47" s="29" t="s">
        <v>241</v>
      </c>
      <c r="X47" s="30" t="s">
        <v>242</v>
      </c>
      <c r="Y47" s="31">
        <v>513.33000000000004</v>
      </c>
      <c r="Z47" s="31">
        <v>0</v>
      </c>
      <c r="AA47" s="31">
        <v>2281.39</v>
      </c>
      <c r="AB47" s="31">
        <v>-38.36</v>
      </c>
      <c r="AC47" s="31">
        <v>-217.33</v>
      </c>
      <c r="AD47" s="31">
        <v>2539.0299999999997</v>
      </c>
      <c r="AE47" s="31">
        <v>253.90299999999999</v>
      </c>
      <c r="AF47" s="31">
        <v>21.911999999999999</v>
      </c>
      <c r="AG47" s="31">
        <v>2814.8449999999993</v>
      </c>
      <c r="AH47" s="31">
        <v>450.37519999999989</v>
      </c>
      <c r="AI47" s="31">
        <v>3265.2201999999993</v>
      </c>
      <c r="AK47" s="119"/>
      <c r="AN47" s="119">
        <f>+H47-'C&amp;A'!K47-SINDICATO!J47</f>
        <v>217.32999999999993</v>
      </c>
      <c r="AP47" s="30">
        <f>577.2+1961.83</f>
        <v>2539.0299999999997</v>
      </c>
      <c r="AS47" s="30">
        <v>513.33000000000004</v>
      </c>
      <c r="AT47" s="119">
        <f>+'C&amp;A'!K47+SINDICATO!J47</f>
        <v>2539.0299999999997</v>
      </c>
      <c r="AU47" s="31">
        <f t="shared" si="13"/>
        <v>253.90299999999999</v>
      </c>
      <c r="AV47" s="31">
        <f t="shared" si="14"/>
        <v>0</v>
      </c>
      <c r="AW47" s="129">
        <f t="shared" si="15"/>
        <v>0</v>
      </c>
    </row>
    <row r="48" spans="1:50" s="30" customFormat="1" ht="16.5" x14ac:dyDescent="0.3">
      <c r="A48" s="29" t="s">
        <v>243</v>
      </c>
      <c r="B48" s="30" t="s">
        <v>244</v>
      </c>
      <c r="C48" s="31">
        <f t="shared" si="3"/>
        <v>543.20000000000005</v>
      </c>
      <c r="D48" s="31">
        <f t="shared" si="4"/>
        <v>88.07</v>
      </c>
      <c r="E48" s="31">
        <f t="shared" si="5"/>
        <v>354.2</v>
      </c>
      <c r="F48" s="31">
        <f t="shared" si="6"/>
        <v>0</v>
      </c>
      <c r="G48" s="31">
        <f t="shared" si="7"/>
        <v>0</v>
      </c>
      <c r="H48" s="31">
        <f t="shared" si="8"/>
        <v>985.47</v>
      </c>
      <c r="I48" s="31">
        <v>98.547000000000011</v>
      </c>
      <c r="J48" s="31">
        <f>+'C&amp;A'!E48*0.02</f>
        <v>10.2256</v>
      </c>
      <c r="K48" s="31">
        <f t="shared" si="9"/>
        <v>1094.2426</v>
      </c>
      <c r="L48" s="31">
        <f t="shared" si="1"/>
        <v>175.07881600000002</v>
      </c>
      <c r="M48" s="31">
        <f t="shared" si="10"/>
        <v>1269.321416</v>
      </c>
      <c r="O48" s="84" t="s">
        <v>107</v>
      </c>
      <c r="P48" s="84" t="s">
        <v>108</v>
      </c>
      <c r="Q48" s="85" t="s">
        <v>349</v>
      </c>
      <c r="R48" s="86">
        <v>543.20000000000005</v>
      </c>
      <c r="S48" s="87" t="str">
        <f t="shared" si="11"/>
        <v>SI</v>
      </c>
      <c r="T48" s="87" t="str">
        <f t="shared" si="12"/>
        <v>SI</v>
      </c>
      <c r="U48" s="88" t="s">
        <v>243</v>
      </c>
      <c r="V48" s="89" t="s">
        <v>244</v>
      </c>
      <c r="W48" s="29" t="s">
        <v>243</v>
      </c>
      <c r="X48" s="30" t="s">
        <v>244</v>
      </c>
      <c r="Y48" s="31">
        <v>543.20000000000005</v>
      </c>
      <c r="Z48" s="31">
        <v>88.07</v>
      </c>
      <c r="AA48" s="31">
        <v>354.2</v>
      </c>
      <c r="AB48" s="31">
        <v>0</v>
      </c>
      <c r="AC48" s="31">
        <v>0</v>
      </c>
      <c r="AD48" s="31">
        <v>985.47</v>
      </c>
      <c r="AE48" s="31">
        <v>98.547000000000011</v>
      </c>
      <c r="AF48" s="31">
        <v>21.911999999999999</v>
      </c>
      <c r="AG48" s="31">
        <v>1105.9290000000001</v>
      </c>
      <c r="AH48" s="31">
        <v>176.94864000000001</v>
      </c>
      <c r="AI48" s="31">
        <v>1282.8776400000002</v>
      </c>
      <c r="AK48" s="119"/>
      <c r="AN48" s="119">
        <f>+H48-'C&amp;A'!K48-SINDICATO!J48</f>
        <v>0</v>
      </c>
      <c r="AP48" s="30">
        <f>577.4+408.27</f>
        <v>985.67</v>
      </c>
      <c r="AS48" s="30">
        <v>543.20000000000005</v>
      </c>
      <c r="AT48" s="119">
        <f>+'C&amp;A'!K48+SINDICATO!J48</f>
        <v>985.47</v>
      </c>
      <c r="AU48" s="31">
        <f t="shared" si="13"/>
        <v>98.547000000000011</v>
      </c>
      <c r="AV48" s="31">
        <f t="shared" si="14"/>
        <v>0</v>
      </c>
      <c r="AW48" s="129">
        <f t="shared" si="15"/>
        <v>0</v>
      </c>
    </row>
    <row r="49" spans="1:50" s="30" customFormat="1" ht="16.5" x14ac:dyDescent="0.3">
      <c r="A49" s="29" t="s">
        <v>245</v>
      </c>
      <c r="B49" s="30" t="s">
        <v>246</v>
      </c>
      <c r="C49" s="31">
        <f t="shared" si="3"/>
        <v>608.16</v>
      </c>
      <c r="D49" s="31">
        <f t="shared" si="4"/>
        <v>0</v>
      </c>
      <c r="E49" s="31">
        <f t="shared" si="5"/>
        <v>2220.91</v>
      </c>
      <c r="F49" s="31">
        <f t="shared" si="6"/>
        <v>-88.79</v>
      </c>
      <c r="G49" s="31">
        <f t="shared" si="7"/>
        <v>0</v>
      </c>
      <c r="H49" s="31">
        <f t="shared" si="8"/>
        <v>2740.2799999999997</v>
      </c>
      <c r="I49" s="31">
        <v>274.02799999999996</v>
      </c>
      <c r="J49" s="31">
        <f>+'C&amp;A'!E49*0.02</f>
        <v>10.2256</v>
      </c>
      <c r="K49" s="31">
        <f t="shared" si="9"/>
        <v>3024.5335999999998</v>
      </c>
      <c r="L49" s="31">
        <f t="shared" si="1"/>
        <v>483.92537599999997</v>
      </c>
      <c r="M49" s="31">
        <f t="shared" si="10"/>
        <v>3508.4589759999999</v>
      </c>
      <c r="O49" s="84" t="s">
        <v>109</v>
      </c>
      <c r="P49" s="84" t="s">
        <v>110</v>
      </c>
      <c r="Q49" s="85" t="s">
        <v>349</v>
      </c>
      <c r="R49" s="90">
        <v>608.16</v>
      </c>
      <c r="S49" s="87" t="str">
        <f t="shared" si="11"/>
        <v>SI</v>
      </c>
      <c r="T49" s="87" t="str">
        <f t="shared" si="12"/>
        <v>SI</v>
      </c>
      <c r="U49" s="88" t="s">
        <v>245</v>
      </c>
      <c r="V49" s="89" t="s">
        <v>246</v>
      </c>
      <c r="W49" s="29" t="s">
        <v>245</v>
      </c>
      <c r="X49" s="30" t="s">
        <v>246</v>
      </c>
      <c r="Y49" s="31">
        <v>608.16</v>
      </c>
      <c r="Z49" s="31">
        <v>0</v>
      </c>
      <c r="AA49" s="31">
        <v>2220.91</v>
      </c>
      <c r="AB49" s="31">
        <v>-88.79</v>
      </c>
      <c r="AC49" s="31">
        <v>0</v>
      </c>
      <c r="AD49" s="31">
        <v>2740.2799999999997</v>
      </c>
      <c r="AE49" s="31">
        <v>274.02799999999996</v>
      </c>
      <c r="AF49" s="31">
        <v>21.911999999999999</v>
      </c>
      <c r="AG49" s="31">
        <v>3036.2199999999993</v>
      </c>
      <c r="AH49" s="31">
        <v>485.79519999999991</v>
      </c>
      <c r="AI49" s="31">
        <v>3522.0151999999994</v>
      </c>
      <c r="AK49" s="119"/>
      <c r="AN49" s="119">
        <f>+H49-'C&amp;A'!K49-SINDICATO!J49</f>
        <v>0</v>
      </c>
      <c r="AP49" s="30">
        <f>577.4+2163.08</f>
        <v>2740.48</v>
      </c>
      <c r="AS49" s="30">
        <v>608.16</v>
      </c>
      <c r="AT49" s="119">
        <f>+'C&amp;A'!K49+SINDICATO!J49</f>
        <v>2740.2799999999997</v>
      </c>
      <c r="AU49" s="31">
        <f t="shared" si="13"/>
        <v>274.02799999999996</v>
      </c>
      <c r="AV49" s="31">
        <f t="shared" si="14"/>
        <v>0</v>
      </c>
      <c r="AW49" s="129">
        <f t="shared" si="15"/>
        <v>0</v>
      </c>
    </row>
    <row r="50" spans="1:50" s="30" customFormat="1" ht="16.5" x14ac:dyDescent="0.3">
      <c r="A50" s="29" t="s">
        <v>247</v>
      </c>
      <c r="B50" s="30" t="s">
        <v>248</v>
      </c>
      <c r="C50" s="31">
        <f t="shared" si="3"/>
        <v>0</v>
      </c>
      <c r="D50" s="31">
        <f t="shared" si="4"/>
        <v>0</v>
      </c>
      <c r="E50" s="31">
        <f t="shared" si="5"/>
        <v>3232.09</v>
      </c>
      <c r="F50" s="31">
        <f t="shared" si="6"/>
        <v>-45.13</v>
      </c>
      <c r="G50" s="31">
        <f t="shared" si="7"/>
        <v>0</v>
      </c>
      <c r="H50" s="31">
        <f t="shared" si="8"/>
        <v>3186.96</v>
      </c>
      <c r="I50" s="31">
        <v>318.69600000000003</v>
      </c>
      <c r="J50" s="31">
        <f>+'C&amp;A'!E50*0.02</f>
        <v>10.2256</v>
      </c>
      <c r="K50" s="31">
        <f t="shared" si="9"/>
        <v>3515.8816000000002</v>
      </c>
      <c r="L50" s="31">
        <f t="shared" si="1"/>
        <v>562.54105600000003</v>
      </c>
      <c r="M50" s="31">
        <f t="shared" si="10"/>
        <v>4078.4226560000002</v>
      </c>
      <c r="O50" s="84" t="s">
        <v>111</v>
      </c>
      <c r="P50" s="84" t="s">
        <v>112</v>
      </c>
      <c r="Q50" s="85" t="s">
        <v>321</v>
      </c>
      <c r="R50" s="86">
        <v>0</v>
      </c>
      <c r="S50" s="87" t="str">
        <f t="shared" si="11"/>
        <v>SI</v>
      </c>
      <c r="T50" s="87" t="str">
        <f t="shared" si="12"/>
        <v>SI</v>
      </c>
      <c r="U50" s="88" t="s">
        <v>247</v>
      </c>
      <c r="V50" s="89" t="s">
        <v>248</v>
      </c>
      <c r="W50" s="29" t="s">
        <v>247</v>
      </c>
      <c r="X50" s="30" t="s">
        <v>248</v>
      </c>
      <c r="Y50" s="31">
        <v>0</v>
      </c>
      <c r="Z50" s="31">
        <v>0</v>
      </c>
      <c r="AA50" s="31">
        <v>3232.09</v>
      </c>
      <c r="AB50" s="31">
        <v>-45.13</v>
      </c>
      <c r="AC50" s="31">
        <v>0</v>
      </c>
      <c r="AD50" s="31">
        <v>3186.96</v>
      </c>
      <c r="AE50" s="31">
        <v>318.69600000000003</v>
      </c>
      <c r="AF50" s="31">
        <v>21.911999999999999</v>
      </c>
      <c r="AG50" s="31">
        <v>3527.5679999999998</v>
      </c>
      <c r="AH50" s="31">
        <v>564.41088000000002</v>
      </c>
      <c r="AI50" s="31">
        <v>4091.9788799999997</v>
      </c>
      <c r="AK50" s="119"/>
      <c r="AN50" s="119">
        <f>+H50-'C&amp;A'!K50-SINDICATO!J50</f>
        <v>0</v>
      </c>
      <c r="AP50" s="30">
        <f>513.33+577.4+2609.56</f>
        <v>3700.29</v>
      </c>
      <c r="AT50" s="119">
        <f>+'C&amp;A'!K50+SINDICATO!J50</f>
        <v>3186.96</v>
      </c>
      <c r="AU50" s="31">
        <f t="shared" si="13"/>
        <v>318.69600000000003</v>
      </c>
      <c r="AV50" s="31">
        <f t="shared" si="14"/>
        <v>0</v>
      </c>
      <c r="AW50" s="130">
        <f t="shared" si="15"/>
        <v>0</v>
      </c>
      <c r="AX50" s="30" t="s">
        <v>503</v>
      </c>
    </row>
    <row r="51" spans="1:50" s="30" customFormat="1" ht="16.5" x14ac:dyDescent="0.3">
      <c r="A51" s="29" t="s">
        <v>249</v>
      </c>
      <c r="B51" s="30" t="s">
        <v>250</v>
      </c>
      <c r="C51" s="31">
        <f t="shared" si="3"/>
        <v>513.33000000000004</v>
      </c>
      <c r="D51" s="31">
        <f t="shared" si="4"/>
        <v>0</v>
      </c>
      <c r="E51" s="31">
        <f t="shared" si="5"/>
        <v>390.16</v>
      </c>
      <c r="F51" s="31">
        <f t="shared" si="6"/>
        <v>0</v>
      </c>
      <c r="G51" s="31">
        <f t="shared" si="7"/>
        <v>0</v>
      </c>
      <c r="H51" s="31">
        <f t="shared" si="8"/>
        <v>903.49</v>
      </c>
      <c r="I51" s="31">
        <v>90.349000000000004</v>
      </c>
      <c r="J51" s="31">
        <f>+'C&amp;A'!E51*0.02</f>
        <v>10.2256</v>
      </c>
      <c r="K51" s="31">
        <f t="shared" si="9"/>
        <v>1004.0646</v>
      </c>
      <c r="L51" s="31">
        <f t="shared" si="1"/>
        <v>160.65033600000001</v>
      </c>
      <c r="M51" s="31">
        <f t="shared" si="10"/>
        <v>1164.7149360000001</v>
      </c>
      <c r="O51" s="84" t="s">
        <v>113</v>
      </c>
      <c r="P51" s="84" t="s">
        <v>114</v>
      </c>
      <c r="Q51" s="85" t="s">
        <v>327</v>
      </c>
      <c r="R51" s="86">
        <v>513.33000000000004</v>
      </c>
      <c r="S51" s="87" t="str">
        <f t="shared" si="11"/>
        <v>SI</v>
      </c>
      <c r="T51" s="87" t="str">
        <f t="shared" si="12"/>
        <v>SI</v>
      </c>
      <c r="U51" s="88" t="s">
        <v>249</v>
      </c>
      <c r="V51" s="89" t="s">
        <v>250</v>
      </c>
      <c r="W51" s="29" t="s">
        <v>249</v>
      </c>
      <c r="X51" s="30" t="s">
        <v>250</v>
      </c>
      <c r="Y51" s="31">
        <v>513.33000000000004</v>
      </c>
      <c r="Z51" s="31">
        <v>0</v>
      </c>
      <c r="AA51" s="31">
        <v>390.16</v>
      </c>
      <c r="AB51" s="31">
        <v>0</v>
      </c>
      <c r="AC51" s="31">
        <v>0</v>
      </c>
      <c r="AD51" s="31">
        <v>903.49</v>
      </c>
      <c r="AE51" s="31">
        <v>90.349000000000004</v>
      </c>
      <c r="AF51" s="31">
        <v>21.911999999999999</v>
      </c>
      <c r="AG51" s="31">
        <v>1015.7510000000001</v>
      </c>
      <c r="AH51" s="31">
        <v>162.52016</v>
      </c>
      <c r="AI51" s="31">
        <v>1178.27116</v>
      </c>
      <c r="AK51" s="119"/>
      <c r="AN51" s="119">
        <f>+H51-'C&amp;A'!K51-SINDICATO!J51</f>
        <v>0</v>
      </c>
      <c r="AP51" s="30">
        <f>577.4+326.09</f>
        <v>903.49</v>
      </c>
      <c r="AS51" s="30">
        <v>513.33000000000004</v>
      </c>
      <c r="AT51" s="119">
        <f>+'C&amp;A'!K51+SINDICATO!J51</f>
        <v>903.49</v>
      </c>
      <c r="AU51" s="31">
        <f t="shared" si="13"/>
        <v>90.349000000000004</v>
      </c>
      <c r="AV51" s="31">
        <f t="shared" si="14"/>
        <v>0</v>
      </c>
      <c r="AW51" s="129">
        <f t="shared" si="15"/>
        <v>0</v>
      </c>
    </row>
    <row r="52" spans="1:50" s="30" customFormat="1" ht="16.5" x14ac:dyDescent="0.3">
      <c r="A52" s="29" t="s">
        <v>251</v>
      </c>
      <c r="B52" s="30" t="s">
        <v>252</v>
      </c>
      <c r="C52" s="31">
        <f t="shared" si="3"/>
        <v>513.33000000000004</v>
      </c>
      <c r="D52" s="31">
        <f t="shared" si="4"/>
        <v>0</v>
      </c>
      <c r="E52" s="31">
        <f t="shared" si="5"/>
        <v>2089.0700000000002</v>
      </c>
      <c r="F52" s="31">
        <f t="shared" si="6"/>
        <v>-45.13</v>
      </c>
      <c r="G52" s="31">
        <f t="shared" si="7"/>
        <v>0</v>
      </c>
      <c r="H52" s="31">
        <f t="shared" si="8"/>
        <v>2557.27</v>
      </c>
      <c r="I52" s="31">
        <v>255.727</v>
      </c>
      <c r="J52" s="31">
        <f>+'C&amp;A'!E52*0.02</f>
        <v>10.2256</v>
      </c>
      <c r="K52" s="31">
        <f t="shared" si="9"/>
        <v>2823.2226000000001</v>
      </c>
      <c r="L52" s="31">
        <f t="shared" si="1"/>
        <v>451.71561600000001</v>
      </c>
      <c r="M52" s="31">
        <f t="shared" si="10"/>
        <v>3274.938216</v>
      </c>
      <c r="O52" s="84" t="s">
        <v>115</v>
      </c>
      <c r="P52" s="84" t="s">
        <v>116</v>
      </c>
      <c r="Q52" s="85" t="s">
        <v>327</v>
      </c>
      <c r="R52" s="86">
        <v>513.33000000000004</v>
      </c>
      <c r="S52" s="87" t="str">
        <f t="shared" si="11"/>
        <v>SI</v>
      </c>
      <c r="T52" s="87" t="str">
        <f t="shared" si="12"/>
        <v>SI</v>
      </c>
      <c r="U52" s="88" t="s">
        <v>251</v>
      </c>
      <c r="V52" s="89" t="s">
        <v>252</v>
      </c>
      <c r="W52" s="29" t="s">
        <v>251</v>
      </c>
      <c r="X52" s="30" t="s">
        <v>252</v>
      </c>
      <c r="Y52" s="31">
        <v>513.33000000000004</v>
      </c>
      <c r="Z52" s="31">
        <v>0</v>
      </c>
      <c r="AA52" s="31">
        <v>2089.0700000000002</v>
      </c>
      <c r="AB52" s="31">
        <v>-45.13</v>
      </c>
      <c r="AC52" s="31">
        <v>0</v>
      </c>
      <c r="AD52" s="31">
        <v>2557.27</v>
      </c>
      <c r="AE52" s="31">
        <v>255.727</v>
      </c>
      <c r="AF52" s="31">
        <v>21.911999999999999</v>
      </c>
      <c r="AG52" s="31">
        <v>2834.9089999999997</v>
      </c>
      <c r="AH52" s="31">
        <v>453.58543999999995</v>
      </c>
      <c r="AI52" s="31">
        <v>3288.4944399999995</v>
      </c>
      <c r="AK52" s="119"/>
      <c r="AN52" s="119">
        <f>+H52-'C&amp;A'!K52-SINDICATO!J52</f>
        <v>0</v>
      </c>
      <c r="AP52" s="30">
        <f>577.4+1980.07</f>
        <v>2557.4699999999998</v>
      </c>
      <c r="AS52" s="30">
        <v>513.33000000000004</v>
      </c>
      <c r="AT52" s="119">
        <f>+'C&amp;A'!K52+SINDICATO!J52</f>
        <v>2557.27</v>
      </c>
      <c r="AU52" s="31">
        <f t="shared" si="13"/>
        <v>255.727</v>
      </c>
      <c r="AV52" s="31">
        <f t="shared" si="14"/>
        <v>0</v>
      </c>
      <c r="AW52" s="129">
        <f t="shared" si="15"/>
        <v>0</v>
      </c>
    </row>
    <row r="53" spans="1:50" s="30" customFormat="1" ht="16.5" x14ac:dyDescent="0.3">
      <c r="A53" s="29" t="s">
        <v>353</v>
      </c>
      <c r="B53" s="30" t="s">
        <v>354</v>
      </c>
      <c r="C53" s="31">
        <f t="shared" si="3"/>
        <v>513.33000000000004</v>
      </c>
      <c r="D53" s="31">
        <f t="shared" si="4"/>
        <v>74.81</v>
      </c>
      <c r="E53" s="31">
        <f t="shared" si="5"/>
        <v>0</v>
      </c>
      <c r="F53" s="31">
        <f t="shared" si="6"/>
        <v>0</v>
      </c>
      <c r="G53" s="31">
        <f t="shared" si="7"/>
        <v>0</v>
      </c>
      <c r="H53" s="31">
        <f t="shared" si="8"/>
        <v>588.1400000000001</v>
      </c>
      <c r="I53" s="31">
        <v>58.814000000000014</v>
      </c>
      <c r="J53" s="31">
        <f>+'C&amp;A'!E53*0.02</f>
        <v>10.2256</v>
      </c>
      <c r="K53" s="31">
        <f t="shared" si="9"/>
        <v>657.17960000000005</v>
      </c>
      <c r="L53" s="31">
        <f t="shared" si="1"/>
        <v>105.14873600000001</v>
      </c>
      <c r="M53" s="31">
        <f t="shared" si="10"/>
        <v>762.32833600000004</v>
      </c>
      <c r="O53" s="84" t="s">
        <v>355</v>
      </c>
      <c r="P53" s="84" t="s">
        <v>356</v>
      </c>
      <c r="Q53" s="85" t="s">
        <v>327</v>
      </c>
      <c r="R53" s="86">
        <v>513.33000000000004</v>
      </c>
      <c r="S53" s="87" t="str">
        <f t="shared" si="11"/>
        <v>SI</v>
      </c>
      <c r="T53" s="87" t="str">
        <f t="shared" si="12"/>
        <v>SI</v>
      </c>
      <c r="U53" s="88" t="s">
        <v>353</v>
      </c>
      <c r="V53" s="89" t="s">
        <v>457</v>
      </c>
      <c r="W53" s="29" t="s">
        <v>353</v>
      </c>
      <c r="X53" s="30" t="s">
        <v>354</v>
      </c>
      <c r="Y53" s="31">
        <v>513.33000000000004</v>
      </c>
      <c r="Z53" s="31">
        <v>74.81</v>
      </c>
      <c r="AA53" s="31">
        <v>0</v>
      </c>
      <c r="AB53" s="31">
        <v>0</v>
      </c>
      <c r="AC53" s="31">
        <v>0</v>
      </c>
      <c r="AD53" s="31">
        <v>588.1400000000001</v>
      </c>
      <c r="AE53" s="31">
        <v>58.814000000000014</v>
      </c>
      <c r="AF53" s="31">
        <v>21.911999999999999</v>
      </c>
      <c r="AG53" s="31">
        <v>668.8660000000001</v>
      </c>
      <c r="AH53" s="31">
        <v>107.01856000000002</v>
      </c>
      <c r="AI53" s="31">
        <v>775.88456000000008</v>
      </c>
      <c r="AK53" s="119"/>
      <c r="AN53" s="119">
        <f>+H53-'C&amp;A'!K53-SINDICATO!J53</f>
        <v>0</v>
      </c>
      <c r="AS53" s="30">
        <v>513.33000000000004</v>
      </c>
      <c r="AT53" s="119">
        <f>+'C&amp;A'!K53+SINDICATO!J53</f>
        <v>588.1400000000001</v>
      </c>
      <c r="AU53" s="31">
        <f t="shared" si="13"/>
        <v>58.814000000000014</v>
      </c>
      <c r="AV53" s="31">
        <f t="shared" si="14"/>
        <v>0</v>
      </c>
      <c r="AW53" s="129">
        <f t="shared" si="15"/>
        <v>0</v>
      </c>
    </row>
    <row r="54" spans="1:50" s="30" customFormat="1" ht="16.5" x14ac:dyDescent="0.3">
      <c r="A54" s="29" t="s">
        <v>253</v>
      </c>
      <c r="B54" s="30" t="s">
        <v>254</v>
      </c>
      <c r="C54" s="31">
        <f t="shared" si="3"/>
        <v>513.33000000000004</v>
      </c>
      <c r="D54" s="31">
        <f t="shared" si="4"/>
        <v>0</v>
      </c>
      <c r="E54" s="31">
        <f t="shared" si="5"/>
        <v>2309.71</v>
      </c>
      <c r="F54" s="31">
        <f t="shared" si="6"/>
        <v>0</v>
      </c>
      <c r="G54" s="31">
        <f t="shared" si="7"/>
        <v>0</v>
      </c>
      <c r="H54" s="31">
        <f t="shared" si="8"/>
        <v>2823.04</v>
      </c>
      <c r="I54" s="31">
        <v>282.30400000000003</v>
      </c>
      <c r="J54" s="31">
        <f>+'C&amp;A'!E54*0.02</f>
        <v>10.2256</v>
      </c>
      <c r="K54" s="31">
        <f t="shared" si="9"/>
        <v>3115.5696000000003</v>
      </c>
      <c r="L54" s="31">
        <f t="shared" si="1"/>
        <v>498.49113600000004</v>
      </c>
      <c r="M54" s="31">
        <f t="shared" si="10"/>
        <v>3614.0607360000004</v>
      </c>
      <c r="O54" s="84" t="s">
        <v>117</v>
      </c>
      <c r="P54" s="84" t="s">
        <v>21</v>
      </c>
      <c r="Q54" s="85" t="s">
        <v>327</v>
      </c>
      <c r="R54" s="86">
        <v>513.33000000000004</v>
      </c>
      <c r="S54" s="87" t="str">
        <f t="shared" si="11"/>
        <v>SI</v>
      </c>
      <c r="T54" s="87" t="str">
        <f t="shared" si="12"/>
        <v>SI</v>
      </c>
      <c r="U54" s="88" t="s">
        <v>253</v>
      </c>
      <c r="V54" s="89" t="s">
        <v>254</v>
      </c>
      <c r="W54" s="29" t="s">
        <v>253</v>
      </c>
      <c r="X54" s="30" t="s">
        <v>254</v>
      </c>
      <c r="Y54" s="31">
        <v>513.33000000000004</v>
      </c>
      <c r="Z54" s="31">
        <v>0</v>
      </c>
      <c r="AA54" s="31">
        <v>2309.71</v>
      </c>
      <c r="AB54" s="31">
        <v>0</v>
      </c>
      <c r="AC54" s="31">
        <v>0</v>
      </c>
      <c r="AD54" s="31">
        <v>2823.04</v>
      </c>
      <c r="AE54" s="31">
        <v>282.30400000000003</v>
      </c>
      <c r="AF54" s="31">
        <v>21.911999999999999</v>
      </c>
      <c r="AG54" s="31">
        <v>3127.2559999999999</v>
      </c>
      <c r="AH54" s="31">
        <v>500.36095999999998</v>
      </c>
      <c r="AI54" s="31">
        <v>3627.6169599999998</v>
      </c>
      <c r="AK54" s="119"/>
      <c r="AN54" s="119">
        <f>+H54-'C&amp;A'!K54-SINDICATO!J54</f>
        <v>0</v>
      </c>
      <c r="AP54" s="30">
        <f>577.4+2245.64</f>
        <v>2823.04</v>
      </c>
      <c r="AS54" s="30">
        <v>513.33000000000004</v>
      </c>
      <c r="AT54" s="119">
        <f>+'C&amp;A'!K54+SINDICATO!J54</f>
        <v>2823.04</v>
      </c>
      <c r="AU54" s="31">
        <f t="shared" si="13"/>
        <v>282.30400000000003</v>
      </c>
      <c r="AV54" s="31">
        <f t="shared" si="14"/>
        <v>0</v>
      </c>
      <c r="AW54" s="129">
        <f t="shared" si="15"/>
        <v>0</v>
      </c>
    </row>
    <row r="55" spans="1:50" s="30" customFormat="1" ht="16.5" x14ac:dyDescent="0.3">
      <c r="A55" s="29" t="s">
        <v>255</v>
      </c>
      <c r="B55" s="30" t="s">
        <v>256</v>
      </c>
      <c r="C55" s="31">
        <f t="shared" si="3"/>
        <v>513.33000000000004</v>
      </c>
      <c r="D55" s="31">
        <f t="shared" si="4"/>
        <v>0</v>
      </c>
      <c r="E55" s="31">
        <f t="shared" si="5"/>
        <v>3636.59</v>
      </c>
      <c r="F55" s="31">
        <f t="shared" si="6"/>
        <v>0</v>
      </c>
      <c r="G55" s="31">
        <f t="shared" si="7"/>
        <v>523.01</v>
      </c>
      <c r="H55" s="31">
        <f t="shared" si="8"/>
        <v>4149.92</v>
      </c>
      <c r="I55" s="31">
        <v>362.69100000000003</v>
      </c>
      <c r="J55" s="31">
        <f>+'C&amp;A'!E55*0.02</f>
        <v>10.2256</v>
      </c>
      <c r="K55" s="31">
        <f t="shared" si="9"/>
        <v>4522.8365999999996</v>
      </c>
      <c r="L55" s="31">
        <f t="shared" si="1"/>
        <v>723.65385599999991</v>
      </c>
      <c r="M55" s="31">
        <f t="shared" si="10"/>
        <v>5246.4904559999995</v>
      </c>
      <c r="O55" s="93" t="s">
        <v>118</v>
      </c>
      <c r="P55" s="93" t="s">
        <v>119</v>
      </c>
      <c r="Q55" s="94" t="s">
        <v>327</v>
      </c>
      <c r="R55" s="91">
        <v>513.33000000000004</v>
      </c>
      <c r="S55" s="87" t="str">
        <f t="shared" si="11"/>
        <v>SI</v>
      </c>
      <c r="T55" s="87" t="str">
        <f t="shared" si="12"/>
        <v>SI</v>
      </c>
      <c r="U55" s="88" t="s">
        <v>255</v>
      </c>
      <c r="V55" s="89" t="s">
        <v>256</v>
      </c>
      <c r="W55" s="29" t="s">
        <v>255</v>
      </c>
      <c r="X55" s="30" t="s">
        <v>256</v>
      </c>
      <c r="Y55" s="31">
        <v>513.33000000000004</v>
      </c>
      <c r="Z55" s="31">
        <v>0</v>
      </c>
      <c r="AA55" s="31">
        <v>3636.59</v>
      </c>
      <c r="AB55" s="31">
        <v>0</v>
      </c>
      <c r="AC55" s="31">
        <v>-523.01</v>
      </c>
      <c r="AD55" s="31">
        <v>3626.91</v>
      </c>
      <c r="AE55" s="31">
        <v>362.69100000000003</v>
      </c>
      <c r="AF55" s="31">
        <v>21.911999999999999</v>
      </c>
      <c r="AG55" s="31">
        <v>4011.5129999999995</v>
      </c>
      <c r="AH55" s="31">
        <v>641.8420799999999</v>
      </c>
      <c r="AI55" s="31">
        <v>4653.3550799999994</v>
      </c>
      <c r="AK55" s="119"/>
      <c r="AN55" s="119">
        <f>+H55-'C&amp;A'!K55-SINDICATO!J55</f>
        <v>523.00999999999976</v>
      </c>
      <c r="AP55" s="30">
        <f>577.4+3049.51</f>
        <v>3626.9100000000003</v>
      </c>
      <c r="AS55" s="30">
        <v>513.33000000000004</v>
      </c>
      <c r="AT55" s="119">
        <f>+'C&amp;A'!K55+SINDICATO!J55</f>
        <v>3626.9100000000003</v>
      </c>
      <c r="AU55" s="31">
        <f t="shared" si="13"/>
        <v>362.69100000000003</v>
      </c>
      <c r="AV55" s="31">
        <f t="shared" si="14"/>
        <v>0</v>
      </c>
      <c r="AW55" s="129">
        <f t="shared" si="15"/>
        <v>0</v>
      </c>
    </row>
    <row r="56" spans="1:50" s="30" customFormat="1" ht="16.5" x14ac:dyDescent="0.3">
      <c r="A56" s="29" t="s">
        <v>257</v>
      </c>
      <c r="B56" s="30" t="s">
        <v>258</v>
      </c>
      <c r="C56" s="31">
        <f t="shared" si="3"/>
        <v>1100</v>
      </c>
      <c r="D56" s="31">
        <f t="shared" si="4"/>
        <v>74.81</v>
      </c>
      <c r="E56" s="31">
        <f t="shared" si="5"/>
        <v>0</v>
      </c>
      <c r="F56" s="31">
        <f t="shared" si="6"/>
        <v>0</v>
      </c>
      <c r="G56" s="31">
        <f t="shared" si="7"/>
        <v>0</v>
      </c>
      <c r="H56" s="31">
        <f t="shared" si="8"/>
        <v>1174.81</v>
      </c>
      <c r="I56" s="31">
        <v>117.48099999999999</v>
      </c>
      <c r="J56" s="31">
        <f>+'C&amp;A'!E56*0.02</f>
        <v>10.2256</v>
      </c>
      <c r="K56" s="31">
        <f t="shared" si="9"/>
        <v>1302.5165999999999</v>
      </c>
      <c r="L56" s="31">
        <f t="shared" si="1"/>
        <v>208.40265599999998</v>
      </c>
      <c r="M56" s="31">
        <f t="shared" si="10"/>
        <v>1510.9192559999999</v>
      </c>
      <c r="O56" s="18" t="s">
        <v>120</v>
      </c>
      <c r="P56" s="18" t="s">
        <v>121</v>
      </c>
      <c r="Q56" s="19" t="s">
        <v>339</v>
      </c>
      <c r="R56" s="17">
        <v>1100</v>
      </c>
      <c r="S56" s="87" t="str">
        <f t="shared" si="11"/>
        <v>SI</v>
      </c>
      <c r="T56" s="87" t="str">
        <f t="shared" si="12"/>
        <v>SI</v>
      </c>
      <c r="U56" s="88" t="s">
        <v>257</v>
      </c>
      <c r="V56" s="89" t="s">
        <v>258</v>
      </c>
      <c r="W56" s="29" t="s">
        <v>257</v>
      </c>
      <c r="X56" s="30" t="s">
        <v>258</v>
      </c>
      <c r="Y56" s="31">
        <v>1100</v>
      </c>
      <c r="Z56" s="31">
        <v>74.81</v>
      </c>
      <c r="AA56" s="31">
        <v>0</v>
      </c>
      <c r="AB56" s="31">
        <v>0</v>
      </c>
      <c r="AC56" s="31">
        <v>0</v>
      </c>
      <c r="AD56" s="31">
        <v>1174.81</v>
      </c>
      <c r="AE56" s="31">
        <v>117.48099999999999</v>
      </c>
      <c r="AF56" s="31">
        <v>21.911999999999999</v>
      </c>
      <c r="AG56" s="31">
        <v>1314.203</v>
      </c>
      <c r="AH56" s="31">
        <v>210.27248</v>
      </c>
      <c r="AI56" s="31">
        <v>1524.4754800000001</v>
      </c>
      <c r="AK56" s="119"/>
      <c r="AN56" s="119">
        <f>+H56-'C&amp;A'!K56-SINDICATO!J56</f>
        <v>0</v>
      </c>
      <c r="AP56" s="30">
        <f>577.4+597.41</f>
        <v>1174.81</v>
      </c>
      <c r="AS56" s="30">
        <v>1100</v>
      </c>
      <c r="AT56" s="119">
        <f>+'C&amp;A'!K56+SINDICATO!J56</f>
        <v>1174.81</v>
      </c>
      <c r="AU56" s="31">
        <f t="shared" si="13"/>
        <v>117.48099999999999</v>
      </c>
      <c r="AV56" s="31">
        <f t="shared" si="14"/>
        <v>0</v>
      </c>
      <c r="AW56" s="129">
        <f t="shared" si="15"/>
        <v>0</v>
      </c>
    </row>
    <row r="57" spans="1:50" s="30" customFormat="1" ht="16.5" x14ac:dyDescent="0.3">
      <c r="A57" s="29" t="s">
        <v>263</v>
      </c>
      <c r="B57" s="30" t="s">
        <v>264</v>
      </c>
      <c r="C57" s="31">
        <f t="shared" si="3"/>
        <v>511.28</v>
      </c>
      <c r="D57" s="31">
        <f t="shared" si="4"/>
        <v>0</v>
      </c>
      <c r="E57" s="31">
        <f t="shared" si="5"/>
        <v>2242.8000000000002</v>
      </c>
      <c r="F57" s="31">
        <f t="shared" si="6"/>
        <v>-88.79</v>
      </c>
      <c r="G57" s="31">
        <f t="shared" si="7"/>
        <v>0</v>
      </c>
      <c r="H57" s="31">
        <f t="shared" si="8"/>
        <v>2665.29</v>
      </c>
      <c r="I57" s="31">
        <v>266.529</v>
      </c>
      <c r="J57" s="31">
        <f>+'C&amp;A'!E57*0.02</f>
        <v>10.2256</v>
      </c>
      <c r="K57" s="31">
        <f t="shared" si="9"/>
        <v>2942.0446000000002</v>
      </c>
      <c r="L57" s="31">
        <f t="shared" si="1"/>
        <v>470.72713600000003</v>
      </c>
      <c r="M57" s="31">
        <f t="shared" si="10"/>
        <v>3412.7717360000001</v>
      </c>
      <c r="O57" s="18" t="s">
        <v>127</v>
      </c>
      <c r="P57" s="18" t="s">
        <v>126</v>
      </c>
      <c r="Q57" s="19" t="s">
        <v>351</v>
      </c>
      <c r="R57" s="17">
        <v>511.28</v>
      </c>
      <c r="S57" s="87" t="str">
        <f t="shared" si="11"/>
        <v>SI</v>
      </c>
      <c r="T57" s="87" t="str">
        <f t="shared" si="12"/>
        <v>SI</v>
      </c>
      <c r="U57" s="88" t="s">
        <v>263</v>
      </c>
      <c r="V57" s="89" t="s">
        <v>264</v>
      </c>
      <c r="W57" s="29" t="s">
        <v>263</v>
      </c>
      <c r="X57" s="30" t="s">
        <v>264</v>
      </c>
      <c r="Y57" s="31">
        <v>511.28</v>
      </c>
      <c r="Z57" s="31">
        <v>0</v>
      </c>
      <c r="AA57" s="31">
        <v>2242.8000000000002</v>
      </c>
      <c r="AB57" s="31">
        <v>-88.79</v>
      </c>
      <c r="AC57" s="31">
        <v>0</v>
      </c>
      <c r="AD57" s="31">
        <v>2665.29</v>
      </c>
      <c r="AE57" s="31">
        <v>266.529</v>
      </c>
      <c r="AF57" s="31">
        <v>21.911999999999999</v>
      </c>
      <c r="AG57" s="31">
        <v>2953.7309999999998</v>
      </c>
      <c r="AH57" s="31">
        <v>472.59695999999997</v>
      </c>
      <c r="AI57" s="31">
        <v>3426.3279599999996</v>
      </c>
      <c r="AK57" s="119"/>
      <c r="AN57" s="119">
        <f>+H57-'C&amp;A'!K57-SINDICATO!J57</f>
        <v>0</v>
      </c>
      <c r="AP57" s="30">
        <f>577.4+2087.89</f>
        <v>2665.29</v>
      </c>
      <c r="AS57" s="30">
        <v>511.28</v>
      </c>
      <c r="AT57" s="119">
        <f>+'C&amp;A'!K57+SINDICATO!J57</f>
        <v>2665.29</v>
      </c>
      <c r="AU57" s="31">
        <f t="shared" si="13"/>
        <v>266.529</v>
      </c>
      <c r="AV57" s="31">
        <f t="shared" si="14"/>
        <v>0</v>
      </c>
      <c r="AW57" s="129">
        <f t="shared" si="15"/>
        <v>0</v>
      </c>
    </row>
    <row r="58" spans="1:50" s="30" customFormat="1" ht="16.5" x14ac:dyDescent="0.3">
      <c r="A58" s="29" t="s">
        <v>259</v>
      </c>
      <c r="B58" s="30" t="s">
        <v>260</v>
      </c>
      <c r="C58" s="31">
        <f t="shared" si="3"/>
        <v>0</v>
      </c>
      <c r="D58" s="31">
        <f t="shared" si="4"/>
        <v>0</v>
      </c>
      <c r="E58" s="31">
        <f t="shared" si="5"/>
        <v>1806.59</v>
      </c>
      <c r="F58" s="31">
        <f t="shared" si="6"/>
        <v>0</v>
      </c>
      <c r="G58" s="31">
        <f t="shared" si="7"/>
        <v>0</v>
      </c>
      <c r="H58" s="31">
        <f t="shared" si="8"/>
        <v>1806.59</v>
      </c>
      <c r="I58" s="31">
        <v>180.65900000000002</v>
      </c>
      <c r="J58" s="31">
        <f>+'C&amp;A'!E58*0.02</f>
        <v>10.2256</v>
      </c>
      <c r="K58" s="31">
        <f t="shared" si="9"/>
        <v>1997.4746</v>
      </c>
      <c r="L58" s="31">
        <f t="shared" si="1"/>
        <v>319.59593599999999</v>
      </c>
      <c r="M58" s="31">
        <f t="shared" si="10"/>
        <v>2317.0705360000002</v>
      </c>
      <c r="O58" s="18" t="s">
        <v>122</v>
      </c>
      <c r="P58" s="18" t="s">
        <v>123</v>
      </c>
      <c r="Q58" s="19" t="s">
        <v>321</v>
      </c>
      <c r="R58" s="17">
        <v>0</v>
      </c>
      <c r="S58" s="87" t="str">
        <f t="shared" si="11"/>
        <v>SI</v>
      </c>
      <c r="T58" s="87" t="str">
        <f t="shared" si="12"/>
        <v>SI</v>
      </c>
      <c r="U58" s="88" t="s">
        <v>259</v>
      </c>
      <c r="V58" s="89" t="s">
        <v>260</v>
      </c>
      <c r="W58" s="29" t="s">
        <v>259</v>
      </c>
      <c r="X58" s="30" t="s">
        <v>260</v>
      </c>
      <c r="Y58" s="31">
        <v>0</v>
      </c>
      <c r="Z58" s="31">
        <v>0</v>
      </c>
      <c r="AA58" s="31">
        <v>1806.59</v>
      </c>
      <c r="AB58" s="31">
        <v>0</v>
      </c>
      <c r="AC58" s="31">
        <v>0</v>
      </c>
      <c r="AD58" s="31">
        <v>1806.59</v>
      </c>
      <c r="AE58" s="31">
        <v>180.65899999999999</v>
      </c>
      <c r="AF58" s="31">
        <v>21.911999999999999</v>
      </c>
      <c r="AG58" s="31">
        <v>2009.1609999999998</v>
      </c>
      <c r="AH58" s="31">
        <v>321.46575999999999</v>
      </c>
      <c r="AI58" s="31">
        <v>2330.6267599999996</v>
      </c>
      <c r="AK58" s="119"/>
      <c r="AN58" s="119">
        <f>+H58-'C&amp;A'!K58-SINDICATO!J58</f>
        <v>0</v>
      </c>
      <c r="AP58" s="30">
        <f>513.33+577.4+1229.19</f>
        <v>2319.92</v>
      </c>
      <c r="AT58" s="119">
        <f>+'C&amp;A'!K58+SINDICATO!J58</f>
        <v>1806.5900000000001</v>
      </c>
      <c r="AU58" s="31">
        <f t="shared" si="13"/>
        <v>180.65900000000002</v>
      </c>
      <c r="AV58" s="31">
        <f t="shared" si="14"/>
        <v>0</v>
      </c>
      <c r="AW58" s="130">
        <f t="shared" si="15"/>
        <v>0</v>
      </c>
      <c r="AX58" s="30" t="s">
        <v>503</v>
      </c>
    </row>
    <row r="59" spans="1:50" s="30" customFormat="1" ht="16.5" x14ac:dyDescent="0.3">
      <c r="A59" s="29" t="s">
        <v>261</v>
      </c>
      <c r="B59" s="30" t="s">
        <v>262</v>
      </c>
      <c r="C59" s="31">
        <f t="shared" si="3"/>
        <v>608.16</v>
      </c>
      <c r="D59" s="31">
        <f t="shared" si="4"/>
        <v>0</v>
      </c>
      <c r="E59" s="31">
        <f t="shared" si="5"/>
        <v>5253.79</v>
      </c>
      <c r="F59" s="31">
        <f t="shared" si="6"/>
        <v>-88.79</v>
      </c>
      <c r="G59" s="31">
        <f t="shared" si="7"/>
        <v>0</v>
      </c>
      <c r="H59" s="31">
        <f t="shared" si="8"/>
        <v>5773.16</v>
      </c>
      <c r="I59" s="31">
        <v>0</v>
      </c>
      <c r="J59" s="31">
        <f>+'C&amp;A'!E59*0.02</f>
        <v>10.2256</v>
      </c>
      <c r="K59" s="31">
        <f t="shared" si="9"/>
        <v>5783.3855999999996</v>
      </c>
      <c r="L59" s="31">
        <f t="shared" si="1"/>
        <v>925.34169599999996</v>
      </c>
      <c r="M59" s="31">
        <f t="shared" si="10"/>
        <v>6708.7272959999991</v>
      </c>
      <c r="O59" s="18" t="s">
        <v>124</v>
      </c>
      <c r="P59" s="18" t="s">
        <v>125</v>
      </c>
      <c r="Q59" s="19" t="s">
        <v>350</v>
      </c>
      <c r="R59" s="17">
        <v>608.16</v>
      </c>
      <c r="S59" s="87" t="str">
        <f t="shared" si="11"/>
        <v>SI</v>
      </c>
      <c r="T59" s="87" t="str">
        <f t="shared" si="12"/>
        <v>SI</v>
      </c>
      <c r="U59" s="88" t="s">
        <v>261</v>
      </c>
      <c r="V59" s="89" t="s">
        <v>262</v>
      </c>
      <c r="W59" s="29" t="s">
        <v>261</v>
      </c>
      <c r="X59" s="30" t="s">
        <v>262</v>
      </c>
      <c r="Y59" s="31">
        <v>608.16</v>
      </c>
      <c r="Z59" s="31">
        <v>0</v>
      </c>
      <c r="AA59" s="31">
        <v>5253.79</v>
      </c>
      <c r="AB59" s="31">
        <v>-88.79</v>
      </c>
      <c r="AC59" s="31">
        <v>0</v>
      </c>
      <c r="AD59" s="31">
        <v>5773.16</v>
      </c>
      <c r="AE59" s="31">
        <v>0</v>
      </c>
      <c r="AF59" s="31">
        <v>21.911999999999999</v>
      </c>
      <c r="AG59" s="31">
        <v>5795.0720000000001</v>
      </c>
      <c r="AH59" s="31">
        <v>927.21152000000006</v>
      </c>
      <c r="AI59" s="31">
        <v>6722.28352</v>
      </c>
      <c r="AK59" s="119"/>
      <c r="AN59" s="119">
        <f>+H59-'C&amp;A'!K59-SINDICATO!J59</f>
        <v>519.58439999999973</v>
      </c>
      <c r="AP59" s="30">
        <f>577.4+4676.18</f>
        <v>5253.58</v>
      </c>
      <c r="AS59" s="30">
        <v>608.16</v>
      </c>
      <c r="AT59" s="119">
        <f>+'C&amp;A'!K59+SINDICATO!J59</f>
        <v>5253.5756000000001</v>
      </c>
      <c r="AU59" s="31">
        <f t="shared" si="13"/>
        <v>0</v>
      </c>
      <c r="AV59" s="31">
        <f t="shared" si="14"/>
        <v>525.35756000000003</v>
      </c>
      <c r="AW59" s="129">
        <f t="shared" si="15"/>
        <v>0</v>
      </c>
    </row>
    <row r="60" spans="1:50" s="30" customFormat="1" ht="16.5" x14ac:dyDescent="0.3">
      <c r="A60" s="29" t="s">
        <v>265</v>
      </c>
      <c r="B60" s="30" t="s">
        <v>266</v>
      </c>
      <c r="C60" s="31">
        <f t="shared" si="3"/>
        <v>513.33000000000004</v>
      </c>
      <c r="D60" s="31">
        <f t="shared" si="4"/>
        <v>0</v>
      </c>
      <c r="E60" s="31">
        <f t="shared" si="5"/>
        <v>0</v>
      </c>
      <c r="F60" s="31">
        <f t="shared" si="6"/>
        <v>0</v>
      </c>
      <c r="G60" s="31">
        <f t="shared" si="7"/>
        <v>0</v>
      </c>
      <c r="H60" s="31">
        <f t="shared" si="8"/>
        <v>513.33000000000004</v>
      </c>
      <c r="I60" s="31">
        <v>51.333000000000006</v>
      </c>
      <c r="J60" s="31">
        <f>+'C&amp;A'!E60*0.02</f>
        <v>8.5213999999999999</v>
      </c>
      <c r="K60" s="31">
        <f t="shared" si="9"/>
        <v>573.18439999999998</v>
      </c>
      <c r="L60" s="31">
        <f t="shared" si="1"/>
        <v>91.709503999999995</v>
      </c>
      <c r="M60" s="31">
        <f t="shared" si="10"/>
        <v>664.89390400000002</v>
      </c>
      <c r="O60" s="18" t="s">
        <v>128</v>
      </c>
      <c r="P60" s="18" t="s">
        <v>20</v>
      </c>
      <c r="Q60" s="19" t="s">
        <v>327</v>
      </c>
      <c r="R60" s="99">
        <v>513.33000000000004</v>
      </c>
      <c r="S60" s="87" t="str">
        <f t="shared" si="11"/>
        <v>SI</v>
      </c>
      <c r="T60" s="87" t="str">
        <f t="shared" si="12"/>
        <v>SI</v>
      </c>
      <c r="U60" s="88" t="s">
        <v>265</v>
      </c>
      <c r="V60" s="89" t="s">
        <v>266</v>
      </c>
      <c r="W60" s="29" t="s">
        <v>265</v>
      </c>
      <c r="X60" s="30" t="s">
        <v>266</v>
      </c>
      <c r="Y60" s="31">
        <v>513.33000000000004</v>
      </c>
      <c r="Z60" s="31">
        <v>0</v>
      </c>
      <c r="AA60" s="31">
        <v>0</v>
      </c>
      <c r="AB60" s="31">
        <v>0</v>
      </c>
      <c r="AC60" s="31">
        <v>0</v>
      </c>
      <c r="AD60" s="31">
        <v>513.33000000000004</v>
      </c>
      <c r="AE60" s="31">
        <v>51.333000000000006</v>
      </c>
      <c r="AF60" s="31">
        <v>21.911999999999999</v>
      </c>
      <c r="AG60" s="31">
        <v>586.57500000000005</v>
      </c>
      <c r="AH60" s="31">
        <v>93.852000000000004</v>
      </c>
      <c r="AI60" s="31">
        <v>680.42700000000002</v>
      </c>
      <c r="AK60" s="119"/>
      <c r="AN60" s="119">
        <f>+H60-'C&amp;A'!K60-SINDICATO!J60</f>
        <v>0</v>
      </c>
      <c r="AP60" s="30">
        <f>482.8+30.53</f>
        <v>513.33000000000004</v>
      </c>
      <c r="AS60" s="30">
        <v>513.33000000000004</v>
      </c>
      <c r="AT60" s="119">
        <f>+'C&amp;A'!K60+SINDICATO!J60</f>
        <v>513.33000000000004</v>
      </c>
      <c r="AU60" s="31">
        <f t="shared" si="13"/>
        <v>51.333000000000006</v>
      </c>
      <c r="AV60" s="31">
        <f t="shared" si="14"/>
        <v>0</v>
      </c>
      <c r="AW60" s="129">
        <f t="shared" si="15"/>
        <v>0</v>
      </c>
    </row>
    <row r="61" spans="1:50" s="30" customFormat="1" ht="16.5" x14ac:dyDescent="0.3">
      <c r="A61" s="29" t="s">
        <v>267</v>
      </c>
      <c r="B61" s="30" t="s">
        <v>268</v>
      </c>
      <c r="C61" s="31">
        <f t="shared" si="3"/>
        <v>0</v>
      </c>
      <c r="D61" s="31">
        <f t="shared" si="4"/>
        <v>0</v>
      </c>
      <c r="E61" s="31">
        <f t="shared" si="5"/>
        <v>2867.37</v>
      </c>
      <c r="F61" s="31">
        <f t="shared" si="6"/>
        <v>-45.13</v>
      </c>
      <c r="G61" s="31">
        <f t="shared" si="7"/>
        <v>0</v>
      </c>
      <c r="H61" s="31">
        <f t="shared" si="8"/>
        <v>2822.24</v>
      </c>
      <c r="I61" s="31">
        <v>282.22399999999999</v>
      </c>
      <c r="J61" s="31">
        <f>+'C&amp;A'!E61*0.02</f>
        <v>10.2256</v>
      </c>
      <c r="K61" s="31">
        <f t="shared" si="9"/>
        <v>3114.6896000000002</v>
      </c>
      <c r="L61" s="31">
        <f t="shared" si="1"/>
        <v>498.35033600000003</v>
      </c>
      <c r="M61" s="31">
        <f t="shared" si="10"/>
        <v>3613.0399360000001</v>
      </c>
      <c r="O61" s="18" t="s">
        <v>129</v>
      </c>
      <c r="P61" s="18" t="s">
        <v>130</v>
      </c>
      <c r="Q61" s="19" t="s">
        <v>321</v>
      </c>
      <c r="R61" s="17">
        <v>0</v>
      </c>
      <c r="S61" s="87" t="str">
        <f t="shared" si="11"/>
        <v>SI</v>
      </c>
      <c r="T61" s="87" t="str">
        <f t="shared" si="12"/>
        <v>SI</v>
      </c>
      <c r="U61" s="88" t="s">
        <v>267</v>
      </c>
      <c r="V61" s="89" t="s">
        <v>268</v>
      </c>
      <c r="W61" s="29" t="s">
        <v>267</v>
      </c>
      <c r="X61" s="30" t="s">
        <v>268</v>
      </c>
      <c r="Y61" s="31">
        <v>0</v>
      </c>
      <c r="Z61" s="31">
        <v>0</v>
      </c>
      <c r="AA61" s="31">
        <v>2867.37</v>
      </c>
      <c r="AB61" s="31">
        <v>-45.13</v>
      </c>
      <c r="AC61" s="31">
        <v>0</v>
      </c>
      <c r="AD61" s="31">
        <v>2822.24</v>
      </c>
      <c r="AE61" s="31">
        <v>282.22399999999999</v>
      </c>
      <c r="AF61" s="31">
        <v>21.911999999999999</v>
      </c>
      <c r="AG61" s="31">
        <v>3126.3759999999997</v>
      </c>
      <c r="AH61" s="31">
        <v>500.22015999999996</v>
      </c>
      <c r="AI61" s="31">
        <v>3626.5961599999996</v>
      </c>
      <c r="AK61" s="119"/>
      <c r="AN61" s="119">
        <f>+H61-'C&amp;A'!K61-SINDICATO!J61</f>
        <v>0</v>
      </c>
      <c r="AP61" s="30">
        <f>513.33+577.4+2244.84</f>
        <v>3335.57</v>
      </c>
      <c r="AT61" s="119">
        <f>+'C&amp;A'!K61+SINDICATO!J61</f>
        <v>2822.24</v>
      </c>
      <c r="AU61" s="31">
        <f t="shared" si="13"/>
        <v>282.22399999999999</v>
      </c>
      <c r="AV61" s="31">
        <f t="shared" si="14"/>
        <v>0</v>
      </c>
      <c r="AW61" s="130">
        <f t="shared" si="15"/>
        <v>0</v>
      </c>
      <c r="AX61" s="30" t="s">
        <v>503</v>
      </c>
    </row>
    <row r="62" spans="1:50" s="30" customFormat="1" ht="16.5" x14ac:dyDescent="0.3">
      <c r="A62" s="29" t="s">
        <v>269</v>
      </c>
      <c r="B62" s="30" t="s">
        <v>270</v>
      </c>
      <c r="C62" s="31">
        <f t="shared" si="3"/>
        <v>2333.33</v>
      </c>
      <c r="D62" s="31">
        <f t="shared" si="4"/>
        <v>0</v>
      </c>
      <c r="E62" s="31">
        <f t="shared" si="5"/>
        <v>392.15</v>
      </c>
      <c r="F62" s="31">
        <f t="shared" si="6"/>
        <v>-368.13</v>
      </c>
      <c r="G62" s="31">
        <f t="shared" si="7"/>
        <v>955.1</v>
      </c>
      <c r="H62" s="31">
        <f t="shared" si="8"/>
        <v>2357.35</v>
      </c>
      <c r="I62" s="31">
        <v>140.22499999999999</v>
      </c>
      <c r="J62" s="31">
        <f>+'C&amp;A'!E62*0.02</f>
        <v>10.2256</v>
      </c>
      <c r="K62" s="31">
        <f t="shared" si="9"/>
        <v>2507.8006</v>
      </c>
      <c r="L62" s="31">
        <f t="shared" si="1"/>
        <v>401.24809600000003</v>
      </c>
      <c r="M62" s="31">
        <f t="shared" si="10"/>
        <v>2909.0486959999998</v>
      </c>
      <c r="O62" s="18" t="s">
        <v>131</v>
      </c>
      <c r="P62" s="18" t="s">
        <v>132</v>
      </c>
      <c r="Q62" s="19" t="s">
        <v>330</v>
      </c>
      <c r="R62" s="17">
        <v>2333.33</v>
      </c>
      <c r="S62" s="87" t="str">
        <f t="shared" si="11"/>
        <v>SI</v>
      </c>
      <c r="T62" s="87" t="str">
        <f t="shared" si="12"/>
        <v>SI</v>
      </c>
      <c r="U62" s="88" t="s">
        <v>269</v>
      </c>
      <c r="V62" s="89" t="s">
        <v>270</v>
      </c>
      <c r="W62" s="29" t="s">
        <v>269</v>
      </c>
      <c r="X62" s="30" t="s">
        <v>270</v>
      </c>
      <c r="Y62" s="31">
        <v>2333.33</v>
      </c>
      <c r="Z62" s="31">
        <v>0</v>
      </c>
      <c r="AA62" s="31">
        <v>392.15</v>
      </c>
      <c r="AB62" s="31">
        <v>-368.13</v>
      </c>
      <c r="AC62" s="31">
        <v>-955.1</v>
      </c>
      <c r="AD62" s="31">
        <v>1402.25</v>
      </c>
      <c r="AE62" s="31">
        <v>140.22499999999999</v>
      </c>
      <c r="AF62" s="31">
        <v>21.911999999999999</v>
      </c>
      <c r="AG62" s="31">
        <v>1564.3869999999999</v>
      </c>
      <c r="AH62" s="31">
        <v>250.30192</v>
      </c>
      <c r="AI62" s="31">
        <v>1814.6889200000001</v>
      </c>
      <c r="AK62" s="119"/>
      <c r="AN62" s="119">
        <f>+H62-'C&amp;A'!K62-SINDICATO!J62</f>
        <v>955.09999999999991</v>
      </c>
      <c r="AP62" s="30">
        <f>577.4+824.85</f>
        <v>1402.25</v>
      </c>
      <c r="AS62" s="30">
        <v>2333.33</v>
      </c>
      <c r="AT62" s="119">
        <f>+'C&amp;A'!K62+SINDICATO!J62</f>
        <v>1402.25</v>
      </c>
      <c r="AU62" s="31">
        <f t="shared" si="13"/>
        <v>140.22499999999999</v>
      </c>
      <c r="AV62" s="31">
        <f t="shared" si="14"/>
        <v>0</v>
      </c>
      <c r="AW62" s="129">
        <f t="shared" si="15"/>
        <v>0</v>
      </c>
    </row>
    <row r="63" spans="1:50" s="32" customFormat="1" ht="16.5" x14ac:dyDescent="0.3">
      <c r="A63" s="29" t="s">
        <v>271</v>
      </c>
      <c r="B63" s="30" t="s">
        <v>272</v>
      </c>
      <c r="C63" s="31">
        <f t="shared" si="3"/>
        <v>0</v>
      </c>
      <c r="D63" s="31">
        <f t="shared" si="4"/>
        <v>0</v>
      </c>
      <c r="E63" s="31">
        <f t="shared" si="5"/>
        <v>2517.27</v>
      </c>
      <c r="F63" s="31">
        <f t="shared" si="6"/>
        <v>0</v>
      </c>
      <c r="G63" s="31">
        <f t="shared" si="7"/>
        <v>0</v>
      </c>
      <c r="H63" s="31">
        <f>+C63+D63+E63+F63</f>
        <v>2517.27</v>
      </c>
      <c r="I63" s="31">
        <v>251.727</v>
      </c>
      <c r="J63" s="31">
        <f>+'C&amp;A'!E63*0.02</f>
        <v>10.2256</v>
      </c>
      <c r="K63" s="31">
        <f t="shared" si="9"/>
        <v>2779.2226000000001</v>
      </c>
      <c r="L63" s="31">
        <f t="shared" si="1"/>
        <v>444.67561599999999</v>
      </c>
      <c r="M63" s="31">
        <f t="shared" si="10"/>
        <v>3223.898216</v>
      </c>
      <c r="N63" s="30"/>
      <c r="O63" s="18" t="s">
        <v>133</v>
      </c>
      <c r="P63" s="18" t="s">
        <v>134</v>
      </c>
      <c r="Q63" s="19" t="s">
        <v>321</v>
      </c>
      <c r="R63" s="17">
        <v>0</v>
      </c>
      <c r="S63" s="87" t="str">
        <f t="shared" si="11"/>
        <v>SI</v>
      </c>
      <c r="T63" s="87" t="str">
        <f t="shared" si="12"/>
        <v>SI</v>
      </c>
      <c r="U63" s="88" t="s">
        <v>271</v>
      </c>
      <c r="V63" s="89" t="s">
        <v>272</v>
      </c>
      <c r="W63" s="29" t="s">
        <v>271</v>
      </c>
      <c r="X63" s="30" t="s">
        <v>272</v>
      </c>
      <c r="Y63" s="31">
        <v>0</v>
      </c>
      <c r="Z63" s="31">
        <v>0</v>
      </c>
      <c r="AA63" s="31">
        <v>2517.27</v>
      </c>
      <c r="AB63" s="31">
        <v>0</v>
      </c>
      <c r="AC63" s="31">
        <v>0</v>
      </c>
      <c r="AD63" s="31">
        <v>2517.27</v>
      </c>
      <c r="AE63" s="31">
        <v>251.727</v>
      </c>
      <c r="AF63" s="31">
        <v>21.911999999999999</v>
      </c>
      <c r="AG63" s="31">
        <v>2790.9089999999997</v>
      </c>
      <c r="AH63" s="31">
        <v>446.54543999999993</v>
      </c>
      <c r="AI63" s="31">
        <v>3237.4544399999995</v>
      </c>
      <c r="AK63" s="119"/>
      <c r="AN63" s="119">
        <f>+H63-'C&amp;A'!K63-SINDICATO!J63</f>
        <v>0</v>
      </c>
      <c r="AP63" s="32">
        <f>513.33+577.2+1940.07</f>
        <v>3030.6000000000004</v>
      </c>
      <c r="AT63" s="119">
        <f>+'C&amp;A'!K63+SINDICATO!J63</f>
        <v>2517.27</v>
      </c>
      <c r="AU63" s="31">
        <f t="shared" si="13"/>
        <v>251.727</v>
      </c>
      <c r="AV63" s="31">
        <f t="shared" si="14"/>
        <v>0</v>
      </c>
      <c r="AW63" s="130">
        <f t="shared" si="15"/>
        <v>0</v>
      </c>
      <c r="AX63" s="32" t="s">
        <v>503</v>
      </c>
    </row>
    <row r="64" spans="1:50" s="33" customFormat="1" ht="16.5" x14ac:dyDescent="0.3">
      <c r="A64" s="29" t="s">
        <v>273</v>
      </c>
      <c r="B64" s="30" t="s">
        <v>274</v>
      </c>
      <c r="C64" s="31">
        <f t="shared" si="3"/>
        <v>608.16</v>
      </c>
      <c r="D64" s="31">
        <f t="shared" si="4"/>
        <v>0</v>
      </c>
      <c r="E64" s="31">
        <f t="shared" si="5"/>
        <v>2707.38</v>
      </c>
      <c r="F64" s="31">
        <f t="shared" si="6"/>
        <v>-88.79</v>
      </c>
      <c r="G64" s="31">
        <f t="shared" si="7"/>
        <v>0</v>
      </c>
      <c r="H64" s="31">
        <f t="shared" si="8"/>
        <v>3226.75</v>
      </c>
      <c r="I64" s="31">
        <v>322.67500000000001</v>
      </c>
      <c r="J64" s="31">
        <f>+'C&amp;A'!E64*0.02</f>
        <v>10.2256</v>
      </c>
      <c r="K64" s="31">
        <f t="shared" si="9"/>
        <v>3559.6506000000004</v>
      </c>
      <c r="L64" s="31">
        <f t="shared" si="1"/>
        <v>569.54409600000008</v>
      </c>
      <c r="M64" s="31">
        <f t="shared" si="10"/>
        <v>4129.1946960000005</v>
      </c>
      <c r="N64" s="30"/>
      <c r="O64" s="18" t="s">
        <v>135</v>
      </c>
      <c r="P64" s="18" t="s">
        <v>136</v>
      </c>
      <c r="Q64" s="19" t="s">
        <v>320</v>
      </c>
      <c r="R64" s="99">
        <v>608.16</v>
      </c>
      <c r="S64" s="87" t="str">
        <f t="shared" si="11"/>
        <v>SI</v>
      </c>
      <c r="T64" s="87" t="str">
        <f t="shared" si="12"/>
        <v>SI</v>
      </c>
      <c r="U64" s="88" t="s">
        <v>273</v>
      </c>
      <c r="V64" s="89" t="s">
        <v>274</v>
      </c>
      <c r="W64" s="29" t="s">
        <v>273</v>
      </c>
      <c r="X64" s="30" t="s">
        <v>274</v>
      </c>
      <c r="Y64" s="31">
        <v>608.16</v>
      </c>
      <c r="Z64" s="31">
        <v>0</v>
      </c>
      <c r="AA64" s="31">
        <v>2707.38</v>
      </c>
      <c r="AB64" s="31">
        <v>-88.79</v>
      </c>
      <c r="AC64" s="31">
        <v>0</v>
      </c>
      <c r="AD64" s="31">
        <v>3226.75</v>
      </c>
      <c r="AE64" s="31">
        <v>322.67500000000001</v>
      </c>
      <c r="AF64" s="31">
        <v>21.911999999999999</v>
      </c>
      <c r="AG64" s="31">
        <v>3571.337</v>
      </c>
      <c r="AH64" s="31">
        <v>571.41391999999996</v>
      </c>
      <c r="AI64" s="31">
        <v>4142.7509200000004</v>
      </c>
      <c r="AK64" s="119"/>
      <c r="AN64" s="119">
        <f>+H64-'C&amp;A'!K64-SINDICATO!J64</f>
        <v>0</v>
      </c>
      <c r="AP64" s="33">
        <f>577.2+2649.55</f>
        <v>3226.75</v>
      </c>
      <c r="AS64" s="30">
        <v>608.16</v>
      </c>
      <c r="AT64" s="119">
        <f>+'C&amp;A'!K64+SINDICATO!J64</f>
        <v>3226.75</v>
      </c>
      <c r="AU64" s="31">
        <f t="shared" si="13"/>
        <v>322.67500000000001</v>
      </c>
      <c r="AV64" s="31">
        <f t="shared" si="14"/>
        <v>0</v>
      </c>
      <c r="AW64" s="129">
        <f t="shared" si="15"/>
        <v>0</v>
      </c>
    </row>
    <row r="65" spans="1:50" s="30" customFormat="1" ht="16.5" x14ac:dyDescent="0.3">
      <c r="A65" s="29" t="s">
        <v>275</v>
      </c>
      <c r="B65" s="30" t="s">
        <v>276</v>
      </c>
      <c r="C65" s="31">
        <f t="shared" si="3"/>
        <v>608.16</v>
      </c>
      <c r="D65" s="31">
        <f t="shared" si="4"/>
        <v>0</v>
      </c>
      <c r="E65" s="31">
        <f t="shared" si="5"/>
        <v>3714.25</v>
      </c>
      <c r="F65" s="31">
        <f t="shared" si="6"/>
        <v>-88.79</v>
      </c>
      <c r="G65" s="31">
        <f t="shared" si="7"/>
        <v>0</v>
      </c>
      <c r="H65" s="31">
        <f t="shared" si="8"/>
        <v>4233.62</v>
      </c>
      <c r="I65" s="31">
        <v>423.36200000000002</v>
      </c>
      <c r="J65" s="31">
        <f>+'C&amp;A'!E65*0.02</f>
        <v>10.2256</v>
      </c>
      <c r="K65" s="31">
        <f t="shared" si="9"/>
        <v>4667.2075999999997</v>
      </c>
      <c r="L65" s="31">
        <f t="shared" si="1"/>
        <v>746.75321599999995</v>
      </c>
      <c r="M65" s="31">
        <f t="shared" si="10"/>
        <v>5413.9608159999998</v>
      </c>
      <c r="O65" s="18" t="s">
        <v>137</v>
      </c>
      <c r="P65" s="18" t="s">
        <v>91</v>
      </c>
      <c r="Q65" s="19" t="s">
        <v>347</v>
      </c>
      <c r="R65" s="17">
        <v>608.16</v>
      </c>
      <c r="S65" s="87" t="str">
        <f t="shared" si="11"/>
        <v>SI</v>
      </c>
      <c r="T65" s="87" t="str">
        <f t="shared" si="12"/>
        <v>SI</v>
      </c>
      <c r="U65" s="88" t="s">
        <v>275</v>
      </c>
      <c r="V65" s="89" t="s">
        <v>276</v>
      </c>
      <c r="W65" s="29" t="s">
        <v>275</v>
      </c>
      <c r="X65" s="30" t="s">
        <v>276</v>
      </c>
      <c r="Y65" s="31">
        <v>608.16</v>
      </c>
      <c r="Z65" s="31">
        <v>0</v>
      </c>
      <c r="AA65" s="31">
        <v>3714.25</v>
      </c>
      <c r="AB65" s="31">
        <v>-88.79</v>
      </c>
      <c r="AC65" s="31">
        <v>0</v>
      </c>
      <c r="AD65" s="31">
        <v>4233.62</v>
      </c>
      <c r="AE65" s="31">
        <v>423.36200000000002</v>
      </c>
      <c r="AF65" s="31">
        <v>21.91</v>
      </c>
      <c r="AG65" s="31">
        <v>4678.8919999999998</v>
      </c>
      <c r="AH65" s="31">
        <v>748.62271999999996</v>
      </c>
      <c r="AI65" s="31">
        <v>5427.5147200000001</v>
      </c>
      <c r="AK65" s="119"/>
      <c r="AN65" s="119">
        <f>+H65-'C&amp;A'!K65-SINDICATO!J65</f>
        <v>0</v>
      </c>
      <c r="AP65" s="30">
        <f>577.2+3656.42</f>
        <v>4233.62</v>
      </c>
      <c r="AS65" s="30">
        <v>608.16</v>
      </c>
      <c r="AT65" s="119">
        <f>+'C&amp;A'!K65+SINDICATO!J65</f>
        <v>4233.62</v>
      </c>
      <c r="AU65" s="31">
        <f t="shared" si="13"/>
        <v>423.36200000000002</v>
      </c>
      <c r="AV65" s="31">
        <f t="shared" si="14"/>
        <v>0</v>
      </c>
      <c r="AW65" s="129">
        <f t="shared" si="15"/>
        <v>0</v>
      </c>
    </row>
    <row r="66" spans="1:50" s="30" customFormat="1" ht="16.5" x14ac:dyDescent="0.3">
      <c r="A66" s="29" t="s">
        <v>277</v>
      </c>
      <c r="B66" s="30" t="s">
        <v>278</v>
      </c>
      <c r="C66" s="31">
        <f t="shared" si="3"/>
        <v>1400</v>
      </c>
      <c r="D66" s="31">
        <f t="shared" si="4"/>
        <v>67.84</v>
      </c>
      <c r="E66" s="31">
        <f t="shared" si="5"/>
        <v>0</v>
      </c>
      <c r="F66" s="31">
        <f t="shared" si="6"/>
        <v>-355.65</v>
      </c>
      <c r="G66" s="31">
        <f t="shared" si="7"/>
        <v>0</v>
      </c>
      <c r="H66" s="31">
        <f t="shared" si="8"/>
        <v>1112.19</v>
      </c>
      <c r="I66" s="31">
        <v>111.21900000000001</v>
      </c>
      <c r="J66" s="31">
        <f>+'C&amp;A'!E66*0.02</f>
        <v>10.2256</v>
      </c>
      <c r="K66" s="31">
        <f t="shared" si="9"/>
        <v>1233.6346000000001</v>
      </c>
      <c r="L66" s="31">
        <f t="shared" si="1"/>
        <v>197.38153600000001</v>
      </c>
      <c r="M66" s="31">
        <f t="shared" si="10"/>
        <v>1431.0161360000002</v>
      </c>
      <c r="N66" s="32"/>
      <c r="O66" s="18" t="s">
        <v>139</v>
      </c>
      <c r="P66" s="18" t="s">
        <v>138</v>
      </c>
      <c r="Q66" s="19" t="s">
        <v>340</v>
      </c>
      <c r="R66" s="17">
        <v>1400</v>
      </c>
      <c r="S66" s="87" t="str">
        <f t="shared" si="11"/>
        <v>SI</v>
      </c>
      <c r="T66" s="87" t="str">
        <f t="shared" si="12"/>
        <v>SI</v>
      </c>
      <c r="U66" s="88" t="s">
        <v>277</v>
      </c>
      <c r="V66" s="89" t="s">
        <v>278</v>
      </c>
      <c r="W66" s="29" t="s">
        <v>277</v>
      </c>
      <c r="X66" s="30" t="s">
        <v>278</v>
      </c>
      <c r="Y66" s="31">
        <v>1400</v>
      </c>
      <c r="Z66" s="31">
        <v>67.84</v>
      </c>
      <c r="AA66" s="31">
        <v>0</v>
      </c>
      <c r="AB66" s="31">
        <v>-355.65</v>
      </c>
      <c r="AC66" s="31">
        <v>0</v>
      </c>
      <c r="AD66" s="31">
        <v>1112.19</v>
      </c>
      <c r="AE66" s="31">
        <v>111.21900000000001</v>
      </c>
      <c r="AF66" s="31">
        <v>21.91</v>
      </c>
      <c r="AG66" s="31">
        <v>1245.3190000000002</v>
      </c>
      <c r="AH66" s="31">
        <v>199.25104000000005</v>
      </c>
      <c r="AI66" s="31">
        <v>1444.5700400000003</v>
      </c>
      <c r="AK66" s="119"/>
      <c r="AN66" s="119">
        <f>+H66-'C&amp;A'!K66-SINDICATO!J66</f>
        <v>0</v>
      </c>
      <c r="AP66" s="30">
        <f>577.4+534.79</f>
        <v>1112.19</v>
      </c>
      <c r="AS66" s="30">
        <v>1400</v>
      </c>
      <c r="AT66" s="119">
        <f>+'C&amp;A'!K66+SINDICATO!J66</f>
        <v>1112.19</v>
      </c>
      <c r="AU66" s="31">
        <f t="shared" si="13"/>
        <v>111.21900000000001</v>
      </c>
      <c r="AV66" s="31">
        <f t="shared" si="14"/>
        <v>0</v>
      </c>
      <c r="AW66" s="129">
        <f t="shared" si="15"/>
        <v>0</v>
      </c>
    </row>
    <row r="67" spans="1:50" s="30" customFormat="1" ht="16.5" x14ac:dyDescent="0.3">
      <c r="A67" s="29" t="s">
        <v>359</v>
      </c>
      <c r="B67" s="30" t="s">
        <v>360</v>
      </c>
      <c r="C67" s="31">
        <f t="shared" si="3"/>
        <v>513.33000000000004</v>
      </c>
      <c r="D67" s="31">
        <f t="shared" si="4"/>
        <v>74.81</v>
      </c>
      <c r="E67" s="31">
        <f t="shared" si="5"/>
        <v>0</v>
      </c>
      <c r="F67" s="31">
        <f t="shared" si="6"/>
        <v>0</v>
      </c>
      <c r="G67" s="31">
        <f t="shared" si="7"/>
        <v>446.84</v>
      </c>
      <c r="H67" s="31">
        <f t="shared" si="8"/>
        <v>588.1400000000001</v>
      </c>
      <c r="I67" s="31">
        <v>14.134000000000009</v>
      </c>
      <c r="J67" s="31">
        <f>+'C&amp;A'!E67*0.02</f>
        <v>10.2256</v>
      </c>
      <c r="K67" s="31">
        <f t="shared" si="9"/>
        <v>612.4996000000001</v>
      </c>
      <c r="L67" s="31">
        <f t="shared" si="1"/>
        <v>97.999936000000019</v>
      </c>
      <c r="M67" s="31">
        <f t="shared" si="10"/>
        <v>710.49953600000015</v>
      </c>
      <c r="N67" s="32"/>
      <c r="O67" s="18"/>
      <c r="P67" s="18"/>
      <c r="Q67" s="19"/>
      <c r="R67" s="17"/>
      <c r="S67" s="87" t="str">
        <f t="shared" si="11"/>
        <v>SI</v>
      </c>
      <c r="T67" s="87" t="str">
        <f t="shared" si="12"/>
        <v>SI</v>
      </c>
      <c r="U67" s="30" t="s">
        <v>359</v>
      </c>
      <c r="V67" s="30" t="s">
        <v>470</v>
      </c>
      <c r="W67" s="29" t="s">
        <v>359</v>
      </c>
      <c r="X67" s="30" t="s">
        <v>360</v>
      </c>
      <c r="Y67" s="31">
        <v>513.33000000000004</v>
      </c>
      <c r="Z67" s="31">
        <v>74.81</v>
      </c>
      <c r="AA67" s="31">
        <v>0</v>
      </c>
      <c r="AB67" s="31">
        <v>0</v>
      </c>
      <c r="AC67" s="31">
        <v>-446.84</v>
      </c>
      <c r="AD67" s="31">
        <v>141.30000000000013</v>
      </c>
      <c r="AE67" s="31">
        <v>14.130000000000013</v>
      </c>
      <c r="AF67" s="31"/>
      <c r="AG67" s="31"/>
      <c r="AH67" s="31"/>
      <c r="AI67" s="31"/>
      <c r="AK67" s="119"/>
      <c r="AN67" s="119">
        <f>+H67-'C&amp;A'!K67-SINDICATO!J67</f>
        <v>446.8</v>
      </c>
      <c r="AS67" s="30">
        <v>513.33000000000004</v>
      </c>
      <c r="AT67" s="119">
        <f>+'C&amp;A'!K67+SINDICATO!J67</f>
        <v>141.34000000000009</v>
      </c>
      <c r="AU67" s="31">
        <f t="shared" si="13"/>
        <v>14.134000000000009</v>
      </c>
      <c r="AV67" s="31">
        <f t="shared" si="14"/>
        <v>0</v>
      </c>
      <c r="AW67" s="129">
        <f t="shared" si="15"/>
        <v>0</v>
      </c>
    </row>
    <row r="68" spans="1:50" s="30" customFormat="1" ht="16.5" x14ac:dyDescent="0.3">
      <c r="A68" s="29" t="s">
        <v>279</v>
      </c>
      <c r="B68" s="30" t="s">
        <v>280</v>
      </c>
      <c r="C68" s="31">
        <f t="shared" si="3"/>
        <v>543.20000000000005</v>
      </c>
      <c r="D68" s="31">
        <f t="shared" si="4"/>
        <v>93.63</v>
      </c>
      <c r="E68" s="31">
        <f t="shared" si="5"/>
        <v>491.4</v>
      </c>
      <c r="F68" s="31">
        <f t="shared" si="6"/>
        <v>-45.13</v>
      </c>
      <c r="G68" s="31">
        <f t="shared" si="7"/>
        <v>0</v>
      </c>
      <c r="H68" s="31">
        <f t="shared" si="8"/>
        <v>1083.0999999999999</v>
      </c>
      <c r="I68" s="31">
        <v>108.31</v>
      </c>
      <c r="J68" s="31">
        <f>+'C&amp;A'!E68*0.02</f>
        <v>10.2256</v>
      </c>
      <c r="K68" s="31">
        <f t="shared" si="9"/>
        <v>1201.6355999999998</v>
      </c>
      <c r="L68" s="31">
        <f t="shared" si="1"/>
        <v>192.26169599999997</v>
      </c>
      <c r="M68" s="31">
        <f t="shared" si="10"/>
        <v>1393.8972959999999</v>
      </c>
      <c r="N68" s="33"/>
      <c r="O68" s="18" t="s">
        <v>140</v>
      </c>
      <c r="P68" s="18" t="s">
        <v>141</v>
      </c>
      <c r="Q68" s="19" t="s">
        <v>347</v>
      </c>
      <c r="R68" s="17">
        <v>543.20000000000005</v>
      </c>
      <c r="S68" s="87" t="str">
        <f t="shared" si="11"/>
        <v>SI</v>
      </c>
      <c r="T68" s="87" t="str">
        <f t="shared" si="12"/>
        <v>SI</v>
      </c>
      <c r="U68" s="88" t="s">
        <v>279</v>
      </c>
      <c r="V68" s="89" t="s">
        <v>280</v>
      </c>
      <c r="W68" s="29" t="s">
        <v>279</v>
      </c>
      <c r="X68" s="30" t="s">
        <v>280</v>
      </c>
      <c r="Y68" s="31">
        <v>543.20000000000005</v>
      </c>
      <c r="Z68" s="31">
        <v>93.63</v>
      </c>
      <c r="AA68" s="31">
        <v>491.4</v>
      </c>
      <c r="AB68" s="31">
        <v>-45.13</v>
      </c>
      <c r="AC68" s="31">
        <v>0</v>
      </c>
      <c r="AD68" s="31">
        <v>1083.0999999999999</v>
      </c>
      <c r="AE68" s="31">
        <v>108.31</v>
      </c>
      <c r="AF68" s="31">
        <v>21.91</v>
      </c>
      <c r="AG68" s="31">
        <v>1213.32</v>
      </c>
      <c r="AH68" s="31">
        <v>194.13120000000001</v>
      </c>
      <c r="AI68" s="31">
        <v>1407.4512</v>
      </c>
      <c r="AK68" s="119"/>
      <c r="AN68" s="119">
        <f>+H68-'C&amp;A'!K68-SINDICATO!J68</f>
        <v>0</v>
      </c>
      <c r="AP68" s="30">
        <f>577.4+505.7</f>
        <v>1083.0999999999999</v>
      </c>
      <c r="AS68" s="30">
        <v>543.20000000000005</v>
      </c>
      <c r="AT68" s="119">
        <f>+'C&amp;A'!K68+SINDICATO!J68</f>
        <v>1083.0999999999999</v>
      </c>
      <c r="AU68" s="31">
        <f t="shared" si="13"/>
        <v>108.31</v>
      </c>
      <c r="AV68" s="31">
        <f t="shared" si="14"/>
        <v>0</v>
      </c>
      <c r="AW68" s="129">
        <f t="shared" si="15"/>
        <v>0</v>
      </c>
    </row>
    <row r="69" spans="1:50" s="30" customFormat="1" ht="16.5" x14ac:dyDescent="0.3">
      <c r="A69" s="29" t="s">
        <v>281</v>
      </c>
      <c r="B69" s="30" t="s">
        <v>282</v>
      </c>
      <c r="C69" s="31">
        <f t="shared" si="3"/>
        <v>1400</v>
      </c>
      <c r="D69" s="31">
        <f t="shared" si="4"/>
        <v>0</v>
      </c>
      <c r="E69" s="31">
        <f t="shared" si="5"/>
        <v>0</v>
      </c>
      <c r="F69" s="31">
        <f t="shared" si="6"/>
        <v>0</v>
      </c>
      <c r="G69" s="31">
        <f t="shared" si="7"/>
        <v>0</v>
      </c>
      <c r="H69" s="31">
        <f t="shared" si="8"/>
        <v>1400</v>
      </c>
      <c r="I69" s="31">
        <v>140</v>
      </c>
      <c r="J69" s="31">
        <f>+'C&amp;A'!E69*0.02</f>
        <v>10.2256</v>
      </c>
      <c r="K69" s="31">
        <f t="shared" si="9"/>
        <v>1550.2256</v>
      </c>
      <c r="L69" s="31">
        <f t="shared" si="1"/>
        <v>248.03609600000001</v>
      </c>
      <c r="M69" s="31">
        <f t="shared" si="10"/>
        <v>1798.261696</v>
      </c>
      <c r="O69" s="18" t="s">
        <v>142</v>
      </c>
      <c r="P69" s="18" t="s">
        <v>143</v>
      </c>
      <c r="Q69" s="19" t="s">
        <v>340</v>
      </c>
      <c r="R69" s="17">
        <v>1400</v>
      </c>
      <c r="S69" s="87" t="str">
        <f t="shared" si="11"/>
        <v>SI</v>
      </c>
      <c r="T69" s="87" t="str">
        <f>IF(A69=U69,"SI","NO")</f>
        <v>SI</v>
      </c>
      <c r="U69" s="88" t="s">
        <v>281</v>
      </c>
      <c r="V69" s="89" t="s">
        <v>282</v>
      </c>
      <c r="W69" s="29" t="s">
        <v>281</v>
      </c>
      <c r="X69" s="30" t="s">
        <v>282</v>
      </c>
      <c r="Y69" s="31">
        <v>1400</v>
      </c>
      <c r="Z69" s="31">
        <v>0</v>
      </c>
      <c r="AA69" s="31">
        <v>0</v>
      </c>
      <c r="AB69" s="31">
        <v>0</v>
      </c>
      <c r="AC69" s="31">
        <v>0</v>
      </c>
      <c r="AD69" s="31">
        <v>1400</v>
      </c>
      <c r="AE69" s="31">
        <v>140</v>
      </c>
      <c r="AF69" s="31">
        <v>21.91</v>
      </c>
      <c r="AG69" s="31">
        <v>1561.91</v>
      </c>
      <c r="AH69" s="31">
        <v>249.90560000000002</v>
      </c>
      <c r="AI69" s="31">
        <v>1811.8156000000001</v>
      </c>
      <c r="AK69" s="119"/>
      <c r="AN69" s="119">
        <f>+H69-'C&amp;A'!K69-SINDICATO!J69</f>
        <v>0</v>
      </c>
      <c r="AP69" s="30">
        <f>577.4+822.8</f>
        <v>1400.1999999999998</v>
      </c>
      <c r="AS69" s="30">
        <v>1400</v>
      </c>
      <c r="AT69" s="119">
        <f>+'C&amp;A'!K69+SINDICATO!J69</f>
        <v>1400</v>
      </c>
      <c r="AU69" s="31">
        <f t="shared" si="13"/>
        <v>140</v>
      </c>
      <c r="AV69" s="31">
        <f t="shared" si="14"/>
        <v>0</v>
      </c>
      <c r="AW69" s="129">
        <f t="shared" si="15"/>
        <v>0</v>
      </c>
    </row>
    <row r="70" spans="1:50" s="30" customFormat="1" ht="16.5" x14ac:dyDescent="0.3">
      <c r="A70" s="29" t="s">
        <v>283</v>
      </c>
      <c r="B70" s="30" t="s">
        <v>284</v>
      </c>
      <c r="C70" s="31">
        <f t="shared" si="3"/>
        <v>511.28</v>
      </c>
      <c r="D70" s="31">
        <f t="shared" si="4"/>
        <v>50.11</v>
      </c>
      <c r="E70" s="31">
        <f t="shared" si="5"/>
        <v>1073.3399999999999</v>
      </c>
      <c r="F70" s="31">
        <f t="shared" si="6"/>
        <v>0</v>
      </c>
      <c r="G70" s="31">
        <f t="shared" si="7"/>
        <v>831.77</v>
      </c>
      <c r="H70" s="31">
        <f t="shared" si="8"/>
        <v>1634.73</v>
      </c>
      <c r="I70" s="31">
        <v>80.295999999999992</v>
      </c>
      <c r="J70" s="31">
        <f>+'C&amp;A'!E70*0.02</f>
        <v>10.2256</v>
      </c>
      <c r="K70" s="31">
        <f t="shared" si="9"/>
        <v>1725.2516000000001</v>
      </c>
      <c r="L70" s="31">
        <f t="shared" si="1"/>
        <v>276.040256</v>
      </c>
      <c r="M70" s="31">
        <f t="shared" si="10"/>
        <v>2001.2918560000001</v>
      </c>
      <c r="O70" s="18" t="s">
        <v>144</v>
      </c>
      <c r="P70" s="18" t="s">
        <v>145</v>
      </c>
      <c r="Q70" s="19" t="s">
        <v>352</v>
      </c>
      <c r="R70" s="17">
        <v>511.28</v>
      </c>
      <c r="S70" s="87" t="str">
        <f t="shared" si="11"/>
        <v>SI</v>
      </c>
      <c r="T70" s="87" t="str">
        <f t="shared" si="12"/>
        <v>SI</v>
      </c>
      <c r="U70" s="88" t="s">
        <v>283</v>
      </c>
      <c r="V70" s="89" t="s">
        <v>284</v>
      </c>
      <c r="W70" s="29" t="s">
        <v>283</v>
      </c>
      <c r="X70" s="30" t="s">
        <v>284</v>
      </c>
      <c r="Y70" s="31">
        <v>511.28</v>
      </c>
      <c r="Z70" s="31">
        <v>50.11</v>
      </c>
      <c r="AA70" s="31">
        <v>1073.3399999999999</v>
      </c>
      <c r="AB70" s="31">
        <v>0</v>
      </c>
      <c r="AC70" s="31">
        <v>-831.77</v>
      </c>
      <c r="AD70" s="31">
        <v>802.96</v>
      </c>
      <c r="AE70" s="31">
        <v>80.296000000000006</v>
      </c>
      <c r="AF70" s="31">
        <v>21.91</v>
      </c>
      <c r="AG70" s="31">
        <v>905.16600000000005</v>
      </c>
      <c r="AH70" s="31">
        <v>144.82656</v>
      </c>
      <c r="AI70" s="31">
        <v>1049.9925600000001</v>
      </c>
      <c r="AK70" s="119"/>
      <c r="AN70" s="119">
        <f>+H70-'C&amp;A'!K70-SINDICATO!J70</f>
        <v>831.77</v>
      </c>
      <c r="AP70" s="30">
        <f>577.4+225.56</f>
        <v>802.96</v>
      </c>
      <c r="AS70" s="30">
        <v>511.28</v>
      </c>
      <c r="AT70" s="119">
        <f>+'C&amp;A'!K70+SINDICATO!J70</f>
        <v>802.95999999999992</v>
      </c>
      <c r="AU70" s="31">
        <f t="shared" si="13"/>
        <v>80.295999999999992</v>
      </c>
      <c r="AV70" s="31">
        <f t="shared" si="14"/>
        <v>0</v>
      </c>
      <c r="AW70" s="129">
        <f t="shared" si="15"/>
        <v>0</v>
      </c>
    </row>
    <row r="71" spans="1:50" s="30" customFormat="1" ht="16.5" x14ac:dyDescent="0.3">
      <c r="A71" s="29" t="s">
        <v>285</v>
      </c>
      <c r="B71" s="30" t="s">
        <v>286</v>
      </c>
      <c r="C71" s="31">
        <f t="shared" si="3"/>
        <v>1166.26</v>
      </c>
      <c r="D71" s="31">
        <f t="shared" si="4"/>
        <v>0</v>
      </c>
      <c r="E71" s="31">
        <f t="shared" si="5"/>
        <v>5980.86</v>
      </c>
      <c r="F71" s="31">
        <f t="shared" si="6"/>
        <v>0</v>
      </c>
      <c r="G71" s="31">
        <f t="shared" si="7"/>
        <v>0</v>
      </c>
      <c r="H71" s="31">
        <f t="shared" si="8"/>
        <v>7147.12</v>
      </c>
      <c r="I71" s="31">
        <v>0</v>
      </c>
      <c r="J71" s="31">
        <f>+'C&amp;A'!E71*0.02</f>
        <v>10.2256</v>
      </c>
      <c r="K71" s="31">
        <f t="shared" si="9"/>
        <v>7157.3455999999996</v>
      </c>
      <c r="L71" s="31">
        <f t="shared" si="1"/>
        <v>1145.1752959999999</v>
      </c>
      <c r="M71" s="31">
        <f t="shared" si="10"/>
        <v>8302.520896</v>
      </c>
      <c r="O71" s="18" t="s">
        <v>146</v>
      </c>
      <c r="P71" s="18" t="s">
        <v>147</v>
      </c>
      <c r="Q71" s="19" t="s">
        <v>332</v>
      </c>
      <c r="R71" s="17">
        <v>1166.26</v>
      </c>
      <c r="S71" s="87" t="str">
        <f t="shared" si="11"/>
        <v>SI</v>
      </c>
      <c r="T71" s="87" t="str">
        <f t="shared" si="12"/>
        <v>SI</v>
      </c>
      <c r="U71" s="88" t="s">
        <v>285</v>
      </c>
      <c r="V71" s="89" t="s">
        <v>286</v>
      </c>
      <c r="W71" s="29" t="s">
        <v>285</v>
      </c>
      <c r="X71" s="30" t="s">
        <v>286</v>
      </c>
      <c r="Y71" s="31">
        <v>1166.26</v>
      </c>
      <c r="Z71" s="31">
        <v>0</v>
      </c>
      <c r="AA71" s="31">
        <v>5980.86</v>
      </c>
      <c r="AB71" s="31">
        <v>0</v>
      </c>
      <c r="AC71" s="31">
        <v>0</v>
      </c>
      <c r="AD71" s="31">
        <v>7147.12</v>
      </c>
      <c r="AE71" s="31">
        <v>0</v>
      </c>
      <c r="AF71" s="31">
        <v>21.91</v>
      </c>
      <c r="AG71" s="31">
        <v>7169.03</v>
      </c>
      <c r="AH71" s="31">
        <v>1147.0447999999999</v>
      </c>
      <c r="AI71" s="31">
        <v>8316.0748000000003</v>
      </c>
      <c r="AK71" s="119"/>
      <c r="AN71" s="119">
        <f>+H71-'C&amp;A'!K71-SINDICATO!J71</f>
        <v>643.24080000000049</v>
      </c>
      <c r="AP71" s="30">
        <f>577.4+5926.48</f>
        <v>6503.8799999999992</v>
      </c>
      <c r="AS71" s="30">
        <v>1166.26</v>
      </c>
      <c r="AT71" s="119">
        <f>+'C&amp;A'!K71+SINDICATO!J71</f>
        <v>6503.8791999999994</v>
      </c>
      <c r="AU71" s="31">
        <f t="shared" si="13"/>
        <v>0</v>
      </c>
      <c r="AV71" s="31">
        <f t="shared" si="14"/>
        <v>650.38792000000001</v>
      </c>
      <c r="AW71" s="129">
        <f t="shared" si="15"/>
        <v>0</v>
      </c>
    </row>
    <row r="72" spans="1:50" s="30" customFormat="1" ht="16.5" x14ac:dyDescent="0.3">
      <c r="A72" s="29" t="s">
        <v>342</v>
      </c>
      <c r="B72" s="30" t="s">
        <v>343</v>
      </c>
      <c r="C72" s="31">
        <f t="shared" si="3"/>
        <v>1100</v>
      </c>
      <c r="D72" s="31">
        <f t="shared" si="4"/>
        <v>74.81</v>
      </c>
      <c r="E72" s="31">
        <f t="shared" si="5"/>
        <v>0</v>
      </c>
      <c r="F72" s="31">
        <f t="shared" si="6"/>
        <v>0</v>
      </c>
      <c r="G72" s="31">
        <f t="shared" si="7"/>
        <v>0</v>
      </c>
      <c r="H72" s="31">
        <f t="shared" si="8"/>
        <v>1174.81</v>
      </c>
      <c r="I72" s="31">
        <v>117.48099999999999</v>
      </c>
      <c r="J72" s="31">
        <f>+'C&amp;A'!E72*0.02</f>
        <v>10.2256</v>
      </c>
      <c r="K72" s="31">
        <f t="shared" si="9"/>
        <v>1302.5165999999999</v>
      </c>
      <c r="L72" s="31">
        <f t="shared" si="1"/>
        <v>208.40265599999998</v>
      </c>
      <c r="M72" s="31">
        <f t="shared" si="10"/>
        <v>1510.9192559999999</v>
      </c>
      <c r="O72" s="18" t="s">
        <v>344</v>
      </c>
      <c r="P72" s="18" t="s">
        <v>345</v>
      </c>
      <c r="Q72" s="19" t="s">
        <v>339</v>
      </c>
      <c r="R72" s="17">
        <v>1100</v>
      </c>
      <c r="S72" s="87" t="str">
        <f t="shared" si="11"/>
        <v>SI</v>
      </c>
      <c r="T72" s="87" t="str">
        <f t="shared" si="12"/>
        <v>SI</v>
      </c>
      <c r="U72" s="88" t="s">
        <v>342</v>
      </c>
      <c r="V72" s="89" t="s">
        <v>475</v>
      </c>
      <c r="W72" s="29" t="s">
        <v>342</v>
      </c>
      <c r="X72" s="30" t="s">
        <v>343</v>
      </c>
      <c r="Y72" s="31">
        <v>1100</v>
      </c>
      <c r="Z72" s="31">
        <v>74.81</v>
      </c>
      <c r="AA72" s="31">
        <v>0</v>
      </c>
      <c r="AB72" s="31">
        <v>0</v>
      </c>
      <c r="AC72" s="31">
        <v>0</v>
      </c>
      <c r="AD72" s="31">
        <v>1174.81</v>
      </c>
      <c r="AE72" s="31">
        <v>117.48099999999999</v>
      </c>
      <c r="AF72" s="31">
        <v>21.91</v>
      </c>
      <c r="AG72" s="31">
        <v>1314.201</v>
      </c>
      <c r="AH72" s="31">
        <v>210.27216000000001</v>
      </c>
      <c r="AI72" s="31">
        <v>1524.47316</v>
      </c>
      <c r="AK72" s="119"/>
      <c r="AN72" s="119">
        <f>+H72-'C&amp;A'!K72-SINDICATO!J72</f>
        <v>0</v>
      </c>
      <c r="AS72" s="30">
        <v>1100</v>
      </c>
      <c r="AT72" s="119">
        <f>+'C&amp;A'!K72+SINDICATO!J72</f>
        <v>1174.81</v>
      </c>
      <c r="AU72" s="31">
        <f t="shared" si="13"/>
        <v>117.48099999999999</v>
      </c>
      <c r="AV72" s="31">
        <f t="shared" si="14"/>
        <v>0</v>
      </c>
      <c r="AW72" s="129">
        <f t="shared" si="15"/>
        <v>0</v>
      </c>
    </row>
    <row r="73" spans="1:50" s="30" customFormat="1" ht="16.5" x14ac:dyDescent="0.3">
      <c r="A73" s="29" t="s">
        <v>287</v>
      </c>
      <c r="B73" s="30" t="s">
        <v>288</v>
      </c>
      <c r="C73" s="31">
        <f t="shared" si="3"/>
        <v>0</v>
      </c>
      <c r="D73" s="31">
        <f t="shared" si="4"/>
        <v>0</v>
      </c>
      <c r="E73" s="31">
        <f t="shared" si="5"/>
        <v>931.83</v>
      </c>
      <c r="F73" s="31">
        <f t="shared" si="6"/>
        <v>-45.13</v>
      </c>
      <c r="G73" s="31">
        <f t="shared" si="7"/>
        <v>0</v>
      </c>
      <c r="H73" s="31">
        <f t="shared" si="8"/>
        <v>886.7</v>
      </c>
      <c r="I73" s="31">
        <v>88.670000000000016</v>
      </c>
      <c r="J73" s="31">
        <f>+'C&amp;A'!E73*0.02</f>
        <v>10.2256</v>
      </c>
      <c r="K73" s="31">
        <f t="shared" si="9"/>
        <v>985.5956000000001</v>
      </c>
      <c r="L73" s="31">
        <f t="shared" si="1"/>
        <v>157.69529600000001</v>
      </c>
      <c r="M73" s="31">
        <f t="shared" si="10"/>
        <v>1143.2908960000002</v>
      </c>
      <c r="O73" s="18" t="s">
        <v>148</v>
      </c>
      <c r="P73" s="18" t="s">
        <v>23</v>
      </c>
      <c r="Q73" s="19" t="s">
        <v>321</v>
      </c>
      <c r="R73" s="17">
        <v>0</v>
      </c>
      <c r="S73" s="87" t="str">
        <f t="shared" si="11"/>
        <v>SI</v>
      </c>
      <c r="T73" s="87" t="str">
        <f t="shared" si="12"/>
        <v>SI</v>
      </c>
      <c r="U73" s="88" t="s">
        <v>287</v>
      </c>
      <c r="V73" s="89" t="s">
        <v>288</v>
      </c>
      <c r="W73" s="29" t="s">
        <v>287</v>
      </c>
      <c r="X73" s="30" t="s">
        <v>288</v>
      </c>
      <c r="Y73" s="31">
        <v>0</v>
      </c>
      <c r="Z73" s="31">
        <v>0</v>
      </c>
      <c r="AA73" s="31">
        <v>931.83</v>
      </c>
      <c r="AB73" s="31">
        <v>-45.13</v>
      </c>
      <c r="AC73" s="31">
        <v>0</v>
      </c>
      <c r="AD73" s="31">
        <v>886.7</v>
      </c>
      <c r="AE73" s="31">
        <v>88.670000000000016</v>
      </c>
      <c r="AF73" s="31">
        <v>21.91</v>
      </c>
      <c r="AG73" s="31">
        <v>997.28000000000009</v>
      </c>
      <c r="AH73" s="31">
        <v>159.56480000000002</v>
      </c>
      <c r="AI73" s="31">
        <v>1156.8448000000001</v>
      </c>
      <c r="AK73" s="119"/>
      <c r="AN73" s="119">
        <f>+H73-'C&amp;A'!K73-SINDICATO!J73</f>
        <v>0</v>
      </c>
      <c r="AP73" s="30">
        <f>513.33+577.4+309.3</f>
        <v>1400.03</v>
      </c>
      <c r="AT73" s="119">
        <f>+'C&amp;A'!K73+SINDICATO!J73</f>
        <v>886.7</v>
      </c>
      <c r="AU73" s="31">
        <f t="shared" si="13"/>
        <v>88.670000000000016</v>
      </c>
      <c r="AV73" s="31">
        <f t="shared" si="14"/>
        <v>0</v>
      </c>
      <c r="AW73" s="129">
        <f t="shared" si="15"/>
        <v>0</v>
      </c>
    </row>
    <row r="74" spans="1:50" s="30" customFormat="1" ht="16.5" x14ac:dyDescent="0.3">
      <c r="A74" s="29" t="s">
        <v>289</v>
      </c>
      <c r="B74" s="30" t="s">
        <v>290</v>
      </c>
      <c r="C74" s="31">
        <f t="shared" si="3"/>
        <v>513.33000000000004</v>
      </c>
      <c r="D74" s="31">
        <f t="shared" si="4"/>
        <v>93.68</v>
      </c>
      <c r="E74" s="31">
        <f t="shared" si="5"/>
        <v>868.17</v>
      </c>
      <c r="F74" s="31">
        <f t="shared" si="6"/>
        <v>-58.55</v>
      </c>
      <c r="G74" s="31">
        <f t="shared" si="7"/>
        <v>137.07</v>
      </c>
      <c r="H74" s="31">
        <f t="shared" si="8"/>
        <v>1416.6299999999999</v>
      </c>
      <c r="I74" s="31">
        <v>127.956</v>
      </c>
      <c r="J74" s="31">
        <f>+'C&amp;A'!E74*0.02</f>
        <v>10.2256</v>
      </c>
      <c r="K74" s="31">
        <f t="shared" si="9"/>
        <v>1554.8115999999998</v>
      </c>
      <c r="L74" s="31">
        <f t="shared" ref="L74:L90" si="16">+K74*0.16</f>
        <v>248.76985599999998</v>
      </c>
      <c r="M74" s="31">
        <f t="shared" si="10"/>
        <v>1803.5814559999997</v>
      </c>
      <c r="O74" s="18" t="s">
        <v>149</v>
      </c>
      <c r="P74" s="18" t="s">
        <v>24</v>
      </c>
      <c r="Q74" s="19" t="s">
        <v>327</v>
      </c>
      <c r="R74" s="17">
        <v>513.33000000000004</v>
      </c>
      <c r="S74" s="87" t="str">
        <f t="shared" si="11"/>
        <v>SI</v>
      </c>
      <c r="T74" s="87" t="str">
        <f t="shared" si="12"/>
        <v>SI</v>
      </c>
      <c r="U74" s="88" t="s">
        <v>289</v>
      </c>
      <c r="V74" s="89" t="s">
        <v>290</v>
      </c>
      <c r="W74" s="29" t="s">
        <v>289</v>
      </c>
      <c r="X74" s="30" t="s">
        <v>290</v>
      </c>
      <c r="Y74" s="31">
        <v>513.33000000000004</v>
      </c>
      <c r="Z74" s="31">
        <v>93.68</v>
      </c>
      <c r="AA74" s="31">
        <v>868.17</v>
      </c>
      <c r="AB74" s="31">
        <v>-58.55</v>
      </c>
      <c r="AC74" s="31">
        <v>-137.07</v>
      </c>
      <c r="AD74" s="31">
        <v>1279.56</v>
      </c>
      <c r="AE74" s="31">
        <v>127.956</v>
      </c>
      <c r="AF74" s="31">
        <v>21.91</v>
      </c>
      <c r="AG74" s="31">
        <v>1429.4259999999999</v>
      </c>
      <c r="AH74" s="31">
        <v>228.70815999999999</v>
      </c>
      <c r="AI74" s="31">
        <v>1658.1341599999998</v>
      </c>
      <c r="AK74" s="119"/>
      <c r="AN74" s="119">
        <f>+H74-'C&amp;A'!K74-SINDICATO!J74</f>
        <v>137.07000000000005</v>
      </c>
      <c r="AS74" s="30">
        <v>513.33000000000004</v>
      </c>
      <c r="AT74" s="119">
        <f>+'C&amp;A'!K74+SINDICATO!J74</f>
        <v>1279.56</v>
      </c>
      <c r="AU74" s="31">
        <f t="shared" si="13"/>
        <v>127.956</v>
      </c>
      <c r="AV74" s="31">
        <f t="shared" si="14"/>
        <v>0</v>
      </c>
      <c r="AW74" s="129">
        <f t="shared" si="15"/>
        <v>0</v>
      </c>
    </row>
    <row r="75" spans="1:50" s="30" customFormat="1" ht="16.5" x14ac:dyDescent="0.3">
      <c r="A75" s="29" t="s">
        <v>291</v>
      </c>
      <c r="B75" s="30" t="s">
        <v>292</v>
      </c>
      <c r="C75" s="31">
        <f t="shared" ref="C75:C90" si="17">+Y75</f>
        <v>513.33000000000004</v>
      </c>
      <c r="D75" s="31">
        <f t="shared" ref="D75:D90" si="18">+Z75</f>
        <v>0</v>
      </c>
      <c r="E75" s="31">
        <f t="shared" ref="E75:E90" si="19">+AA75</f>
        <v>3630.27</v>
      </c>
      <c r="F75" s="31">
        <f t="shared" ref="F75:F90" si="20">AB75</f>
        <v>-45.13</v>
      </c>
      <c r="G75" s="31">
        <f t="shared" ref="G75:G90" si="21">-AC75</f>
        <v>0</v>
      </c>
      <c r="H75" s="31">
        <f t="shared" ref="H75:H90" si="22">+C75+D75+E75+F75</f>
        <v>4098.47</v>
      </c>
      <c r="I75" s="31">
        <v>409.84700000000004</v>
      </c>
      <c r="J75" s="31">
        <f>+'C&amp;A'!E75*0.02</f>
        <v>10.2256</v>
      </c>
      <c r="K75" s="31">
        <f t="shared" ref="K75:K90" si="23">SUM(H75:J75)</f>
        <v>4518.5425999999998</v>
      </c>
      <c r="L75" s="31">
        <f t="shared" si="16"/>
        <v>722.96681599999999</v>
      </c>
      <c r="M75" s="31">
        <f t="shared" ref="M75:M90" si="24">+K75+L75</f>
        <v>5241.5094159999999</v>
      </c>
      <c r="O75" s="18" t="s">
        <v>150</v>
      </c>
      <c r="P75" s="18" t="s">
        <v>151</v>
      </c>
      <c r="Q75" s="19" t="s">
        <v>327</v>
      </c>
      <c r="R75" s="17">
        <v>513.33000000000004</v>
      </c>
      <c r="S75" s="87" t="str">
        <f t="shared" ref="S75:S90" si="25">IF(A75=W75,"SI","NO")</f>
        <v>SI</v>
      </c>
      <c r="T75" s="87" t="str">
        <f t="shared" ref="T75:T90" si="26">IF(A75=U75,"SI","NO")</f>
        <v>SI</v>
      </c>
      <c r="U75" s="88" t="s">
        <v>291</v>
      </c>
      <c r="V75" s="89" t="s">
        <v>292</v>
      </c>
      <c r="W75" s="29" t="s">
        <v>291</v>
      </c>
      <c r="X75" s="30" t="s">
        <v>292</v>
      </c>
      <c r="Y75" s="31">
        <v>513.33000000000004</v>
      </c>
      <c r="Z75" s="31">
        <v>0</v>
      </c>
      <c r="AA75" s="31">
        <v>3630.27</v>
      </c>
      <c r="AB75" s="31">
        <v>-45.13</v>
      </c>
      <c r="AC75" s="31">
        <v>0</v>
      </c>
      <c r="AD75" s="31">
        <v>4098.47</v>
      </c>
      <c r="AE75" s="31">
        <v>409.84700000000004</v>
      </c>
      <c r="AF75" s="31">
        <v>21.91</v>
      </c>
      <c r="AG75" s="31">
        <v>4530.2269999999999</v>
      </c>
      <c r="AH75" s="31">
        <v>724.83632</v>
      </c>
      <c r="AI75" s="31">
        <v>5255.0633200000002</v>
      </c>
      <c r="AK75" s="119"/>
      <c r="AN75" s="119">
        <f>+H75-'C&amp;A'!K75-SINDICATO!J75</f>
        <v>0</v>
      </c>
      <c r="AP75" s="30">
        <f>577.2+3521.27</f>
        <v>4098.47</v>
      </c>
      <c r="AS75" s="30">
        <v>513.33000000000004</v>
      </c>
      <c r="AT75" s="119">
        <f>+'C&amp;A'!K75+SINDICATO!J75</f>
        <v>4098.47</v>
      </c>
      <c r="AU75" s="31">
        <f t="shared" ref="AU75:AU90" si="27">IF(AT75&lt;=5000,AT75*0.1,0)</f>
        <v>409.84700000000004</v>
      </c>
      <c r="AV75" s="31">
        <f t="shared" ref="AV75:AV90" si="28">IF(AT75&gt;=5000,AT75*0.1,0)</f>
        <v>0</v>
      </c>
      <c r="AW75" s="129">
        <f t="shared" ref="AW75:AW90" si="29">+AS75-C75</f>
        <v>0</v>
      </c>
    </row>
    <row r="76" spans="1:50" s="30" customFormat="1" ht="16.5" x14ac:dyDescent="0.3">
      <c r="A76" s="29" t="s">
        <v>293</v>
      </c>
      <c r="B76" s="30" t="s">
        <v>294</v>
      </c>
      <c r="C76" s="31">
        <f t="shared" si="17"/>
        <v>543.20000000000005</v>
      </c>
      <c r="D76" s="31">
        <f t="shared" si="18"/>
        <v>0</v>
      </c>
      <c r="E76" s="31">
        <f t="shared" si="19"/>
        <v>1097.8999999999999</v>
      </c>
      <c r="F76" s="31">
        <f t="shared" si="20"/>
        <v>-45.13</v>
      </c>
      <c r="G76" s="31">
        <f t="shared" si="21"/>
        <v>0</v>
      </c>
      <c r="H76" s="31">
        <f t="shared" si="22"/>
        <v>1595.9699999999998</v>
      </c>
      <c r="I76" s="31">
        <v>159.59699999999998</v>
      </c>
      <c r="J76" s="31">
        <f>+'C&amp;A'!E76*0.02</f>
        <v>10.2256</v>
      </c>
      <c r="K76" s="31">
        <f t="shared" si="23"/>
        <v>1765.7925999999998</v>
      </c>
      <c r="L76" s="31">
        <f t="shared" si="16"/>
        <v>282.526816</v>
      </c>
      <c r="M76" s="31">
        <f t="shared" si="24"/>
        <v>2048.3194159999998</v>
      </c>
      <c r="O76" s="18" t="s">
        <v>152</v>
      </c>
      <c r="P76" s="18" t="s">
        <v>153</v>
      </c>
      <c r="Q76" s="19" t="s">
        <v>347</v>
      </c>
      <c r="R76" s="17">
        <v>543.20000000000005</v>
      </c>
      <c r="S76" s="87" t="str">
        <f t="shared" si="25"/>
        <v>SI</v>
      </c>
      <c r="T76" s="87" t="str">
        <f t="shared" si="26"/>
        <v>SI</v>
      </c>
      <c r="U76" s="88" t="s">
        <v>293</v>
      </c>
      <c r="V76" s="89" t="s">
        <v>294</v>
      </c>
      <c r="W76" s="29" t="s">
        <v>293</v>
      </c>
      <c r="X76" s="30" t="s">
        <v>294</v>
      </c>
      <c r="Y76" s="31">
        <v>543.20000000000005</v>
      </c>
      <c r="Z76" s="31">
        <v>0</v>
      </c>
      <c r="AA76" s="31">
        <v>1097.8999999999999</v>
      </c>
      <c r="AB76" s="31">
        <v>-45.13</v>
      </c>
      <c r="AC76" s="31">
        <v>0</v>
      </c>
      <c r="AD76" s="31">
        <v>1595.9699999999998</v>
      </c>
      <c r="AE76" s="31">
        <v>159.59699999999998</v>
      </c>
      <c r="AF76" s="31">
        <v>21.91</v>
      </c>
      <c r="AG76" s="31">
        <v>1777.4769999999999</v>
      </c>
      <c r="AH76" s="31">
        <v>284.39632</v>
      </c>
      <c r="AI76" s="31">
        <v>2061.8733199999997</v>
      </c>
      <c r="AK76" s="119"/>
      <c r="AN76" s="119">
        <f>+H76-'C&amp;A'!K76-SINDICATO!J76</f>
        <v>0</v>
      </c>
      <c r="AP76" s="30">
        <f>577.4+1018.77</f>
        <v>1596.17</v>
      </c>
      <c r="AS76" s="30">
        <v>543.20000000000005</v>
      </c>
      <c r="AT76" s="119">
        <f>+'C&amp;A'!K76+SINDICATO!J76</f>
        <v>1595.9699999999998</v>
      </c>
      <c r="AU76" s="31">
        <f t="shared" si="27"/>
        <v>159.59699999999998</v>
      </c>
      <c r="AV76" s="31">
        <f t="shared" si="28"/>
        <v>0</v>
      </c>
      <c r="AW76" s="129">
        <f t="shared" si="29"/>
        <v>0</v>
      </c>
    </row>
    <row r="77" spans="1:50" s="30" customFormat="1" ht="16.5" x14ac:dyDescent="0.3">
      <c r="A77" s="29" t="s">
        <v>295</v>
      </c>
      <c r="B77" s="30" t="s">
        <v>296</v>
      </c>
      <c r="C77" s="31">
        <f t="shared" si="17"/>
        <v>608.16</v>
      </c>
      <c r="D77" s="31">
        <f t="shared" si="18"/>
        <v>74.81</v>
      </c>
      <c r="E77" s="31">
        <f t="shared" si="19"/>
        <v>1511.21</v>
      </c>
      <c r="F77" s="31">
        <f t="shared" si="20"/>
        <v>-290.02999999999997</v>
      </c>
      <c r="G77" s="31">
        <f t="shared" si="21"/>
        <v>0</v>
      </c>
      <c r="H77" s="31">
        <f t="shared" si="22"/>
        <v>1904.1500000000003</v>
      </c>
      <c r="I77" s="31">
        <v>190.41500000000008</v>
      </c>
      <c r="J77" s="31">
        <f>+'C&amp;A'!E77*0.02</f>
        <v>10.2256</v>
      </c>
      <c r="K77" s="31">
        <f t="shared" si="23"/>
        <v>2104.7906000000007</v>
      </c>
      <c r="L77" s="31">
        <f t="shared" si="16"/>
        <v>336.76649600000013</v>
      </c>
      <c r="M77" s="31">
        <f t="shared" si="24"/>
        <v>2441.5570960000009</v>
      </c>
      <c r="O77" s="18" t="s">
        <v>154</v>
      </c>
      <c r="P77" s="18" t="s">
        <v>22</v>
      </c>
      <c r="Q77" s="19" t="s">
        <v>347</v>
      </c>
      <c r="R77" s="17">
        <v>608.16</v>
      </c>
      <c r="S77" s="87" t="str">
        <f t="shared" si="25"/>
        <v>SI</v>
      </c>
      <c r="T77" s="87" t="str">
        <f t="shared" si="26"/>
        <v>SI</v>
      </c>
      <c r="U77" s="88" t="s">
        <v>295</v>
      </c>
      <c r="V77" s="89" t="s">
        <v>296</v>
      </c>
      <c r="W77" s="29" t="s">
        <v>295</v>
      </c>
      <c r="X77" s="30" t="s">
        <v>296</v>
      </c>
      <c r="Y77" s="31">
        <v>608.16</v>
      </c>
      <c r="Z77" s="31">
        <v>74.81</v>
      </c>
      <c r="AA77" s="31">
        <v>1511.21</v>
      </c>
      <c r="AB77" s="31">
        <v>-290.02999999999997</v>
      </c>
      <c r="AC77" s="31">
        <v>0</v>
      </c>
      <c r="AD77" s="31">
        <v>1904.1500000000003</v>
      </c>
      <c r="AE77" s="31">
        <v>190.41500000000005</v>
      </c>
      <c r="AF77" s="31">
        <v>21.91</v>
      </c>
      <c r="AG77" s="31">
        <v>2116.4750000000004</v>
      </c>
      <c r="AH77" s="31">
        <v>338.63600000000008</v>
      </c>
      <c r="AI77" s="31">
        <v>2455.1110000000003</v>
      </c>
      <c r="AK77" s="119"/>
      <c r="AN77" s="119">
        <f>+H77-'C&amp;A'!K77-SINDICATO!J77</f>
        <v>0</v>
      </c>
      <c r="AP77" s="30">
        <f>577.4+1326.75</f>
        <v>1904.15</v>
      </c>
      <c r="AS77" s="30">
        <v>608.16</v>
      </c>
      <c r="AT77" s="119">
        <f>+'C&amp;A'!K77+SINDICATO!J77</f>
        <v>1904.1500000000005</v>
      </c>
      <c r="AU77" s="31">
        <f t="shared" si="27"/>
        <v>190.41500000000008</v>
      </c>
      <c r="AV77" s="31">
        <f t="shared" si="28"/>
        <v>0</v>
      </c>
      <c r="AW77" s="129">
        <f t="shared" si="29"/>
        <v>0</v>
      </c>
    </row>
    <row r="78" spans="1:50" s="30" customFormat="1" ht="16.5" x14ac:dyDescent="0.3">
      <c r="A78" s="29" t="s">
        <v>478</v>
      </c>
      <c r="B78" s="30" t="s">
        <v>297</v>
      </c>
      <c r="C78" s="31">
        <f t="shared" si="17"/>
        <v>0</v>
      </c>
      <c r="D78" s="31">
        <f t="shared" si="18"/>
        <v>0</v>
      </c>
      <c r="E78" s="31">
        <f t="shared" si="19"/>
        <v>1966.72</v>
      </c>
      <c r="F78" s="31">
        <f t="shared" si="20"/>
        <v>-45.13</v>
      </c>
      <c r="G78" s="31">
        <f t="shared" si="21"/>
        <v>0</v>
      </c>
      <c r="H78" s="31">
        <f t="shared" si="22"/>
        <v>1921.59</v>
      </c>
      <c r="I78" s="31">
        <v>192.15900000000002</v>
      </c>
      <c r="J78" s="31">
        <f>+'C&amp;A'!E78*0.02</f>
        <v>10.2256</v>
      </c>
      <c r="K78" s="31">
        <f t="shared" si="23"/>
        <v>2123.9746</v>
      </c>
      <c r="L78" s="31">
        <f t="shared" si="16"/>
        <v>339.835936</v>
      </c>
      <c r="M78" s="31">
        <f t="shared" si="24"/>
        <v>2463.810536</v>
      </c>
      <c r="O78" s="18" t="s">
        <v>155</v>
      </c>
      <c r="P78" s="18" t="s">
        <v>156</v>
      </c>
      <c r="Q78" s="19" t="s">
        <v>336</v>
      </c>
      <c r="R78" s="17">
        <v>0</v>
      </c>
      <c r="S78" s="87" t="str">
        <f t="shared" si="25"/>
        <v>SI</v>
      </c>
      <c r="T78" s="87" t="str">
        <f t="shared" si="26"/>
        <v>SI</v>
      </c>
      <c r="U78" s="88" t="s">
        <v>478</v>
      </c>
      <c r="V78" s="89" t="s">
        <v>297</v>
      </c>
      <c r="W78" s="29" t="s">
        <v>478</v>
      </c>
      <c r="X78" s="30" t="s">
        <v>297</v>
      </c>
      <c r="Y78" s="31">
        <v>0</v>
      </c>
      <c r="Z78" s="31"/>
      <c r="AA78" s="31">
        <v>1966.72</v>
      </c>
      <c r="AB78" s="31">
        <v>-45.13</v>
      </c>
      <c r="AC78" s="31">
        <v>0</v>
      </c>
      <c r="AD78" s="31">
        <v>1921.59</v>
      </c>
      <c r="AE78" s="31">
        <v>192.15899999999999</v>
      </c>
      <c r="AF78" s="31">
        <v>21.91</v>
      </c>
      <c r="AG78" s="31">
        <v>2135.6589999999997</v>
      </c>
      <c r="AH78" s="31">
        <v>341.70543999999995</v>
      </c>
      <c r="AI78" s="31">
        <v>2477.3644399999994</v>
      </c>
      <c r="AK78" s="119"/>
      <c r="AN78" s="119">
        <f>+H78-'C&amp;A'!K78-SINDICATO!J78</f>
        <v>0</v>
      </c>
      <c r="AP78" s="30">
        <f>513.33+577.4+1344.19</f>
        <v>2434.92</v>
      </c>
      <c r="AT78" s="119">
        <f>+'C&amp;A'!K78+SINDICATO!J78</f>
        <v>1921.5900000000001</v>
      </c>
      <c r="AU78" s="31">
        <f t="shared" si="27"/>
        <v>192.15900000000002</v>
      </c>
      <c r="AV78" s="31">
        <f t="shared" si="28"/>
        <v>0</v>
      </c>
      <c r="AW78" s="130">
        <f t="shared" si="29"/>
        <v>0</v>
      </c>
      <c r="AX78" s="30" t="s">
        <v>503</v>
      </c>
    </row>
    <row r="79" spans="1:50" s="30" customFormat="1" ht="16.5" x14ac:dyDescent="0.3">
      <c r="A79" s="29" t="s">
        <v>298</v>
      </c>
      <c r="B79" s="30" t="s">
        <v>299</v>
      </c>
      <c r="C79" s="31">
        <f t="shared" si="17"/>
        <v>1400</v>
      </c>
      <c r="D79" s="31">
        <f t="shared" si="18"/>
        <v>0</v>
      </c>
      <c r="E79" s="31">
        <f t="shared" si="19"/>
        <v>0</v>
      </c>
      <c r="F79" s="31">
        <f t="shared" si="20"/>
        <v>0</v>
      </c>
      <c r="G79" s="31">
        <f t="shared" si="21"/>
        <v>355.65</v>
      </c>
      <c r="H79" s="31">
        <f t="shared" si="22"/>
        <v>1400</v>
      </c>
      <c r="I79" s="31">
        <v>104.435</v>
      </c>
      <c r="J79" s="31">
        <f>+'C&amp;A'!E79*0.02</f>
        <v>10.2256</v>
      </c>
      <c r="K79" s="31">
        <f t="shared" si="23"/>
        <v>1514.6605999999999</v>
      </c>
      <c r="L79" s="31">
        <f t="shared" si="16"/>
        <v>242.345696</v>
      </c>
      <c r="M79" s="31">
        <f t="shared" si="24"/>
        <v>1757.006296</v>
      </c>
      <c r="O79" s="18" t="s">
        <v>157</v>
      </c>
      <c r="P79" s="18" t="s">
        <v>158</v>
      </c>
      <c r="Q79" s="19" t="s">
        <v>340</v>
      </c>
      <c r="R79" s="17">
        <v>1400</v>
      </c>
      <c r="S79" s="87" t="str">
        <f t="shared" si="25"/>
        <v>SI</v>
      </c>
      <c r="T79" s="87" t="str">
        <f t="shared" si="26"/>
        <v>SI</v>
      </c>
      <c r="U79" s="88" t="s">
        <v>298</v>
      </c>
      <c r="V79" s="89" t="s">
        <v>299</v>
      </c>
      <c r="W79" s="29" t="s">
        <v>298</v>
      </c>
      <c r="X79" s="30" t="s">
        <v>299</v>
      </c>
      <c r="Y79" s="31">
        <v>1400</v>
      </c>
      <c r="Z79" s="31">
        <v>0</v>
      </c>
      <c r="AA79" s="31">
        <v>0</v>
      </c>
      <c r="AB79" s="31">
        <v>0</v>
      </c>
      <c r="AC79" s="31">
        <v>-355.65</v>
      </c>
      <c r="AD79" s="31">
        <v>1044.3499999999999</v>
      </c>
      <c r="AE79" s="31">
        <v>104.435</v>
      </c>
      <c r="AF79" s="31">
        <v>21.91</v>
      </c>
      <c r="AG79" s="31">
        <v>1170.6949999999999</v>
      </c>
      <c r="AH79" s="31">
        <v>187.31119999999999</v>
      </c>
      <c r="AI79" s="31">
        <v>1358.0061999999998</v>
      </c>
      <c r="AK79" s="119"/>
      <c r="AN79" s="119">
        <f>+H79-'C&amp;A'!K79-SINDICATO!J79</f>
        <v>355.65</v>
      </c>
      <c r="AP79" s="30">
        <f>577.4+466.95</f>
        <v>1044.3499999999999</v>
      </c>
      <c r="AS79" s="30">
        <v>1400</v>
      </c>
      <c r="AT79" s="119">
        <f>+'C&amp;A'!K79+SINDICATO!J79</f>
        <v>1044.3499999999999</v>
      </c>
      <c r="AU79" s="31">
        <f t="shared" si="27"/>
        <v>104.435</v>
      </c>
      <c r="AV79" s="31">
        <f t="shared" si="28"/>
        <v>0</v>
      </c>
      <c r="AW79" s="129">
        <f t="shared" si="29"/>
        <v>0</v>
      </c>
    </row>
    <row r="80" spans="1:50" s="30" customFormat="1" ht="16.5" x14ac:dyDescent="0.3">
      <c r="A80" s="29"/>
      <c r="B80" s="30" t="s">
        <v>328</v>
      </c>
      <c r="C80" s="31">
        <f t="shared" si="17"/>
        <v>0</v>
      </c>
      <c r="D80" s="31">
        <f t="shared" si="18"/>
        <v>0</v>
      </c>
      <c r="E80" s="31">
        <f t="shared" si="19"/>
        <v>6078.08</v>
      </c>
      <c r="F80" s="31">
        <f t="shared" si="20"/>
        <v>0</v>
      </c>
      <c r="G80" s="31">
        <f t="shared" si="21"/>
        <v>0</v>
      </c>
      <c r="H80" s="31">
        <f t="shared" si="22"/>
        <v>6078.08</v>
      </c>
      <c r="I80" s="31">
        <v>0</v>
      </c>
      <c r="J80" s="31">
        <f>+'C&amp;A'!E80*0.02</f>
        <v>10.2256</v>
      </c>
      <c r="K80" s="31">
        <f t="shared" si="23"/>
        <v>6088.3055999999997</v>
      </c>
      <c r="L80" s="31">
        <f t="shared" si="16"/>
        <v>974.12889599999994</v>
      </c>
      <c r="M80" s="31">
        <f t="shared" si="24"/>
        <v>7062.4344959999999</v>
      </c>
      <c r="O80" s="18" t="s">
        <v>325</v>
      </c>
      <c r="P80" s="18" t="s">
        <v>326</v>
      </c>
      <c r="Q80" s="19" t="s">
        <v>329</v>
      </c>
      <c r="R80" s="17">
        <v>513.33000000000004</v>
      </c>
      <c r="S80" s="87" t="str">
        <f t="shared" si="25"/>
        <v>SI</v>
      </c>
      <c r="T80" s="87" t="str">
        <f t="shared" si="26"/>
        <v>SI</v>
      </c>
      <c r="W80" s="29"/>
      <c r="X80" s="30" t="s">
        <v>328</v>
      </c>
      <c r="Y80" s="31">
        <v>0</v>
      </c>
      <c r="Z80" s="31">
        <v>0</v>
      </c>
      <c r="AA80" s="31">
        <v>6078.08</v>
      </c>
      <c r="AB80" s="31">
        <v>0</v>
      </c>
      <c r="AC80" s="31">
        <v>0</v>
      </c>
      <c r="AD80" s="31">
        <v>6078.08</v>
      </c>
      <c r="AE80" s="31">
        <v>0</v>
      </c>
      <c r="AF80" s="31">
        <v>21.91</v>
      </c>
      <c r="AG80" s="31">
        <v>6099.99</v>
      </c>
      <c r="AH80" s="31">
        <v>975.99839999999995</v>
      </c>
      <c r="AI80" s="31">
        <v>7075.9884000000002</v>
      </c>
      <c r="AK80" s="119"/>
      <c r="AN80" s="119">
        <f>+H80-'C&amp;A'!K80-SINDICATO!J80</f>
        <v>547.02720000000045</v>
      </c>
      <c r="AT80" s="119">
        <f>+'C&amp;A'!K80+SINDICATO!J80</f>
        <v>5531.0527999999995</v>
      </c>
      <c r="AU80" s="31">
        <f t="shared" si="27"/>
        <v>0</v>
      </c>
      <c r="AV80" s="31">
        <f t="shared" si="28"/>
        <v>553.10527999999999</v>
      </c>
      <c r="AW80" s="130">
        <f t="shared" si="29"/>
        <v>0</v>
      </c>
      <c r="AX80" s="30" t="s">
        <v>503</v>
      </c>
    </row>
    <row r="81" spans="1:50" s="30" customFormat="1" ht="16.5" x14ac:dyDescent="0.3">
      <c r="A81" s="29" t="s">
        <v>300</v>
      </c>
      <c r="B81" s="30" t="s">
        <v>301</v>
      </c>
      <c r="C81" s="31">
        <f t="shared" si="17"/>
        <v>0</v>
      </c>
      <c r="D81" s="31">
        <f t="shared" si="18"/>
        <v>0</v>
      </c>
      <c r="E81" s="31">
        <f t="shared" si="19"/>
        <v>794.59</v>
      </c>
      <c r="F81" s="31">
        <f t="shared" si="20"/>
        <v>0</v>
      </c>
      <c r="G81" s="31">
        <f t="shared" si="21"/>
        <v>0</v>
      </c>
      <c r="H81" s="31">
        <f t="shared" si="22"/>
        <v>794.59</v>
      </c>
      <c r="I81" s="31">
        <v>79.459000000000003</v>
      </c>
      <c r="J81" s="31">
        <f>+'C&amp;A'!E81*0.02</f>
        <v>10.2256</v>
      </c>
      <c r="K81" s="31">
        <f t="shared" si="23"/>
        <v>884.27459999999996</v>
      </c>
      <c r="L81" s="31">
        <f t="shared" si="16"/>
        <v>141.483936</v>
      </c>
      <c r="M81" s="31">
        <f t="shared" si="24"/>
        <v>1025.758536</v>
      </c>
      <c r="O81" s="18" t="s">
        <v>159</v>
      </c>
      <c r="P81" s="18" t="s">
        <v>160</v>
      </c>
      <c r="Q81" s="19" t="s">
        <v>321</v>
      </c>
      <c r="R81" s="17">
        <v>0</v>
      </c>
      <c r="S81" s="87" t="str">
        <f t="shared" si="25"/>
        <v>SI</v>
      </c>
      <c r="T81" s="87" t="str">
        <f t="shared" si="26"/>
        <v>SI</v>
      </c>
      <c r="U81" s="88" t="s">
        <v>300</v>
      </c>
      <c r="V81" s="89" t="s">
        <v>301</v>
      </c>
      <c r="W81" s="29" t="s">
        <v>300</v>
      </c>
      <c r="X81" s="30" t="s">
        <v>301</v>
      </c>
      <c r="Y81" s="31">
        <v>0</v>
      </c>
      <c r="Z81" s="31">
        <v>0</v>
      </c>
      <c r="AA81" s="31">
        <v>794.59</v>
      </c>
      <c r="AB81" s="31">
        <v>0</v>
      </c>
      <c r="AC81" s="31">
        <v>0</v>
      </c>
      <c r="AD81" s="31">
        <v>794.59</v>
      </c>
      <c r="AE81" s="31">
        <v>79.459000000000003</v>
      </c>
      <c r="AF81" s="31">
        <v>21.91</v>
      </c>
      <c r="AG81" s="31">
        <v>895.95899999999995</v>
      </c>
      <c r="AH81" s="31">
        <v>143.35344000000001</v>
      </c>
      <c r="AI81" s="31">
        <v>1039.3124399999999</v>
      </c>
      <c r="AK81" s="119"/>
      <c r="AN81" s="119">
        <f>+H81-'C&amp;A'!K81-SINDICATO!J81</f>
        <v>0</v>
      </c>
      <c r="AP81" s="30">
        <f>513.33+577.2+217.39</f>
        <v>1307.92</v>
      </c>
      <c r="AT81" s="119">
        <f>+'C&amp;A'!K81+SINDICATO!J81</f>
        <v>794.59</v>
      </c>
      <c r="AU81" s="31">
        <f t="shared" si="27"/>
        <v>79.459000000000003</v>
      </c>
      <c r="AV81" s="31">
        <f t="shared" si="28"/>
        <v>0</v>
      </c>
      <c r="AW81" s="130">
        <f t="shared" si="29"/>
        <v>0</v>
      </c>
      <c r="AX81" s="30" t="s">
        <v>503</v>
      </c>
    </row>
    <row r="82" spans="1:50" s="30" customFormat="1" ht="16.5" x14ac:dyDescent="0.3">
      <c r="A82" s="29" t="s">
        <v>302</v>
      </c>
      <c r="B82" s="30" t="s">
        <v>303</v>
      </c>
      <c r="C82" s="31">
        <f t="shared" si="17"/>
        <v>0</v>
      </c>
      <c r="D82" s="31">
        <f t="shared" si="18"/>
        <v>0</v>
      </c>
      <c r="E82" s="31">
        <f t="shared" si="19"/>
        <v>1920.53</v>
      </c>
      <c r="F82" s="31">
        <f t="shared" si="20"/>
        <v>-45.13</v>
      </c>
      <c r="G82" s="31">
        <f t="shared" si="21"/>
        <v>0</v>
      </c>
      <c r="H82" s="31">
        <f t="shared" si="22"/>
        <v>1875.3999999999999</v>
      </c>
      <c r="I82" s="31">
        <v>187.54000000000002</v>
      </c>
      <c r="J82" s="31">
        <f>+'C&amp;A'!E82*0.02</f>
        <v>10.2256</v>
      </c>
      <c r="K82" s="31">
        <f t="shared" si="23"/>
        <v>2073.1656000000003</v>
      </c>
      <c r="L82" s="31">
        <f t="shared" si="16"/>
        <v>331.70649600000007</v>
      </c>
      <c r="M82" s="31">
        <f t="shared" si="24"/>
        <v>2404.8720960000005</v>
      </c>
      <c r="O82" s="18" t="s">
        <v>161</v>
      </c>
      <c r="P82" s="18" t="s">
        <v>102</v>
      </c>
      <c r="Q82" s="19" t="s">
        <v>337</v>
      </c>
      <c r="R82" s="17">
        <v>0</v>
      </c>
      <c r="S82" s="87" t="str">
        <f t="shared" si="25"/>
        <v>SI</v>
      </c>
      <c r="T82" s="87" t="str">
        <f t="shared" si="26"/>
        <v>SI</v>
      </c>
      <c r="U82" s="88" t="s">
        <v>302</v>
      </c>
      <c r="V82" s="89" t="s">
        <v>303</v>
      </c>
      <c r="W82" s="29" t="s">
        <v>302</v>
      </c>
      <c r="X82" s="30" t="s">
        <v>303</v>
      </c>
      <c r="Y82" s="31">
        <v>0</v>
      </c>
      <c r="Z82" s="31">
        <v>0</v>
      </c>
      <c r="AA82" s="31">
        <v>1920.53</v>
      </c>
      <c r="AB82" s="31">
        <v>-45.13</v>
      </c>
      <c r="AC82" s="31">
        <v>0</v>
      </c>
      <c r="AD82" s="31">
        <v>1875.3999999999999</v>
      </c>
      <c r="AE82" s="31">
        <v>187.54</v>
      </c>
      <c r="AF82" s="31">
        <v>21.91</v>
      </c>
      <c r="AG82" s="31">
        <v>2084.85</v>
      </c>
      <c r="AH82" s="31">
        <v>333.57599999999996</v>
      </c>
      <c r="AI82" s="31">
        <v>2418.4259999999999</v>
      </c>
      <c r="AK82" s="119"/>
      <c r="AN82" s="119">
        <f>+H82-'C&amp;A'!K82-SINDICATO!J82</f>
        <v>0</v>
      </c>
      <c r="AP82" s="30">
        <f>513.33+577.4+1298</f>
        <v>2388.73</v>
      </c>
      <c r="AT82" s="119">
        <f>+'C&amp;A'!K82+SINDICATO!J82</f>
        <v>1875.4</v>
      </c>
      <c r="AU82" s="31">
        <f t="shared" si="27"/>
        <v>187.54000000000002</v>
      </c>
      <c r="AV82" s="31">
        <f t="shared" si="28"/>
        <v>0</v>
      </c>
      <c r="AW82" s="130">
        <f t="shared" si="29"/>
        <v>0</v>
      </c>
      <c r="AX82" s="30" t="s">
        <v>503</v>
      </c>
    </row>
    <row r="83" spans="1:50" s="30" customFormat="1" ht="16.5" x14ac:dyDescent="0.3">
      <c r="A83" s="29" t="s">
        <v>304</v>
      </c>
      <c r="B83" s="30" t="s">
        <v>305</v>
      </c>
      <c r="C83" s="31">
        <f t="shared" si="17"/>
        <v>1166.26</v>
      </c>
      <c r="D83" s="31">
        <f t="shared" si="18"/>
        <v>0</v>
      </c>
      <c r="E83" s="31">
        <f t="shared" si="19"/>
        <v>2090.96</v>
      </c>
      <c r="F83" s="31">
        <f t="shared" si="20"/>
        <v>0</v>
      </c>
      <c r="G83" s="31">
        <f t="shared" si="21"/>
        <v>0</v>
      </c>
      <c r="H83" s="31">
        <f t="shared" si="22"/>
        <v>3257.2200000000003</v>
      </c>
      <c r="I83" s="31">
        <v>325.72200000000004</v>
      </c>
      <c r="J83" s="31">
        <f>+'C&amp;A'!E83*0.02</f>
        <v>10.2256</v>
      </c>
      <c r="K83" s="31">
        <f t="shared" si="23"/>
        <v>3593.1676000000007</v>
      </c>
      <c r="L83" s="31">
        <f t="shared" si="16"/>
        <v>574.90681600000016</v>
      </c>
      <c r="M83" s="31">
        <f t="shared" si="24"/>
        <v>4168.0744160000013</v>
      </c>
      <c r="O83" s="18" t="s">
        <v>162</v>
      </c>
      <c r="P83" s="18" t="s">
        <v>163</v>
      </c>
      <c r="Q83" s="19" t="s">
        <v>329</v>
      </c>
      <c r="R83" s="17">
        <v>0</v>
      </c>
      <c r="S83" s="87" t="str">
        <f t="shared" si="25"/>
        <v>SI</v>
      </c>
      <c r="T83" s="87" t="str">
        <f t="shared" si="26"/>
        <v>SI</v>
      </c>
      <c r="U83" s="88" t="s">
        <v>304</v>
      </c>
      <c r="V83" s="89" t="s">
        <v>305</v>
      </c>
      <c r="W83" s="29" t="s">
        <v>304</v>
      </c>
      <c r="X83" s="30" t="s">
        <v>305</v>
      </c>
      <c r="Y83" s="31">
        <v>1166.26</v>
      </c>
      <c r="Z83" s="31">
        <v>0</v>
      </c>
      <c r="AA83" s="31">
        <v>2090.96</v>
      </c>
      <c r="AB83" s="31">
        <v>0</v>
      </c>
      <c r="AC83" s="31">
        <v>0</v>
      </c>
      <c r="AD83" s="31">
        <v>3257.2200000000003</v>
      </c>
      <c r="AE83" s="31">
        <v>325.72200000000004</v>
      </c>
      <c r="AF83" s="31">
        <v>21.91</v>
      </c>
      <c r="AG83" s="31">
        <v>3604.8520000000003</v>
      </c>
      <c r="AH83" s="31">
        <v>576.77632000000006</v>
      </c>
      <c r="AI83" s="31">
        <v>4181.6283200000007</v>
      </c>
      <c r="AK83" s="119"/>
      <c r="AN83" s="119">
        <f>+H83-'C&amp;A'!K83-SINDICATO!J83</f>
        <v>0</v>
      </c>
      <c r="AP83" s="30">
        <f>577.2+2680.02</f>
        <v>3257.2200000000003</v>
      </c>
      <c r="AS83" s="30">
        <v>1166.26</v>
      </c>
      <c r="AT83" s="119">
        <f>+'C&amp;A'!K83+SINDICATO!J83</f>
        <v>3257.2200000000003</v>
      </c>
      <c r="AU83" s="31">
        <f t="shared" si="27"/>
        <v>325.72200000000004</v>
      </c>
      <c r="AV83" s="31">
        <f t="shared" si="28"/>
        <v>0</v>
      </c>
      <c r="AW83" s="129">
        <f t="shared" si="29"/>
        <v>0</v>
      </c>
    </row>
    <row r="84" spans="1:50" s="30" customFormat="1" ht="16.5" x14ac:dyDescent="0.3">
      <c r="A84" s="29" t="s">
        <v>306</v>
      </c>
      <c r="B84" s="30" t="s">
        <v>307</v>
      </c>
      <c r="C84" s="31">
        <f t="shared" si="17"/>
        <v>513.33000000000004</v>
      </c>
      <c r="D84" s="31">
        <f t="shared" si="18"/>
        <v>0</v>
      </c>
      <c r="E84" s="31">
        <f t="shared" si="19"/>
        <v>3537.12</v>
      </c>
      <c r="F84" s="31">
        <f t="shared" si="20"/>
        <v>0</v>
      </c>
      <c r="G84" s="31">
        <f t="shared" si="21"/>
        <v>488.83</v>
      </c>
      <c r="H84" s="31">
        <f t="shared" si="22"/>
        <v>4050.45</v>
      </c>
      <c r="I84" s="31">
        <v>356.16200000000003</v>
      </c>
      <c r="J84" s="31">
        <f>+'C&amp;A'!E84*0.02</f>
        <v>10.2256</v>
      </c>
      <c r="K84" s="31">
        <f t="shared" si="23"/>
        <v>4416.8375999999998</v>
      </c>
      <c r="L84" s="31">
        <f t="shared" si="16"/>
        <v>706.69401600000003</v>
      </c>
      <c r="M84" s="31">
        <f t="shared" si="24"/>
        <v>5123.5316160000002</v>
      </c>
      <c r="O84" s="18" t="s">
        <v>164</v>
      </c>
      <c r="P84" s="18" t="s">
        <v>165</v>
      </c>
      <c r="Q84" s="19" t="s">
        <v>327</v>
      </c>
      <c r="R84" s="17">
        <v>513.33000000000004</v>
      </c>
      <c r="S84" s="87" t="str">
        <f t="shared" si="25"/>
        <v>SI</v>
      </c>
      <c r="T84" s="87" t="str">
        <f t="shared" si="26"/>
        <v>SI</v>
      </c>
      <c r="U84" s="88" t="s">
        <v>306</v>
      </c>
      <c r="V84" s="89" t="s">
        <v>307</v>
      </c>
      <c r="W84" s="29" t="s">
        <v>306</v>
      </c>
      <c r="X84" s="30" t="s">
        <v>307</v>
      </c>
      <c r="Y84" s="31">
        <v>513.33000000000004</v>
      </c>
      <c r="Z84" s="31">
        <v>0</v>
      </c>
      <c r="AA84" s="31">
        <v>3537.12</v>
      </c>
      <c r="AB84" s="31">
        <v>0</v>
      </c>
      <c r="AC84" s="31">
        <v>-488.83</v>
      </c>
      <c r="AD84" s="31">
        <v>3561.62</v>
      </c>
      <c r="AE84" s="31">
        <v>356.16200000000003</v>
      </c>
      <c r="AF84" s="31">
        <v>21.91</v>
      </c>
      <c r="AG84" s="31">
        <v>3939.692</v>
      </c>
      <c r="AH84" s="31">
        <v>630.35072000000002</v>
      </c>
      <c r="AI84" s="31">
        <v>4570.0427200000004</v>
      </c>
      <c r="AK84" s="119"/>
      <c r="AN84" s="119">
        <f>+H84-'C&amp;A'!K84-SINDICATO!J84</f>
        <v>488.82999999999993</v>
      </c>
      <c r="AP84" s="30">
        <f>577.2+2984.42</f>
        <v>3561.62</v>
      </c>
      <c r="AS84" s="30">
        <v>513.33000000000004</v>
      </c>
      <c r="AT84" s="119">
        <f>+'C&amp;A'!K84+SINDICATO!J84</f>
        <v>3561.62</v>
      </c>
      <c r="AU84" s="31">
        <f t="shared" si="27"/>
        <v>356.16200000000003</v>
      </c>
      <c r="AV84" s="31">
        <f t="shared" si="28"/>
        <v>0</v>
      </c>
      <c r="AW84" s="129">
        <f t="shared" si="29"/>
        <v>0</v>
      </c>
    </row>
    <row r="85" spans="1:50" s="30" customFormat="1" ht="16.5" x14ac:dyDescent="0.3">
      <c r="A85" s="29" t="s">
        <v>308</v>
      </c>
      <c r="B85" s="30" t="s">
        <v>309</v>
      </c>
      <c r="C85" s="31">
        <f t="shared" si="17"/>
        <v>1166.67</v>
      </c>
      <c r="D85" s="31">
        <f t="shared" si="18"/>
        <v>0</v>
      </c>
      <c r="E85" s="31">
        <f t="shared" si="19"/>
        <v>4000</v>
      </c>
      <c r="F85" s="31">
        <f t="shared" si="20"/>
        <v>0</v>
      </c>
      <c r="G85" s="31">
        <f t="shared" si="21"/>
        <v>0</v>
      </c>
      <c r="H85" s="31">
        <f t="shared" si="22"/>
        <v>5166.67</v>
      </c>
      <c r="I85" s="31">
        <v>465.0003000000001</v>
      </c>
      <c r="J85" s="31">
        <f>+'C&amp;A'!E85*0.02</f>
        <v>10.2256</v>
      </c>
      <c r="K85" s="31">
        <f t="shared" si="23"/>
        <v>5641.8958999999995</v>
      </c>
      <c r="L85" s="31">
        <f t="shared" si="16"/>
        <v>902.7033439999999</v>
      </c>
      <c r="M85" s="31">
        <f t="shared" si="24"/>
        <v>6544.5992439999991</v>
      </c>
      <c r="O85" s="18" t="s">
        <v>166</v>
      </c>
      <c r="P85" s="18" t="s">
        <v>167</v>
      </c>
      <c r="Q85" s="19" t="s">
        <v>346</v>
      </c>
      <c r="R85" s="17">
        <v>1166.67</v>
      </c>
      <c r="S85" s="87" t="str">
        <f t="shared" si="25"/>
        <v>SI</v>
      </c>
      <c r="T85" s="87" t="str">
        <f t="shared" si="26"/>
        <v>SI</v>
      </c>
      <c r="U85" s="88" t="s">
        <v>308</v>
      </c>
      <c r="V85" s="89" t="s">
        <v>309</v>
      </c>
      <c r="W85" s="29" t="s">
        <v>308</v>
      </c>
      <c r="X85" s="30" t="s">
        <v>309</v>
      </c>
      <c r="Y85" s="31">
        <v>1166.67</v>
      </c>
      <c r="Z85" s="31">
        <v>0</v>
      </c>
      <c r="AA85" s="31">
        <v>4000</v>
      </c>
      <c r="AB85" s="31">
        <v>0</v>
      </c>
      <c r="AC85" s="31">
        <v>0</v>
      </c>
      <c r="AD85" s="31">
        <v>5166.67</v>
      </c>
      <c r="AE85" s="31">
        <v>0</v>
      </c>
      <c r="AF85" s="31">
        <v>21.91</v>
      </c>
      <c r="AG85" s="31">
        <v>5188.58</v>
      </c>
      <c r="AH85" s="31">
        <v>830.17280000000005</v>
      </c>
      <c r="AI85" s="31">
        <v>6018.7528000000002</v>
      </c>
      <c r="AK85" s="119"/>
      <c r="AN85" s="119">
        <f>+H85-'C&amp;A'!K85-SINDICATO!J85</f>
        <v>0</v>
      </c>
      <c r="AP85" s="30">
        <f>577.4+4589.47</f>
        <v>5166.87</v>
      </c>
      <c r="AS85" s="30">
        <v>1166.67</v>
      </c>
      <c r="AT85" s="119">
        <f>+'C&amp;A'!K85+SINDICATO!J85</f>
        <v>5166.67</v>
      </c>
      <c r="AU85" s="31">
        <f t="shared" si="27"/>
        <v>0</v>
      </c>
      <c r="AV85" s="31">
        <f t="shared" si="28"/>
        <v>516.66700000000003</v>
      </c>
      <c r="AW85" s="129">
        <f t="shared" si="29"/>
        <v>0</v>
      </c>
    </row>
    <row r="86" spans="1:50" s="30" customFormat="1" ht="16.5" x14ac:dyDescent="0.3">
      <c r="A86" s="29" t="s">
        <v>310</v>
      </c>
      <c r="B86" s="30" t="s">
        <v>311</v>
      </c>
      <c r="C86" s="31">
        <f t="shared" si="17"/>
        <v>608.16</v>
      </c>
      <c r="D86" s="31">
        <f t="shared" si="18"/>
        <v>0</v>
      </c>
      <c r="E86" s="31">
        <f t="shared" si="19"/>
        <v>3399.07</v>
      </c>
      <c r="F86" s="31">
        <f t="shared" si="20"/>
        <v>-88.79</v>
      </c>
      <c r="G86" s="31">
        <f t="shared" si="21"/>
        <v>0</v>
      </c>
      <c r="H86" s="31">
        <f t="shared" si="22"/>
        <v>3918.44</v>
      </c>
      <c r="I86" s="31">
        <v>391.84400000000005</v>
      </c>
      <c r="J86" s="31">
        <f>+'C&amp;A'!E86*0.02</f>
        <v>10.2256</v>
      </c>
      <c r="K86" s="31">
        <f t="shared" si="23"/>
        <v>4320.5095999999994</v>
      </c>
      <c r="L86" s="31">
        <f t="shared" si="16"/>
        <v>691.28153599999996</v>
      </c>
      <c r="M86" s="31">
        <f t="shared" si="24"/>
        <v>5011.7911359999998</v>
      </c>
      <c r="O86" s="18" t="s">
        <v>168</v>
      </c>
      <c r="P86" s="18" t="s">
        <v>132</v>
      </c>
      <c r="Q86" s="19" t="s">
        <v>350</v>
      </c>
      <c r="R86" s="17">
        <v>608.16</v>
      </c>
      <c r="S86" s="87" t="str">
        <f t="shared" si="25"/>
        <v>SI</v>
      </c>
      <c r="T86" s="87" t="str">
        <f t="shared" si="26"/>
        <v>SI</v>
      </c>
      <c r="U86" s="88" t="s">
        <v>310</v>
      </c>
      <c r="V86" s="89" t="s">
        <v>311</v>
      </c>
      <c r="W86" s="29" t="s">
        <v>310</v>
      </c>
      <c r="X86" s="30" t="s">
        <v>311</v>
      </c>
      <c r="Y86" s="31">
        <v>608.16</v>
      </c>
      <c r="Z86" s="31">
        <v>0</v>
      </c>
      <c r="AA86" s="31">
        <v>3399.07</v>
      </c>
      <c r="AB86" s="31">
        <v>-88.79</v>
      </c>
      <c r="AC86" s="31">
        <v>0</v>
      </c>
      <c r="AD86" s="31">
        <v>3918.44</v>
      </c>
      <c r="AE86" s="31">
        <v>391.84400000000005</v>
      </c>
      <c r="AF86" s="31">
        <v>21.91</v>
      </c>
      <c r="AG86" s="31">
        <v>4332.1939999999995</v>
      </c>
      <c r="AH86" s="31">
        <v>693.15103999999997</v>
      </c>
      <c r="AI86" s="31">
        <v>5025.3450399999992</v>
      </c>
      <c r="AK86" s="119"/>
      <c r="AN86" s="119">
        <f>+H86-'C&amp;A'!K86-SINDICATO!J86</f>
        <v>0</v>
      </c>
      <c r="AP86" s="30">
        <f>577.4+3341.04</f>
        <v>3918.44</v>
      </c>
      <c r="AS86" s="30">
        <v>608.16</v>
      </c>
      <c r="AT86" s="119">
        <f>+'C&amp;A'!K86+SINDICATO!J86</f>
        <v>3918.44</v>
      </c>
      <c r="AU86" s="31">
        <f t="shared" si="27"/>
        <v>391.84400000000005</v>
      </c>
      <c r="AV86" s="31">
        <f t="shared" si="28"/>
        <v>0</v>
      </c>
      <c r="AW86" s="129">
        <f t="shared" si="29"/>
        <v>0</v>
      </c>
    </row>
    <row r="87" spans="1:50" s="30" customFormat="1" ht="16.5" x14ac:dyDescent="0.3">
      <c r="A87" s="29" t="s">
        <v>312</v>
      </c>
      <c r="B87" s="30" t="s">
        <v>313</v>
      </c>
      <c r="C87" s="31">
        <f t="shared" si="17"/>
        <v>1100</v>
      </c>
      <c r="D87" s="31">
        <f t="shared" si="18"/>
        <v>74.81</v>
      </c>
      <c r="E87" s="31">
        <f t="shared" si="19"/>
        <v>0</v>
      </c>
      <c r="F87" s="31">
        <f t="shared" si="20"/>
        <v>0</v>
      </c>
      <c r="G87" s="31">
        <f t="shared" si="21"/>
        <v>0</v>
      </c>
      <c r="H87" s="31">
        <f t="shared" si="22"/>
        <v>1174.81</v>
      </c>
      <c r="I87" s="31">
        <v>117.48099999999999</v>
      </c>
      <c r="J87" s="31">
        <f>+'C&amp;A'!E87*0.02</f>
        <v>10.2256</v>
      </c>
      <c r="K87" s="31">
        <f t="shared" si="23"/>
        <v>1302.5165999999999</v>
      </c>
      <c r="L87" s="31">
        <f t="shared" si="16"/>
        <v>208.40265599999998</v>
      </c>
      <c r="M87" s="31">
        <f t="shared" si="24"/>
        <v>1510.9192559999999</v>
      </c>
      <c r="O87" s="18" t="s">
        <v>169</v>
      </c>
      <c r="P87" s="18" t="s">
        <v>130</v>
      </c>
      <c r="Q87" s="19" t="s">
        <v>339</v>
      </c>
      <c r="R87" s="17">
        <v>1100</v>
      </c>
      <c r="S87" s="87" t="str">
        <f t="shared" si="25"/>
        <v>SI</v>
      </c>
      <c r="T87" s="87" t="str">
        <f t="shared" si="26"/>
        <v>SI</v>
      </c>
      <c r="U87" s="88" t="s">
        <v>312</v>
      </c>
      <c r="V87" s="89" t="s">
        <v>313</v>
      </c>
      <c r="W87" s="29" t="s">
        <v>312</v>
      </c>
      <c r="X87" s="30" t="s">
        <v>313</v>
      </c>
      <c r="Y87" s="31">
        <v>1100</v>
      </c>
      <c r="Z87" s="31">
        <v>74.81</v>
      </c>
      <c r="AA87" s="31">
        <v>0</v>
      </c>
      <c r="AB87" s="31">
        <v>0</v>
      </c>
      <c r="AC87" s="31">
        <v>0</v>
      </c>
      <c r="AD87" s="31">
        <v>1174.81</v>
      </c>
      <c r="AE87" s="31">
        <v>117.48099999999999</v>
      </c>
      <c r="AF87" s="31">
        <v>21.91</v>
      </c>
      <c r="AG87" s="31">
        <v>1314.201</v>
      </c>
      <c r="AH87" s="31">
        <v>210.27216000000001</v>
      </c>
      <c r="AI87" s="31">
        <v>1524.47316</v>
      </c>
      <c r="AK87" s="119"/>
      <c r="AN87" s="119">
        <f>+H87-'C&amp;A'!K87-SINDICATO!J87</f>
        <v>0</v>
      </c>
      <c r="AP87" s="30">
        <f>577.4+597.41+30.73</f>
        <v>1205.54</v>
      </c>
      <c r="AS87" s="30">
        <v>1100</v>
      </c>
      <c r="AT87" s="119">
        <f>+'C&amp;A'!K87+SINDICATO!J87</f>
        <v>1174.81</v>
      </c>
      <c r="AU87" s="31">
        <f t="shared" si="27"/>
        <v>117.48099999999999</v>
      </c>
      <c r="AV87" s="31">
        <f t="shared" si="28"/>
        <v>0</v>
      </c>
      <c r="AW87" s="129">
        <f t="shared" si="29"/>
        <v>0</v>
      </c>
    </row>
    <row r="88" spans="1:50" s="30" customFormat="1" ht="16.5" x14ac:dyDescent="0.3">
      <c r="A88" s="29" t="s">
        <v>314</v>
      </c>
      <c r="B88" s="30" t="s">
        <v>315</v>
      </c>
      <c r="C88" s="31">
        <f t="shared" si="17"/>
        <v>513.33000000000004</v>
      </c>
      <c r="D88" s="31">
        <f t="shared" si="18"/>
        <v>0</v>
      </c>
      <c r="E88" s="31">
        <f t="shared" si="19"/>
        <v>0</v>
      </c>
      <c r="F88" s="31">
        <f t="shared" si="20"/>
        <v>0</v>
      </c>
      <c r="G88" s="31">
        <f t="shared" si="21"/>
        <v>0</v>
      </c>
      <c r="H88" s="31">
        <f t="shared" si="22"/>
        <v>513.33000000000004</v>
      </c>
      <c r="I88" s="31">
        <v>51.333000000000006</v>
      </c>
      <c r="J88" s="31">
        <f>+'C&amp;A'!E88*0.02</f>
        <v>8.5213999999999999</v>
      </c>
      <c r="K88" s="31">
        <f t="shared" si="23"/>
        <v>573.18439999999998</v>
      </c>
      <c r="L88" s="31">
        <f t="shared" si="16"/>
        <v>91.709503999999995</v>
      </c>
      <c r="M88" s="31">
        <f t="shared" si="24"/>
        <v>664.89390400000002</v>
      </c>
      <c r="O88" s="18" t="s">
        <v>170</v>
      </c>
      <c r="P88" s="18" t="s">
        <v>171</v>
      </c>
      <c r="Q88" s="19" t="s">
        <v>327</v>
      </c>
      <c r="R88" s="17">
        <v>513.33000000000004</v>
      </c>
      <c r="S88" s="87" t="str">
        <f t="shared" si="25"/>
        <v>SI</v>
      </c>
      <c r="T88" s="87" t="str">
        <f t="shared" si="26"/>
        <v>SI</v>
      </c>
      <c r="U88" s="88" t="s">
        <v>314</v>
      </c>
      <c r="V88" s="89" t="s">
        <v>315</v>
      </c>
      <c r="W88" s="29" t="s">
        <v>314</v>
      </c>
      <c r="X88" s="30" t="s">
        <v>315</v>
      </c>
      <c r="Y88" s="31">
        <v>513.33000000000004</v>
      </c>
      <c r="Z88" s="31">
        <v>0</v>
      </c>
      <c r="AA88" s="31">
        <v>0</v>
      </c>
      <c r="AB88" s="31">
        <v>0</v>
      </c>
      <c r="AC88" s="31">
        <v>0</v>
      </c>
      <c r="AD88" s="31">
        <v>513.33000000000004</v>
      </c>
      <c r="AE88" s="31">
        <v>51.333000000000006</v>
      </c>
      <c r="AF88" s="31">
        <v>21.91</v>
      </c>
      <c r="AG88" s="31">
        <v>586.57299999999998</v>
      </c>
      <c r="AH88" s="31">
        <v>93.851680000000002</v>
      </c>
      <c r="AI88" s="31">
        <v>680.42467999999997</v>
      </c>
      <c r="AK88" s="119"/>
      <c r="AN88" s="119">
        <f>+H88-'C&amp;A'!K88-SINDICATO!J88</f>
        <v>0</v>
      </c>
      <c r="AP88" s="30">
        <v>482.6</v>
      </c>
      <c r="AS88" s="30">
        <v>513.33000000000004</v>
      </c>
      <c r="AT88" s="119">
        <f>+'C&amp;A'!K88+SINDICATO!J88</f>
        <v>513.33000000000004</v>
      </c>
      <c r="AU88" s="31">
        <f t="shared" si="27"/>
        <v>51.333000000000006</v>
      </c>
      <c r="AV88" s="31">
        <f t="shared" si="28"/>
        <v>0</v>
      </c>
      <c r="AW88" s="129">
        <f t="shared" si="29"/>
        <v>0</v>
      </c>
    </row>
    <row r="89" spans="1:50" s="30" customFormat="1" ht="16.5" x14ac:dyDescent="0.3">
      <c r="A89" s="29" t="s">
        <v>316</v>
      </c>
      <c r="B89" s="30" t="s">
        <v>317</v>
      </c>
      <c r="C89" s="31">
        <f t="shared" si="17"/>
        <v>0</v>
      </c>
      <c r="D89" s="31">
        <f t="shared" si="18"/>
        <v>0</v>
      </c>
      <c r="E89" s="31">
        <f t="shared" si="19"/>
        <v>2742.3</v>
      </c>
      <c r="F89" s="31">
        <f t="shared" si="20"/>
        <v>-45.13</v>
      </c>
      <c r="G89" s="31">
        <f t="shared" si="21"/>
        <v>0</v>
      </c>
      <c r="H89" s="31">
        <f t="shared" si="22"/>
        <v>2697.17</v>
      </c>
      <c r="I89" s="31">
        <v>269.71700000000004</v>
      </c>
      <c r="J89" s="31">
        <f>+'C&amp;A'!E89*0.02</f>
        <v>10.2256</v>
      </c>
      <c r="K89" s="31">
        <f t="shared" si="23"/>
        <v>2977.1126000000004</v>
      </c>
      <c r="L89" s="31">
        <f t="shared" si="16"/>
        <v>476.3380160000001</v>
      </c>
      <c r="M89" s="31">
        <f t="shared" si="24"/>
        <v>3453.4506160000005</v>
      </c>
      <c r="O89" s="18" t="s">
        <v>172</v>
      </c>
      <c r="P89" s="18" t="s">
        <v>79</v>
      </c>
      <c r="Q89" s="19" t="s">
        <v>338</v>
      </c>
      <c r="R89" s="17">
        <v>0</v>
      </c>
      <c r="S89" s="87" t="str">
        <f t="shared" si="25"/>
        <v>SI</v>
      </c>
      <c r="T89" s="87" t="str">
        <f t="shared" si="26"/>
        <v>SI</v>
      </c>
      <c r="U89" s="88" t="s">
        <v>316</v>
      </c>
      <c r="V89" s="89" t="s">
        <v>317</v>
      </c>
      <c r="W89" s="29" t="s">
        <v>316</v>
      </c>
      <c r="X89" s="30" t="s">
        <v>317</v>
      </c>
      <c r="Y89" s="31">
        <v>0</v>
      </c>
      <c r="Z89" s="31">
        <v>0</v>
      </c>
      <c r="AA89" s="31">
        <v>2742.3</v>
      </c>
      <c r="AB89" s="31">
        <v>-45.13</v>
      </c>
      <c r="AC89" s="31">
        <v>0</v>
      </c>
      <c r="AD89" s="31">
        <v>2697.17</v>
      </c>
      <c r="AE89" s="31">
        <v>269.71700000000004</v>
      </c>
      <c r="AF89" s="31">
        <v>21.91</v>
      </c>
      <c r="AG89" s="31">
        <v>2988.797</v>
      </c>
      <c r="AH89" s="31">
        <v>478.20751999999999</v>
      </c>
      <c r="AI89" s="31">
        <v>3467.00452</v>
      </c>
      <c r="AK89" s="119"/>
      <c r="AN89" s="119">
        <f>+H89-'C&amp;A'!K89-SINDICATO!J89</f>
        <v>0</v>
      </c>
      <c r="AP89" s="30">
        <f>513.33+577.2+2119.97</f>
        <v>3210.5</v>
      </c>
      <c r="AT89" s="119">
        <f>+'C&amp;A'!K89+SINDICATO!J89</f>
        <v>2697.17</v>
      </c>
      <c r="AU89" s="31">
        <f t="shared" si="27"/>
        <v>269.71700000000004</v>
      </c>
      <c r="AV89" s="31">
        <f t="shared" si="28"/>
        <v>0</v>
      </c>
      <c r="AW89" s="130">
        <f t="shared" si="29"/>
        <v>0</v>
      </c>
      <c r="AX89" s="30" t="s">
        <v>503</v>
      </c>
    </row>
    <row r="90" spans="1:50" s="30" customFormat="1" ht="16.5" x14ac:dyDescent="0.3">
      <c r="A90" s="29" t="s">
        <v>318</v>
      </c>
      <c r="B90" s="30" t="s">
        <v>319</v>
      </c>
      <c r="C90" s="31">
        <f t="shared" si="17"/>
        <v>513.33000000000004</v>
      </c>
      <c r="D90" s="31">
        <f t="shared" si="18"/>
        <v>0</v>
      </c>
      <c r="E90" s="31">
        <f t="shared" si="19"/>
        <v>0</v>
      </c>
      <c r="F90" s="31">
        <f t="shared" si="20"/>
        <v>0</v>
      </c>
      <c r="G90" s="31">
        <f t="shared" si="21"/>
        <v>0</v>
      </c>
      <c r="H90" s="31">
        <f t="shared" si="22"/>
        <v>513.33000000000004</v>
      </c>
      <c r="I90" s="31">
        <v>51.333000000000006</v>
      </c>
      <c r="J90" s="31">
        <f>+'C&amp;A'!E90*0.02</f>
        <v>8.5213999999999999</v>
      </c>
      <c r="K90" s="31">
        <f t="shared" si="23"/>
        <v>573.18439999999998</v>
      </c>
      <c r="L90" s="31">
        <f t="shared" si="16"/>
        <v>91.709503999999995</v>
      </c>
      <c r="M90" s="31">
        <f t="shared" si="24"/>
        <v>664.89390400000002</v>
      </c>
      <c r="O90" s="18" t="s">
        <v>173</v>
      </c>
      <c r="P90" s="18" t="s">
        <v>174</v>
      </c>
      <c r="Q90" s="19" t="s">
        <v>327</v>
      </c>
      <c r="R90" s="17">
        <v>513.33000000000004</v>
      </c>
      <c r="S90" s="87" t="str">
        <f t="shared" si="25"/>
        <v>SI</v>
      </c>
      <c r="T90" s="87" t="str">
        <f t="shared" si="26"/>
        <v>SI</v>
      </c>
      <c r="U90" s="88" t="s">
        <v>318</v>
      </c>
      <c r="V90" s="89" t="s">
        <v>319</v>
      </c>
      <c r="W90" s="29" t="s">
        <v>318</v>
      </c>
      <c r="X90" s="30" t="s">
        <v>319</v>
      </c>
      <c r="Y90" s="31">
        <v>513.33000000000004</v>
      </c>
      <c r="Z90" s="31">
        <v>0</v>
      </c>
      <c r="AA90" s="31">
        <v>0</v>
      </c>
      <c r="AB90" s="31">
        <v>0</v>
      </c>
      <c r="AC90" s="31">
        <v>0</v>
      </c>
      <c r="AD90" s="31">
        <v>513.33000000000004</v>
      </c>
      <c r="AE90" s="31">
        <v>51.333000000000006</v>
      </c>
      <c r="AF90" s="31">
        <v>21.91</v>
      </c>
      <c r="AG90" s="31">
        <v>586.57299999999998</v>
      </c>
      <c r="AH90" s="31">
        <v>93.851680000000002</v>
      </c>
      <c r="AI90" s="31">
        <v>680.42467999999997</v>
      </c>
      <c r="AK90" s="119"/>
      <c r="AN90" s="119">
        <f>+H90-'C&amp;A'!K90-SINDICATO!J90</f>
        <v>0</v>
      </c>
      <c r="AP90" s="30">
        <f>482.6+30.73</f>
        <v>513.33000000000004</v>
      </c>
      <c r="AS90" s="30">
        <v>513.33000000000004</v>
      </c>
      <c r="AT90" s="119">
        <f>+'C&amp;A'!K90+SINDICATO!J90</f>
        <v>513.33000000000004</v>
      </c>
      <c r="AU90" s="31">
        <f t="shared" si="27"/>
        <v>51.333000000000006</v>
      </c>
      <c r="AV90" s="31">
        <f t="shared" si="28"/>
        <v>0</v>
      </c>
      <c r="AW90" s="129">
        <f t="shared" si="29"/>
        <v>0</v>
      </c>
    </row>
    <row r="91" spans="1:50" s="30" customFormat="1" x14ac:dyDescent="0.2">
      <c r="A91" s="29"/>
      <c r="C91" s="31"/>
      <c r="D91" s="31"/>
      <c r="E91" s="31"/>
      <c r="H91" s="31"/>
      <c r="I91" s="31"/>
      <c r="J91" s="31"/>
      <c r="K91" s="31"/>
      <c r="L91" s="31"/>
      <c r="M91" s="31"/>
      <c r="W91" s="29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K91" s="119"/>
      <c r="AN91" s="119">
        <f>SUM(AN10:AN90)</f>
        <v>17609.652500000004</v>
      </c>
    </row>
    <row r="92" spans="1:50" ht="15.75" thickBot="1" x14ac:dyDescent="0.3">
      <c r="A92" s="34" t="s">
        <v>18</v>
      </c>
      <c r="B92" s="33" t="s">
        <v>19</v>
      </c>
      <c r="C92" s="35">
        <f>SUM(C10:C90)</f>
        <v>54600.860000000052</v>
      </c>
      <c r="D92" s="35">
        <f t="shared" ref="D92:R92" si="30">SUM(D10:D90)</f>
        <v>2052.9799999999996</v>
      </c>
      <c r="E92" s="35">
        <f t="shared" si="30"/>
        <v>188839.09999999992</v>
      </c>
      <c r="F92" s="35">
        <f t="shared" si="30"/>
        <v>-4031.550000000002</v>
      </c>
      <c r="G92" s="35">
        <f t="shared" si="30"/>
        <v>7894.2999999999993</v>
      </c>
      <c r="H92" s="35">
        <f t="shared" si="30"/>
        <v>241461.39</v>
      </c>
      <c r="I92" s="35">
        <f t="shared" si="30"/>
        <v>12740.1103</v>
      </c>
      <c r="J92" s="35">
        <f t="shared" si="30"/>
        <v>807.18099999999902</v>
      </c>
      <c r="K92" s="35">
        <f t="shared" si="30"/>
        <v>255008.68129999994</v>
      </c>
      <c r="L92" s="35">
        <f t="shared" si="30"/>
        <v>40801.389008000006</v>
      </c>
      <c r="M92" s="35">
        <f>SUM(M10:M90)</f>
        <v>295810.07030799991</v>
      </c>
      <c r="N92" s="35">
        <f t="shared" si="30"/>
        <v>0</v>
      </c>
      <c r="O92" s="35">
        <f t="shared" si="30"/>
        <v>0</v>
      </c>
      <c r="P92" s="35">
        <f t="shared" si="30"/>
        <v>0</v>
      </c>
      <c r="Q92" s="35">
        <f t="shared" si="30"/>
        <v>0</v>
      </c>
      <c r="R92" s="35">
        <f t="shared" si="30"/>
        <v>53660.500000000051</v>
      </c>
      <c r="W92" s="34" t="s">
        <v>18</v>
      </c>
      <c r="X92" s="33" t="s">
        <v>19</v>
      </c>
      <c r="Y92" s="35">
        <v>54600.860000000052</v>
      </c>
      <c r="Z92" s="35">
        <v>2052.9799999999996</v>
      </c>
      <c r="AA92" s="35">
        <v>188839.09999999989</v>
      </c>
      <c r="AB92" s="35">
        <v>-5692.130000000001</v>
      </c>
      <c r="AC92" s="35">
        <v>-8410.2000000000007</v>
      </c>
      <c r="AD92" s="35">
        <v>230071.86999999997</v>
      </c>
      <c r="AE92" s="35">
        <v>11949.07</v>
      </c>
      <c r="AF92" s="35">
        <v>1730.9980000000028</v>
      </c>
      <c r="AG92" s="35">
        <v>243596.50800000003</v>
      </c>
      <c r="AH92" s="35">
        <v>38975.441279999977</v>
      </c>
      <c r="AI92" s="35">
        <v>282571.94928000006</v>
      </c>
      <c r="AK92" s="35"/>
    </row>
    <row r="93" spans="1:50" ht="12" thickTop="1" x14ac:dyDescent="0.2">
      <c r="A93" s="29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W93" s="29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N93" s="25">
        <f>+SINDICATO!H92+SINDICATO!G92+'C&amp;A'!I91+'C&amp;A'!G91</f>
        <v>17609.6525</v>
      </c>
    </row>
    <row r="94" spans="1:50" x14ac:dyDescent="0.2">
      <c r="A94" s="29"/>
      <c r="B94" s="30"/>
      <c r="C94" s="30"/>
      <c r="D94" s="30"/>
      <c r="E94" s="30"/>
      <c r="F94" s="30"/>
      <c r="G94" s="30"/>
      <c r="H94" s="30" t="s">
        <v>19</v>
      </c>
      <c r="I94" s="30" t="s">
        <v>19</v>
      </c>
      <c r="J94" s="30" t="s">
        <v>19</v>
      </c>
      <c r="K94" s="30" t="s">
        <v>19</v>
      </c>
      <c r="L94" s="30" t="s">
        <v>19</v>
      </c>
      <c r="M94" s="30" t="s">
        <v>19</v>
      </c>
      <c r="W94" s="29"/>
      <c r="X94" s="30"/>
      <c r="Y94" s="30" t="s">
        <v>19</v>
      </c>
      <c r="Z94" s="30"/>
      <c r="AA94" s="30"/>
      <c r="AB94" s="30"/>
      <c r="AC94" s="30"/>
      <c r="AD94" s="30" t="s">
        <v>19</v>
      </c>
      <c r="AE94" s="30" t="s">
        <v>19</v>
      </c>
      <c r="AF94" s="30" t="s">
        <v>19</v>
      </c>
      <c r="AG94" s="30" t="s">
        <v>19</v>
      </c>
      <c r="AH94" s="30" t="s">
        <v>19</v>
      </c>
      <c r="AI94" s="30" t="s">
        <v>19</v>
      </c>
      <c r="AK94" s="104"/>
      <c r="AN94" s="125">
        <f>+AN91-AN93</f>
        <v>0</v>
      </c>
    </row>
    <row r="95" spans="1:50" x14ac:dyDescent="0.2">
      <c r="A95" s="29" t="s">
        <v>19</v>
      </c>
      <c r="B95" s="30" t="s">
        <v>19</v>
      </c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W95" s="29" t="s">
        <v>19</v>
      </c>
      <c r="X95" s="30" t="s">
        <v>19</v>
      </c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K95" s="104"/>
      <c r="AN95" s="104"/>
    </row>
    <row r="96" spans="1:50" x14ac:dyDescent="0.2">
      <c r="A96" s="29"/>
      <c r="B96" s="30"/>
      <c r="C96" s="113"/>
      <c r="D96" s="30"/>
      <c r="E96" s="30"/>
      <c r="F96" s="30"/>
      <c r="G96" s="30"/>
      <c r="H96" s="30"/>
      <c r="I96" s="30"/>
      <c r="J96" s="30"/>
      <c r="K96" s="30"/>
      <c r="L96" s="30"/>
      <c r="M96" s="30"/>
      <c r="W96" s="29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N96" s="104"/>
    </row>
    <row r="97" spans="1:35" x14ac:dyDescent="0.2">
      <c r="A97" s="29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W97" s="29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</row>
    <row r="98" spans="1:35" x14ac:dyDescent="0.2">
      <c r="A98" s="29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W98" s="29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</row>
    <row r="99" spans="1:35" x14ac:dyDescent="0.2">
      <c r="A99" s="29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W99" s="29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</row>
    <row r="100" spans="1:35" x14ac:dyDescent="0.2">
      <c r="A100" s="29"/>
      <c r="B100" s="36" t="s">
        <v>489</v>
      </c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W100" s="29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</row>
    <row r="101" spans="1:35" ht="23.25" thickBot="1" x14ac:dyDescent="0.25">
      <c r="A101" s="38" t="s">
        <v>6</v>
      </c>
      <c r="B101" s="28" t="s">
        <v>7</v>
      </c>
      <c r="C101" s="28" t="s">
        <v>27</v>
      </c>
      <c r="D101" s="28" t="s">
        <v>32</v>
      </c>
      <c r="E101" s="28" t="s">
        <v>28</v>
      </c>
      <c r="F101" s="28" t="s">
        <v>38</v>
      </c>
      <c r="G101" s="28"/>
      <c r="H101" s="28" t="s">
        <v>9</v>
      </c>
      <c r="I101" s="30"/>
      <c r="J101" s="30"/>
      <c r="K101" s="30"/>
      <c r="L101" s="30"/>
      <c r="M101" s="30"/>
      <c r="W101" s="29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</row>
    <row r="102" spans="1:35" ht="12" thickTop="1" x14ac:dyDescent="0.2">
      <c r="A102" s="29"/>
      <c r="B102" s="30" t="s">
        <v>328</v>
      </c>
      <c r="C102" s="31">
        <v>0</v>
      </c>
      <c r="D102" s="31">
        <v>0</v>
      </c>
      <c r="E102" s="31">
        <v>6078.08</v>
      </c>
      <c r="F102" s="31">
        <f>-SINDICATO!F101</f>
        <v>0</v>
      </c>
      <c r="G102" s="31"/>
      <c r="H102" s="31">
        <f>SUM(C102:F102)</f>
        <v>6078.08</v>
      </c>
      <c r="I102" s="30"/>
      <c r="J102" s="30"/>
      <c r="K102" s="30"/>
      <c r="L102" s="30"/>
      <c r="M102" s="30"/>
      <c r="W102" s="29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</row>
  </sheetData>
  <sortState ref="W10:AI90">
    <sortCondition ref="X10:X90"/>
  </sortState>
  <mergeCells count="7">
    <mergeCell ref="X1:Y1"/>
    <mergeCell ref="X3:Y3"/>
    <mergeCell ref="K7:M7"/>
    <mergeCell ref="B1:C1"/>
    <mergeCell ref="B2:F2"/>
    <mergeCell ref="B3:F3"/>
    <mergeCell ref="B4:F4"/>
  </mergeCells>
  <conditionalFormatting sqref="AW10:AW91">
    <cfRule type="cellIs" dxfId="0" priority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31" sqref="I31"/>
    </sheetView>
  </sheetViews>
  <sheetFormatPr baseColWidth="10" defaultRowHeight="11.25" x14ac:dyDescent="0.2"/>
  <cols>
    <col min="1" max="1" width="12.28515625" style="3" customWidth="1"/>
    <col min="2" max="2" width="30.7109375" style="2" customWidth="1"/>
    <col min="3" max="3" width="9.5703125" style="2" customWidth="1"/>
    <col min="4" max="4" width="9.28515625" style="2" customWidth="1"/>
    <col min="5" max="5" width="14.42578125" style="2" customWidth="1"/>
    <col min="6" max="6" width="11.5703125" style="2" customWidth="1"/>
    <col min="7" max="7" width="9.5703125" style="2" customWidth="1"/>
    <col min="8" max="8" width="9.7109375" style="2" customWidth="1"/>
    <col min="9" max="9" width="10.28515625" style="2" customWidth="1"/>
    <col min="10" max="10" width="13" style="2" customWidth="1"/>
    <col min="11" max="11" width="14.28515625" style="2" customWidth="1"/>
    <col min="12" max="12" width="5.7109375" style="2" bestFit="1" customWidth="1"/>
    <col min="13" max="14" width="11.42578125" style="2"/>
    <col min="15" max="15" width="26.85546875" style="2" bestFit="1" customWidth="1"/>
    <col min="16" max="16384" width="11.42578125" style="2"/>
  </cols>
  <sheetData>
    <row r="1" spans="1:15" ht="18" customHeight="1" x14ac:dyDescent="0.25">
      <c r="A1" s="4" t="s">
        <v>0</v>
      </c>
      <c r="B1" s="143" t="s">
        <v>19</v>
      </c>
      <c r="C1" s="141"/>
    </row>
    <row r="2" spans="1:15" ht="24.95" customHeight="1" x14ac:dyDescent="0.2">
      <c r="A2" s="5" t="s">
        <v>1</v>
      </c>
      <c r="B2" s="138" t="s">
        <v>490</v>
      </c>
      <c r="C2" s="139"/>
      <c r="D2" s="139"/>
      <c r="E2" s="139"/>
      <c r="F2" s="139"/>
    </row>
    <row r="3" spans="1:15" ht="15.75" x14ac:dyDescent="0.25">
      <c r="B3" s="140" t="s">
        <v>3</v>
      </c>
      <c r="C3" s="141"/>
      <c r="D3" s="141"/>
      <c r="E3" s="141"/>
      <c r="F3" s="141"/>
    </row>
    <row r="4" spans="1:15" ht="15" x14ac:dyDescent="0.25">
      <c r="B4" s="142" t="s">
        <v>491</v>
      </c>
      <c r="C4" s="141"/>
      <c r="D4" s="141"/>
      <c r="E4" s="141"/>
      <c r="F4" s="141"/>
    </row>
    <row r="5" spans="1:15" ht="15" x14ac:dyDescent="0.25">
      <c r="B5" s="65" t="s">
        <v>492</v>
      </c>
      <c r="C5" s="62"/>
      <c r="D5" s="62"/>
      <c r="E5" s="62"/>
      <c r="F5" s="62"/>
    </row>
    <row r="6" spans="1:15" ht="15" x14ac:dyDescent="0.25">
      <c r="B6" s="65" t="s">
        <v>5</v>
      </c>
      <c r="C6" s="62"/>
      <c r="D6" s="62"/>
      <c r="E6" s="62"/>
      <c r="F6" s="62"/>
    </row>
    <row r="7" spans="1:15" x14ac:dyDescent="0.2">
      <c r="B7" s="63"/>
      <c r="C7" s="63"/>
      <c r="D7" s="63"/>
      <c r="E7" s="63"/>
      <c r="F7" s="63"/>
    </row>
    <row r="8" spans="1:15" s="72" customFormat="1" ht="23.25" thickBot="1" x14ac:dyDescent="0.3">
      <c r="A8" s="70" t="s">
        <v>6</v>
      </c>
      <c r="B8" s="22" t="s">
        <v>7</v>
      </c>
      <c r="C8" s="22" t="s">
        <v>8</v>
      </c>
      <c r="D8" s="22" t="s">
        <v>493</v>
      </c>
      <c r="E8" s="21" t="s">
        <v>9</v>
      </c>
      <c r="F8" s="22" t="s">
        <v>10</v>
      </c>
      <c r="G8" s="22" t="s">
        <v>494</v>
      </c>
      <c r="H8" s="22" t="s">
        <v>11</v>
      </c>
      <c r="I8" s="22" t="s">
        <v>495</v>
      </c>
      <c r="J8" s="21" t="s">
        <v>12</v>
      </c>
      <c r="K8" s="71" t="s">
        <v>13</v>
      </c>
    </row>
    <row r="9" spans="1:15" ht="12" thickTop="1" x14ac:dyDescent="0.2">
      <c r="A9" s="11" t="s">
        <v>14</v>
      </c>
    </row>
    <row r="10" spans="1:15" ht="16.5" x14ac:dyDescent="0.3">
      <c r="A10" s="64" t="s">
        <v>175</v>
      </c>
      <c r="B10" s="63" t="s">
        <v>176</v>
      </c>
      <c r="C10" s="66">
        <v>438.24</v>
      </c>
      <c r="D10" s="66">
        <v>73.040000000000006</v>
      </c>
      <c r="E10" s="66">
        <f>SUM(C10:D10)</f>
        <v>511.28000000000003</v>
      </c>
      <c r="F10" s="67">
        <v>-66.069999999999993</v>
      </c>
      <c r="G10" s="66">
        <v>0</v>
      </c>
      <c r="H10" s="67">
        <v>-0.05</v>
      </c>
      <c r="I10" s="66">
        <v>0</v>
      </c>
      <c r="J10" s="66">
        <f>SUM(F10:I10)</f>
        <v>-66.11999999999999</v>
      </c>
      <c r="K10" s="66">
        <f>+E10-J10</f>
        <v>577.4</v>
      </c>
      <c r="L10" s="20"/>
      <c r="M10" s="51" t="str">
        <f>IF(N10=A10,"SI","NO")</f>
        <v>SI</v>
      </c>
      <c r="N10" s="29" t="s">
        <v>175</v>
      </c>
      <c r="O10" s="30" t="s">
        <v>176</v>
      </c>
    </row>
    <row r="11" spans="1:15" ht="16.5" x14ac:dyDescent="0.3">
      <c r="A11" s="64" t="s">
        <v>177</v>
      </c>
      <c r="B11" s="63" t="s">
        <v>178</v>
      </c>
      <c r="C11" s="66">
        <v>438.24</v>
      </c>
      <c r="D11" s="66">
        <v>73.040000000000006</v>
      </c>
      <c r="E11" s="66">
        <f t="shared" ref="E11:E74" si="0">SUM(C11:D11)</f>
        <v>511.28000000000003</v>
      </c>
      <c r="F11" s="67">
        <v>-66.069999999999993</v>
      </c>
      <c r="G11" s="66">
        <v>0</v>
      </c>
      <c r="H11" s="67">
        <v>-0.05</v>
      </c>
      <c r="I11" s="66">
        <v>0</v>
      </c>
      <c r="J11" s="66">
        <f t="shared" ref="J11:J74" si="1">SUM(F11:I11)</f>
        <v>-66.11999999999999</v>
      </c>
      <c r="K11" s="66">
        <f t="shared" ref="K11:K74" si="2">+E11-J11</f>
        <v>577.4</v>
      </c>
      <c r="L11" s="20"/>
      <c r="M11" s="51" t="str">
        <f t="shared" ref="M11:M74" si="3">IF(N11=A11,"SI","NO")</f>
        <v>SI</v>
      </c>
      <c r="N11" s="29" t="s">
        <v>177</v>
      </c>
      <c r="O11" s="30" t="s">
        <v>178</v>
      </c>
    </row>
    <row r="12" spans="1:15" ht="16.5" x14ac:dyDescent="0.3">
      <c r="A12" s="64" t="s">
        <v>179</v>
      </c>
      <c r="B12" s="63" t="s">
        <v>180</v>
      </c>
      <c r="C12" s="66">
        <v>438.24</v>
      </c>
      <c r="D12" s="66">
        <v>73.040000000000006</v>
      </c>
      <c r="E12" s="66">
        <f t="shared" si="0"/>
        <v>511.28000000000003</v>
      </c>
      <c r="F12" s="67">
        <v>-66.069999999999993</v>
      </c>
      <c r="G12" s="66">
        <v>0</v>
      </c>
      <c r="H12" s="67">
        <v>-0.05</v>
      </c>
      <c r="I12" s="66">
        <v>0</v>
      </c>
      <c r="J12" s="66">
        <f t="shared" si="1"/>
        <v>-66.11999999999999</v>
      </c>
      <c r="K12" s="66">
        <f t="shared" si="2"/>
        <v>577.4</v>
      </c>
      <c r="L12" s="20"/>
      <c r="M12" s="51" t="str">
        <f t="shared" si="3"/>
        <v>SI</v>
      </c>
      <c r="N12" s="29" t="s">
        <v>179</v>
      </c>
      <c r="O12" s="30" t="s">
        <v>180</v>
      </c>
    </row>
    <row r="13" spans="1:15" ht="16.5" x14ac:dyDescent="0.3">
      <c r="A13" s="64" t="s">
        <v>450</v>
      </c>
      <c r="B13" s="63" t="s">
        <v>322</v>
      </c>
      <c r="C13" s="66">
        <v>438.24</v>
      </c>
      <c r="D13" s="66">
        <v>73.040000000000006</v>
      </c>
      <c r="E13" s="66">
        <f t="shared" si="0"/>
        <v>511.28000000000003</v>
      </c>
      <c r="F13" s="67">
        <v>-66.069999999999993</v>
      </c>
      <c r="G13" s="66">
        <v>0</v>
      </c>
      <c r="H13" s="66">
        <v>0.15</v>
      </c>
      <c r="I13" s="66">
        <v>0</v>
      </c>
      <c r="J13" s="66">
        <f t="shared" si="1"/>
        <v>-65.919999999999987</v>
      </c>
      <c r="K13" s="66">
        <f t="shared" si="2"/>
        <v>577.20000000000005</v>
      </c>
      <c r="L13" s="20"/>
      <c r="M13" s="51" t="str">
        <f t="shared" si="3"/>
        <v>SI</v>
      </c>
      <c r="N13" s="88" t="s">
        <v>450</v>
      </c>
      <c r="O13" s="30" t="s">
        <v>322</v>
      </c>
    </row>
    <row r="14" spans="1:15" ht="16.5" x14ac:dyDescent="0.3">
      <c r="A14" s="64" t="s">
        <v>181</v>
      </c>
      <c r="B14" s="63" t="s">
        <v>182</v>
      </c>
      <c r="C14" s="66">
        <v>438.24</v>
      </c>
      <c r="D14" s="66">
        <v>73.040000000000006</v>
      </c>
      <c r="E14" s="66">
        <f t="shared" si="0"/>
        <v>511.28000000000003</v>
      </c>
      <c r="F14" s="67">
        <v>-66.069999999999993</v>
      </c>
      <c r="G14" s="66">
        <v>0</v>
      </c>
      <c r="H14" s="67">
        <v>-0.05</v>
      </c>
      <c r="I14" s="66">
        <v>0</v>
      </c>
      <c r="J14" s="66">
        <f t="shared" si="1"/>
        <v>-66.11999999999999</v>
      </c>
      <c r="K14" s="66">
        <f t="shared" si="2"/>
        <v>577.4</v>
      </c>
      <c r="L14" s="20"/>
      <c r="M14" s="51" t="str">
        <f t="shared" si="3"/>
        <v>SI</v>
      </c>
      <c r="N14" s="29" t="s">
        <v>181</v>
      </c>
      <c r="O14" s="30" t="s">
        <v>182</v>
      </c>
    </row>
    <row r="15" spans="1:15" ht="16.5" x14ac:dyDescent="0.3">
      <c r="A15" s="64" t="s">
        <v>183</v>
      </c>
      <c r="B15" s="63" t="s">
        <v>184</v>
      </c>
      <c r="C15" s="66">
        <v>438.24</v>
      </c>
      <c r="D15" s="66">
        <v>73.040000000000006</v>
      </c>
      <c r="E15" s="66">
        <f t="shared" si="0"/>
        <v>511.28000000000003</v>
      </c>
      <c r="F15" s="67">
        <v>-66.069999999999993</v>
      </c>
      <c r="G15" s="66">
        <v>0</v>
      </c>
      <c r="H15" s="67">
        <v>-0.05</v>
      </c>
      <c r="I15" s="66">
        <v>0</v>
      </c>
      <c r="J15" s="66">
        <f t="shared" si="1"/>
        <v>-66.11999999999999</v>
      </c>
      <c r="K15" s="66">
        <f t="shared" si="2"/>
        <v>577.4</v>
      </c>
      <c r="L15" s="20"/>
      <c r="M15" s="51" t="str">
        <f t="shared" si="3"/>
        <v>SI</v>
      </c>
      <c r="N15" s="29" t="s">
        <v>183</v>
      </c>
      <c r="O15" s="30" t="s">
        <v>184</v>
      </c>
    </row>
    <row r="16" spans="1:15" ht="16.5" x14ac:dyDescent="0.3">
      <c r="A16" s="64" t="s">
        <v>185</v>
      </c>
      <c r="B16" s="63" t="s">
        <v>186</v>
      </c>
      <c r="C16" s="66">
        <v>438.24</v>
      </c>
      <c r="D16" s="66">
        <v>73.040000000000006</v>
      </c>
      <c r="E16" s="66">
        <f t="shared" si="0"/>
        <v>511.28000000000003</v>
      </c>
      <c r="F16" s="67">
        <v>-66.069999999999993</v>
      </c>
      <c r="G16" s="66">
        <v>0</v>
      </c>
      <c r="H16" s="67">
        <v>-0.05</v>
      </c>
      <c r="I16" s="66">
        <v>0</v>
      </c>
      <c r="J16" s="66">
        <f t="shared" si="1"/>
        <v>-66.11999999999999</v>
      </c>
      <c r="K16" s="66">
        <f t="shared" si="2"/>
        <v>577.4</v>
      </c>
      <c r="L16" s="20"/>
      <c r="M16" s="51" t="str">
        <f t="shared" si="3"/>
        <v>SI</v>
      </c>
      <c r="N16" s="29" t="s">
        <v>185</v>
      </c>
      <c r="O16" s="30" t="s">
        <v>186</v>
      </c>
    </row>
    <row r="17" spans="1:15" ht="16.5" x14ac:dyDescent="0.3">
      <c r="A17" s="64" t="s">
        <v>451</v>
      </c>
      <c r="B17" s="63" t="s">
        <v>187</v>
      </c>
      <c r="C17" s="66">
        <v>438.24</v>
      </c>
      <c r="D17" s="66">
        <v>73.040000000000006</v>
      </c>
      <c r="E17" s="66">
        <f t="shared" si="0"/>
        <v>511.28000000000003</v>
      </c>
      <c r="F17" s="67">
        <v>-66.069999999999993</v>
      </c>
      <c r="G17" s="66">
        <v>0</v>
      </c>
      <c r="H17" s="66">
        <v>0.15</v>
      </c>
      <c r="I17" s="66">
        <v>0</v>
      </c>
      <c r="J17" s="66">
        <f t="shared" si="1"/>
        <v>-65.919999999999987</v>
      </c>
      <c r="K17" s="66">
        <f t="shared" si="2"/>
        <v>577.20000000000005</v>
      </c>
      <c r="L17" s="3"/>
      <c r="M17" s="51" t="str">
        <f t="shared" si="3"/>
        <v>SI</v>
      </c>
      <c r="N17" s="29" t="s">
        <v>451</v>
      </c>
      <c r="O17" s="30" t="s">
        <v>187</v>
      </c>
    </row>
    <row r="18" spans="1:15" ht="16.5" x14ac:dyDescent="0.3">
      <c r="A18" s="64" t="s">
        <v>15</v>
      </c>
      <c r="B18" s="63" t="s">
        <v>188</v>
      </c>
      <c r="C18" s="66">
        <v>438.24</v>
      </c>
      <c r="D18" s="66">
        <v>73.040000000000006</v>
      </c>
      <c r="E18" s="66">
        <f t="shared" si="0"/>
        <v>511.28000000000003</v>
      </c>
      <c r="F18" s="67">
        <v>-66.069999999999993</v>
      </c>
      <c r="G18" s="66">
        <v>575</v>
      </c>
      <c r="H18" s="66">
        <v>0.15</v>
      </c>
      <c r="I18" s="66">
        <v>0</v>
      </c>
      <c r="J18" s="66">
        <f t="shared" si="1"/>
        <v>509.08</v>
      </c>
      <c r="K18" s="66">
        <f t="shared" si="2"/>
        <v>2.2000000000000455</v>
      </c>
      <c r="L18" s="20"/>
      <c r="M18" s="51" t="str">
        <f t="shared" si="3"/>
        <v>SI</v>
      </c>
      <c r="N18" s="29" t="s">
        <v>15</v>
      </c>
      <c r="O18" s="30" t="s">
        <v>188</v>
      </c>
    </row>
    <row r="19" spans="1:15" ht="16.5" x14ac:dyDescent="0.3">
      <c r="A19" s="64" t="s">
        <v>189</v>
      </c>
      <c r="B19" s="63" t="s">
        <v>190</v>
      </c>
      <c r="C19" s="66">
        <v>438.24</v>
      </c>
      <c r="D19" s="66">
        <v>73.040000000000006</v>
      </c>
      <c r="E19" s="66">
        <f t="shared" si="0"/>
        <v>511.28000000000003</v>
      </c>
      <c r="F19" s="67">
        <v>-66.069999999999993</v>
      </c>
      <c r="G19" s="66">
        <v>0</v>
      </c>
      <c r="H19" s="67">
        <v>-0.05</v>
      </c>
      <c r="I19" s="66">
        <v>0</v>
      </c>
      <c r="J19" s="66">
        <f t="shared" si="1"/>
        <v>-66.11999999999999</v>
      </c>
      <c r="K19" s="66">
        <f t="shared" si="2"/>
        <v>577.4</v>
      </c>
      <c r="L19" s="20"/>
      <c r="M19" s="51" t="str">
        <f t="shared" si="3"/>
        <v>SI</v>
      </c>
      <c r="N19" s="29" t="s">
        <v>189</v>
      </c>
      <c r="O19" s="30" t="s">
        <v>190</v>
      </c>
    </row>
    <row r="20" spans="1:15" ht="16.5" x14ac:dyDescent="0.3">
      <c r="A20" s="64" t="s">
        <v>191</v>
      </c>
      <c r="B20" s="63" t="s">
        <v>192</v>
      </c>
      <c r="C20" s="66">
        <v>292.16000000000003</v>
      </c>
      <c r="D20" s="66">
        <v>48.69</v>
      </c>
      <c r="E20" s="66">
        <f t="shared" si="0"/>
        <v>340.85</v>
      </c>
      <c r="F20" s="67">
        <f>-66.07/7*5</f>
        <v>-47.192857142857136</v>
      </c>
      <c r="G20" s="66">
        <v>0</v>
      </c>
      <c r="H20" s="66">
        <v>0</v>
      </c>
      <c r="I20" s="66">
        <v>167.44</v>
      </c>
      <c r="J20" s="66">
        <f t="shared" si="1"/>
        <v>120.24714285714286</v>
      </c>
      <c r="K20" s="66">
        <f t="shared" si="2"/>
        <v>220.60285714285715</v>
      </c>
      <c r="L20" s="20"/>
      <c r="M20" s="51" t="str">
        <f t="shared" si="3"/>
        <v>SI</v>
      </c>
      <c r="N20" s="29" t="s">
        <v>191</v>
      </c>
      <c r="O20" s="30" t="s">
        <v>192</v>
      </c>
    </row>
    <row r="21" spans="1:15" ht="16.5" x14ac:dyDescent="0.3">
      <c r="A21" s="64" t="s">
        <v>452</v>
      </c>
      <c r="B21" s="63" t="s">
        <v>193</v>
      </c>
      <c r="C21" s="66">
        <v>438.24</v>
      </c>
      <c r="D21" s="66">
        <v>73.040000000000006</v>
      </c>
      <c r="E21" s="66">
        <f t="shared" si="0"/>
        <v>511.28000000000003</v>
      </c>
      <c r="F21" s="67">
        <v>-66.069999999999993</v>
      </c>
      <c r="G21" s="66">
        <v>0</v>
      </c>
      <c r="H21" s="67">
        <v>-0.05</v>
      </c>
      <c r="I21" s="66">
        <v>0</v>
      </c>
      <c r="J21" s="66">
        <f t="shared" si="1"/>
        <v>-66.11999999999999</v>
      </c>
      <c r="K21" s="66">
        <f t="shared" si="2"/>
        <v>577.4</v>
      </c>
      <c r="L21" s="20"/>
      <c r="M21" s="51" t="str">
        <f t="shared" si="3"/>
        <v>SI</v>
      </c>
      <c r="N21" s="29" t="s">
        <v>452</v>
      </c>
      <c r="O21" s="30" t="s">
        <v>193</v>
      </c>
    </row>
    <row r="22" spans="1:15" ht="16.5" x14ac:dyDescent="0.3">
      <c r="A22" s="64" t="s">
        <v>194</v>
      </c>
      <c r="B22" s="63" t="s">
        <v>195</v>
      </c>
      <c r="C22" s="66">
        <v>438.24</v>
      </c>
      <c r="D22" s="66">
        <v>73.040000000000006</v>
      </c>
      <c r="E22" s="66">
        <f t="shared" si="0"/>
        <v>511.28000000000003</v>
      </c>
      <c r="F22" s="67">
        <v>-66.069999999999993</v>
      </c>
      <c r="G22" s="66">
        <v>0</v>
      </c>
      <c r="H22" s="67">
        <v>-0.05</v>
      </c>
      <c r="I22" s="66">
        <v>0</v>
      </c>
      <c r="J22" s="66">
        <f t="shared" si="1"/>
        <v>-66.11999999999999</v>
      </c>
      <c r="K22" s="66">
        <f t="shared" si="2"/>
        <v>577.4</v>
      </c>
      <c r="L22" s="20"/>
      <c r="M22" s="51" t="str">
        <f t="shared" si="3"/>
        <v>SI</v>
      </c>
      <c r="N22" s="29" t="s">
        <v>194</v>
      </c>
      <c r="O22" s="30" t="s">
        <v>195</v>
      </c>
    </row>
    <row r="23" spans="1:15" ht="16.5" x14ac:dyDescent="0.3">
      <c r="A23" s="64" t="s">
        <v>16</v>
      </c>
      <c r="B23" s="63" t="s">
        <v>196</v>
      </c>
      <c r="C23" s="66">
        <v>438.24</v>
      </c>
      <c r="D23" s="66">
        <v>73.040000000000006</v>
      </c>
      <c r="E23" s="66">
        <f t="shared" si="0"/>
        <v>511.28000000000003</v>
      </c>
      <c r="F23" s="67">
        <v>-66.069999999999993</v>
      </c>
      <c r="G23" s="66">
        <v>0</v>
      </c>
      <c r="H23" s="67">
        <v>-0.05</v>
      </c>
      <c r="I23" s="66">
        <v>0</v>
      </c>
      <c r="J23" s="66">
        <f t="shared" si="1"/>
        <v>-66.11999999999999</v>
      </c>
      <c r="K23" s="66">
        <f t="shared" si="2"/>
        <v>577.4</v>
      </c>
      <c r="L23" s="20"/>
      <c r="M23" s="51" t="str">
        <f t="shared" si="3"/>
        <v>SI</v>
      </c>
      <c r="N23" s="29" t="s">
        <v>16</v>
      </c>
      <c r="O23" s="30" t="s">
        <v>196</v>
      </c>
    </row>
    <row r="24" spans="1:15" ht="16.5" x14ac:dyDescent="0.3">
      <c r="A24" s="64" t="s">
        <v>197</v>
      </c>
      <c r="B24" s="63" t="s">
        <v>198</v>
      </c>
      <c r="C24" s="66">
        <v>438.24</v>
      </c>
      <c r="D24" s="66">
        <v>73.040000000000006</v>
      </c>
      <c r="E24" s="66">
        <f t="shared" si="0"/>
        <v>511.28000000000003</v>
      </c>
      <c r="F24" s="67">
        <v>-66.069999999999993</v>
      </c>
      <c r="G24" s="66">
        <v>0</v>
      </c>
      <c r="H24" s="67">
        <v>-0.05</v>
      </c>
      <c r="I24" s="66">
        <v>0</v>
      </c>
      <c r="J24" s="66">
        <f t="shared" si="1"/>
        <v>-66.11999999999999</v>
      </c>
      <c r="K24" s="66">
        <f t="shared" si="2"/>
        <v>577.4</v>
      </c>
      <c r="L24" s="20"/>
      <c r="M24" s="51" t="str">
        <f t="shared" si="3"/>
        <v>SI</v>
      </c>
      <c r="N24" s="29" t="s">
        <v>197</v>
      </c>
      <c r="O24" s="30" t="s">
        <v>198</v>
      </c>
    </row>
    <row r="25" spans="1:15" ht="16.5" x14ac:dyDescent="0.3">
      <c r="A25" s="64" t="s">
        <v>199</v>
      </c>
      <c r="B25" s="63" t="s">
        <v>200</v>
      </c>
      <c r="C25" s="66">
        <v>438.24</v>
      </c>
      <c r="D25" s="66">
        <v>73.040000000000006</v>
      </c>
      <c r="E25" s="66">
        <f t="shared" si="0"/>
        <v>511.28000000000003</v>
      </c>
      <c r="F25" s="67">
        <v>-66.069999999999993</v>
      </c>
      <c r="G25" s="66">
        <v>0</v>
      </c>
      <c r="H25" s="67">
        <v>-0.05</v>
      </c>
      <c r="I25" s="66">
        <v>0</v>
      </c>
      <c r="J25" s="66">
        <f t="shared" si="1"/>
        <v>-66.11999999999999</v>
      </c>
      <c r="K25" s="66">
        <f t="shared" si="2"/>
        <v>577.4</v>
      </c>
      <c r="L25" s="20"/>
      <c r="M25" s="51" t="str">
        <f t="shared" si="3"/>
        <v>SI</v>
      </c>
      <c r="N25" s="29" t="s">
        <v>199</v>
      </c>
      <c r="O25" s="30" t="s">
        <v>200</v>
      </c>
    </row>
    <row r="26" spans="1:15" ht="16.5" x14ac:dyDescent="0.3">
      <c r="A26" s="64" t="s">
        <v>201</v>
      </c>
      <c r="B26" s="63" t="s">
        <v>202</v>
      </c>
      <c r="C26" s="66">
        <v>438.24</v>
      </c>
      <c r="D26" s="66">
        <v>9</v>
      </c>
      <c r="E26" s="66">
        <f t="shared" si="0"/>
        <v>447.24</v>
      </c>
      <c r="F26" s="67">
        <v>-66.040000000000006</v>
      </c>
      <c r="G26" s="66">
        <v>513.33000000000004</v>
      </c>
      <c r="H26" s="67">
        <v>-0.05</v>
      </c>
      <c r="I26" s="66">
        <v>0</v>
      </c>
      <c r="J26" s="66">
        <f t="shared" si="1"/>
        <v>447.24</v>
      </c>
      <c r="K26" s="66">
        <f t="shared" si="2"/>
        <v>0</v>
      </c>
      <c r="L26" s="20"/>
      <c r="M26" s="51" t="str">
        <f t="shared" si="3"/>
        <v>SI</v>
      </c>
      <c r="N26" s="29" t="s">
        <v>201</v>
      </c>
      <c r="O26" s="30" t="s">
        <v>202</v>
      </c>
    </row>
    <row r="27" spans="1:15" ht="16.5" x14ac:dyDescent="0.3">
      <c r="A27" s="64" t="s">
        <v>203</v>
      </c>
      <c r="B27" s="63" t="s">
        <v>204</v>
      </c>
      <c r="C27" s="66">
        <v>438.24</v>
      </c>
      <c r="D27" s="66">
        <v>73.040000000000006</v>
      </c>
      <c r="E27" s="66">
        <f t="shared" si="0"/>
        <v>511.28000000000003</v>
      </c>
      <c r="F27" s="67">
        <v>-66.069999999999993</v>
      </c>
      <c r="G27" s="66">
        <v>0</v>
      </c>
      <c r="H27" s="66">
        <v>0.15</v>
      </c>
      <c r="I27" s="66">
        <v>0</v>
      </c>
      <c r="J27" s="66">
        <f t="shared" si="1"/>
        <v>-65.919999999999987</v>
      </c>
      <c r="K27" s="66">
        <f t="shared" si="2"/>
        <v>577.20000000000005</v>
      </c>
      <c r="L27" s="20"/>
      <c r="M27" s="51" t="str">
        <f t="shared" si="3"/>
        <v>SI</v>
      </c>
      <c r="N27" s="29" t="s">
        <v>203</v>
      </c>
      <c r="O27" s="30" t="s">
        <v>204</v>
      </c>
    </row>
    <row r="28" spans="1:15" ht="16.5" x14ac:dyDescent="0.3">
      <c r="A28" s="64" t="s">
        <v>205</v>
      </c>
      <c r="B28" s="63" t="s">
        <v>206</v>
      </c>
      <c r="C28" s="66">
        <v>438.24</v>
      </c>
      <c r="D28" s="66">
        <v>73.040000000000006</v>
      </c>
      <c r="E28" s="66">
        <f t="shared" si="0"/>
        <v>511.28000000000003</v>
      </c>
      <c r="F28" s="67">
        <v>-66.069999999999993</v>
      </c>
      <c r="G28" s="66">
        <v>0</v>
      </c>
      <c r="H28" s="67">
        <v>-0.05</v>
      </c>
      <c r="I28" s="66">
        <v>0</v>
      </c>
      <c r="J28" s="66">
        <f t="shared" si="1"/>
        <v>-66.11999999999999</v>
      </c>
      <c r="K28" s="66">
        <f t="shared" si="2"/>
        <v>577.4</v>
      </c>
      <c r="L28" s="20"/>
      <c r="M28" s="51" t="str">
        <f t="shared" si="3"/>
        <v>SI</v>
      </c>
      <c r="N28" s="29" t="s">
        <v>205</v>
      </c>
      <c r="O28" s="30" t="s">
        <v>206</v>
      </c>
    </row>
    <row r="29" spans="1:15" ht="16.5" x14ac:dyDescent="0.3">
      <c r="A29" s="64" t="s">
        <v>207</v>
      </c>
      <c r="B29" s="63" t="s">
        <v>208</v>
      </c>
      <c r="C29" s="66">
        <v>438.24</v>
      </c>
      <c r="D29" s="66">
        <v>73.040000000000006</v>
      </c>
      <c r="E29" s="66">
        <f t="shared" si="0"/>
        <v>511.28000000000003</v>
      </c>
      <c r="F29" s="67">
        <v>-66.069999999999993</v>
      </c>
      <c r="G29" s="66">
        <v>0</v>
      </c>
      <c r="H29" s="67">
        <v>-0.05</v>
      </c>
      <c r="I29" s="66">
        <v>0</v>
      </c>
      <c r="J29" s="66">
        <f t="shared" si="1"/>
        <v>-66.11999999999999</v>
      </c>
      <c r="K29" s="66">
        <f t="shared" si="2"/>
        <v>577.4</v>
      </c>
      <c r="L29" s="20"/>
      <c r="M29" s="51" t="str">
        <f t="shared" si="3"/>
        <v>SI</v>
      </c>
      <c r="N29" s="29" t="s">
        <v>207</v>
      </c>
      <c r="O29" s="30" t="s">
        <v>208</v>
      </c>
    </row>
    <row r="30" spans="1:15" ht="16.5" x14ac:dyDescent="0.3">
      <c r="A30" s="64" t="s">
        <v>209</v>
      </c>
      <c r="B30" s="63" t="s">
        <v>210</v>
      </c>
      <c r="C30" s="66">
        <v>438.24</v>
      </c>
      <c r="D30" s="66">
        <v>73.040000000000006</v>
      </c>
      <c r="E30" s="66">
        <f t="shared" si="0"/>
        <v>511.28000000000003</v>
      </c>
      <c r="F30" s="67">
        <v>-66.069999999999993</v>
      </c>
      <c r="G30" s="66">
        <v>0</v>
      </c>
      <c r="H30" s="67">
        <v>-0.05</v>
      </c>
      <c r="I30" s="66">
        <v>0</v>
      </c>
      <c r="J30" s="66">
        <f t="shared" si="1"/>
        <v>-66.11999999999999</v>
      </c>
      <c r="K30" s="66">
        <f t="shared" si="2"/>
        <v>577.4</v>
      </c>
      <c r="L30" s="20"/>
      <c r="M30" s="51" t="str">
        <f t="shared" si="3"/>
        <v>SI</v>
      </c>
      <c r="N30" s="29" t="s">
        <v>209</v>
      </c>
      <c r="O30" s="30" t="s">
        <v>210</v>
      </c>
    </row>
    <row r="31" spans="1:15" ht="16.5" x14ac:dyDescent="0.3">
      <c r="A31" s="64" t="s">
        <v>211</v>
      </c>
      <c r="B31" s="63" t="s">
        <v>212</v>
      </c>
      <c r="C31" s="66">
        <v>438.24</v>
      </c>
      <c r="D31" s="66">
        <v>73.040000000000006</v>
      </c>
      <c r="E31" s="66">
        <f t="shared" si="0"/>
        <v>511.28000000000003</v>
      </c>
      <c r="F31" s="67">
        <v>-66.069999999999993</v>
      </c>
      <c r="G31" s="66">
        <v>0</v>
      </c>
      <c r="H31" s="66">
        <v>0.09</v>
      </c>
      <c r="I31" s="66">
        <f>168.06</f>
        <v>168.06</v>
      </c>
      <c r="J31" s="66">
        <f t="shared" si="1"/>
        <v>102.08000000000001</v>
      </c>
      <c r="K31" s="66">
        <f t="shared" si="2"/>
        <v>409.20000000000005</v>
      </c>
      <c r="L31" s="20"/>
      <c r="M31" s="51" t="str">
        <f t="shared" si="3"/>
        <v>SI</v>
      </c>
      <c r="N31" s="29" t="s">
        <v>211</v>
      </c>
      <c r="O31" s="30" t="s">
        <v>212</v>
      </c>
    </row>
    <row r="32" spans="1:15" ht="16.5" x14ac:dyDescent="0.3">
      <c r="A32" s="64" t="s">
        <v>213</v>
      </c>
      <c r="B32" s="63" t="s">
        <v>214</v>
      </c>
      <c r="C32" s="66">
        <v>438.24</v>
      </c>
      <c r="D32" s="66">
        <v>73.040000000000006</v>
      </c>
      <c r="E32" s="66">
        <f t="shared" si="0"/>
        <v>511.28000000000003</v>
      </c>
      <c r="F32" s="67">
        <v>-66.069999999999993</v>
      </c>
      <c r="G32" s="66">
        <v>0</v>
      </c>
      <c r="H32" s="67">
        <v>-0.05</v>
      </c>
      <c r="I32" s="66">
        <v>0</v>
      </c>
      <c r="J32" s="66">
        <f t="shared" si="1"/>
        <v>-66.11999999999999</v>
      </c>
      <c r="K32" s="66">
        <f t="shared" si="2"/>
        <v>577.4</v>
      </c>
      <c r="L32" s="20"/>
      <c r="M32" s="51" t="str">
        <f t="shared" si="3"/>
        <v>SI</v>
      </c>
      <c r="N32" s="29" t="s">
        <v>213</v>
      </c>
      <c r="O32" s="30" t="s">
        <v>214</v>
      </c>
    </row>
    <row r="33" spans="1:15" ht="16.5" x14ac:dyDescent="0.3">
      <c r="A33" s="64" t="s">
        <v>215</v>
      </c>
      <c r="B33" s="63" t="s">
        <v>216</v>
      </c>
      <c r="C33" s="66">
        <v>0</v>
      </c>
      <c r="D33" s="66">
        <v>0</v>
      </c>
      <c r="E33" s="66">
        <v>0</v>
      </c>
      <c r="F33" s="67">
        <v>0</v>
      </c>
      <c r="G33" s="66">
        <v>0</v>
      </c>
      <c r="H33" s="67">
        <v>0</v>
      </c>
      <c r="I33" s="66">
        <v>0</v>
      </c>
      <c r="J33" s="66">
        <f t="shared" si="1"/>
        <v>0</v>
      </c>
      <c r="K33" s="66">
        <f t="shared" si="2"/>
        <v>0</v>
      </c>
      <c r="L33" s="20"/>
      <c r="M33" s="51" t="str">
        <f t="shared" si="3"/>
        <v>SI</v>
      </c>
      <c r="N33" s="29" t="s">
        <v>215</v>
      </c>
      <c r="O33" s="30" t="s">
        <v>216</v>
      </c>
    </row>
    <row r="34" spans="1:15" ht="16.5" x14ac:dyDescent="0.3">
      <c r="A34" s="64" t="s">
        <v>217</v>
      </c>
      <c r="B34" s="63" t="s">
        <v>218</v>
      </c>
      <c r="C34" s="66">
        <v>438.24</v>
      </c>
      <c r="D34" s="66">
        <v>73.040000000000006</v>
      </c>
      <c r="E34" s="66">
        <f t="shared" si="0"/>
        <v>511.28000000000003</v>
      </c>
      <c r="F34" s="67">
        <v>-66.069999999999993</v>
      </c>
      <c r="G34" s="66">
        <v>0</v>
      </c>
      <c r="H34" s="67">
        <v>-0.05</v>
      </c>
      <c r="I34" s="66">
        <v>0</v>
      </c>
      <c r="J34" s="66">
        <f t="shared" si="1"/>
        <v>-66.11999999999999</v>
      </c>
      <c r="K34" s="66">
        <f t="shared" si="2"/>
        <v>577.4</v>
      </c>
      <c r="L34" s="20"/>
      <c r="M34" s="51" t="str">
        <f t="shared" si="3"/>
        <v>SI</v>
      </c>
      <c r="N34" s="29" t="s">
        <v>217</v>
      </c>
      <c r="O34" s="30" t="s">
        <v>218</v>
      </c>
    </row>
    <row r="35" spans="1:15" ht="16.5" x14ac:dyDescent="0.3">
      <c r="A35" s="64" t="s">
        <v>219</v>
      </c>
      <c r="B35" s="63" t="s">
        <v>220</v>
      </c>
      <c r="C35" s="66">
        <v>438.24</v>
      </c>
      <c r="D35" s="66">
        <v>73.040000000000006</v>
      </c>
      <c r="E35" s="66">
        <f t="shared" si="0"/>
        <v>511.28000000000003</v>
      </c>
      <c r="F35" s="67">
        <v>-66.069999999999993</v>
      </c>
      <c r="G35" s="66">
        <v>0</v>
      </c>
      <c r="H35" s="66">
        <v>0.15</v>
      </c>
      <c r="I35" s="66">
        <v>0</v>
      </c>
      <c r="J35" s="66">
        <f t="shared" si="1"/>
        <v>-65.919999999999987</v>
      </c>
      <c r="K35" s="66">
        <f t="shared" si="2"/>
        <v>577.20000000000005</v>
      </c>
      <c r="L35" s="20"/>
      <c r="M35" s="51" t="str">
        <f t="shared" si="3"/>
        <v>SI</v>
      </c>
      <c r="N35" s="29" t="s">
        <v>219</v>
      </c>
      <c r="O35" s="30" t="s">
        <v>220</v>
      </c>
    </row>
    <row r="36" spans="1:15" ht="16.5" x14ac:dyDescent="0.3">
      <c r="A36" s="64" t="s">
        <v>221</v>
      </c>
      <c r="B36" s="63" t="s">
        <v>222</v>
      </c>
      <c r="C36" s="66">
        <v>438.24</v>
      </c>
      <c r="D36" s="66">
        <v>73.040000000000006</v>
      </c>
      <c r="E36" s="66">
        <f t="shared" si="0"/>
        <v>511.28000000000003</v>
      </c>
      <c r="F36" s="67">
        <v>-66.069999999999993</v>
      </c>
      <c r="G36" s="66">
        <v>0</v>
      </c>
      <c r="H36" s="67">
        <v>-0.05</v>
      </c>
      <c r="I36" s="66">
        <v>0</v>
      </c>
      <c r="J36" s="66">
        <f t="shared" si="1"/>
        <v>-66.11999999999999</v>
      </c>
      <c r="K36" s="66">
        <f t="shared" si="2"/>
        <v>577.4</v>
      </c>
      <c r="L36" s="20"/>
      <c r="M36" s="51" t="str">
        <f t="shared" si="3"/>
        <v>SI</v>
      </c>
      <c r="N36" s="29" t="s">
        <v>221</v>
      </c>
      <c r="O36" s="30" t="s">
        <v>222</v>
      </c>
    </row>
    <row r="37" spans="1:15" ht="16.5" x14ac:dyDescent="0.3">
      <c r="A37" s="64" t="s">
        <v>223</v>
      </c>
      <c r="B37" s="63" t="s">
        <v>224</v>
      </c>
      <c r="C37" s="66">
        <v>438.24</v>
      </c>
      <c r="D37" s="66">
        <v>73.040000000000006</v>
      </c>
      <c r="E37" s="66">
        <f t="shared" si="0"/>
        <v>511.28000000000003</v>
      </c>
      <c r="F37" s="67">
        <v>-66.069999999999993</v>
      </c>
      <c r="G37" s="66">
        <v>0</v>
      </c>
      <c r="H37" s="67">
        <v>-0.05</v>
      </c>
      <c r="I37" s="66">
        <v>0</v>
      </c>
      <c r="J37" s="66">
        <f t="shared" si="1"/>
        <v>-66.11999999999999</v>
      </c>
      <c r="K37" s="66">
        <f t="shared" si="2"/>
        <v>577.4</v>
      </c>
      <c r="L37" s="20"/>
      <c r="M37" s="51" t="str">
        <f t="shared" si="3"/>
        <v>SI</v>
      </c>
      <c r="N37" s="29" t="s">
        <v>223</v>
      </c>
      <c r="O37" s="30" t="s">
        <v>224</v>
      </c>
    </row>
    <row r="38" spans="1:15" ht="16.5" x14ac:dyDescent="0.3">
      <c r="A38" s="52" t="s">
        <v>357</v>
      </c>
      <c r="B38" s="53" t="s">
        <v>358</v>
      </c>
      <c r="C38" s="66">
        <v>438.24</v>
      </c>
      <c r="D38" s="66">
        <v>73.040000000000006</v>
      </c>
      <c r="E38" s="66">
        <f t="shared" si="0"/>
        <v>511.28000000000003</v>
      </c>
      <c r="F38" s="67">
        <v>-66.069999999999993</v>
      </c>
      <c r="G38" s="66">
        <v>0</v>
      </c>
      <c r="H38" s="67">
        <v>-0.05</v>
      </c>
      <c r="I38" s="66">
        <v>0</v>
      </c>
      <c r="J38" s="66">
        <f t="shared" si="1"/>
        <v>-66.11999999999999</v>
      </c>
      <c r="K38" s="66">
        <f t="shared" si="2"/>
        <v>577.4</v>
      </c>
      <c r="L38" s="20"/>
      <c r="M38" s="51" t="str">
        <f t="shared" si="3"/>
        <v>SI</v>
      </c>
      <c r="N38" s="29" t="s">
        <v>357</v>
      </c>
      <c r="O38" s="30" t="s">
        <v>358</v>
      </c>
    </row>
    <row r="39" spans="1:15" s="53" customFormat="1" ht="16.5" x14ac:dyDescent="0.3">
      <c r="A39" s="52" t="s">
        <v>225</v>
      </c>
      <c r="B39" s="53" t="s">
        <v>226</v>
      </c>
      <c r="C39" s="74">
        <v>410.85</v>
      </c>
      <c r="D39" s="74">
        <v>68.48</v>
      </c>
      <c r="E39" s="74">
        <f t="shared" si="0"/>
        <v>479.33000000000004</v>
      </c>
      <c r="F39" s="76">
        <v>-68.12</v>
      </c>
      <c r="G39" s="74">
        <v>0</v>
      </c>
      <c r="H39" s="76">
        <v>0.05</v>
      </c>
      <c r="I39" s="74">
        <v>0</v>
      </c>
      <c r="J39" s="74">
        <f t="shared" si="1"/>
        <v>-68.070000000000007</v>
      </c>
      <c r="K39" s="74">
        <f t="shared" si="2"/>
        <v>547.40000000000009</v>
      </c>
      <c r="L39" s="52"/>
      <c r="M39" s="51" t="str">
        <f t="shared" si="3"/>
        <v>SI</v>
      </c>
      <c r="N39" s="43" t="s">
        <v>225</v>
      </c>
      <c r="O39" s="46" t="s">
        <v>226</v>
      </c>
    </row>
    <row r="40" spans="1:15" ht="16.5" x14ac:dyDescent="0.3">
      <c r="A40" s="64" t="s">
        <v>227</v>
      </c>
      <c r="B40" s="63" t="s">
        <v>228</v>
      </c>
      <c r="C40" s="66">
        <v>438.24</v>
      </c>
      <c r="D40" s="66">
        <v>73.040000000000006</v>
      </c>
      <c r="E40" s="66">
        <f t="shared" si="0"/>
        <v>511.28000000000003</v>
      </c>
      <c r="F40" s="67">
        <v>-66.069999999999993</v>
      </c>
      <c r="G40" s="66">
        <v>0</v>
      </c>
      <c r="H40" s="67">
        <v>-0.05</v>
      </c>
      <c r="I40" s="66">
        <v>0</v>
      </c>
      <c r="J40" s="66">
        <f t="shared" si="1"/>
        <v>-66.11999999999999</v>
      </c>
      <c r="K40" s="66">
        <f t="shared" si="2"/>
        <v>577.4</v>
      </c>
      <c r="L40" s="20"/>
      <c r="M40" s="51" t="str">
        <f t="shared" si="3"/>
        <v>SI</v>
      </c>
      <c r="N40" s="29" t="s">
        <v>227</v>
      </c>
      <c r="O40" s="30" t="s">
        <v>228</v>
      </c>
    </row>
    <row r="41" spans="1:15" ht="16.5" x14ac:dyDescent="0.3">
      <c r="A41" s="64" t="s">
        <v>229</v>
      </c>
      <c r="B41" s="63" t="s">
        <v>230</v>
      </c>
      <c r="C41" s="66">
        <v>438.24</v>
      </c>
      <c r="D41" s="66">
        <v>73.040000000000006</v>
      </c>
      <c r="E41" s="66">
        <f t="shared" si="0"/>
        <v>511.28000000000003</v>
      </c>
      <c r="F41" s="67">
        <v>-66.069999999999993</v>
      </c>
      <c r="G41" s="66">
        <v>0</v>
      </c>
      <c r="H41" s="67">
        <v>-0.05</v>
      </c>
      <c r="I41" s="66">
        <v>0</v>
      </c>
      <c r="J41" s="66">
        <f t="shared" si="1"/>
        <v>-66.11999999999999</v>
      </c>
      <c r="K41" s="66">
        <f t="shared" si="2"/>
        <v>577.4</v>
      </c>
      <c r="L41" s="20"/>
      <c r="M41" s="51" t="str">
        <f t="shared" si="3"/>
        <v>SI</v>
      </c>
      <c r="N41" s="29" t="s">
        <v>229</v>
      </c>
      <c r="O41" s="30" t="s">
        <v>230</v>
      </c>
    </row>
    <row r="42" spans="1:15" s="53" customFormat="1" ht="16.5" x14ac:dyDescent="0.3">
      <c r="A42" s="52" t="s">
        <v>231</v>
      </c>
      <c r="B42" s="53" t="s">
        <v>232</v>
      </c>
      <c r="C42" s="74">
        <v>438.24</v>
      </c>
      <c r="D42" s="74">
        <v>73.040000000000006</v>
      </c>
      <c r="E42" s="74">
        <f t="shared" si="0"/>
        <v>511.28000000000003</v>
      </c>
      <c r="F42" s="76">
        <v>-66.069999999999993</v>
      </c>
      <c r="G42" s="74">
        <v>560</v>
      </c>
      <c r="H42" s="76">
        <v>-0.05</v>
      </c>
      <c r="I42" s="74">
        <v>0</v>
      </c>
      <c r="J42" s="74">
        <f t="shared" si="1"/>
        <v>493.88</v>
      </c>
      <c r="K42" s="74">
        <f t="shared" si="2"/>
        <v>17.400000000000034</v>
      </c>
      <c r="L42" s="52"/>
      <c r="M42" s="51" t="str">
        <f t="shared" si="3"/>
        <v>SI</v>
      </c>
      <c r="N42" s="43" t="s">
        <v>231</v>
      </c>
      <c r="O42" s="46" t="s">
        <v>232</v>
      </c>
    </row>
    <row r="43" spans="1:15" s="53" customFormat="1" ht="16.5" x14ac:dyDescent="0.3">
      <c r="A43" s="52" t="s">
        <v>233</v>
      </c>
      <c r="B43" s="53" t="s">
        <v>234</v>
      </c>
      <c r="C43" s="74">
        <v>419.98</v>
      </c>
      <c r="D43" s="74">
        <v>70</v>
      </c>
      <c r="E43" s="74">
        <f t="shared" si="0"/>
        <v>489.98</v>
      </c>
      <c r="F43" s="76">
        <v>-67.44</v>
      </c>
      <c r="G43" s="74">
        <v>0</v>
      </c>
      <c r="H43" s="76">
        <v>0.02</v>
      </c>
      <c r="I43" s="74">
        <v>0</v>
      </c>
      <c r="J43" s="74">
        <f t="shared" si="1"/>
        <v>-67.42</v>
      </c>
      <c r="K43" s="74">
        <f t="shared" si="2"/>
        <v>557.4</v>
      </c>
      <c r="L43" s="52"/>
      <c r="M43" s="51" t="str">
        <f t="shared" si="3"/>
        <v>SI</v>
      </c>
      <c r="N43" s="43" t="s">
        <v>233</v>
      </c>
      <c r="O43" s="46" t="s">
        <v>234</v>
      </c>
    </row>
    <row r="44" spans="1:15" ht="16.5" x14ac:dyDescent="0.3">
      <c r="A44" s="64" t="s">
        <v>235</v>
      </c>
      <c r="B44" s="63" t="s">
        <v>236</v>
      </c>
      <c r="C44" s="66">
        <v>438.24</v>
      </c>
      <c r="D44" s="66">
        <v>73.040000000000006</v>
      </c>
      <c r="E44" s="66">
        <f t="shared" si="0"/>
        <v>511.28000000000003</v>
      </c>
      <c r="F44" s="67">
        <v>-66.069999999999993</v>
      </c>
      <c r="G44" s="66">
        <v>0</v>
      </c>
      <c r="H44" s="67">
        <v>-0.05</v>
      </c>
      <c r="I44" s="66">
        <v>0</v>
      </c>
      <c r="J44" s="66">
        <f t="shared" si="1"/>
        <v>-66.11999999999999</v>
      </c>
      <c r="K44" s="66">
        <f t="shared" si="2"/>
        <v>577.4</v>
      </c>
      <c r="L44" s="20"/>
      <c r="M44" s="51" t="str">
        <f t="shared" si="3"/>
        <v>SI</v>
      </c>
      <c r="N44" s="29" t="s">
        <v>235</v>
      </c>
      <c r="O44" s="30" t="s">
        <v>236</v>
      </c>
    </row>
    <row r="45" spans="1:15" ht="16.5" x14ac:dyDescent="0.3">
      <c r="A45" s="64" t="s">
        <v>237</v>
      </c>
      <c r="B45" s="63" t="s">
        <v>238</v>
      </c>
      <c r="C45" s="66">
        <v>438.24</v>
      </c>
      <c r="D45" s="66">
        <v>73.040000000000006</v>
      </c>
      <c r="E45" s="66">
        <f t="shared" si="0"/>
        <v>511.28000000000003</v>
      </c>
      <c r="F45" s="67">
        <v>-66.069999999999993</v>
      </c>
      <c r="G45" s="66">
        <v>0</v>
      </c>
      <c r="H45" s="66">
        <v>0.15</v>
      </c>
      <c r="I45" s="66">
        <v>0</v>
      </c>
      <c r="J45" s="66">
        <f t="shared" si="1"/>
        <v>-65.919999999999987</v>
      </c>
      <c r="K45" s="66">
        <f t="shared" si="2"/>
        <v>577.20000000000005</v>
      </c>
      <c r="L45" s="20"/>
      <c r="M45" s="51" t="str">
        <f t="shared" si="3"/>
        <v>SI</v>
      </c>
      <c r="N45" s="29" t="s">
        <v>237</v>
      </c>
      <c r="O45" s="30" t="s">
        <v>238</v>
      </c>
    </row>
    <row r="46" spans="1:15" s="53" customFormat="1" ht="16.5" x14ac:dyDescent="0.3">
      <c r="A46" s="52" t="s">
        <v>239</v>
      </c>
      <c r="B46" s="53" t="s">
        <v>240</v>
      </c>
      <c r="C46" s="74">
        <v>438.24</v>
      </c>
      <c r="D46" s="74">
        <v>73.040000000000006</v>
      </c>
      <c r="E46" s="74">
        <f t="shared" si="0"/>
        <v>511.28000000000003</v>
      </c>
      <c r="F46" s="76">
        <v>-66.069999999999993</v>
      </c>
      <c r="G46" s="74">
        <v>577</v>
      </c>
      <c r="H46" s="76">
        <v>-0.05</v>
      </c>
      <c r="I46" s="74">
        <v>0</v>
      </c>
      <c r="J46" s="74">
        <f t="shared" si="1"/>
        <v>510.88</v>
      </c>
      <c r="K46" s="74">
        <f t="shared" si="2"/>
        <v>0.40000000000003411</v>
      </c>
      <c r="L46" s="52"/>
      <c r="M46" s="51" t="str">
        <f t="shared" si="3"/>
        <v>SI</v>
      </c>
      <c r="N46" s="43" t="s">
        <v>239</v>
      </c>
      <c r="O46" s="46" t="s">
        <v>240</v>
      </c>
    </row>
    <row r="47" spans="1:15" ht="16.5" x14ac:dyDescent="0.3">
      <c r="A47" s="64" t="s">
        <v>241</v>
      </c>
      <c r="B47" s="63" t="s">
        <v>242</v>
      </c>
      <c r="C47" s="66">
        <v>438.24</v>
      </c>
      <c r="D47" s="66">
        <v>73.040000000000006</v>
      </c>
      <c r="E47" s="66">
        <f t="shared" si="0"/>
        <v>511.28000000000003</v>
      </c>
      <c r="F47" s="67">
        <v>-66.069999999999993</v>
      </c>
      <c r="G47" s="66">
        <v>0</v>
      </c>
      <c r="H47" s="66">
        <v>0.15</v>
      </c>
      <c r="I47" s="66">
        <v>0</v>
      </c>
      <c r="J47" s="66">
        <f t="shared" si="1"/>
        <v>-65.919999999999987</v>
      </c>
      <c r="K47" s="66">
        <f t="shared" si="2"/>
        <v>577.20000000000005</v>
      </c>
      <c r="L47" s="20"/>
      <c r="M47" s="51" t="str">
        <f t="shared" si="3"/>
        <v>SI</v>
      </c>
      <c r="N47" s="29" t="s">
        <v>241</v>
      </c>
      <c r="O47" s="30" t="s">
        <v>242</v>
      </c>
    </row>
    <row r="48" spans="1:15" ht="16.5" x14ac:dyDescent="0.3">
      <c r="A48" s="64" t="s">
        <v>243</v>
      </c>
      <c r="B48" s="63" t="s">
        <v>244</v>
      </c>
      <c r="C48" s="66">
        <v>438.24</v>
      </c>
      <c r="D48" s="66">
        <v>73.040000000000006</v>
      </c>
      <c r="E48" s="66">
        <f t="shared" si="0"/>
        <v>511.28000000000003</v>
      </c>
      <c r="F48" s="67">
        <v>-66.069999999999993</v>
      </c>
      <c r="G48" s="66">
        <v>0</v>
      </c>
      <c r="H48" s="66">
        <v>0.15</v>
      </c>
      <c r="I48" s="66">
        <v>0</v>
      </c>
      <c r="J48" s="66">
        <f t="shared" si="1"/>
        <v>-65.919999999999987</v>
      </c>
      <c r="K48" s="66">
        <f t="shared" si="2"/>
        <v>577.20000000000005</v>
      </c>
      <c r="L48" s="20"/>
      <c r="M48" s="51" t="str">
        <f t="shared" si="3"/>
        <v>SI</v>
      </c>
      <c r="N48" s="29" t="s">
        <v>243</v>
      </c>
      <c r="O48" s="30" t="s">
        <v>244</v>
      </c>
    </row>
    <row r="49" spans="1:15" ht="16.5" x14ac:dyDescent="0.3">
      <c r="A49" s="64" t="s">
        <v>245</v>
      </c>
      <c r="B49" s="63" t="s">
        <v>246</v>
      </c>
      <c r="C49" s="66">
        <v>438.24</v>
      </c>
      <c r="D49" s="66">
        <v>73.040000000000006</v>
      </c>
      <c r="E49" s="66">
        <f t="shared" si="0"/>
        <v>511.28000000000003</v>
      </c>
      <c r="F49" s="67">
        <v>-66.069999999999993</v>
      </c>
      <c r="G49" s="66">
        <v>0</v>
      </c>
      <c r="H49" s="66">
        <v>0.15</v>
      </c>
      <c r="I49" s="66">
        <v>0</v>
      </c>
      <c r="J49" s="66">
        <f t="shared" si="1"/>
        <v>-65.919999999999987</v>
      </c>
      <c r="K49" s="66">
        <f t="shared" si="2"/>
        <v>577.20000000000005</v>
      </c>
      <c r="L49" s="20"/>
      <c r="M49" s="51" t="str">
        <f t="shared" si="3"/>
        <v>SI</v>
      </c>
      <c r="N49" s="29" t="s">
        <v>245</v>
      </c>
      <c r="O49" s="30" t="s">
        <v>246</v>
      </c>
    </row>
    <row r="50" spans="1:15" ht="16.5" x14ac:dyDescent="0.3">
      <c r="A50" s="64" t="s">
        <v>247</v>
      </c>
      <c r="B50" s="63" t="s">
        <v>248</v>
      </c>
      <c r="C50" s="66">
        <v>438.24</v>
      </c>
      <c r="D50" s="66">
        <v>73.040000000000006</v>
      </c>
      <c r="E50" s="66">
        <f t="shared" si="0"/>
        <v>511.28000000000003</v>
      </c>
      <c r="F50" s="67">
        <v>-66.069999999999993</v>
      </c>
      <c r="G50" s="66">
        <v>0</v>
      </c>
      <c r="H50" s="67">
        <v>-0.05</v>
      </c>
      <c r="I50" s="66">
        <v>0</v>
      </c>
      <c r="J50" s="66">
        <f t="shared" si="1"/>
        <v>-66.11999999999999</v>
      </c>
      <c r="K50" s="66">
        <f t="shared" si="2"/>
        <v>577.4</v>
      </c>
      <c r="L50" s="20"/>
      <c r="M50" s="51" t="str">
        <f t="shared" si="3"/>
        <v>SI</v>
      </c>
      <c r="N50" s="29" t="s">
        <v>247</v>
      </c>
      <c r="O50" s="30" t="s">
        <v>248</v>
      </c>
    </row>
    <row r="51" spans="1:15" ht="16.5" x14ac:dyDescent="0.3">
      <c r="A51" s="64" t="s">
        <v>249</v>
      </c>
      <c r="B51" s="63" t="s">
        <v>250</v>
      </c>
      <c r="C51" s="66">
        <v>438.24</v>
      </c>
      <c r="D51" s="66">
        <v>73.040000000000006</v>
      </c>
      <c r="E51" s="66">
        <f t="shared" si="0"/>
        <v>511.28000000000003</v>
      </c>
      <c r="F51" s="67">
        <v>-66.069999999999993</v>
      </c>
      <c r="G51" s="66">
        <v>0</v>
      </c>
      <c r="H51" s="67">
        <v>-0.05</v>
      </c>
      <c r="I51" s="66">
        <v>0</v>
      </c>
      <c r="J51" s="66">
        <f t="shared" si="1"/>
        <v>-66.11999999999999</v>
      </c>
      <c r="K51" s="66">
        <f t="shared" si="2"/>
        <v>577.4</v>
      </c>
      <c r="L51" s="20"/>
      <c r="M51" s="51" t="str">
        <f t="shared" si="3"/>
        <v>SI</v>
      </c>
      <c r="N51" s="29" t="s">
        <v>249</v>
      </c>
      <c r="O51" s="30" t="s">
        <v>250</v>
      </c>
    </row>
    <row r="52" spans="1:15" ht="16.5" x14ac:dyDescent="0.3">
      <c r="A52" s="64" t="s">
        <v>251</v>
      </c>
      <c r="B52" s="63" t="s">
        <v>252</v>
      </c>
      <c r="C52" s="66">
        <v>438.24</v>
      </c>
      <c r="D52" s="66">
        <v>73.040000000000006</v>
      </c>
      <c r="E52" s="66">
        <f t="shared" si="0"/>
        <v>511.28000000000003</v>
      </c>
      <c r="F52" s="67">
        <v>-66.069999999999993</v>
      </c>
      <c r="G52" s="66">
        <v>0</v>
      </c>
      <c r="H52" s="66">
        <v>0.15</v>
      </c>
      <c r="I52" s="66">
        <v>0</v>
      </c>
      <c r="J52" s="66">
        <f t="shared" si="1"/>
        <v>-65.919999999999987</v>
      </c>
      <c r="K52" s="66">
        <f t="shared" si="2"/>
        <v>577.20000000000005</v>
      </c>
      <c r="L52" s="20"/>
      <c r="M52" s="51" t="str">
        <f t="shared" si="3"/>
        <v>SI</v>
      </c>
      <c r="N52" s="29" t="s">
        <v>251</v>
      </c>
      <c r="O52" s="30" t="s">
        <v>252</v>
      </c>
    </row>
    <row r="53" spans="1:15" ht="16.5" x14ac:dyDescent="0.3">
      <c r="A53" s="64" t="s">
        <v>353</v>
      </c>
      <c r="B53" s="63" t="s">
        <v>457</v>
      </c>
      <c r="C53" s="66">
        <v>438.24</v>
      </c>
      <c r="D53" s="66">
        <v>73.040000000000006</v>
      </c>
      <c r="E53" s="66">
        <f t="shared" si="0"/>
        <v>511.28000000000003</v>
      </c>
      <c r="F53" s="67">
        <v>-66.069999999999993</v>
      </c>
      <c r="G53" s="66">
        <v>0</v>
      </c>
      <c r="H53" s="66">
        <v>0.15</v>
      </c>
      <c r="I53" s="66">
        <v>0</v>
      </c>
      <c r="J53" s="66">
        <f t="shared" si="1"/>
        <v>-65.919999999999987</v>
      </c>
      <c r="K53" s="66">
        <f t="shared" si="2"/>
        <v>577.20000000000005</v>
      </c>
      <c r="L53" s="20"/>
      <c r="M53" s="51" t="str">
        <f t="shared" si="3"/>
        <v>SI</v>
      </c>
      <c r="N53" s="29" t="s">
        <v>353</v>
      </c>
      <c r="O53" s="30" t="s">
        <v>354</v>
      </c>
    </row>
    <row r="54" spans="1:15" ht="16.5" x14ac:dyDescent="0.3">
      <c r="A54" s="64" t="s">
        <v>253</v>
      </c>
      <c r="B54" s="63" t="s">
        <v>254</v>
      </c>
      <c r="C54" s="66">
        <v>438.24</v>
      </c>
      <c r="D54" s="66">
        <v>73.040000000000006</v>
      </c>
      <c r="E54" s="66">
        <f t="shared" si="0"/>
        <v>511.28000000000003</v>
      </c>
      <c r="F54" s="67">
        <v>-66.069999999999993</v>
      </c>
      <c r="G54" s="66">
        <v>0</v>
      </c>
      <c r="H54" s="67">
        <v>-0.05</v>
      </c>
      <c r="I54" s="66">
        <v>0</v>
      </c>
      <c r="J54" s="66">
        <f t="shared" si="1"/>
        <v>-66.11999999999999</v>
      </c>
      <c r="K54" s="66">
        <f t="shared" si="2"/>
        <v>577.4</v>
      </c>
      <c r="L54" s="20"/>
      <c r="M54" s="51" t="str">
        <f t="shared" si="3"/>
        <v>SI</v>
      </c>
      <c r="N54" s="29" t="s">
        <v>253</v>
      </c>
      <c r="O54" s="30" t="s">
        <v>254</v>
      </c>
    </row>
    <row r="55" spans="1:15" ht="16.5" x14ac:dyDescent="0.3">
      <c r="A55" s="64" t="s">
        <v>255</v>
      </c>
      <c r="B55" s="63" t="s">
        <v>256</v>
      </c>
      <c r="C55" s="66">
        <v>438.24</v>
      </c>
      <c r="D55" s="66">
        <v>73.040000000000006</v>
      </c>
      <c r="E55" s="66">
        <f t="shared" si="0"/>
        <v>511.28000000000003</v>
      </c>
      <c r="F55" s="67">
        <v>-66.069999999999993</v>
      </c>
      <c r="G55" s="66">
        <v>0</v>
      </c>
      <c r="H55" s="67">
        <v>-0.05</v>
      </c>
      <c r="I55" s="66">
        <v>0</v>
      </c>
      <c r="J55" s="66">
        <f t="shared" si="1"/>
        <v>-66.11999999999999</v>
      </c>
      <c r="K55" s="66">
        <f t="shared" si="2"/>
        <v>577.4</v>
      </c>
      <c r="L55" s="20"/>
      <c r="M55" s="51" t="str">
        <f t="shared" si="3"/>
        <v>SI</v>
      </c>
      <c r="N55" s="29" t="s">
        <v>255</v>
      </c>
      <c r="O55" s="30" t="s">
        <v>256</v>
      </c>
    </row>
    <row r="56" spans="1:15" ht="16.5" x14ac:dyDescent="0.3">
      <c r="A56" s="64" t="s">
        <v>257</v>
      </c>
      <c r="B56" s="63" t="s">
        <v>258</v>
      </c>
      <c r="C56" s="66">
        <v>438.24</v>
      </c>
      <c r="D56" s="66">
        <v>73.040000000000006</v>
      </c>
      <c r="E56" s="66">
        <f t="shared" si="0"/>
        <v>511.28000000000003</v>
      </c>
      <c r="F56" s="67">
        <v>-66.069999999999993</v>
      </c>
      <c r="G56" s="66">
        <v>0</v>
      </c>
      <c r="H56" s="67">
        <v>-0.05</v>
      </c>
      <c r="I56" s="66">
        <v>0</v>
      </c>
      <c r="J56" s="66">
        <f t="shared" si="1"/>
        <v>-66.11999999999999</v>
      </c>
      <c r="K56" s="66">
        <f t="shared" si="2"/>
        <v>577.4</v>
      </c>
      <c r="L56" s="20"/>
      <c r="M56" s="51" t="str">
        <f t="shared" si="3"/>
        <v>SI</v>
      </c>
      <c r="N56" s="29" t="s">
        <v>257</v>
      </c>
      <c r="O56" s="30" t="s">
        <v>258</v>
      </c>
    </row>
    <row r="57" spans="1:15" ht="16.5" x14ac:dyDescent="0.3">
      <c r="A57" s="64" t="s">
        <v>263</v>
      </c>
      <c r="B57" s="63" t="s">
        <v>264</v>
      </c>
      <c r="C57" s="66">
        <v>438.24</v>
      </c>
      <c r="D57" s="66">
        <v>73.040000000000006</v>
      </c>
      <c r="E57" s="66">
        <f t="shared" si="0"/>
        <v>511.28000000000003</v>
      </c>
      <c r="F57" s="67">
        <v>-66.069999999999993</v>
      </c>
      <c r="G57" s="66">
        <v>0</v>
      </c>
      <c r="H57" s="67">
        <v>-0.05</v>
      </c>
      <c r="I57" s="66">
        <v>0</v>
      </c>
      <c r="J57" s="66">
        <f t="shared" si="1"/>
        <v>-66.11999999999999</v>
      </c>
      <c r="K57" s="66">
        <f t="shared" si="2"/>
        <v>577.4</v>
      </c>
      <c r="L57" s="20"/>
      <c r="M57" s="51" t="str">
        <f t="shared" si="3"/>
        <v>SI</v>
      </c>
      <c r="N57" s="29" t="s">
        <v>263</v>
      </c>
      <c r="O57" s="30" t="s">
        <v>264</v>
      </c>
    </row>
    <row r="58" spans="1:15" ht="16.5" x14ac:dyDescent="0.3">
      <c r="A58" s="64" t="s">
        <v>259</v>
      </c>
      <c r="B58" s="63" t="s">
        <v>260</v>
      </c>
      <c r="C58" s="66">
        <v>438.24</v>
      </c>
      <c r="D58" s="66">
        <v>73.040000000000006</v>
      </c>
      <c r="E58" s="66">
        <f t="shared" si="0"/>
        <v>511.28000000000003</v>
      </c>
      <c r="F58" s="67">
        <v>-66.069999999999993</v>
      </c>
      <c r="G58" s="66">
        <v>0</v>
      </c>
      <c r="H58" s="67">
        <v>-0.05</v>
      </c>
      <c r="I58" s="66">
        <v>0</v>
      </c>
      <c r="J58" s="66">
        <f t="shared" si="1"/>
        <v>-66.11999999999999</v>
      </c>
      <c r="K58" s="66">
        <f t="shared" si="2"/>
        <v>577.4</v>
      </c>
      <c r="L58" s="20"/>
      <c r="M58" s="51" t="str">
        <f t="shared" si="3"/>
        <v>SI</v>
      </c>
      <c r="N58" s="29" t="s">
        <v>259</v>
      </c>
      <c r="O58" s="30" t="s">
        <v>260</v>
      </c>
    </row>
    <row r="59" spans="1:15" ht="16.5" x14ac:dyDescent="0.3">
      <c r="A59" s="64" t="s">
        <v>261</v>
      </c>
      <c r="B59" s="63" t="s">
        <v>262</v>
      </c>
      <c r="C59" s="66">
        <v>438.24</v>
      </c>
      <c r="D59" s="66">
        <v>73.040000000000006</v>
      </c>
      <c r="E59" s="66">
        <f t="shared" si="0"/>
        <v>511.28000000000003</v>
      </c>
      <c r="F59" s="67">
        <v>-66.069999999999993</v>
      </c>
      <c r="G59" s="66">
        <v>0</v>
      </c>
      <c r="H59" s="67">
        <v>-0.05</v>
      </c>
      <c r="I59" s="66">
        <v>0</v>
      </c>
      <c r="J59" s="66">
        <f t="shared" si="1"/>
        <v>-66.11999999999999</v>
      </c>
      <c r="K59" s="66">
        <f t="shared" si="2"/>
        <v>577.4</v>
      </c>
      <c r="L59" s="20"/>
      <c r="M59" s="51" t="str">
        <f t="shared" si="3"/>
        <v>SI</v>
      </c>
      <c r="N59" s="29" t="s">
        <v>261</v>
      </c>
      <c r="O59" s="30" t="s">
        <v>262</v>
      </c>
    </row>
    <row r="60" spans="1:15" ht="16.5" x14ac:dyDescent="0.3">
      <c r="A60" s="64" t="s">
        <v>265</v>
      </c>
      <c r="B60" s="63" t="s">
        <v>266</v>
      </c>
      <c r="C60" s="66">
        <v>365.2</v>
      </c>
      <c r="D60" s="66">
        <v>60.87</v>
      </c>
      <c r="E60" s="66">
        <f t="shared" si="0"/>
        <v>426.07</v>
      </c>
      <c r="F60" s="67">
        <f>-66.07/7*6</f>
        <v>-56.631428571428557</v>
      </c>
      <c r="G60" s="66">
        <v>0</v>
      </c>
      <c r="H60" s="67">
        <v>-0.1</v>
      </c>
      <c r="I60" s="66">
        <v>0</v>
      </c>
      <c r="J60" s="66">
        <f t="shared" si="1"/>
        <v>-56.731428571428559</v>
      </c>
      <c r="K60" s="66">
        <f t="shared" si="2"/>
        <v>482.80142857142857</v>
      </c>
      <c r="L60" s="20"/>
      <c r="M60" s="51" t="str">
        <f t="shared" si="3"/>
        <v>SI</v>
      </c>
      <c r="N60" s="29" t="s">
        <v>265</v>
      </c>
      <c r="O60" s="30" t="s">
        <v>266</v>
      </c>
    </row>
    <row r="61" spans="1:15" ht="16.5" x14ac:dyDescent="0.3">
      <c r="A61" s="64" t="s">
        <v>267</v>
      </c>
      <c r="B61" s="63" t="s">
        <v>268</v>
      </c>
      <c r="C61" s="66">
        <v>438.24</v>
      </c>
      <c r="D61" s="66">
        <v>73.040000000000006</v>
      </c>
      <c r="E61" s="66">
        <f t="shared" si="0"/>
        <v>511.28000000000003</v>
      </c>
      <c r="F61" s="67">
        <v>-66.069999999999993</v>
      </c>
      <c r="G61" s="66">
        <v>0</v>
      </c>
      <c r="H61" s="67">
        <v>-0.05</v>
      </c>
      <c r="I61" s="66">
        <v>0</v>
      </c>
      <c r="J61" s="66">
        <f t="shared" si="1"/>
        <v>-66.11999999999999</v>
      </c>
      <c r="K61" s="66">
        <f t="shared" si="2"/>
        <v>577.4</v>
      </c>
      <c r="L61" s="20"/>
      <c r="M61" s="51" t="str">
        <f t="shared" si="3"/>
        <v>SI</v>
      </c>
      <c r="N61" s="29" t="s">
        <v>267</v>
      </c>
      <c r="O61" s="30" t="s">
        <v>268</v>
      </c>
    </row>
    <row r="62" spans="1:15" ht="16.5" x14ac:dyDescent="0.3">
      <c r="A62" s="64" t="s">
        <v>269</v>
      </c>
      <c r="B62" s="63" t="s">
        <v>270</v>
      </c>
      <c r="C62" s="66">
        <v>438.24</v>
      </c>
      <c r="D62" s="66">
        <v>73.040000000000006</v>
      </c>
      <c r="E62" s="66">
        <f t="shared" si="0"/>
        <v>511.28000000000003</v>
      </c>
      <c r="F62" s="67">
        <v>-66.069999999999993</v>
      </c>
      <c r="G62" s="66">
        <v>0</v>
      </c>
      <c r="H62" s="67">
        <v>-0.05</v>
      </c>
      <c r="I62" s="66">
        <v>0</v>
      </c>
      <c r="J62" s="66">
        <f t="shared" si="1"/>
        <v>-66.11999999999999</v>
      </c>
      <c r="K62" s="66">
        <f t="shared" si="2"/>
        <v>577.4</v>
      </c>
      <c r="L62" s="20"/>
      <c r="M62" s="51" t="str">
        <f t="shared" si="3"/>
        <v>SI</v>
      </c>
      <c r="N62" s="29" t="s">
        <v>269</v>
      </c>
      <c r="O62" s="30" t="s">
        <v>270</v>
      </c>
    </row>
    <row r="63" spans="1:15" ht="16.5" x14ac:dyDescent="0.3">
      <c r="A63" s="64" t="s">
        <v>271</v>
      </c>
      <c r="B63" s="63" t="s">
        <v>272</v>
      </c>
      <c r="C63" s="66">
        <v>438.24</v>
      </c>
      <c r="D63" s="66">
        <v>73.040000000000006</v>
      </c>
      <c r="E63" s="66">
        <f t="shared" si="0"/>
        <v>511.28000000000003</v>
      </c>
      <c r="F63" s="67">
        <v>-66.069999999999993</v>
      </c>
      <c r="G63" s="66">
        <v>0</v>
      </c>
      <c r="H63" s="66">
        <v>0.15</v>
      </c>
      <c r="I63" s="66">
        <v>0</v>
      </c>
      <c r="J63" s="66">
        <f t="shared" si="1"/>
        <v>-65.919999999999987</v>
      </c>
      <c r="K63" s="66">
        <f t="shared" si="2"/>
        <v>577.20000000000005</v>
      </c>
      <c r="L63" s="20"/>
      <c r="M63" s="51" t="str">
        <f t="shared" si="3"/>
        <v>SI</v>
      </c>
      <c r="N63" s="29" t="s">
        <v>271</v>
      </c>
      <c r="O63" s="30" t="s">
        <v>272</v>
      </c>
    </row>
    <row r="64" spans="1:15" ht="16.5" x14ac:dyDescent="0.3">
      <c r="A64" s="64" t="s">
        <v>273</v>
      </c>
      <c r="B64" s="63" t="s">
        <v>274</v>
      </c>
      <c r="C64" s="66">
        <v>438.24</v>
      </c>
      <c r="D64" s="66">
        <v>73.040000000000006</v>
      </c>
      <c r="E64" s="66">
        <f t="shared" si="0"/>
        <v>511.28000000000003</v>
      </c>
      <c r="F64" s="67">
        <v>-66.069999999999993</v>
      </c>
      <c r="G64" s="66">
        <v>0</v>
      </c>
      <c r="H64" s="66">
        <v>0.15</v>
      </c>
      <c r="I64" s="66">
        <v>0</v>
      </c>
      <c r="J64" s="66">
        <f t="shared" si="1"/>
        <v>-65.919999999999987</v>
      </c>
      <c r="K64" s="66">
        <f t="shared" si="2"/>
        <v>577.20000000000005</v>
      </c>
      <c r="L64" s="20"/>
      <c r="M64" s="51" t="str">
        <f t="shared" si="3"/>
        <v>SI</v>
      </c>
      <c r="N64" s="29" t="s">
        <v>273</v>
      </c>
      <c r="O64" s="30" t="s">
        <v>274</v>
      </c>
    </row>
    <row r="65" spans="1:15" ht="16.5" x14ac:dyDescent="0.3">
      <c r="A65" s="64" t="s">
        <v>275</v>
      </c>
      <c r="B65" s="63" t="s">
        <v>276</v>
      </c>
      <c r="C65" s="66">
        <v>438.24</v>
      </c>
      <c r="D65" s="66">
        <v>73.040000000000006</v>
      </c>
      <c r="E65" s="66">
        <f t="shared" si="0"/>
        <v>511.28000000000003</v>
      </c>
      <c r="F65" s="67">
        <v>-66.069999999999993</v>
      </c>
      <c r="G65" s="66">
        <v>0</v>
      </c>
      <c r="H65" s="66">
        <v>0.15</v>
      </c>
      <c r="I65" s="66">
        <v>0</v>
      </c>
      <c r="J65" s="66">
        <f t="shared" si="1"/>
        <v>-65.919999999999987</v>
      </c>
      <c r="K65" s="66">
        <f t="shared" si="2"/>
        <v>577.20000000000005</v>
      </c>
      <c r="L65" s="3"/>
      <c r="M65" s="51" t="str">
        <f t="shared" si="3"/>
        <v>SI</v>
      </c>
      <c r="N65" s="29" t="s">
        <v>275</v>
      </c>
      <c r="O65" s="30" t="s">
        <v>276</v>
      </c>
    </row>
    <row r="66" spans="1:15" ht="16.5" x14ac:dyDescent="0.3">
      <c r="A66" s="64" t="s">
        <v>277</v>
      </c>
      <c r="B66" s="63" t="s">
        <v>278</v>
      </c>
      <c r="C66" s="66">
        <v>438.24</v>
      </c>
      <c r="D66" s="66">
        <v>73.040000000000006</v>
      </c>
      <c r="E66" s="66">
        <f t="shared" si="0"/>
        <v>511.28000000000003</v>
      </c>
      <c r="F66" s="67">
        <v>-66.069999999999993</v>
      </c>
      <c r="G66" s="66">
        <v>0</v>
      </c>
      <c r="H66" s="67">
        <v>-0.05</v>
      </c>
      <c r="I66" s="66">
        <v>0</v>
      </c>
      <c r="J66" s="66">
        <f t="shared" si="1"/>
        <v>-66.11999999999999</v>
      </c>
      <c r="K66" s="66">
        <f t="shared" si="2"/>
        <v>577.4</v>
      </c>
      <c r="M66" s="51" t="str">
        <f t="shared" si="3"/>
        <v>SI</v>
      </c>
      <c r="N66" s="29" t="s">
        <v>277</v>
      </c>
      <c r="O66" s="30" t="s">
        <v>278</v>
      </c>
    </row>
    <row r="67" spans="1:15" s="78" customFormat="1" ht="16.5" x14ac:dyDescent="0.3">
      <c r="A67" s="46" t="s">
        <v>359</v>
      </c>
      <c r="B67" s="46" t="s">
        <v>470</v>
      </c>
      <c r="C67" s="74">
        <v>438.24</v>
      </c>
      <c r="D67" s="74">
        <v>73.040000000000006</v>
      </c>
      <c r="E67" s="74">
        <f t="shared" si="0"/>
        <v>511.28000000000003</v>
      </c>
      <c r="F67" s="76">
        <v>-66.069999999999993</v>
      </c>
      <c r="G67" s="74">
        <v>446.8</v>
      </c>
      <c r="H67" s="76">
        <v>-0.05</v>
      </c>
      <c r="I67" s="74">
        <v>0</v>
      </c>
      <c r="J67" s="74">
        <f t="shared" si="1"/>
        <v>380.68</v>
      </c>
      <c r="K67" s="74">
        <f t="shared" si="2"/>
        <v>130.60000000000002</v>
      </c>
      <c r="L67" s="53"/>
      <c r="M67" s="51" t="str">
        <f t="shared" si="3"/>
        <v>SI</v>
      </c>
      <c r="N67" s="43" t="s">
        <v>359</v>
      </c>
      <c r="O67" s="46" t="s">
        <v>360</v>
      </c>
    </row>
    <row r="68" spans="1:15" s="1" customFormat="1" ht="16.5" x14ac:dyDescent="0.3">
      <c r="A68" s="64" t="s">
        <v>279</v>
      </c>
      <c r="B68" s="63" t="s">
        <v>280</v>
      </c>
      <c r="C68" s="66">
        <v>438.24</v>
      </c>
      <c r="D68" s="66">
        <v>73.040000000000006</v>
      </c>
      <c r="E68" s="66">
        <f t="shared" si="0"/>
        <v>511.28000000000003</v>
      </c>
      <c r="F68" s="67">
        <v>-66.069999999999993</v>
      </c>
      <c r="G68" s="66">
        <v>0</v>
      </c>
      <c r="H68" s="67">
        <v>-0.05</v>
      </c>
      <c r="I68" s="66">
        <v>0</v>
      </c>
      <c r="J68" s="66">
        <f t="shared" si="1"/>
        <v>-66.11999999999999</v>
      </c>
      <c r="K68" s="66">
        <f t="shared" si="2"/>
        <v>577.4</v>
      </c>
      <c r="L68" s="2"/>
      <c r="M68" s="51" t="str">
        <f t="shared" si="3"/>
        <v>SI</v>
      </c>
      <c r="N68" s="29" t="s">
        <v>279</v>
      </c>
      <c r="O68" s="30" t="s">
        <v>280</v>
      </c>
    </row>
    <row r="69" spans="1:15" ht="16.5" x14ac:dyDescent="0.3">
      <c r="A69" s="64" t="s">
        <v>281</v>
      </c>
      <c r="B69" s="63" t="s">
        <v>282</v>
      </c>
      <c r="C69" s="66">
        <v>438.24</v>
      </c>
      <c r="D69" s="66">
        <v>73.040000000000006</v>
      </c>
      <c r="E69" s="66">
        <f t="shared" si="0"/>
        <v>511.28000000000003</v>
      </c>
      <c r="F69" s="67">
        <v>-66.069999999999993</v>
      </c>
      <c r="G69" s="66">
        <v>0</v>
      </c>
      <c r="H69" s="66">
        <v>0.15</v>
      </c>
      <c r="I69" s="66">
        <v>0</v>
      </c>
      <c r="J69" s="66">
        <f t="shared" si="1"/>
        <v>-65.919999999999987</v>
      </c>
      <c r="K69" s="66">
        <f t="shared" si="2"/>
        <v>577.20000000000005</v>
      </c>
      <c r="L69" s="8"/>
      <c r="M69" s="51" t="str">
        <f t="shared" si="3"/>
        <v>SI</v>
      </c>
      <c r="N69" s="29" t="s">
        <v>281</v>
      </c>
      <c r="O69" s="30" t="s">
        <v>282</v>
      </c>
    </row>
    <row r="70" spans="1:15" ht="16.5" x14ac:dyDescent="0.3">
      <c r="A70" s="64" t="s">
        <v>283</v>
      </c>
      <c r="B70" s="63" t="s">
        <v>284</v>
      </c>
      <c r="C70" s="66">
        <v>438.24</v>
      </c>
      <c r="D70" s="66">
        <v>73.040000000000006</v>
      </c>
      <c r="E70" s="66">
        <f t="shared" si="0"/>
        <v>511.28000000000003</v>
      </c>
      <c r="F70" s="67">
        <v>-66.069999999999993</v>
      </c>
      <c r="G70" s="66">
        <v>0</v>
      </c>
      <c r="H70" s="67">
        <v>-0.05</v>
      </c>
      <c r="I70" s="66">
        <v>0</v>
      </c>
      <c r="J70" s="66">
        <f t="shared" si="1"/>
        <v>-66.11999999999999</v>
      </c>
      <c r="K70" s="66">
        <f t="shared" si="2"/>
        <v>577.4</v>
      </c>
      <c r="L70" s="15"/>
      <c r="M70" s="51" t="str">
        <f t="shared" si="3"/>
        <v>SI</v>
      </c>
      <c r="N70" s="29" t="s">
        <v>283</v>
      </c>
      <c r="O70" s="30" t="s">
        <v>284</v>
      </c>
    </row>
    <row r="71" spans="1:15" ht="16.5" x14ac:dyDescent="0.3">
      <c r="A71" s="64" t="s">
        <v>285</v>
      </c>
      <c r="B71" s="63" t="s">
        <v>286</v>
      </c>
      <c r="C71" s="66">
        <v>438.24</v>
      </c>
      <c r="D71" s="66">
        <v>73.040000000000006</v>
      </c>
      <c r="E71" s="66">
        <f t="shared" si="0"/>
        <v>511.28000000000003</v>
      </c>
      <c r="F71" s="67">
        <v>-66.069999999999993</v>
      </c>
      <c r="G71" s="66">
        <v>0</v>
      </c>
      <c r="H71" s="67">
        <v>-0.05</v>
      </c>
      <c r="I71" s="66">
        <v>0</v>
      </c>
      <c r="J71" s="66">
        <f t="shared" si="1"/>
        <v>-66.11999999999999</v>
      </c>
      <c r="K71" s="66">
        <f t="shared" si="2"/>
        <v>577.4</v>
      </c>
      <c r="M71" s="51" t="str">
        <f t="shared" si="3"/>
        <v>SI</v>
      </c>
      <c r="N71" s="29" t="s">
        <v>285</v>
      </c>
      <c r="O71" s="30" t="s">
        <v>286</v>
      </c>
    </row>
    <row r="72" spans="1:15" ht="16.5" x14ac:dyDescent="0.3">
      <c r="A72" s="64" t="s">
        <v>342</v>
      </c>
      <c r="B72" s="63" t="s">
        <v>475</v>
      </c>
      <c r="C72" s="66">
        <v>438.24</v>
      </c>
      <c r="D72" s="66">
        <v>73.040000000000006</v>
      </c>
      <c r="E72" s="66">
        <f t="shared" si="0"/>
        <v>511.28000000000003</v>
      </c>
      <c r="F72" s="67">
        <v>-66.069999999999993</v>
      </c>
      <c r="G72" s="66">
        <v>0</v>
      </c>
      <c r="H72" s="66">
        <v>0.15</v>
      </c>
      <c r="I72" s="66">
        <v>0</v>
      </c>
      <c r="J72" s="66">
        <f t="shared" si="1"/>
        <v>-65.919999999999987</v>
      </c>
      <c r="K72" s="66">
        <f t="shared" si="2"/>
        <v>577.20000000000005</v>
      </c>
      <c r="M72" s="51" t="str">
        <f t="shared" si="3"/>
        <v>SI</v>
      </c>
      <c r="N72" s="29" t="s">
        <v>342</v>
      </c>
      <c r="O72" s="30" t="s">
        <v>343</v>
      </c>
    </row>
    <row r="73" spans="1:15" ht="16.5" x14ac:dyDescent="0.3">
      <c r="A73" s="64" t="s">
        <v>287</v>
      </c>
      <c r="B73" s="63" t="s">
        <v>288</v>
      </c>
      <c r="C73" s="66">
        <v>438.24</v>
      </c>
      <c r="D73" s="66">
        <v>73.040000000000006</v>
      </c>
      <c r="E73" s="66">
        <f t="shared" si="0"/>
        <v>511.28000000000003</v>
      </c>
      <c r="F73" s="67">
        <v>-66.069999999999993</v>
      </c>
      <c r="G73" s="66">
        <v>0</v>
      </c>
      <c r="H73" s="67">
        <v>-0.05</v>
      </c>
      <c r="I73" s="66">
        <v>0</v>
      </c>
      <c r="J73" s="66">
        <f t="shared" si="1"/>
        <v>-66.11999999999999</v>
      </c>
      <c r="K73" s="66">
        <f t="shared" si="2"/>
        <v>577.4</v>
      </c>
      <c r="M73" s="51" t="str">
        <f t="shared" si="3"/>
        <v>SI</v>
      </c>
      <c r="N73" s="29" t="s">
        <v>287</v>
      </c>
      <c r="O73" s="30" t="s">
        <v>288</v>
      </c>
    </row>
    <row r="74" spans="1:15" ht="16.5" x14ac:dyDescent="0.3">
      <c r="A74" s="64" t="s">
        <v>289</v>
      </c>
      <c r="B74" s="63" t="s">
        <v>290</v>
      </c>
      <c r="C74" s="66">
        <v>438.24</v>
      </c>
      <c r="D74" s="66">
        <v>73.040000000000006</v>
      </c>
      <c r="E74" s="66">
        <f t="shared" si="0"/>
        <v>511.28000000000003</v>
      </c>
      <c r="F74" s="67">
        <v>-66.069999999999993</v>
      </c>
      <c r="G74" s="66">
        <v>0</v>
      </c>
      <c r="H74" s="67">
        <v>-0.05</v>
      </c>
      <c r="I74" s="66">
        <v>0</v>
      </c>
      <c r="J74" s="66">
        <f t="shared" si="1"/>
        <v>-66.11999999999999</v>
      </c>
      <c r="K74" s="66">
        <f t="shared" si="2"/>
        <v>577.4</v>
      </c>
      <c r="M74" s="51" t="str">
        <f t="shared" si="3"/>
        <v>SI</v>
      </c>
      <c r="N74" s="29" t="s">
        <v>289</v>
      </c>
      <c r="O74" s="30" t="s">
        <v>290</v>
      </c>
    </row>
    <row r="75" spans="1:15" ht="16.5" x14ac:dyDescent="0.3">
      <c r="A75" s="64" t="s">
        <v>291</v>
      </c>
      <c r="B75" s="63" t="s">
        <v>292</v>
      </c>
      <c r="C75" s="66">
        <v>438.24</v>
      </c>
      <c r="D75" s="66">
        <v>73.040000000000006</v>
      </c>
      <c r="E75" s="66">
        <f t="shared" ref="E75:E90" si="4">SUM(C75:D75)</f>
        <v>511.28000000000003</v>
      </c>
      <c r="F75" s="67">
        <v>-66.069999999999993</v>
      </c>
      <c r="G75" s="66">
        <v>0</v>
      </c>
      <c r="H75" s="66">
        <v>0.15</v>
      </c>
      <c r="I75" s="66">
        <v>0</v>
      </c>
      <c r="J75" s="66">
        <f t="shared" ref="J75:J90" si="5">SUM(F75:I75)</f>
        <v>-65.919999999999987</v>
      </c>
      <c r="K75" s="66">
        <f t="shared" ref="K75:K90" si="6">+E75-J75</f>
        <v>577.20000000000005</v>
      </c>
      <c r="M75" s="51" t="str">
        <f t="shared" ref="M75:M90" si="7">IF(N75=A75,"SI","NO")</f>
        <v>SI</v>
      </c>
      <c r="N75" s="29" t="s">
        <v>291</v>
      </c>
      <c r="O75" s="30" t="s">
        <v>292</v>
      </c>
    </row>
    <row r="76" spans="1:15" ht="16.5" x14ac:dyDescent="0.3">
      <c r="A76" s="64" t="s">
        <v>293</v>
      </c>
      <c r="B76" s="63" t="s">
        <v>294</v>
      </c>
      <c r="C76" s="66">
        <v>438.24</v>
      </c>
      <c r="D76" s="66">
        <v>73.040000000000006</v>
      </c>
      <c r="E76" s="66">
        <f t="shared" si="4"/>
        <v>511.28000000000003</v>
      </c>
      <c r="F76" s="67">
        <v>-66.069999999999993</v>
      </c>
      <c r="G76" s="66">
        <v>0</v>
      </c>
      <c r="H76" s="66">
        <v>0.15</v>
      </c>
      <c r="I76" s="66">
        <v>0</v>
      </c>
      <c r="J76" s="66">
        <f t="shared" si="5"/>
        <v>-65.919999999999987</v>
      </c>
      <c r="K76" s="66">
        <f t="shared" si="6"/>
        <v>577.20000000000005</v>
      </c>
      <c r="M76" s="51" t="str">
        <f t="shared" si="7"/>
        <v>SI</v>
      </c>
      <c r="N76" s="29" t="s">
        <v>293</v>
      </c>
      <c r="O76" s="30" t="s">
        <v>294</v>
      </c>
    </row>
    <row r="77" spans="1:15" ht="16.5" x14ac:dyDescent="0.3">
      <c r="A77" s="64" t="s">
        <v>295</v>
      </c>
      <c r="B77" s="63" t="s">
        <v>296</v>
      </c>
      <c r="C77" s="66">
        <v>438.24</v>
      </c>
      <c r="D77" s="66">
        <v>73.040000000000006</v>
      </c>
      <c r="E77" s="66">
        <f t="shared" si="4"/>
        <v>511.28000000000003</v>
      </c>
      <c r="F77" s="67">
        <v>-66.069999999999993</v>
      </c>
      <c r="G77" s="66">
        <v>0</v>
      </c>
      <c r="H77" s="67">
        <v>-0.05</v>
      </c>
      <c r="I77" s="66">
        <v>0</v>
      </c>
      <c r="J77" s="66">
        <f t="shared" si="5"/>
        <v>-66.11999999999999</v>
      </c>
      <c r="K77" s="66">
        <f t="shared" si="6"/>
        <v>577.4</v>
      </c>
      <c r="M77" s="51" t="str">
        <f t="shared" si="7"/>
        <v>SI</v>
      </c>
      <c r="N77" s="29" t="s">
        <v>295</v>
      </c>
      <c r="O77" s="30" t="s">
        <v>296</v>
      </c>
    </row>
    <row r="78" spans="1:15" ht="16.5" x14ac:dyDescent="0.3">
      <c r="A78" s="64" t="s">
        <v>478</v>
      </c>
      <c r="B78" s="63" t="s">
        <v>297</v>
      </c>
      <c r="C78" s="66">
        <v>438.24</v>
      </c>
      <c r="D78" s="66">
        <v>73.040000000000006</v>
      </c>
      <c r="E78" s="66">
        <f t="shared" si="4"/>
        <v>511.28000000000003</v>
      </c>
      <c r="F78" s="67">
        <v>-66.069999999999993</v>
      </c>
      <c r="G78" s="66">
        <v>0</v>
      </c>
      <c r="H78" s="67">
        <v>-0.05</v>
      </c>
      <c r="I78" s="66">
        <v>0</v>
      </c>
      <c r="J78" s="66">
        <f t="shared" si="5"/>
        <v>-66.11999999999999</v>
      </c>
      <c r="K78" s="66">
        <f t="shared" si="6"/>
        <v>577.4</v>
      </c>
      <c r="M78" s="51" t="str">
        <f t="shared" si="7"/>
        <v>SI</v>
      </c>
      <c r="N78" s="29" t="s">
        <v>478</v>
      </c>
      <c r="O78" s="30" t="s">
        <v>297</v>
      </c>
    </row>
    <row r="79" spans="1:15" ht="16.5" x14ac:dyDescent="0.3">
      <c r="A79" s="64" t="s">
        <v>298</v>
      </c>
      <c r="B79" s="63" t="s">
        <v>299</v>
      </c>
      <c r="C79" s="66">
        <v>438.24</v>
      </c>
      <c r="D79" s="66">
        <v>73.040000000000006</v>
      </c>
      <c r="E79" s="66">
        <f t="shared" si="4"/>
        <v>511.28000000000003</v>
      </c>
      <c r="F79" s="67">
        <v>-66.069999999999993</v>
      </c>
      <c r="G79" s="66">
        <v>0</v>
      </c>
      <c r="H79" s="67">
        <v>-0.05</v>
      </c>
      <c r="I79" s="66">
        <v>0</v>
      </c>
      <c r="J79" s="66">
        <f t="shared" si="5"/>
        <v>-66.11999999999999</v>
      </c>
      <c r="K79" s="66">
        <f t="shared" si="6"/>
        <v>577.4</v>
      </c>
      <c r="M79" s="51" t="str">
        <f t="shared" si="7"/>
        <v>SI</v>
      </c>
      <c r="N79" s="29" t="s">
        <v>298</v>
      </c>
      <c r="O79" s="30" t="s">
        <v>299</v>
      </c>
    </row>
    <row r="80" spans="1:15" s="108" customFormat="1" ht="16.5" x14ac:dyDescent="0.3">
      <c r="A80" s="105"/>
      <c r="B80" s="106" t="s">
        <v>328</v>
      </c>
      <c r="C80" s="107">
        <v>438.24</v>
      </c>
      <c r="D80" s="107">
        <v>73.040000000000006</v>
      </c>
      <c r="E80" s="66">
        <f t="shared" si="4"/>
        <v>511.28000000000003</v>
      </c>
      <c r="F80" s="107">
        <v>-66.069999999999993</v>
      </c>
      <c r="G80" s="107">
        <v>0</v>
      </c>
      <c r="H80" s="107">
        <v>-0.05</v>
      </c>
      <c r="I80" s="107">
        <v>0</v>
      </c>
      <c r="J80" s="66">
        <f t="shared" si="5"/>
        <v>-66.11999999999999</v>
      </c>
      <c r="K80" s="66">
        <f t="shared" si="6"/>
        <v>577.4</v>
      </c>
      <c r="M80" s="109" t="str">
        <f t="shared" si="7"/>
        <v>SI</v>
      </c>
      <c r="N80" s="110"/>
      <c r="O80" s="106" t="s">
        <v>328</v>
      </c>
    </row>
    <row r="81" spans="1:15" ht="16.5" x14ac:dyDescent="0.3">
      <c r="A81" s="64" t="s">
        <v>300</v>
      </c>
      <c r="B81" s="63" t="s">
        <v>301</v>
      </c>
      <c r="C81" s="66">
        <v>438.24</v>
      </c>
      <c r="D81" s="66">
        <v>73.040000000000006</v>
      </c>
      <c r="E81" s="66">
        <f t="shared" si="4"/>
        <v>511.28000000000003</v>
      </c>
      <c r="F81" s="67">
        <v>-66.069999999999993</v>
      </c>
      <c r="G81" s="66">
        <v>0</v>
      </c>
      <c r="H81" s="66">
        <v>0.15</v>
      </c>
      <c r="I81" s="66">
        <v>0</v>
      </c>
      <c r="J81" s="66">
        <f t="shared" si="5"/>
        <v>-65.919999999999987</v>
      </c>
      <c r="K81" s="66">
        <f t="shared" si="6"/>
        <v>577.20000000000005</v>
      </c>
      <c r="M81" s="51" t="str">
        <f t="shared" si="7"/>
        <v>SI</v>
      </c>
      <c r="N81" s="29" t="s">
        <v>300</v>
      </c>
      <c r="O81" s="30" t="s">
        <v>301</v>
      </c>
    </row>
    <row r="82" spans="1:15" ht="16.5" x14ac:dyDescent="0.3">
      <c r="A82" s="64" t="s">
        <v>302</v>
      </c>
      <c r="B82" s="63" t="s">
        <v>303</v>
      </c>
      <c r="C82" s="66">
        <v>438.24</v>
      </c>
      <c r="D82" s="66">
        <v>73.040000000000006</v>
      </c>
      <c r="E82" s="66">
        <f t="shared" si="4"/>
        <v>511.28000000000003</v>
      </c>
      <c r="F82" s="67">
        <v>-66.069999999999993</v>
      </c>
      <c r="G82" s="66">
        <v>0</v>
      </c>
      <c r="H82" s="67">
        <v>-0.05</v>
      </c>
      <c r="I82" s="66">
        <v>0</v>
      </c>
      <c r="J82" s="66">
        <f t="shared" si="5"/>
        <v>-66.11999999999999</v>
      </c>
      <c r="K82" s="66">
        <f t="shared" si="6"/>
        <v>577.4</v>
      </c>
      <c r="M82" s="51" t="str">
        <f t="shared" si="7"/>
        <v>SI</v>
      </c>
      <c r="N82" s="29" t="s">
        <v>302</v>
      </c>
      <c r="O82" s="30" t="s">
        <v>303</v>
      </c>
    </row>
    <row r="83" spans="1:15" ht="16.5" x14ac:dyDescent="0.3">
      <c r="A83" s="64" t="s">
        <v>304</v>
      </c>
      <c r="B83" s="63" t="s">
        <v>305</v>
      </c>
      <c r="C83" s="66">
        <v>438.24</v>
      </c>
      <c r="D83" s="66">
        <v>73.040000000000006</v>
      </c>
      <c r="E83" s="66">
        <f t="shared" si="4"/>
        <v>511.28000000000003</v>
      </c>
      <c r="F83" s="67">
        <v>-66.069999999999993</v>
      </c>
      <c r="G83" s="66">
        <v>0</v>
      </c>
      <c r="H83" s="66">
        <v>0.15</v>
      </c>
      <c r="I83" s="66">
        <v>0</v>
      </c>
      <c r="J83" s="66">
        <f t="shared" si="5"/>
        <v>-65.919999999999987</v>
      </c>
      <c r="K83" s="66">
        <f t="shared" si="6"/>
        <v>577.20000000000005</v>
      </c>
      <c r="M83" s="51" t="str">
        <f t="shared" si="7"/>
        <v>SI</v>
      </c>
      <c r="N83" s="29" t="s">
        <v>304</v>
      </c>
      <c r="O83" s="30" t="s">
        <v>305</v>
      </c>
    </row>
    <row r="84" spans="1:15" ht="16.5" x14ac:dyDescent="0.3">
      <c r="A84" s="64" t="s">
        <v>306</v>
      </c>
      <c r="B84" s="63" t="s">
        <v>307</v>
      </c>
      <c r="C84" s="66">
        <v>438.24</v>
      </c>
      <c r="D84" s="66">
        <v>73.040000000000006</v>
      </c>
      <c r="E84" s="66">
        <f t="shared" si="4"/>
        <v>511.28000000000003</v>
      </c>
      <c r="F84" s="67">
        <v>-66.069999999999993</v>
      </c>
      <c r="G84" s="66">
        <v>0</v>
      </c>
      <c r="H84" s="66">
        <v>0.15</v>
      </c>
      <c r="I84" s="66">
        <v>0</v>
      </c>
      <c r="J84" s="66">
        <f t="shared" si="5"/>
        <v>-65.919999999999987</v>
      </c>
      <c r="K84" s="66">
        <f t="shared" si="6"/>
        <v>577.20000000000005</v>
      </c>
      <c r="M84" s="51" t="str">
        <f t="shared" si="7"/>
        <v>SI</v>
      </c>
      <c r="N84" s="29" t="s">
        <v>306</v>
      </c>
      <c r="O84" s="30" t="s">
        <v>307</v>
      </c>
    </row>
    <row r="85" spans="1:15" ht="16.5" x14ac:dyDescent="0.3">
      <c r="A85" s="64" t="s">
        <v>308</v>
      </c>
      <c r="B85" s="63" t="s">
        <v>309</v>
      </c>
      <c r="C85" s="66">
        <v>438.24</v>
      </c>
      <c r="D85" s="66">
        <v>73.040000000000006</v>
      </c>
      <c r="E85" s="66">
        <f t="shared" si="4"/>
        <v>511.28000000000003</v>
      </c>
      <c r="F85" s="67">
        <v>-66.069999999999993</v>
      </c>
      <c r="G85" s="66">
        <v>0</v>
      </c>
      <c r="H85" s="66">
        <v>0.15</v>
      </c>
      <c r="I85" s="66">
        <v>0</v>
      </c>
      <c r="J85" s="66">
        <f t="shared" si="5"/>
        <v>-65.919999999999987</v>
      </c>
      <c r="K85" s="66">
        <f t="shared" si="6"/>
        <v>577.20000000000005</v>
      </c>
      <c r="M85" s="51" t="str">
        <f t="shared" si="7"/>
        <v>SI</v>
      </c>
      <c r="N85" s="29" t="s">
        <v>308</v>
      </c>
      <c r="O85" s="30" t="s">
        <v>309</v>
      </c>
    </row>
    <row r="86" spans="1:15" ht="16.5" x14ac:dyDescent="0.3">
      <c r="A86" s="64" t="s">
        <v>310</v>
      </c>
      <c r="B86" s="63" t="s">
        <v>311</v>
      </c>
      <c r="C86" s="66">
        <v>438.24</v>
      </c>
      <c r="D86" s="66">
        <v>73.040000000000006</v>
      </c>
      <c r="E86" s="66">
        <f t="shared" si="4"/>
        <v>511.28000000000003</v>
      </c>
      <c r="F86" s="67">
        <v>-66.069999999999993</v>
      </c>
      <c r="G86" s="66">
        <v>0</v>
      </c>
      <c r="H86" s="67">
        <v>-0.05</v>
      </c>
      <c r="I86" s="66">
        <v>0</v>
      </c>
      <c r="J86" s="66">
        <f t="shared" si="5"/>
        <v>-66.11999999999999</v>
      </c>
      <c r="K86" s="66">
        <f t="shared" si="6"/>
        <v>577.4</v>
      </c>
      <c r="M86" s="51" t="str">
        <f t="shared" si="7"/>
        <v>SI</v>
      </c>
      <c r="N86" s="29" t="s">
        <v>310</v>
      </c>
      <c r="O86" s="30" t="s">
        <v>311</v>
      </c>
    </row>
    <row r="87" spans="1:15" ht="16.5" x14ac:dyDescent="0.3">
      <c r="A87" s="64" t="s">
        <v>312</v>
      </c>
      <c r="B87" s="63" t="s">
        <v>313</v>
      </c>
      <c r="C87" s="66">
        <v>438.24</v>
      </c>
      <c r="D87" s="66">
        <v>73.040000000000006</v>
      </c>
      <c r="E87" s="66">
        <f t="shared" si="4"/>
        <v>511.28000000000003</v>
      </c>
      <c r="F87" s="67">
        <v>-66.069999999999993</v>
      </c>
      <c r="G87" s="66">
        <v>0</v>
      </c>
      <c r="H87" s="67">
        <v>-0.05</v>
      </c>
      <c r="I87" s="66">
        <v>0</v>
      </c>
      <c r="J87" s="66">
        <f t="shared" si="5"/>
        <v>-66.11999999999999</v>
      </c>
      <c r="K87" s="66">
        <f t="shared" si="6"/>
        <v>577.4</v>
      </c>
      <c r="M87" s="51" t="str">
        <f t="shared" si="7"/>
        <v>SI</v>
      </c>
      <c r="N87" s="29" t="s">
        <v>312</v>
      </c>
      <c r="O87" s="30" t="s">
        <v>313</v>
      </c>
    </row>
    <row r="88" spans="1:15" ht="16.5" x14ac:dyDescent="0.3">
      <c r="A88" s="64" t="s">
        <v>314</v>
      </c>
      <c r="B88" s="63" t="s">
        <v>315</v>
      </c>
      <c r="C88" s="66">
        <v>365.2</v>
      </c>
      <c r="D88" s="66">
        <v>60.87</v>
      </c>
      <c r="E88" s="66">
        <f t="shared" si="4"/>
        <v>426.07</v>
      </c>
      <c r="F88" s="67">
        <f>-66.07/7*6</f>
        <v>-56.631428571428557</v>
      </c>
      <c r="G88" s="66">
        <v>0</v>
      </c>
      <c r="H88" s="67">
        <v>0.1</v>
      </c>
      <c r="I88" s="66">
        <v>0</v>
      </c>
      <c r="J88" s="66">
        <f t="shared" si="5"/>
        <v>-56.531428571428556</v>
      </c>
      <c r="K88" s="66">
        <f t="shared" si="6"/>
        <v>482.60142857142853</v>
      </c>
      <c r="M88" s="51" t="str">
        <f t="shared" si="7"/>
        <v>SI</v>
      </c>
      <c r="N88" s="29" t="s">
        <v>314</v>
      </c>
      <c r="O88" s="30" t="s">
        <v>315</v>
      </c>
    </row>
    <row r="89" spans="1:15" ht="16.5" x14ac:dyDescent="0.3">
      <c r="A89" s="64" t="s">
        <v>316</v>
      </c>
      <c r="B89" s="63" t="s">
        <v>317</v>
      </c>
      <c r="C89" s="66">
        <v>438.24</v>
      </c>
      <c r="D89" s="66">
        <v>73.040000000000006</v>
      </c>
      <c r="E89" s="66">
        <f t="shared" si="4"/>
        <v>511.28000000000003</v>
      </c>
      <c r="F89" s="67">
        <v>-66.069999999999993</v>
      </c>
      <c r="G89" s="66">
        <v>0</v>
      </c>
      <c r="H89" s="66">
        <v>0.15</v>
      </c>
      <c r="I89" s="66">
        <v>0</v>
      </c>
      <c r="J89" s="66">
        <f t="shared" si="5"/>
        <v>-65.919999999999987</v>
      </c>
      <c r="K89" s="66">
        <f t="shared" si="6"/>
        <v>577.20000000000005</v>
      </c>
      <c r="M89" s="51" t="str">
        <f t="shared" si="7"/>
        <v>SI</v>
      </c>
      <c r="N89" s="29" t="s">
        <v>316</v>
      </c>
      <c r="O89" s="30" t="s">
        <v>317</v>
      </c>
    </row>
    <row r="90" spans="1:15" ht="16.5" x14ac:dyDescent="0.3">
      <c r="A90" s="64" t="s">
        <v>318</v>
      </c>
      <c r="B90" s="63" t="s">
        <v>319</v>
      </c>
      <c r="C90" s="66">
        <v>365.2</v>
      </c>
      <c r="D90" s="66">
        <v>60.87</v>
      </c>
      <c r="E90" s="66">
        <f t="shared" si="4"/>
        <v>426.07</v>
      </c>
      <c r="F90" s="67">
        <f>-66.07/7*6</f>
        <v>-56.631428571428557</v>
      </c>
      <c r="G90" s="66">
        <v>0</v>
      </c>
      <c r="H90" s="67">
        <v>0.1</v>
      </c>
      <c r="I90" s="66">
        <v>0</v>
      </c>
      <c r="J90" s="66">
        <f t="shared" si="5"/>
        <v>-56.531428571428556</v>
      </c>
      <c r="K90" s="66">
        <f t="shared" si="6"/>
        <v>482.60142857142853</v>
      </c>
      <c r="M90" s="51" t="str">
        <f t="shared" si="7"/>
        <v>SI</v>
      </c>
      <c r="N90" s="29" t="s">
        <v>318</v>
      </c>
      <c r="O90" s="30" t="s">
        <v>319</v>
      </c>
    </row>
    <row r="91" spans="1:15" ht="12.75" thickBot="1" x14ac:dyDescent="0.25">
      <c r="C91" s="69">
        <f>SUM(C10:C90)</f>
        <v>34648.350000000042</v>
      </c>
      <c r="D91" s="69">
        <f t="shared" ref="D91:J91" si="8">SUM(D10:D90)</f>
        <v>5710.699999999998</v>
      </c>
      <c r="E91" s="69">
        <f t="shared" si="8"/>
        <v>40359.049999999959</v>
      </c>
      <c r="F91" s="69">
        <f t="shared" si="8"/>
        <v>-5241.7971428571427</v>
      </c>
      <c r="G91" s="69">
        <f t="shared" si="8"/>
        <v>2672.13</v>
      </c>
      <c r="H91" s="69">
        <f t="shared" si="8"/>
        <v>1.21</v>
      </c>
      <c r="I91" s="69">
        <f>SUM(I10:I90)</f>
        <v>335.5</v>
      </c>
      <c r="J91" s="69">
        <f t="shared" si="8"/>
        <v>-2232.9571428571417</v>
      </c>
      <c r="K91" s="69">
        <f>SUM(K10:K90)</f>
        <v>42592.007142857154</v>
      </c>
    </row>
    <row r="92" spans="1:15" ht="12" thickTop="1" x14ac:dyDescent="0.2">
      <c r="K92" s="66"/>
    </row>
    <row r="93" spans="1:15" x14ac:dyDescent="0.2">
      <c r="K93" s="66"/>
    </row>
  </sheetData>
  <mergeCells count="4">
    <mergeCell ref="B2:F2"/>
    <mergeCell ref="B3:F3"/>
    <mergeCell ref="B4:F4"/>
    <mergeCell ref="B1:C1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workbookViewId="0">
      <pane xSplit="2" ySplit="9" topLeftCell="C82" activePane="bottomRight" state="frozen"/>
      <selection pane="topRight" activeCell="C1" sqref="C1"/>
      <selection pane="bottomLeft" activeCell="A10" sqref="A10"/>
      <selection pane="bottomRight" activeCell="H93" sqref="H93"/>
    </sheetView>
  </sheetViews>
  <sheetFormatPr baseColWidth="10" defaultRowHeight="11.25" x14ac:dyDescent="0.2"/>
  <cols>
    <col min="1" max="1" width="12.28515625" style="3" customWidth="1"/>
    <col min="2" max="2" width="30.7109375" style="2" customWidth="1"/>
    <col min="3" max="3" width="13" style="2" bestFit="1" customWidth="1"/>
    <col min="4" max="4" width="13.5703125" style="2" bestFit="1" customWidth="1"/>
    <col min="5" max="9" width="13" style="2" bestFit="1" customWidth="1"/>
    <col min="10" max="10" width="12.7109375" style="2" customWidth="1"/>
    <col min="11" max="11" width="12.28515625" style="2" customWidth="1"/>
    <col min="12" max="12" width="25" style="2" bestFit="1" customWidth="1"/>
    <col min="13" max="16384" width="11.42578125" style="2"/>
  </cols>
  <sheetData>
    <row r="1" spans="1:20" ht="18" customHeight="1" x14ac:dyDescent="0.25">
      <c r="A1" s="4" t="s">
        <v>0</v>
      </c>
      <c r="B1" s="143" t="s">
        <v>19</v>
      </c>
      <c r="C1" s="141"/>
    </row>
    <row r="2" spans="1:20" ht="24.95" customHeight="1" x14ac:dyDescent="0.2">
      <c r="A2" s="5" t="s">
        <v>1</v>
      </c>
      <c r="B2" s="12" t="s">
        <v>2</v>
      </c>
      <c r="C2" s="13"/>
    </row>
    <row r="3" spans="1:20" ht="15.75" x14ac:dyDescent="0.25">
      <c r="B3" s="140" t="s">
        <v>3</v>
      </c>
      <c r="C3" s="141"/>
    </row>
    <row r="4" spans="1:20" ht="15" x14ac:dyDescent="0.25">
      <c r="B4" s="14" t="str">
        <f>+FACTURACIÓN!B4</f>
        <v>Periodo 6 al 6 Semanal del 03/02/2016 al 09/02/2016</v>
      </c>
      <c r="C4" s="16"/>
    </row>
    <row r="5" spans="1:20" x14ac:dyDescent="0.2">
      <c r="B5" s="7" t="s">
        <v>4</v>
      </c>
      <c r="N5" s="2">
        <v>165000</v>
      </c>
    </row>
    <row r="6" spans="1:20" x14ac:dyDescent="0.2">
      <c r="B6" s="7" t="s">
        <v>5</v>
      </c>
      <c r="N6" s="2">
        <f>+N5/365</f>
        <v>452.05479452054794</v>
      </c>
    </row>
    <row r="8" spans="1:20" s="6" customFormat="1" ht="34.5" thickBot="1" x14ac:dyDescent="0.25">
      <c r="A8" s="9" t="s">
        <v>6</v>
      </c>
      <c r="B8" s="10" t="s">
        <v>7</v>
      </c>
      <c r="C8" s="22" t="s">
        <v>33</v>
      </c>
      <c r="D8" s="22" t="s">
        <v>34</v>
      </c>
      <c r="E8" s="21" t="s">
        <v>9</v>
      </c>
      <c r="F8" s="22" t="s">
        <v>35</v>
      </c>
      <c r="G8" s="22" t="s">
        <v>36</v>
      </c>
      <c r="H8" s="22" t="s">
        <v>37</v>
      </c>
      <c r="I8" s="21" t="s">
        <v>12</v>
      </c>
      <c r="J8" s="37" t="s">
        <v>13</v>
      </c>
    </row>
    <row r="9" spans="1:20" ht="12" thickTop="1" x14ac:dyDescent="0.2"/>
    <row r="10" spans="1:20" s="89" customFormat="1" ht="15" x14ac:dyDescent="0.25">
      <c r="A10" s="88" t="s">
        <v>175</v>
      </c>
      <c r="B10" s="89" t="s">
        <v>176</v>
      </c>
      <c r="C10" s="111">
        <f>+FACTURACIÓN!H10-'C&amp;A'!K10-'C&amp;A'!G10-'C&amp;A'!I10+SINDICATO!F10-'C&amp;A'!I10</f>
        <v>1624.8899999999999</v>
      </c>
      <c r="D10" s="112">
        <v>0</v>
      </c>
      <c r="E10" s="113">
        <f>SUM(C10:D10)</f>
        <v>1624.8899999999999</v>
      </c>
      <c r="F10" s="112">
        <f>-FACTURACIÓN!F10</f>
        <v>45.13</v>
      </c>
      <c r="G10" s="112">
        <f>+FACTURACIÓN!G10</f>
        <v>0</v>
      </c>
      <c r="H10" s="112">
        <v>0</v>
      </c>
      <c r="I10" s="112">
        <f>SUM(F10:H10)</f>
        <v>45.13</v>
      </c>
      <c r="J10" s="118">
        <f>+E10-I10</f>
        <v>1579.7599999999998</v>
      </c>
      <c r="K10" s="31"/>
      <c r="L10" s="114" t="s">
        <v>366</v>
      </c>
      <c r="M10" s="114">
        <v>0</v>
      </c>
      <c r="O10" s="111">
        <f>-K10</f>
        <v>0</v>
      </c>
      <c r="P10" s="111">
        <f>+M10-O10</f>
        <v>0</v>
      </c>
      <c r="R10" s="89" t="str">
        <f t="shared" ref="R10:R41" si="0">IF(A10=S10,"S","N")</f>
        <v>S</v>
      </c>
      <c r="S10" s="29" t="s">
        <v>175</v>
      </c>
      <c r="T10" s="30" t="s">
        <v>176</v>
      </c>
    </row>
    <row r="11" spans="1:20" s="89" customFormat="1" ht="15" x14ac:dyDescent="0.25">
      <c r="A11" s="88" t="s">
        <v>177</v>
      </c>
      <c r="B11" s="89" t="s">
        <v>178</v>
      </c>
      <c r="C11" s="111">
        <f>+FACTURACIÓN!H11-'C&amp;A'!K11-'C&amp;A'!G11-'C&amp;A'!I11+SINDICATO!F11</f>
        <v>7344.3600000000006</v>
      </c>
      <c r="D11" s="112">
        <v>0</v>
      </c>
      <c r="E11" s="113">
        <f t="shared" ref="E11:E74" si="1">SUM(C11:D11)</f>
        <v>7344.3600000000006</v>
      </c>
      <c r="F11" s="112">
        <f>-FACTURACIÓN!F11</f>
        <v>45.13</v>
      </c>
      <c r="G11" s="112">
        <f>+FACTURACIÓN!G11</f>
        <v>0</v>
      </c>
      <c r="H11" s="112">
        <v>708.89670000000012</v>
      </c>
      <c r="I11" s="112">
        <f t="shared" ref="I11:I74" si="2">SUM(F11:H11)</f>
        <v>754.02670000000012</v>
      </c>
      <c r="J11" s="118">
        <f t="shared" ref="J11:J74" si="3">+E11-I11</f>
        <v>6590.3333000000002</v>
      </c>
      <c r="K11" s="31"/>
      <c r="L11" s="114" t="s">
        <v>431</v>
      </c>
      <c r="M11" s="114">
        <v>0</v>
      </c>
      <c r="O11" s="111">
        <f t="shared" ref="O11:O20" si="4">-K11</f>
        <v>0</v>
      </c>
      <c r="P11" s="111">
        <f t="shared" ref="P11:P20" si="5">+M11-O11</f>
        <v>0</v>
      </c>
      <c r="R11" s="89" t="str">
        <f t="shared" si="0"/>
        <v>S</v>
      </c>
      <c r="S11" s="29" t="s">
        <v>177</v>
      </c>
      <c r="T11" s="30" t="s">
        <v>178</v>
      </c>
    </row>
    <row r="12" spans="1:20" s="89" customFormat="1" ht="15" x14ac:dyDescent="0.25">
      <c r="A12" s="88" t="s">
        <v>179</v>
      </c>
      <c r="B12" s="89" t="s">
        <v>180</v>
      </c>
      <c r="C12" s="111">
        <f>+FACTURACIÓN!H12-'C&amp;A'!K12-'C&amp;A'!G12-'C&amp;A'!I12+SINDICATO!F12</f>
        <v>5159.5600000000004</v>
      </c>
      <c r="D12" s="112">
        <v>0</v>
      </c>
      <c r="E12" s="113">
        <f t="shared" si="1"/>
        <v>5159.5600000000004</v>
      </c>
      <c r="F12" s="112">
        <f>-FACTURACIÓN!F12</f>
        <v>88.79</v>
      </c>
      <c r="G12" s="112">
        <f>+FACTURACIÓN!G12</f>
        <v>0</v>
      </c>
      <c r="H12" s="112">
        <v>508.33530000000002</v>
      </c>
      <c r="I12" s="112">
        <f t="shared" si="2"/>
        <v>597.12530000000004</v>
      </c>
      <c r="J12" s="118">
        <f t="shared" si="3"/>
        <v>4562.4347000000007</v>
      </c>
      <c r="K12" s="31"/>
      <c r="L12" s="114" t="s">
        <v>406</v>
      </c>
      <c r="M12" s="114">
        <v>0</v>
      </c>
      <c r="O12" s="111">
        <f t="shared" si="4"/>
        <v>0</v>
      </c>
      <c r="P12" s="111">
        <f t="shared" si="5"/>
        <v>0</v>
      </c>
      <c r="R12" s="89" t="str">
        <f t="shared" si="0"/>
        <v>S</v>
      </c>
      <c r="S12" s="29" t="s">
        <v>179</v>
      </c>
      <c r="T12" s="30" t="s">
        <v>180</v>
      </c>
    </row>
    <row r="13" spans="1:20" s="89" customFormat="1" ht="15" x14ac:dyDescent="0.25">
      <c r="A13" s="88" t="s">
        <v>450</v>
      </c>
      <c r="B13" s="89" t="s">
        <v>322</v>
      </c>
      <c r="C13" s="111">
        <f>+FACTURACIÓN!H13-'C&amp;A'!K13-'C&amp;A'!G13-'C&amp;A'!I13+SINDICATO!F13</f>
        <v>1108.26</v>
      </c>
      <c r="D13" s="112">
        <v>0</v>
      </c>
      <c r="E13" s="113">
        <f t="shared" si="1"/>
        <v>1108.26</v>
      </c>
      <c r="F13" s="112">
        <f>-FACTURACIÓN!F13</f>
        <v>0</v>
      </c>
      <c r="G13" s="112">
        <f>+FACTURACIÓN!G13</f>
        <v>0</v>
      </c>
      <c r="H13" s="112">
        <v>0</v>
      </c>
      <c r="I13" s="112">
        <f t="shared" si="2"/>
        <v>0</v>
      </c>
      <c r="J13" s="118">
        <f t="shared" si="3"/>
        <v>1108.26</v>
      </c>
      <c r="K13" s="31"/>
      <c r="L13" s="114"/>
      <c r="M13" s="114"/>
      <c r="O13" s="111">
        <f t="shared" si="4"/>
        <v>0</v>
      </c>
      <c r="P13" s="111">
        <f t="shared" si="5"/>
        <v>0</v>
      </c>
      <c r="R13" s="89" t="str">
        <f t="shared" si="0"/>
        <v>S</v>
      </c>
      <c r="S13" s="88" t="s">
        <v>450</v>
      </c>
      <c r="T13" s="30" t="s">
        <v>322</v>
      </c>
    </row>
    <row r="14" spans="1:20" s="89" customFormat="1" ht="15" x14ac:dyDescent="0.25">
      <c r="A14" s="88" t="s">
        <v>181</v>
      </c>
      <c r="B14" s="89" t="s">
        <v>182</v>
      </c>
      <c r="C14" s="111">
        <f>+FACTURACIÓN!H14-'C&amp;A'!K14-'C&amp;A'!G14-'C&amp;A'!I14+SINDICATO!F14</f>
        <v>2537.6</v>
      </c>
      <c r="D14" s="112">
        <v>0</v>
      </c>
      <c r="E14" s="113">
        <f t="shared" si="1"/>
        <v>2537.6</v>
      </c>
      <c r="F14" s="112">
        <f>-FACTURACIÓN!F14</f>
        <v>45.13</v>
      </c>
      <c r="G14" s="112">
        <f>+FACTURACIÓN!G14</f>
        <v>0</v>
      </c>
      <c r="H14" s="112">
        <v>0</v>
      </c>
      <c r="I14" s="112">
        <f t="shared" si="2"/>
        <v>45.13</v>
      </c>
      <c r="J14" s="118">
        <f t="shared" si="3"/>
        <v>2492.4699999999998</v>
      </c>
      <c r="K14" s="31"/>
      <c r="L14" s="114" t="s">
        <v>367</v>
      </c>
      <c r="M14" s="114">
        <v>0</v>
      </c>
      <c r="O14" s="111">
        <f t="shared" si="4"/>
        <v>0</v>
      </c>
      <c r="P14" s="111">
        <f t="shared" si="5"/>
        <v>0</v>
      </c>
      <c r="R14" s="89" t="str">
        <f t="shared" si="0"/>
        <v>S</v>
      </c>
      <c r="S14" s="29" t="s">
        <v>181</v>
      </c>
      <c r="T14" s="30" t="s">
        <v>182</v>
      </c>
    </row>
    <row r="15" spans="1:20" s="89" customFormat="1" ht="15" x14ac:dyDescent="0.25">
      <c r="A15" s="88" t="s">
        <v>183</v>
      </c>
      <c r="B15" s="89" t="s">
        <v>184</v>
      </c>
      <c r="C15" s="111">
        <f>+FACTURACIÓN!H15-'C&amp;A'!K15-'C&amp;A'!G15-'C&amp;A'!I15+SINDICATO!F15</f>
        <v>2863.8399999999997</v>
      </c>
      <c r="D15" s="112">
        <v>0</v>
      </c>
      <c r="E15" s="113">
        <f t="shared" si="1"/>
        <v>2863.8399999999997</v>
      </c>
      <c r="F15" s="112">
        <f>-FACTURACIÓN!F15</f>
        <v>45.13</v>
      </c>
      <c r="G15" s="112">
        <f>+FACTURACIÓN!G15</f>
        <v>0</v>
      </c>
      <c r="H15" s="112">
        <v>0</v>
      </c>
      <c r="I15" s="112">
        <f t="shared" si="2"/>
        <v>45.13</v>
      </c>
      <c r="J15" s="118">
        <f t="shared" si="3"/>
        <v>2818.7099999999996</v>
      </c>
      <c r="K15" s="31"/>
      <c r="L15" s="114" t="s">
        <v>426</v>
      </c>
      <c r="M15" s="114">
        <v>0</v>
      </c>
      <c r="O15" s="111">
        <f t="shared" si="4"/>
        <v>0</v>
      </c>
      <c r="P15" s="111">
        <f t="shared" si="5"/>
        <v>0</v>
      </c>
      <c r="R15" s="89" t="str">
        <f t="shared" si="0"/>
        <v>S</v>
      </c>
      <c r="S15" s="29" t="s">
        <v>183</v>
      </c>
      <c r="T15" s="30" t="s">
        <v>184</v>
      </c>
    </row>
    <row r="16" spans="1:20" s="89" customFormat="1" ht="15" x14ac:dyDescent="0.25">
      <c r="A16" s="88" t="s">
        <v>185</v>
      </c>
      <c r="B16" s="89" t="s">
        <v>186</v>
      </c>
      <c r="C16" s="111">
        <f>+FACTURACIÓN!H16-'C&amp;A'!K16-'C&amp;A'!G16-'C&amp;A'!I16+SINDICATO!F16</f>
        <v>14657.16</v>
      </c>
      <c r="D16" s="112">
        <v>0</v>
      </c>
      <c r="E16" s="113">
        <f t="shared" si="1"/>
        <v>14657.16</v>
      </c>
      <c r="F16" s="112">
        <f>-FACTURACIÓN!F16</f>
        <v>0</v>
      </c>
      <c r="G16" s="112">
        <f>+FACTURACIÓN!G16</f>
        <v>316.8</v>
      </c>
      <c r="H16" s="112">
        <v>1339.4304000000002</v>
      </c>
      <c r="I16" s="112">
        <f t="shared" si="2"/>
        <v>1656.2304000000001</v>
      </c>
      <c r="J16" s="118">
        <f t="shared" si="3"/>
        <v>13000.929599999999</v>
      </c>
      <c r="K16" s="31"/>
      <c r="L16" s="114"/>
      <c r="M16" s="114"/>
      <c r="O16" s="111">
        <f t="shared" si="4"/>
        <v>0</v>
      </c>
      <c r="P16" s="111">
        <f t="shared" si="5"/>
        <v>0</v>
      </c>
      <c r="R16" s="89" t="str">
        <f t="shared" si="0"/>
        <v>S</v>
      </c>
      <c r="S16" s="29" t="s">
        <v>185</v>
      </c>
      <c r="T16" s="30" t="s">
        <v>186</v>
      </c>
    </row>
    <row r="17" spans="1:20" s="89" customFormat="1" ht="15" x14ac:dyDescent="0.25">
      <c r="A17" s="88" t="s">
        <v>451</v>
      </c>
      <c r="B17" s="89" t="s">
        <v>187</v>
      </c>
      <c r="C17" s="111">
        <f>+FACTURACIÓN!H17-'C&amp;A'!K17-'C&amp;A'!G17-'C&amp;A'!I17+SINDICATO!F17</f>
        <v>738.36999999999978</v>
      </c>
      <c r="D17" s="112">
        <v>0</v>
      </c>
      <c r="E17" s="113">
        <f t="shared" si="1"/>
        <v>738.36999999999978</v>
      </c>
      <c r="F17" s="112">
        <f>-FACTURACIÓN!F17</f>
        <v>45.13</v>
      </c>
      <c r="G17" s="112">
        <f>+FACTURACIÓN!G17</f>
        <v>0</v>
      </c>
      <c r="H17" s="112">
        <v>0</v>
      </c>
      <c r="I17" s="112">
        <f t="shared" si="2"/>
        <v>45.13</v>
      </c>
      <c r="J17" s="118">
        <f t="shared" si="3"/>
        <v>693.23999999999978</v>
      </c>
      <c r="K17" s="31"/>
      <c r="L17" s="114" t="s">
        <v>407</v>
      </c>
      <c r="M17" s="114">
        <v>0</v>
      </c>
      <c r="O17" s="111">
        <f t="shared" si="4"/>
        <v>0</v>
      </c>
      <c r="P17" s="111">
        <f t="shared" si="5"/>
        <v>0</v>
      </c>
      <c r="R17" s="89" t="str">
        <f t="shared" si="0"/>
        <v>S</v>
      </c>
      <c r="S17" s="29" t="s">
        <v>451</v>
      </c>
      <c r="T17" s="30" t="s">
        <v>187</v>
      </c>
    </row>
    <row r="18" spans="1:20" s="53" customFormat="1" ht="15" x14ac:dyDescent="0.25">
      <c r="A18" s="52" t="s">
        <v>15</v>
      </c>
      <c r="B18" s="53" t="s">
        <v>188</v>
      </c>
      <c r="C18" s="111">
        <f>+FACTURACIÓN!H18-'C&amp;A'!K18-'C&amp;A'!G18-'C&amp;A'!I18+SINDICATO!F18</f>
        <v>314.64999999999998</v>
      </c>
      <c r="D18" s="74">
        <v>0</v>
      </c>
      <c r="E18" s="75">
        <f t="shared" si="1"/>
        <v>314.64999999999998</v>
      </c>
      <c r="F18" s="74">
        <f>-FACTURACIÓN!F18</f>
        <v>0</v>
      </c>
      <c r="G18" s="74">
        <f>+FACTURACIÓN!G18-'C&amp;A'!G18</f>
        <v>304.45000000000005</v>
      </c>
      <c r="H18" s="74">
        <v>0</v>
      </c>
      <c r="I18" s="74">
        <f t="shared" si="2"/>
        <v>304.45000000000005</v>
      </c>
      <c r="J18" s="122">
        <f t="shared" si="3"/>
        <v>10.199999999999932</v>
      </c>
      <c r="K18" s="47"/>
      <c r="L18" s="77" t="s">
        <v>430</v>
      </c>
      <c r="M18" s="77">
        <v>879.45</v>
      </c>
      <c r="O18" s="73">
        <f t="shared" si="4"/>
        <v>0</v>
      </c>
      <c r="P18" s="73">
        <f t="shared" si="5"/>
        <v>879.45</v>
      </c>
      <c r="R18" s="53" t="str">
        <f t="shared" si="0"/>
        <v>S</v>
      </c>
      <c r="S18" s="43" t="s">
        <v>15</v>
      </c>
      <c r="T18" s="46" t="s">
        <v>188</v>
      </c>
    </row>
    <row r="19" spans="1:20" s="89" customFormat="1" ht="15" x14ac:dyDescent="0.25">
      <c r="A19" s="88" t="s">
        <v>189</v>
      </c>
      <c r="B19" s="89" t="s">
        <v>190</v>
      </c>
      <c r="C19" s="111">
        <f>+FACTURACIÓN!H19-'C&amp;A'!K19-'C&amp;A'!G19-'C&amp;A'!I19+SINDICATO!F19</f>
        <v>690.74</v>
      </c>
      <c r="D19" s="112">
        <v>0</v>
      </c>
      <c r="E19" s="113">
        <f t="shared" si="1"/>
        <v>690.74</v>
      </c>
      <c r="F19" s="112">
        <f>-FACTURACIÓN!F19</f>
        <v>45.13</v>
      </c>
      <c r="G19" s="112">
        <f>+FACTURACIÓN!G19</f>
        <v>0</v>
      </c>
      <c r="H19" s="112">
        <v>0</v>
      </c>
      <c r="I19" s="112">
        <f t="shared" si="2"/>
        <v>45.13</v>
      </c>
      <c r="J19" s="118">
        <f t="shared" si="3"/>
        <v>645.61</v>
      </c>
      <c r="K19" s="31"/>
      <c r="L19" s="114" t="s">
        <v>388</v>
      </c>
      <c r="M19" s="114">
        <v>0</v>
      </c>
      <c r="O19" s="111">
        <f t="shared" si="4"/>
        <v>0</v>
      </c>
      <c r="P19" s="111">
        <f>+M19-O19</f>
        <v>0</v>
      </c>
      <c r="R19" s="89" t="str">
        <f t="shared" si="0"/>
        <v>S</v>
      </c>
      <c r="S19" s="29" t="s">
        <v>189</v>
      </c>
      <c r="T19" s="30" t="s">
        <v>190</v>
      </c>
    </row>
    <row r="20" spans="1:20" s="89" customFormat="1" ht="15" x14ac:dyDescent="0.25">
      <c r="A20" s="88" t="s">
        <v>191</v>
      </c>
      <c r="B20" s="89" t="s">
        <v>192</v>
      </c>
      <c r="C20" s="111">
        <f>+FACTURACIÓN!H20-'C&amp;A'!K20-'C&amp;A'!G20-'C&amp;A'!I20+SINDICATO!F20</f>
        <v>218.96714285714285</v>
      </c>
      <c r="D20" s="112">
        <v>0</v>
      </c>
      <c r="E20" s="113">
        <f t="shared" si="1"/>
        <v>218.96714285714285</v>
      </c>
      <c r="F20" s="112">
        <f>-FACTURACIÓN!F20</f>
        <v>0</v>
      </c>
      <c r="G20" s="112">
        <f>+FACTURACIÓN!G20</f>
        <v>136.65</v>
      </c>
      <c r="H20" s="112">
        <v>0</v>
      </c>
      <c r="I20" s="112">
        <f t="shared" si="2"/>
        <v>136.65</v>
      </c>
      <c r="J20" s="118">
        <f t="shared" si="3"/>
        <v>82.317142857142841</v>
      </c>
      <c r="K20" s="126"/>
      <c r="L20" s="114" t="s">
        <v>432</v>
      </c>
      <c r="M20" s="114">
        <v>3257.47</v>
      </c>
      <c r="O20" s="111">
        <f t="shared" si="4"/>
        <v>0</v>
      </c>
      <c r="P20" s="111">
        <f t="shared" si="5"/>
        <v>3257.47</v>
      </c>
      <c r="R20" s="89" t="str">
        <f t="shared" si="0"/>
        <v>S</v>
      </c>
      <c r="S20" s="29" t="s">
        <v>191</v>
      </c>
      <c r="T20" s="30" t="s">
        <v>192</v>
      </c>
    </row>
    <row r="21" spans="1:20" s="89" customFormat="1" ht="15" x14ac:dyDescent="0.25">
      <c r="A21" s="88" t="s">
        <v>452</v>
      </c>
      <c r="B21" s="89" t="s">
        <v>193</v>
      </c>
      <c r="C21" s="111">
        <f>+FACTURACIÓN!H21-'C&amp;A'!K21-'C&amp;A'!G21-'C&amp;A'!I21+SINDICATO!F21</f>
        <v>1295.52</v>
      </c>
      <c r="D21" s="112">
        <v>0</v>
      </c>
      <c r="E21" s="113">
        <f t="shared" si="1"/>
        <v>1295.52</v>
      </c>
      <c r="F21" s="112">
        <f>-FACTURACIÓN!F21</f>
        <v>0</v>
      </c>
      <c r="G21" s="112">
        <f>+FACTURACIÓN!G21</f>
        <v>0</v>
      </c>
      <c r="H21" s="112">
        <v>0</v>
      </c>
      <c r="I21" s="112">
        <f t="shared" si="2"/>
        <v>0</v>
      </c>
      <c r="J21" s="118">
        <f t="shared" si="3"/>
        <v>1295.52</v>
      </c>
      <c r="K21" s="31"/>
      <c r="L21" s="114" t="s">
        <v>368</v>
      </c>
      <c r="M21" s="114">
        <v>0</v>
      </c>
      <c r="O21" s="111">
        <f t="shared" ref="O21:O84" si="6">-K21</f>
        <v>0</v>
      </c>
      <c r="P21" s="111">
        <f t="shared" ref="P21:P84" si="7">+M21-O21</f>
        <v>0</v>
      </c>
      <c r="R21" s="89" t="str">
        <f t="shared" si="0"/>
        <v>S</v>
      </c>
      <c r="S21" s="29" t="s">
        <v>452</v>
      </c>
      <c r="T21" s="30" t="s">
        <v>193</v>
      </c>
    </row>
    <row r="22" spans="1:20" s="89" customFormat="1" ht="15" x14ac:dyDescent="0.25">
      <c r="A22" s="88" t="s">
        <v>194</v>
      </c>
      <c r="B22" s="89" t="s">
        <v>195</v>
      </c>
      <c r="C22" s="111">
        <f>+FACTURACIÓN!H22-'C&amp;A'!K22-'C&amp;A'!G22-'C&amp;A'!I22+SINDICATO!F22</f>
        <v>2123.2800000000002</v>
      </c>
      <c r="D22" s="112">
        <v>0</v>
      </c>
      <c r="E22" s="113">
        <f t="shared" si="1"/>
        <v>2123.2800000000002</v>
      </c>
      <c r="F22" s="112">
        <f>-FACTURACIÓN!F22</f>
        <v>45.13</v>
      </c>
      <c r="G22" s="112">
        <f>+FACTURACIÓN!G22</f>
        <v>0</v>
      </c>
      <c r="H22" s="112">
        <v>0</v>
      </c>
      <c r="I22" s="112">
        <f t="shared" si="2"/>
        <v>45.13</v>
      </c>
      <c r="J22" s="118">
        <f t="shared" si="3"/>
        <v>2078.15</v>
      </c>
      <c r="K22" s="31"/>
      <c r="L22" s="114" t="s">
        <v>408</v>
      </c>
      <c r="M22" s="114">
        <v>0</v>
      </c>
      <c r="O22" s="111">
        <f t="shared" si="6"/>
        <v>0</v>
      </c>
      <c r="P22" s="111">
        <f t="shared" si="7"/>
        <v>0</v>
      </c>
      <c r="R22" s="89" t="str">
        <f t="shared" si="0"/>
        <v>S</v>
      </c>
      <c r="S22" s="29" t="s">
        <v>194</v>
      </c>
      <c r="T22" s="30" t="s">
        <v>195</v>
      </c>
    </row>
    <row r="23" spans="1:20" s="89" customFormat="1" ht="15" x14ac:dyDescent="0.25">
      <c r="A23" s="88" t="s">
        <v>16</v>
      </c>
      <c r="B23" s="89" t="s">
        <v>196</v>
      </c>
      <c r="C23" s="111">
        <f>+FACTURACIÓN!H23-'C&amp;A'!K23-'C&amp;A'!G23-'C&amp;A'!I23+SINDICATO!F23</f>
        <v>12126</v>
      </c>
      <c r="D23" s="112">
        <v>0</v>
      </c>
      <c r="E23" s="113">
        <f t="shared" si="1"/>
        <v>12126</v>
      </c>
      <c r="F23" s="112">
        <f>-FACTURACIÓN!F23</f>
        <v>250.83</v>
      </c>
      <c r="G23" s="112">
        <f>+FACTURACIÓN!G23</f>
        <v>0</v>
      </c>
      <c r="H23" s="112">
        <v>1120.7313000000001</v>
      </c>
      <c r="I23" s="112">
        <f t="shared" si="2"/>
        <v>1371.5613000000001</v>
      </c>
      <c r="J23" s="118">
        <f t="shared" si="3"/>
        <v>10754.438700000001</v>
      </c>
      <c r="K23" s="31"/>
      <c r="L23" s="114" t="s">
        <v>427</v>
      </c>
      <c r="M23" s="114">
        <v>0</v>
      </c>
      <c r="O23" s="111">
        <f t="shared" si="6"/>
        <v>0</v>
      </c>
      <c r="P23" s="111">
        <f t="shared" si="7"/>
        <v>0</v>
      </c>
      <c r="R23" s="89" t="str">
        <f t="shared" si="0"/>
        <v>S</v>
      </c>
      <c r="S23" s="29" t="s">
        <v>16</v>
      </c>
      <c r="T23" s="30" t="s">
        <v>196</v>
      </c>
    </row>
    <row r="24" spans="1:20" s="89" customFormat="1" ht="15" x14ac:dyDescent="0.25">
      <c r="A24" s="88" t="s">
        <v>197</v>
      </c>
      <c r="B24" s="89" t="s">
        <v>198</v>
      </c>
      <c r="C24" s="111">
        <f>+FACTURACIÓN!H24-'C&amp;A'!K24-'C&amp;A'!G24-'C&amp;A'!I24+SINDICATO!F24</f>
        <v>597.41</v>
      </c>
      <c r="D24" s="112">
        <v>0</v>
      </c>
      <c r="E24" s="113">
        <f t="shared" si="1"/>
        <v>597.41</v>
      </c>
      <c r="F24" s="112">
        <f>-FACTURACIÓN!F24</f>
        <v>0</v>
      </c>
      <c r="G24" s="112">
        <f>+FACTURACIÓN!G24</f>
        <v>0</v>
      </c>
      <c r="H24" s="112">
        <v>0</v>
      </c>
      <c r="I24" s="112">
        <f t="shared" si="2"/>
        <v>0</v>
      </c>
      <c r="J24" s="118">
        <f t="shared" si="3"/>
        <v>597.41</v>
      </c>
      <c r="K24" s="31"/>
      <c r="L24" s="114" t="s">
        <v>409</v>
      </c>
      <c r="M24" s="114">
        <v>0</v>
      </c>
      <c r="O24" s="111">
        <f t="shared" si="6"/>
        <v>0</v>
      </c>
      <c r="P24" s="111">
        <f t="shared" si="7"/>
        <v>0</v>
      </c>
      <c r="R24" s="89" t="str">
        <f t="shared" si="0"/>
        <v>S</v>
      </c>
      <c r="S24" s="29" t="s">
        <v>197</v>
      </c>
      <c r="T24" s="30" t="s">
        <v>198</v>
      </c>
    </row>
    <row r="25" spans="1:20" s="89" customFormat="1" ht="15" x14ac:dyDescent="0.25">
      <c r="A25" s="88" t="s">
        <v>199</v>
      </c>
      <c r="B25" s="89" t="s">
        <v>200</v>
      </c>
      <c r="C25" s="111">
        <f>+FACTURACIÓN!H25-'C&amp;A'!K25-'C&amp;A'!G25-'C&amp;A'!I25+SINDICATO!F25</f>
        <v>723.77</v>
      </c>
      <c r="D25" s="112">
        <v>0</v>
      </c>
      <c r="E25" s="113">
        <f t="shared" si="1"/>
        <v>723.77</v>
      </c>
      <c r="F25" s="112">
        <f>-FACTURACIÓN!F25</f>
        <v>45.13</v>
      </c>
      <c r="G25" s="112">
        <f>+FACTURACIÓN!G25</f>
        <v>357.73</v>
      </c>
      <c r="H25" s="112">
        <v>0</v>
      </c>
      <c r="I25" s="112">
        <f t="shared" si="2"/>
        <v>402.86</v>
      </c>
      <c r="J25" s="118">
        <f t="shared" si="3"/>
        <v>320.90999999999997</v>
      </c>
      <c r="K25" s="31"/>
      <c r="L25" s="114" t="s">
        <v>390</v>
      </c>
      <c r="M25" s="114">
        <v>357.73</v>
      </c>
      <c r="O25" s="111">
        <f t="shared" si="6"/>
        <v>0</v>
      </c>
      <c r="P25" s="111">
        <f t="shared" si="7"/>
        <v>357.73</v>
      </c>
      <c r="R25" s="89" t="str">
        <f t="shared" si="0"/>
        <v>S</v>
      </c>
      <c r="S25" s="29" t="s">
        <v>199</v>
      </c>
      <c r="T25" s="30" t="s">
        <v>200</v>
      </c>
    </row>
    <row r="26" spans="1:20" s="89" customFormat="1" ht="15" x14ac:dyDescent="0.25">
      <c r="A26" s="88" t="s">
        <v>201</v>
      </c>
      <c r="B26" s="89" t="s">
        <v>202</v>
      </c>
      <c r="C26" s="111">
        <f>+FACTURACIÓN!H26-'C&amp;A'!K26-'C&amp;A'!G26-'C&amp;A'!I26+SINDICATO!F26</f>
        <v>0</v>
      </c>
      <c r="D26" s="112">
        <v>0</v>
      </c>
      <c r="E26" s="113">
        <f t="shared" si="1"/>
        <v>0</v>
      </c>
      <c r="F26" s="112">
        <f>-FACTURACIÓN!F26</f>
        <v>0</v>
      </c>
      <c r="G26" s="112">
        <v>0</v>
      </c>
      <c r="H26" s="112">
        <v>0</v>
      </c>
      <c r="I26" s="112">
        <f t="shared" si="2"/>
        <v>0</v>
      </c>
      <c r="J26" s="118">
        <f t="shared" si="3"/>
        <v>0</v>
      </c>
      <c r="K26" s="31"/>
      <c r="L26" s="114" t="s">
        <v>400</v>
      </c>
      <c r="M26" s="114">
        <v>797.62</v>
      </c>
      <c r="O26" s="111">
        <f t="shared" si="6"/>
        <v>0</v>
      </c>
      <c r="P26" s="111">
        <f t="shared" si="7"/>
        <v>797.62</v>
      </c>
      <c r="R26" s="89" t="str">
        <f t="shared" si="0"/>
        <v>S</v>
      </c>
      <c r="S26" s="29" t="s">
        <v>201</v>
      </c>
      <c r="T26" s="30" t="s">
        <v>202</v>
      </c>
    </row>
    <row r="27" spans="1:20" s="89" customFormat="1" ht="15" x14ac:dyDescent="0.25">
      <c r="A27" s="88" t="s">
        <v>203</v>
      </c>
      <c r="B27" s="89" t="s">
        <v>204</v>
      </c>
      <c r="C27" s="111">
        <f>+FACTURACIÓN!H27-'C&amp;A'!K27-'C&amp;A'!G27-'C&amp;A'!I27+SINDICATO!F27</f>
        <v>1826.57</v>
      </c>
      <c r="D27" s="112">
        <v>0</v>
      </c>
      <c r="E27" s="113">
        <f t="shared" si="1"/>
        <v>1826.57</v>
      </c>
      <c r="F27" s="112">
        <f>-FACTURACIÓN!F27</f>
        <v>45.13</v>
      </c>
      <c r="G27" s="112">
        <f>+FACTURACIÓN!G27</f>
        <v>0</v>
      </c>
      <c r="H27" s="112">
        <v>0</v>
      </c>
      <c r="I27" s="112">
        <f t="shared" si="2"/>
        <v>45.13</v>
      </c>
      <c r="J27" s="118">
        <f t="shared" si="3"/>
        <v>1781.4399999999998</v>
      </c>
      <c r="K27" s="31"/>
      <c r="L27" s="114" t="s">
        <v>374</v>
      </c>
      <c r="M27" s="114">
        <v>0</v>
      </c>
      <c r="O27" s="111">
        <f t="shared" si="6"/>
        <v>0</v>
      </c>
      <c r="P27" s="111">
        <f t="shared" si="7"/>
        <v>0</v>
      </c>
      <c r="R27" s="89" t="str">
        <f t="shared" si="0"/>
        <v>S</v>
      </c>
      <c r="S27" s="29" t="s">
        <v>203</v>
      </c>
      <c r="T27" s="30" t="s">
        <v>204</v>
      </c>
    </row>
    <row r="28" spans="1:20" s="89" customFormat="1" ht="15" x14ac:dyDescent="0.25">
      <c r="A28" s="88" t="s">
        <v>205</v>
      </c>
      <c r="B28" s="89" t="s">
        <v>206</v>
      </c>
      <c r="C28" s="111">
        <f>+FACTURACIÓN!H28-'C&amp;A'!K28-'C&amp;A'!G28-'C&amp;A'!I28+SINDICATO!F28</f>
        <v>1459.0299999999997</v>
      </c>
      <c r="D28" s="112">
        <v>0</v>
      </c>
      <c r="E28" s="113">
        <f t="shared" si="1"/>
        <v>1459.0299999999997</v>
      </c>
      <c r="F28" s="112">
        <f>-FACTURACIÓN!F28</f>
        <v>0</v>
      </c>
      <c r="G28" s="112">
        <f>+FACTURACIÓN!G28</f>
        <v>0</v>
      </c>
      <c r="H28" s="112">
        <v>0</v>
      </c>
      <c r="I28" s="112">
        <f t="shared" si="2"/>
        <v>0</v>
      </c>
      <c r="J28" s="118">
        <f t="shared" si="3"/>
        <v>1459.0299999999997</v>
      </c>
      <c r="K28" s="31"/>
      <c r="L28" s="114" t="s">
        <v>399</v>
      </c>
      <c r="M28" s="114">
        <v>0</v>
      </c>
      <c r="O28" s="111">
        <f t="shared" si="6"/>
        <v>0</v>
      </c>
      <c r="P28" s="111">
        <f t="shared" si="7"/>
        <v>0</v>
      </c>
      <c r="R28" s="89" t="str">
        <f t="shared" si="0"/>
        <v>S</v>
      </c>
      <c r="S28" s="29" t="s">
        <v>205</v>
      </c>
      <c r="T28" s="30" t="s">
        <v>206</v>
      </c>
    </row>
    <row r="29" spans="1:20" s="89" customFormat="1" ht="15" x14ac:dyDescent="0.25">
      <c r="A29" s="88" t="s">
        <v>207</v>
      </c>
      <c r="B29" s="89" t="s">
        <v>208</v>
      </c>
      <c r="C29" s="111">
        <f>+FACTURACIÓN!H29-'C&amp;A'!K29-'C&amp;A'!G29-'C&amp;A'!I29+SINDICATO!F29</f>
        <v>597.41</v>
      </c>
      <c r="D29" s="112">
        <v>0</v>
      </c>
      <c r="E29" s="113">
        <f t="shared" si="1"/>
        <v>597.41</v>
      </c>
      <c r="F29" s="112">
        <f>-FACTURACIÓN!F29</f>
        <v>0</v>
      </c>
      <c r="G29" s="112">
        <f>+FACTURACIÓN!G29</f>
        <v>0</v>
      </c>
      <c r="H29" s="112">
        <v>0</v>
      </c>
      <c r="I29" s="112">
        <f t="shared" si="2"/>
        <v>0</v>
      </c>
      <c r="J29" s="118">
        <f t="shared" si="3"/>
        <v>597.41</v>
      </c>
      <c r="K29" s="31"/>
      <c r="L29" s="114" t="s">
        <v>391</v>
      </c>
      <c r="M29" s="114">
        <v>0</v>
      </c>
      <c r="O29" s="111">
        <f t="shared" si="6"/>
        <v>0</v>
      </c>
      <c r="P29" s="111">
        <f t="shared" si="7"/>
        <v>0</v>
      </c>
      <c r="R29" s="89" t="str">
        <f t="shared" si="0"/>
        <v>S</v>
      </c>
      <c r="S29" s="29" t="s">
        <v>207</v>
      </c>
      <c r="T29" s="30" t="s">
        <v>208</v>
      </c>
    </row>
    <row r="30" spans="1:20" s="89" customFormat="1" ht="15" x14ac:dyDescent="0.25">
      <c r="A30" s="88" t="s">
        <v>209</v>
      </c>
      <c r="B30" s="89" t="s">
        <v>210</v>
      </c>
      <c r="C30" s="111">
        <f>+FACTURACIÓN!H30-'C&amp;A'!K30-'C&amp;A'!G30-'C&amp;A'!I30+SINDICATO!F30</f>
        <v>723.77</v>
      </c>
      <c r="D30" s="112">
        <v>0</v>
      </c>
      <c r="E30" s="113">
        <f t="shared" si="1"/>
        <v>723.77</v>
      </c>
      <c r="F30" s="112">
        <f>-FACTURACIÓN!F30</f>
        <v>45.13</v>
      </c>
      <c r="G30" s="112">
        <f>+FACTURACIÓN!G30</f>
        <v>0</v>
      </c>
      <c r="H30" s="112">
        <v>0</v>
      </c>
      <c r="I30" s="112">
        <f t="shared" si="2"/>
        <v>45.13</v>
      </c>
      <c r="J30" s="118">
        <f t="shared" si="3"/>
        <v>678.64</v>
      </c>
      <c r="K30" s="31"/>
      <c r="L30" s="114" t="s">
        <v>389</v>
      </c>
      <c r="M30" s="114">
        <v>0</v>
      </c>
      <c r="O30" s="111">
        <f t="shared" si="6"/>
        <v>0</v>
      </c>
      <c r="P30" s="111">
        <f t="shared" si="7"/>
        <v>0</v>
      </c>
      <c r="R30" s="89" t="str">
        <f t="shared" si="0"/>
        <v>S</v>
      </c>
      <c r="S30" s="29" t="s">
        <v>209</v>
      </c>
      <c r="T30" s="30" t="s">
        <v>210</v>
      </c>
    </row>
    <row r="31" spans="1:20" s="89" customFormat="1" ht="15" x14ac:dyDescent="0.25">
      <c r="A31" s="88" t="s">
        <v>211</v>
      </c>
      <c r="B31" s="89" t="s">
        <v>212</v>
      </c>
      <c r="C31" s="111">
        <f>+FACTURACIÓN!H31-'C&amp;A'!K31-'C&amp;A'!G31-'C&amp;A'!I31+SINDICATO!F31</f>
        <v>939.41</v>
      </c>
      <c r="D31" s="112">
        <v>0</v>
      </c>
      <c r="E31" s="113">
        <f t="shared" si="1"/>
        <v>939.41</v>
      </c>
      <c r="F31" s="112">
        <f>-FACTURACIÓN!F31</f>
        <v>45.13</v>
      </c>
      <c r="G31" s="112">
        <f>+FACTURACIÓN!G31</f>
        <v>0</v>
      </c>
      <c r="H31" s="112">
        <v>0</v>
      </c>
      <c r="I31" s="112">
        <f t="shared" si="2"/>
        <v>45.13</v>
      </c>
      <c r="J31" s="118">
        <f t="shared" si="3"/>
        <v>894.28</v>
      </c>
      <c r="K31" s="126"/>
      <c r="L31" s="114" t="s">
        <v>392</v>
      </c>
      <c r="M31" s="114">
        <v>0</v>
      </c>
      <c r="O31" s="111">
        <f t="shared" si="6"/>
        <v>0</v>
      </c>
      <c r="P31" s="111">
        <f t="shared" si="7"/>
        <v>0</v>
      </c>
      <c r="R31" s="89" t="str">
        <f t="shared" si="0"/>
        <v>S</v>
      </c>
      <c r="S31" s="29" t="s">
        <v>211</v>
      </c>
      <c r="T31" s="30" t="s">
        <v>212</v>
      </c>
    </row>
    <row r="32" spans="1:20" s="89" customFormat="1" ht="15" x14ac:dyDescent="0.25">
      <c r="A32" s="88" t="s">
        <v>213</v>
      </c>
      <c r="B32" s="89" t="s">
        <v>214</v>
      </c>
      <c r="C32" s="111">
        <f>+FACTURACIÓN!H32-'C&amp;A'!K32-'C&amp;A'!G32-'C&amp;A'!I32+SINDICATO!F32</f>
        <v>3265.74</v>
      </c>
      <c r="D32" s="112">
        <v>0</v>
      </c>
      <c r="E32" s="113">
        <f t="shared" si="1"/>
        <v>3265.74</v>
      </c>
      <c r="F32" s="112">
        <f>-FACTURACIÓN!F32</f>
        <v>88.79</v>
      </c>
      <c r="G32" s="112">
        <f>+FACTURACIÓN!G32</f>
        <v>0</v>
      </c>
      <c r="H32" s="112">
        <v>0</v>
      </c>
      <c r="I32" s="112">
        <f t="shared" si="2"/>
        <v>88.79</v>
      </c>
      <c r="J32" s="118">
        <f t="shared" si="3"/>
        <v>3176.95</v>
      </c>
      <c r="K32" s="31"/>
      <c r="L32" s="114" t="s">
        <v>410</v>
      </c>
      <c r="M32" s="114">
        <v>0</v>
      </c>
      <c r="O32" s="111">
        <f t="shared" si="6"/>
        <v>0</v>
      </c>
      <c r="P32" s="111">
        <f t="shared" si="7"/>
        <v>0</v>
      </c>
      <c r="R32" s="89" t="str">
        <f t="shared" si="0"/>
        <v>S</v>
      </c>
      <c r="S32" s="29" t="s">
        <v>213</v>
      </c>
      <c r="T32" s="30" t="s">
        <v>214</v>
      </c>
    </row>
    <row r="33" spans="1:20" s="89" customFormat="1" ht="15" x14ac:dyDescent="0.25">
      <c r="A33" s="88" t="s">
        <v>215</v>
      </c>
      <c r="B33" s="89" t="s">
        <v>216</v>
      </c>
      <c r="C33" s="111">
        <f>+FACTURACIÓN!H33-'C&amp;A'!K33-'C&amp;A'!G33-'C&amp;A'!I33+SINDICATO!F33</f>
        <v>607.01</v>
      </c>
      <c r="D33" s="112">
        <v>0</v>
      </c>
      <c r="E33" s="113">
        <f t="shared" si="1"/>
        <v>607.01</v>
      </c>
      <c r="F33" s="112">
        <f>-FACTURACIÓN!F33</f>
        <v>438.76</v>
      </c>
      <c r="G33" s="112">
        <f>+FACTURACIÓN!G33</f>
        <v>136.65</v>
      </c>
      <c r="H33" s="112">
        <v>0</v>
      </c>
      <c r="I33" s="112">
        <f>SUM(F33:H33)</f>
        <v>575.41</v>
      </c>
      <c r="J33" s="118">
        <f t="shared" si="3"/>
        <v>31.600000000000023</v>
      </c>
      <c r="K33" s="31"/>
      <c r="L33" s="114" t="s">
        <v>433</v>
      </c>
      <c r="M33" s="114">
        <v>530.28</v>
      </c>
      <c r="O33" s="111">
        <f t="shared" si="6"/>
        <v>0</v>
      </c>
      <c r="P33" s="111">
        <f t="shared" si="7"/>
        <v>530.28</v>
      </c>
      <c r="R33" s="89" t="str">
        <f t="shared" si="0"/>
        <v>S</v>
      </c>
      <c r="S33" s="29" t="s">
        <v>215</v>
      </c>
      <c r="T33" s="30" t="s">
        <v>216</v>
      </c>
    </row>
    <row r="34" spans="1:20" s="89" customFormat="1" ht="15" x14ac:dyDescent="0.25">
      <c r="A34" s="88" t="s">
        <v>217</v>
      </c>
      <c r="B34" s="89" t="s">
        <v>218</v>
      </c>
      <c r="C34" s="111">
        <f>+FACTURACIÓN!H34-'C&amp;A'!K34-'C&amp;A'!G34-'C&amp;A'!I34+SINDICATO!F34</f>
        <v>3011.5499999999997</v>
      </c>
      <c r="D34" s="112">
        <v>0</v>
      </c>
      <c r="E34" s="113">
        <f t="shared" si="1"/>
        <v>3011.5499999999997</v>
      </c>
      <c r="F34" s="112">
        <f>-FACTURACIÓN!F34</f>
        <v>88.79</v>
      </c>
      <c r="G34" s="112">
        <f>+FACTURACIÓN!G34</f>
        <v>0</v>
      </c>
      <c r="H34" s="112">
        <v>0</v>
      </c>
      <c r="I34" s="112">
        <f t="shared" si="2"/>
        <v>88.79</v>
      </c>
      <c r="J34" s="118">
        <f t="shared" si="3"/>
        <v>2922.7599999999998</v>
      </c>
      <c r="K34" s="31"/>
      <c r="L34" s="114" t="s">
        <v>411</v>
      </c>
      <c r="M34" s="114">
        <v>0</v>
      </c>
      <c r="O34" s="111">
        <f t="shared" si="6"/>
        <v>0</v>
      </c>
      <c r="P34" s="111">
        <f t="shared" si="7"/>
        <v>0</v>
      </c>
      <c r="R34" s="89" t="str">
        <f t="shared" si="0"/>
        <v>S</v>
      </c>
      <c r="S34" s="29" t="s">
        <v>217</v>
      </c>
      <c r="T34" s="30" t="s">
        <v>218</v>
      </c>
    </row>
    <row r="35" spans="1:20" s="89" customFormat="1" ht="15" x14ac:dyDescent="0.25">
      <c r="A35" s="88" t="s">
        <v>219</v>
      </c>
      <c r="B35" s="89" t="s">
        <v>220</v>
      </c>
      <c r="C35" s="111">
        <f>+FACTURACIÓN!H35-'C&amp;A'!K35-'C&amp;A'!G35-'C&amp;A'!I35+SINDICATO!F35</f>
        <v>2402.3100000000004</v>
      </c>
      <c r="D35" s="112">
        <v>0</v>
      </c>
      <c r="E35" s="113">
        <f t="shared" si="1"/>
        <v>2402.3100000000004</v>
      </c>
      <c r="F35" s="112">
        <f>-FACTURACIÓN!F35</f>
        <v>45.13</v>
      </c>
      <c r="G35" s="112">
        <f>+FACTURACIÓN!G35</f>
        <v>0</v>
      </c>
      <c r="H35" s="112">
        <v>0</v>
      </c>
      <c r="I35" s="112">
        <f t="shared" si="2"/>
        <v>45.13</v>
      </c>
      <c r="J35" s="118">
        <f t="shared" si="3"/>
        <v>2357.1800000000003</v>
      </c>
      <c r="K35" s="31"/>
      <c r="L35" s="114" t="s">
        <v>369</v>
      </c>
      <c r="M35" s="114">
        <v>0</v>
      </c>
      <c r="O35" s="111">
        <f t="shared" si="6"/>
        <v>0</v>
      </c>
      <c r="P35" s="111">
        <f t="shared" si="7"/>
        <v>0</v>
      </c>
      <c r="R35" s="89" t="str">
        <f t="shared" si="0"/>
        <v>S</v>
      </c>
      <c r="S35" s="29" t="s">
        <v>219</v>
      </c>
      <c r="T35" s="30" t="s">
        <v>220</v>
      </c>
    </row>
    <row r="36" spans="1:20" s="89" customFormat="1" ht="15" x14ac:dyDescent="0.25">
      <c r="A36" s="88" t="s">
        <v>221</v>
      </c>
      <c r="B36" s="89" t="s">
        <v>222</v>
      </c>
      <c r="C36" s="111">
        <f>+FACTURACIÓN!H36-'C&amp;A'!K36-'C&amp;A'!G36-'C&amp;A'!I36+SINDICATO!F36</f>
        <v>23999.94</v>
      </c>
      <c r="D36" s="112">
        <v>0</v>
      </c>
      <c r="E36" s="113">
        <f t="shared" si="1"/>
        <v>23999.94</v>
      </c>
      <c r="F36" s="112">
        <f>-FACTURACIÓN!F36</f>
        <v>258.75</v>
      </c>
      <c r="G36" s="112">
        <f>+FACTURACIÓN!G36</f>
        <v>360.45</v>
      </c>
      <c r="H36" s="112">
        <v>2152.6280999999999</v>
      </c>
      <c r="I36" s="112">
        <f t="shared" si="2"/>
        <v>2771.8280999999997</v>
      </c>
      <c r="J36" s="118">
        <f t="shared" si="3"/>
        <v>21228.1119</v>
      </c>
      <c r="K36" s="31"/>
      <c r="L36" s="114" t="s">
        <v>435</v>
      </c>
      <c r="M36" s="114">
        <v>349.07</v>
      </c>
      <c r="O36" s="111">
        <f t="shared" si="6"/>
        <v>0</v>
      </c>
      <c r="P36" s="111">
        <f t="shared" si="7"/>
        <v>349.07</v>
      </c>
      <c r="R36" s="89" t="str">
        <f t="shared" si="0"/>
        <v>S</v>
      </c>
      <c r="S36" s="29" t="s">
        <v>221</v>
      </c>
      <c r="T36" s="30" t="s">
        <v>222</v>
      </c>
    </row>
    <row r="37" spans="1:20" s="89" customFormat="1" ht="15" x14ac:dyDescent="0.25">
      <c r="A37" s="88" t="s">
        <v>223</v>
      </c>
      <c r="B37" s="89" t="s">
        <v>224</v>
      </c>
      <c r="C37" s="111">
        <f>+FACTURACIÓN!H37-'C&amp;A'!K37-'C&amp;A'!G37-'C&amp;A'!I37+SINDICATO!F37</f>
        <v>6945.0400000000009</v>
      </c>
      <c r="D37" s="112">
        <v>0</v>
      </c>
      <c r="E37" s="113">
        <f t="shared" si="1"/>
        <v>6945.0400000000009</v>
      </c>
      <c r="F37" s="112">
        <f>-FACTURACIÓN!F37</f>
        <v>45.13</v>
      </c>
      <c r="G37" s="112">
        <f>+FACTURACIÓN!G37</f>
        <v>0</v>
      </c>
      <c r="H37" s="112">
        <v>672.95790000000011</v>
      </c>
      <c r="I37" s="112">
        <f t="shared" si="2"/>
        <v>718.0879000000001</v>
      </c>
      <c r="J37" s="118">
        <f t="shared" si="3"/>
        <v>6226.9521000000004</v>
      </c>
      <c r="K37" s="31"/>
      <c r="L37" s="114" t="s">
        <v>437</v>
      </c>
      <c r="M37" s="114">
        <v>0</v>
      </c>
      <c r="O37" s="111">
        <f t="shared" si="6"/>
        <v>0</v>
      </c>
      <c r="P37" s="111">
        <f t="shared" si="7"/>
        <v>0</v>
      </c>
      <c r="R37" s="89" t="str">
        <f t="shared" si="0"/>
        <v>S</v>
      </c>
      <c r="S37" s="29" t="s">
        <v>223</v>
      </c>
      <c r="T37" s="30" t="s">
        <v>224</v>
      </c>
    </row>
    <row r="38" spans="1:20" s="89" customFormat="1" ht="15" x14ac:dyDescent="0.25">
      <c r="A38" s="88" t="s">
        <v>357</v>
      </c>
      <c r="B38" s="89" t="s">
        <v>358</v>
      </c>
      <c r="C38" s="111">
        <f>+FACTURACIÓN!H38-'C&amp;A'!K38-'C&amp;A'!G38-'C&amp;A'!I38+SINDICATO!F38</f>
        <v>741.34</v>
      </c>
      <c r="D38" s="112">
        <v>0</v>
      </c>
      <c r="E38" s="113">
        <f t="shared" si="1"/>
        <v>741.34</v>
      </c>
      <c r="F38" s="112">
        <f>-FACTURACIÓN!F38</f>
        <v>0</v>
      </c>
      <c r="G38" s="112">
        <f>+FACTURACIÓN!G38</f>
        <v>0</v>
      </c>
      <c r="H38" s="112">
        <v>0</v>
      </c>
      <c r="I38" s="112">
        <f t="shared" si="2"/>
        <v>0</v>
      </c>
      <c r="J38" s="118">
        <f t="shared" si="3"/>
        <v>741.34</v>
      </c>
      <c r="K38" s="31"/>
      <c r="L38" s="114" t="s">
        <v>436</v>
      </c>
      <c r="M38" s="114">
        <v>0</v>
      </c>
      <c r="O38" s="111">
        <f t="shared" si="6"/>
        <v>0</v>
      </c>
      <c r="P38" s="111">
        <f t="shared" si="7"/>
        <v>0</v>
      </c>
      <c r="R38" s="89" t="str">
        <f t="shared" si="0"/>
        <v>S</v>
      </c>
      <c r="S38" s="29" t="s">
        <v>357</v>
      </c>
      <c r="T38" s="30" t="s">
        <v>358</v>
      </c>
    </row>
    <row r="39" spans="1:20" s="89" customFormat="1" ht="15" x14ac:dyDescent="0.25">
      <c r="A39" s="88" t="s">
        <v>225</v>
      </c>
      <c r="B39" s="89" t="s">
        <v>226</v>
      </c>
      <c r="C39" s="111">
        <f>+FACTURACIÓN!H39-'C&amp;A'!K39-'C&amp;A'!G39-'C&amp;A'!I39+SINDICATO!F39</f>
        <v>59.609999999999907</v>
      </c>
      <c r="D39" s="112">
        <v>0</v>
      </c>
      <c r="E39" s="113">
        <f t="shared" si="1"/>
        <v>59.609999999999907</v>
      </c>
      <c r="F39" s="112">
        <f>-FACTURACIÓN!F39</f>
        <v>45.13</v>
      </c>
      <c r="G39" s="112">
        <f>+FACTURACIÓN!G39</f>
        <v>0</v>
      </c>
      <c r="H39" s="112">
        <v>0</v>
      </c>
      <c r="I39" s="112">
        <f t="shared" si="2"/>
        <v>45.13</v>
      </c>
      <c r="J39" s="118">
        <f t="shared" si="3"/>
        <v>14.479999999999905</v>
      </c>
      <c r="K39" s="31"/>
      <c r="L39" s="114" t="s">
        <v>401</v>
      </c>
      <c r="M39" s="114">
        <v>0</v>
      </c>
      <c r="O39" s="111">
        <f t="shared" si="6"/>
        <v>0</v>
      </c>
      <c r="P39" s="111">
        <f t="shared" si="7"/>
        <v>0</v>
      </c>
      <c r="R39" s="89" t="str">
        <f t="shared" si="0"/>
        <v>S</v>
      </c>
      <c r="S39" s="29" t="s">
        <v>225</v>
      </c>
      <c r="T39" s="30" t="s">
        <v>226</v>
      </c>
    </row>
    <row r="40" spans="1:20" s="89" customFormat="1" ht="15" x14ac:dyDescent="0.25">
      <c r="A40" s="88" t="s">
        <v>227</v>
      </c>
      <c r="B40" s="89" t="s">
        <v>228</v>
      </c>
      <c r="C40" s="111">
        <f>+FACTURACIÓN!H40-'C&amp;A'!K40-'C&amp;A'!G40-'C&amp;A'!I40+SINDICATO!F40</f>
        <v>1175.7199999999998</v>
      </c>
      <c r="D40" s="112">
        <v>0</v>
      </c>
      <c r="E40" s="113">
        <f t="shared" si="1"/>
        <v>1175.7199999999998</v>
      </c>
      <c r="F40" s="112">
        <f>-FACTURACIÓN!F40</f>
        <v>0</v>
      </c>
      <c r="G40" s="112">
        <f>+FACTURACIÓN!G40</f>
        <v>0</v>
      </c>
      <c r="H40" s="112">
        <v>0</v>
      </c>
      <c r="I40" s="112">
        <f t="shared" si="2"/>
        <v>0</v>
      </c>
      <c r="J40" s="118">
        <f t="shared" si="3"/>
        <v>1175.7199999999998</v>
      </c>
      <c r="K40" s="31"/>
      <c r="L40" s="114" t="s">
        <v>375</v>
      </c>
      <c r="M40" s="114">
        <v>0</v>
      </c>
      <c r="O40" s="111">
        <f t="shared" si="6"/>
        <v>0</v>
      </c>
      <c r="P40" s="111">
        <f t="shared" si="7"/>
        <v>0</v>
      </c>
      <c r="R40" s="89" t="str">
        <f t="shared" si="0"/>
        <v>S</v>
      </c>
      <c r="S40" s="29" t="s">
        <v>227</v>
      </c>
      <c r="T40" s="30" t="s">
        <v>228</v>
      </c>
    </row>
    <row r="41" spans="1:20" s="89" customFormat="1" ht="15" x14ac:dyDescent="0.25">
      <c r="A41" s="88" t="s">
        <v>229</v>
      </c>
      <c r="B41" s="89" t="s">
        <v>230</v>
      </c>
      <c r="C41" s="111">
        <f>+FACTURACIÓN!H41-'C&amp;A'!K41-'C&amp;A'!G41-'C&amp;A'!I41+SINDICATO!F41</f>
        <v>13553.29</v>
      </c>
      <c r="D41" s="112">
        <v>0</v>
      </c>
      <c r="E41" s="113">
        <f t="shared" si="1"/>
        <v>13553.29</v>
      </c>
      <c r="F41" s="112">
        <f>-FACTURACIÓN!F41</f>
        <v>45.13</v>
      </c>
      <c r="G41" s="112">
        <f>+FACTURACIÓN!G41</f>
        <v>0</v>
      </c>
      <c r="H41" s="112">
        <v>1267.7004000000002</v>
      </c>
      <c r="I41" s="112">
        <f t="shared" si="2"/>
        <v>1312.8304000000003</v>
      </c>
      <c r="J41" s="118">
        <f t="shared" si="3"/>
        <v>12240.4596</v>
      </c>
      <c r="K41" s="31"/>
      <c r="L41" s="114" t="s">
        <v>438</v>
      </c>
      <c r="M41" s="114">
        <v>0</v>
      </c>
      <c r="O41" s="111">
        <f t="shared" si="6"/>
        <v>0</v>
      </c>
      <c r="P41" s="111">
        <f t="shared" si="7"/>
        <v>0</v>
      </c>
      <c r="R41" s="89" t="str">
        <f t="shared" si="0"/>
        <v>S</v>
      </c>
      <c r="S41" s="29" t="s">
        <v>229</v>
      </c>
      <c r="T41" s="30" t="s">
        <v>230</v>
      </c>
    </row>
    <row r="42" spans="1:20" s="89" customFormat="1" ht="15" x14ac:dyDescent="0.25">
      <c r="A42" s="88" t="s">
        <v>231</v>
      </c>
      <c r="B42" s="89" t="s">
        <v>232</v>
      </c>
      <c r="C42" s="111">
        <f>+FACTURACIÓN!H42-'C&amp;A'!K42-'C&amp;A'!G42-'C&amp;A'!I42+SINDICATO!F42</f>
        <v>3.7699999999999818</v>
      </c>
      <c r="D42" s="112">
        <v>0</v>
      </c>
      <c r="E42" s="113">
        <f t="shared" si="1"/>
        <v>3.7699999999999818</v>
      </c>
      <c r="F42" s="112">
        <f>-FACTURACIÓN!F42</f>
        <v>0</v>
      </c>
      <c r="G42" s="112">
        <v>0</v>
      </c>
      <c r="H42" s="112">
        <v>0</v>
      </c>
      <c r="I42" s="112">
        <f t="shared" si="2"/>
        <v>0</v>
      </c>
      <c r="J42" s="118">
        <f t="shared" si="3"/>
        <v>3.7699999999999818</v>
      </c>
      <c r="K42" s="31"/>
      <c r="L42" s="114" t="s">
        <v>439</v>
      </c>
      <c r="M42" s="114">
        <v>771.61</v>
      </c>
      <c r="O42" s="111">
        <f t="shared" si="6"/>
        <v>0</v>
      </c>
      <c r="P42" s="111">
        <f t="shared" si="7"/>
        <v>771.61</v>
      </c>
      <c r="R42" s="89" t="str">
        <f t="shared" ref="R42:R73" si="8">IF(A42=S42,"S","N")</f>
        <v>S</v>
      </c>
      <c r="S42" s="29" t="s">
        <v>231</v>
      </c>
      <c r="T42" s="30" t="s">
        <v>232</v>
      </c>
    </row>
    <row r="43" spans="1:20" s="53" customFormat="1" ht="15" x14ac:dyDescent="0.25">
      <c r="A43" s="52" t="s">
        <v>233</v>
      </c>
      <c r="B43" s="53" t="s">
        <v>234</v>
      </c>
      <c r="C43" s="111">
        <f>+FACTURACIÓN!H43-'C&amp;A'!K43-'C&amp;A'!G43-'C&amp;A'!I43+SINDICATO!F43</f>
        <v>49.610000000000021</v>
      </c>
      <c r="D43" s="74">
        <v>0</v>
      </c>
      <c r="E43" s="75">
        <f t="shared" si="1"/>
        <v>49.610000000000021</v>
      </c>
      <c r="F43" s="74">
        <f>-FACTURACIÓN!F43</f>
        <v>45.13</v>
      </c>
      <c r="G43" s="74">
        <f>+FACTURACIÓN!G43</f>
        <v>0</v>
      </c>
      <c r="H43" s="74">
        <v>0</v>
      </c>
      <c r="I43" s="74">
        <f t="shared" si="2"/>
        <v>45.13</v>
      </c>
      <c r="J43" s="122">
        <f t="shared" si="3"/>
        <v>4.4800000000000182</v>
      </c>
      <c r="K43" s="47"/>
      <c r="L43" s="77" t="s">
        <v>402</v>
      </c>
      <c r="M43" s="77">
        <v>0</v>
      </c>
      <c r="O43" s="73">
        <f t="shared" si="6"/>
        <v>0</v>
      </c>
      <c r="P43" s="73">
        <f t="shared" si="7"/>
        <v>0</v>
      </c>
      <c r="R43" s="53" t="str">
        <f t="shared" si="8"/>
        <v>S</v>
      </c>
      <c r="S43" s="43" t="s">
        <v>233</v>
      </c>
      <c r="T43" s="46" t="s">
        <v>234</v>
      </c>
    </row>
    <row r="44" spans="1:20" s="89" customFormat="1" ht="15" x14ac:dyDescent="0.25">
      <c r="A44" s="88" t="s">
        <v>235</v>
      </c>
      <c r="B44" s="89" t="s">
        <v>236</v>
      </c>
      <c r="C44" s="111">
        <f>+FACTURACIÓN!H44-'C&amp;A'!K44-'C&amp;A'!G44-'C&amp;A'!I44+SINDICATO!F44</f>
        <v>1121.8699999999999</v>
      </c>
      <c r="D44" s="112">
        <v>0</v>
      </c>
      <c r="E44" s="113">
        <f t="shared" si="1"/>
        <v>1121.8699999999999</v>
      </c>
      <c r="F44" s="112">
        <f>-FACTURACIÓN!F44</f>
        <v>0</v>
      </c>
      <c r="G44" s="112">
        <f>+FACTURACIÓN!G44</f>
        <v>0</v>
      </c>
      <c r="H44" s="112">
        <v>0</v>
      </c>
      <c r="I44" s="112">
        <f t="shared" si="2"/>
        <v>0</v>
      </c>
      <c r="J44" s="118">
        <f t="shared" si="3"/>
        <v>1121.8699999999999</v>
      </c>
      <c r="K44" s="31"/>
      <c r="L44" s="114" t="s">
        <v>440</v>
      </c>
      <c r="M44" s="114">
        <v>0</v>
      </c>
      <c r="O44" s="111">
        <f t="shared" si="6"/>
        <v>0</v>
      </c>
      <c r="P44" s="111">
        <f t="shared" si="7"/>
        <v>0</v>
      </c>
      <c r="R44" s="89" t="str">
        <f t="shared" si="8"/>
        <v>S</v>
      </c>
      <c r="S44" s="29" t="s">
        <v>235</v>
      </c>
      <c r="T44" s="30" t="s">
        <v>236</v>
      </c>
    </row>
    <row r="45" spans="1:20" s="89" customFormat="1" ht="15" x14ac:dyDescent="0.25">
      <c r="A45" s="88" t="s">
        <v>237</v>
      </c>
      <c r="B45" s="89" t="s">
        <v>238</v>
      </c>
      <c r="C45" s="111">
        <f>+FACTURACIÓN!H45-'C&amp;A'!K45-'C&amp;A'!G45-'C&amp;A'!I45+SINDICATO!F45</f>
        <v>1114.51</v>
      </c>
      <c r="D45" s="112">
        <v>0</v>
      </c>
      <c r="E45" s="113">
        <f t="shared" si="1"/>
        <v>1114.51</v>
      </c>
      <c r="F45" s="112">
        <f>-FACTURACIÓN!F45</f>
        <v>0</v>
      </c>
      <c r="G45" s="112">
        <f>+FACTURACIÓN!G45</f>
        <v>0</v>
      </c>
      <c r="H45" s="112">
        <v>0</v>
      </c>
      <c r="I45" s="112">
        <f t="shared" si="2"/>
        <v>0</v>
      </c>
      <c r="J45" s="118">
        <f t="shared" si="3"/>
        <v>1114.51</v>
      </c>
      <c r="K45" s="31"/>
      <c r="L45" s="114" t="s">
        <v>393</v>
      </c>
      <c r="M45" s="114">
        <v>0</v>
      </c>
      <c r="O45" s="111">
        <f t="shared" si="6"/>
        <v>0</v>
      </c>
      <c r="P45" s="111">
        <f t="shared" si="7"/>
        <v>0</v>
      </c>
      <c r="R45" s="89" t="str">
        <f t="shared" si="8"/>
        <v>S</v>
      </c>
      <c r="S45" s="29" t="s">
        <v>237</v>
      </c>
      <c r="T45" s="30" t="s">
        <v>238</v>
      </c>
    </row>
    <row r="46" spans="1:20" s="89" customFormat="1" ht="15" x14ac:dyDescent="0.25">
      <c r="A46" s="88" t="s">
        <v>239</v>
      </c>
      <c r="B46" s="89" t="s">
        <v>240</v>
      </c>
      <c r="C46" s="111">
        <f>+FACTURACIÓN!H46-'C&amp;A'!K46-'C&amp;A'!G46-'C&amp;A'!I46+SINDICATO!F46</f>
        <v>10.240000000000009</v>
      </c>
      <c r="D46" s="112">
        <v>0</v>
      </c>
      <c r="E46" s="113">
        <f t="shared" si="1"/>
        <v>10.240000000000009</v>
      </c>
      <c r="F46" s="112">
        <f>-FACTURACIÓN!F46</f>
        <v>0</v>
      </c>
      <c r="G46" s="112">
        <v>0</v>
      </c>
      <c r="H46" s="112">
        <v>0</v>
      </c>
      <c r="I46" s="112">
        <f t="shared" si="2"/>
        <v>0</v>
      </c>
      <c r="J46" s="118">
        <f t="shared" si="3"/>
        <v>10.240000000000009</v>
      </c>
      <c r="K46" s="31"/>
      <c r="L46" s="114" t="s">
        <v>441</v>
      </c>
      <c r="M46" s="114">
        <v>697.64</v>
      </c>
      <c r="O46" s="111">
        <f t="shared" si="6"/>
        <v>0</v>
      </c>
      <c r="P46" s="111">
        <f t="shared" si="7"/>
        <v>697.64</v>
      </c>
      <c r="R46" s="89" t="str">
        <f t="shared" si="8"/>
        <v>S</v>
      </c>
      <c r="S46" s="29" t="s">
        <v>239</v>
      </c>
      <c r="T46" s="30" t="s">
        <v>240</v>
      </c>
    </row>
    <row r="47" spans="1:20" s="89" customFormat="1" ht="15" x14ac:dyDescent="0.25">
      <c r="A47" s="88" t="s">
        <v>241</v>
      </c>
      <c r="B47" s="89" t="s">
        <v>242</v>
      </c>
      <c r="C47" s="111">
        <f>+FACTURACIÓN!H47-'C&amp;A'!K47-'C&amp;A'!G47-'C&amp;A'!I47+SINDICATO!F47</f>
        <v>2217.52</v>
      </c>
      <c r="D47" s="112">
        <v>0</v>
      </c>
      <c r="E47" s="113">
        <f t="shared" si="1"/>
        <v>2217.52</v>
      </c>
      <c r="F47" s="112">
        <f>-FACTURACIÓN!F47</f>
        <v>38.36</v>
      </c>
      <c r="G47" s="112">
        <f>+FACTURACIÓN!G47</f>
        <v>217.33</v>
      </c>
      <c r="H47" s="112">
        <v>0</v>
      </c>
      <c r="I47" s="112">
        <f t="shared" si="2"/>
        <v>255.69</v>
      </c>
      <c r="J47" s="118">
        <f t="shared" si="3"/>
        <v>1961.83</v>
      </c>
      <c r="K47" s="31"/>
      <c r="L47" s="114" t="s">
        <v>443</v>
      </c>
      <c r="M47" s="114">
        <v>284.61</v>
      </c>
      <c r="O47" s="111">
        <f t="shared" si="6"/>
        <v>0</v>
      </c>
      <c r="P47" s="111">
        <f t="shared" si="7"/>
        <v>284.61</v>
      </c>
      <c r="R47" s="89" t="str">
        <f t="shared" si="8"/>
        <v>S</v>
      </c>
      <c r="S47" s="29" t="s">
        <v>241</v>
      </c>
      <c r="T47" s="30" t="s">
        <v>242</v>
      </c>
    </row>
    <row r="48" spans="1:20" s="89" customFormat="1" ht="15" x14ac:dyDescent="0.25">
      <c r="A48" s="88" t="s">
        <v>243</v>
      </c>
      <c r="B48" s="89" t="s">
        <v>244</v>
      </c>
      <c r="C48" s="111">
        <f>+FACTURACIÓN!H48-'C&amp;A'!K48-'C&amp;A'!G48-'C&amp;A'!I48+SINDICATO!F48</f>
        <v>408.27</v>
      </c>
      <c r="D48" s="112">
        <v>0</v>
      </c>
      <c r="E48" s="113">
        <f t="shared" si="1"/>
        <v>408.27</v>
      </c>
      <c r="F48" s="112">
        <f>-FACTURACIÓN!F48</f>
        <v>0</v>
      </c>
      <c r="G48" s="112">
        <f>+FACTURACIÓN!G48</f>
        <v>0</v>
      </c>
      <c r="H48" s="112">
        <v>0</v>
      </c>
      <c r="I48" s="112">
        <f t="shared" si="2"/>
        <v>0</v>
      </c>
      <c r="J48" s="118">
        <f t="shared" si="3"/>
        <v>408.27</v>
      </c>
      <c r="K48" s="31"/>
      <c r="L48" s="114" t="s">
        <v>412</v>
      </c>
      <c r="M48" s="114">
        <v>0</v>
      </c>
      <c r="O48" s="111">
        <f t="shared" si="6"/>
        <v>0</v>
      </c>
      <c r="P48" s="111">
        <f t="shared" si="7"/>
        <v>0</v>
      </c>
      <c r="R48" s="89" t="str">
        <f t="shared" si="8"/>
        <v>S</v>
      </c>
      <c r="S48" s="29" t="s">
        <v>243</v>
      </c>
      <c r="T48" s="30" t="s">
        <v>244</v>
      </c>
    </row>
    <row r="49" spans="1:20" s="89" customFormat="1" ht="15" x14ac:dyDescent="0.25">
      <c r="A49" s="88" t="s">
        <v>245</v>
      </c>
      <c r="B49" s="89" t="s">
        <v>246</v>
      </c>
      <c r="C49" s="111">
        <f>+FACTURACIÓN!H49-'C&amp;A'!K49-'C&amp;A'!G49-'C&amp;A'!I49+SINDICATO!F49</f>
        <v>2251.87</v>
      </c>
      <c r="D49" s="112">
        <v>0</v>
      </c>
      <c r="E49" s="113">
        <f t="shared" si="1"/>
        <v>2251.87</v>
      </c>
      <c r="F49" s="112">
        <f>-FACTURACIÓN!F49</f>
        <v>88.79</v>
      </c>
      <c r="G49" s="112">
        <f>+FACTURACIÓN!G49</f>
        <v>0</v>
      </c>
      <c r="H49" s="112">
        <v>0</v>
      </c>
      <c r="I49" s="112">
        <f t="shared" si="2"/>
        <v>88.79</v>
      </c>
      <c r="J49" s="118">
        <f t="shared" si="3"/>
        <v>2163.08</v>
      </c>
      <c r="K49" s="31"/>
      <c r="L49" s="114" t="s">
        <v>413</v>
      </c>
      <c r="M49" s="114">
        <v>0</v>
      </c>
      <c r="O49" s="111">
        <f t="shared" si="6"/>
        <v>0</v>
      </c>
      <c r="P49" s="111">
        <f t="shared" si="7"/>
        <v>0</v>
      </c>
      <c r="R49" s="89" t="str">
        <f t="shared" si="8"/>
        <v>S</v>
      </c>
      <c r="S49" s="29" t="s">
        <v>245</v>
      </c>
      <c r="T49" s="30" t="s">
        <v>246</v>
      </c>
    </row>
    <row r="50" spans="1:20" s="89" customFormat="1" ht="15" x14ac:dyDescent="0.25">
      <c r="A50" s="88" t="s">
        <v>247</v>
      </c>
      <c r="B50" s="89" t="s">
        <v>248</v>
      </c>
      <c r="C50" s="111">
        <f>+FACTURACIÓN!H50-'C&amp;A'!K50-'C&amp;A'!G50-'C&amp;A'!I50+SINDICATO!F50</f>
        <v>2654.69</v>
      </c>
      <c r="D50" s="112">
        <v>0</v>
      </c>
      <c r="E50" s="113">
        <f t="shared" si="1"/>
        <v>2654.69</v>
      </c>
      <c r="F50" s="112">
        <f>-FACTURACIÓN!F50</f>
        <v>45.13</v>
      </c>
      <c r="G50" s="112">
        <f>+FACTURACIÓN!G50</f>
        <v>0</v>
      </c>
      <c r="H50" s="112">
        <v>0</v>
      </c>
      <c r="I50" s="112">
        <f t="shared" si="2"/>
        <v>45.13</v>
      </c>
      <c r="J50" s="118">
        <f t="shared" si="3"/>
        <v>2609.56</v>
      </c>
      <c r="K50" s="31"/>
      <c r="L50" s="114" t="s">
        <v>376</v>
      </c>
      <c r="M50" s="114">
        <v>0</v>
      </c>
      <c r="O50" s="111">
        <f t="shared" si="6"/>
        <v>0</v>
      </c>
      <c r="P50" s="111">
        <f t="shared" si="7"/>
        <v>0</v>
      </c>
      <c r="R50" s="89" t="str">
        <f t="shared" si="8"/>
        <v>S</v>
      </c>
      <c r="S50" s="29" t="s">
        <v>247</v>
      </c>
      <c r="T50" s="30" t="s">
        <v>248</v>
      </c>
    </row>
    <row r="51" spans="1:20" s="89" customFormat="1" ht="15" x14ac:dyDescent="0.25">
      <c r="A51" s="88" t="s">
        <v>249</v>
      </c>
      <c r="B51" s="89" t="s">
        <v>250</v>
      </c>
      <c r="C51" s="111">
        <f>+FACTURACIÓN!H51-'C&amp;A'!K51-'C&amp;A'!G51-'C&amp;A'!I51+SINDICATO!F51</f>
        <v>326.09000000000003</v>
      </c>
      <c r="D51" s="112">
        <v>0</v>
      </c>
      <c r="E51" s="113">
        <f t="shared" si="1"/>
        <v>326.09000000000003</v>
      </c>
      <c r="F51" s="112">
        <f>-FACTURACIÓN!F51</f>
        <v>0</v>
      </c>
      <c r="G51" s="112">
        <f>+FACTURACIÓN!G51</f>
        <v>0</v>
      </c>
      <c r="H51" s="112">
        <v>0</v>
      </c>
      <c r="I51" s="112">
        <f t="shared" si="2"/>
        <v>0</v>
      </c>
      <c r="J51" s="118">
        <f t="shared" si="3"/>
        <v>326.09000000000003</v>
      </c>
      <c r="K51" s="31"/>
      <c r="L51" s="114" t="s">
        <v>442</v>
      </c>
      <c r="M51" s="114">
        <v>0</v>
      </c>
      <c r="O51" s="111">
        <f t="shared" si="6"/>
        <v>0</v>
      </c>
      <c r="P51" s="111">
        <f t="shared" si="7"/>
        <v>0</v>
      </c>
      <c r="R51" s="89" t="str">
        <f t="shared" si="8"/>
        <v>S</v>
      </c>
      <c r="S51" s="29" t="s">
        <v>249</v>
      </c>
      <c r="T51" s="30" t="s">
        <v>250</v>
      </c>
    </row>
    <row r="52" spans="1:20" s="89" customFormat="1" ht="15" x14ac:dyDescent="0.25">
      <c r="A52" s="88" t="s">
        <v>251</v>
      </c>
      <c r="B52" s="89" t="s">
        <v>252</v>
      </c>
      <c r="C52" s="111">
        <f>+FACTURACIÓN!H52-'C&amp;A'!K52-'C&amp;A'!G52-'C&amp;A'!I52+SINDICATO!F52</f>
        <v>2025.2</v>
      </c>
      <c r="D52" s="112">
        <v>0</v>
      </c>
      <c r="E52" s="113">
        <f t="shared" si="1"/>
        <v>2025.2</v>
      </c>
      <c r="F52" s="112">
        <f>-FACTURACIÓN!F52</f>
        <v>45.13</v>
      </c>
      <c r="G52" s="112">
        <f>+FACTURACIÓN!G52</f>
        <v>0</v>
      </c>
      <c r="H52" s="112">
        <v>0</v>
      </c>
      <c r="I52" s="112">
        <f t="shared" si="2"/>
        <v>45.13</v>
      </c>
      <c r="J52" s="118">
        <f t="shared" si="3"/>
        <v>1980.07</v>
      </c>
      <c r="K52" s="31"/>
      <c r="L52" s="114" t="s">
        <v>429</v>
      </c>
      <c r="M52" s="114">
        <v>0</v>
      </c>
      <c r="O52" s="111">
        <f t="shared" si="6"/>
        <v>0</v>
      </c>
      <c r="P52" s="111">
        <f t="shared" si="7"/>
        <v>0</v>
      </c>
      <c r="R52" s="89" t="str">
        <f t="shared" si="8"/>
        <v>S</v>
      </c>
      <c r="S52" s="29" t="s">
        <v>251</v>
      </c>
      <c r="T52" s="30" t="s">
        <v>252</v>
      </c>
    </row>
    <row r="53" spans="1:20" s="89" customFormat="1" ht="15" x14ac:dyDescent="0.25">
      <c r="A53" s="88" t="s">
        <v>353</v>
      </c>
      <c r="B53" s="89" t="s">
        <v>457</v>
      </c>
      <c r="C53" s="111">
        <f>+FACTURACIÓN!H53-'C&amp;A'!K53-'C&amp;A'!G53-'C&amp;A'!I53+SINDICATO!F53</f>
        <v>10.940000000000055</v>
      </c>
      <c r="D53" s="112">
        <v>0</v>
      </c>
      <c r="E53" s="113">
        <f t="shared" si="1"/>
        <v>10.940000000000055</v>
      </c>
      <c r="F53" s="112">
        <f>-FACTURACIÓN!F53</f>
        <v>0</v>
      </c>
      <c r="G53" s="112">
        <f>+FACTURACIÓN!G53</f>
        <v>0</v>
      </c>
      <c r="H53" s="112">
        <v>0</v>
      </c>
      <c r="I53" s="112">
        <f t="shared" si="2"/>
        <v>0</v>
      </c>
      <c r="J53" s="118">
        <f t="shared" si="3"/>
        <v>10.940000000000055</v>
      </c>
      <c r="K53" s="31"/>
      <c r="L53" s="114" t="s">
        <v>403</v>
      </c>
      <c r="M53" s="114">
        <v>0</v>
      </c>
      <c r="O53" s="111">
        <f t="shared" si="6"/>
        <v>0</v>
      </c>
      <c r="P53" s="111">
        <f t="shared" si="7"/>
        <v>0</v>
      </c>
      <c r="R53" s="89" t="str">
        <f t="shared" si="8"/>
        <v>S</v>
      </c>
      <c r="S53" s="29" t="s">
        <v>353</v>
      </c>
      <c r="T53" s="30" t="s">
        <v>354</v>
      </c>
    </row>
    <row r="54" spans="1:20" s="89" customFormat="1" ht="15" x14ac:dyDescent="0.25">
      <c r="A54" s="88" t="s">
        <v>253</v>
      </c>
      <c r="B54" s="89" t="s">
        <v>254</v>
      </c>
      <c r="C54" s="111">
        <f>+FACTURACIÓN!H54-'C&amp;A'!K54-'C&amp;A'!G54-'C&amp;A'!I54+SINDICATO!F54</f>
        <v>2245.64</v>
      </c>
      <c r="D54" s="112">
        <v>0</v>
      </c>
      <c r="E54" s="113">
        <f t="shared" si="1"/>
        <v>2245.64</v>
      </c>
      <c r="F54" s="112">
        <f>-FACTURACIÓN!F54</f>
        <v>0</v>
      </c>
      <c r="G54" s="112">
        <f>+FACTURACIÓN!G54</f>
        <v>0</v>
      </c>
      <c r="H54" s="112">
        <v>0</v>
      </c>
      <c r="I54" s="112">
        <f t="shared" si="2"/>
        <v>0</v>
      </c>
      <c r="J54" s="118">
        <f t="shared" si="3"/>
        <v>2245.64</v>
      </c>
      <c r="K54" s="31"/>
      <c r="L54" s="114" t="s">
        <v>371</v>
      </c>
      <c r="M54" s="114">
        <v>0</v>
      </c>
      <c r="O54" s="111">
        <f t="shared" si="6"/>
        <v>0</v>
      </c>
      <c r="P54" s="111">
        <f t="shared" si="7"/>
        <v>0</v>
      </c>
      <c r="R54" s="89" t="str">
        <f t="shared" si="8"/>
        <v>S</v>
      </c>
      <c r="S54" s="29" t="s">
        <v>253</v>
      </c>
      <c r="T54" s="30" t="s">
        <v>254</v>
      </c>
    </row>
    <row r="55" spans="1:20" s="89" customFormat="1" ht="15" x14ac:dyDescent="0.25">
      <c r="A55" s="88" t="s">
        <v>255</v>
      </c>
      <c r="B55" s="89" t="s">
        <v>256</v>
      </c>
      <c r="C55" s="111">
        <f>+FACTURACIÓN!H55-'C&amp;A'!K55-'C&amp;A'!G55-'C&amp;A'!I55+SINDICATO!F55</f>
        <v>3572.52</v>
      </c>
      <c r="D55" s="112">
        <v>0</v>
      </c>
      <c r="E55" s="113">
        <f t="shared" si="1"/>
        <v>3572.52</v>
      </c>
      <c r="F55" s="112">
        <f>-FACTURACIÓN!F55</f>
        <v>0</v>
      </c>
      <c r="G55" s="112">
        <f>+FACTURACIÓN!G55</f>
        <v>523.01</v>
      </c>
      <c r="H55" s="112">
        <v>0</v>
      </c>
      <c r="I55" s="112">
        <f t="shared" si="2"/>
        <v>523.01</v>
      </c>
      <c r="J55" s="118">
        <f t="shared" si="3"/>
        <v>3049.51</v>
      </c>
      <c r="K55" s="31"/>
      <c r="L55" s="114" t="s">
        <v>444</v>
      </c>
      <c r="M55" s="114">
        <v>523.01</v>
      </c>
      <c r="O55" s="111">
        <f t="shared" si="6"/>
        <v>0</v>
      </c>
      <c r="P55" s="111">
        <f t="shared" si="7"/>
        <v>523.01</v>
      </c>
      <c r="R55" s="89" t="str">
        <f t="shared" si="8"/>
        <v>S</v>
      </c>
      <c r="S55" s="29" t="s">
        <v>255</v>
      </c>
      <c r="T55" s="30" t="s">
        <v>256</v>
      </c>
    </row>
    <row r="56" spans="1:20" s="89" customFormat="1" ht="15" x14ac:dyDescent="0.25">
      <c r="A56" s="88" t="s">
        <v>257</v>
      </c>
      <c r="B56" s="89" t="s">
        <v>258</v>
      </c>
      <c r="C56" s="111">
        <f>+FACTURACIÓN!H56-'C&amp;A'!K56-'C&amp;A'!G56-'C&amp;A'!I56+SINDICATO!F56</f>
        <v>597.41</v>
      </c>
      <c r="D56" s="112">
        <v>0</v>
      </c>
      <c r="E56" s="113">
        <f t="shared" si="1"/>
        <v>597.41</v>
      </c>
      <c r="F56" s="112">
        <f>-FACTURACIÓN!F56</f>
        <v>0</v>
      </c>
      <c r="G56" s="112">
        <f>+FACTURACIÓN!G56</f>
        <v>0</v>
      </c>
      <c r="H56" s="112">
        <v>0</v>
      </c>
      <c r="I56" s="112">
        <f t="shared" si="2"/>
        <v>0</v>
      </c>
      <c r="J56" s="118">
        <f t="shared" si="3"/>
        <v>597.41</v>
      </c>
      <c r="K56" s="31"/>
      <c r="L56" s="114" t="s">
        <v>414</v>
      </c>
      <c r="M56" s="114">
        <v>0</v>
      </c>
      <c r="O56" s="111">
        <f t="shared" si="6"/>
        <v>0</v>
      </c>
      <c r="P56" s="111">
        <f t="shared" si="7"/>
        <v>0</v>
      </c>
      <c r="R56" s="89" t="str">
        <f t="shared" si="8"/>
        <v>S</v>
      </c>
      <c r="S56" s="29" t="s">
        <v>257</v>
      </c>
      <c r="T56" s="30" t="s">
        <v>258</v>
      </c>
    </row>
    <row r="57" spans="1:20" s="89" customFormat="1" ht="15" x14ac:dyDescent="0.25">
      <c r="A57" s="88" t="s">
        <v>263</v>
      </c>
      <c r="B57" s="89" t="s">
        <v>264</v>
      </c>
      <c r="C57" s="111">
        <f>+FACTURACIÓN!H57-'C&amp;A'!K57-'C&amp;A'!G57-'C&amp;A'!I57+SINDICATO!F57</f>
        <v>2176.6799999999998</v>
      </c>
      <c r="D57" s="112">
        <v>0</v>
      </c>
      <c r="E57" s="113">
        <f t="shared" si="1"/>
        <v>2176.6799999999998</v>
      </c>
      <c r="F57" s="112">
        <f>-FACTURACIÓN!F57</f>
        <v>88.79</v>
      </c>
      <c r="G57" s="112">
        <f>+FACTURACIÓN!G57</f>
        <v>0</v>
      </c>
      <c r="H57" s="112">
        <v>0</v>
      </c>
      <c r="I57" s="112">
        <f t="shared" si="2"/>
        <v>88.79</v>
      </c>
      <c r="J57" s="118">
        <f t="shared" si="3"/>
        <v>2087.89</v>
      </c>
      <c r="K57" s="31"/>
      <c r="L57" s="114" t="s">
        <v>379</v>
      </c>
      <c r="M57" s="114">
        <v>0</v>
      </c>
      <c r="O57" s="111">
        <f t="shared" si="6"/>
        <v>0</v>
      </c>
      <c r="P57" s="111">
        <f t="shared" si="7"/>
        <v>0</v>
      </c>
      <c r="R57" s="89" t="str">
        <f t="shared" si="8"/>
        <v>S</v>
      </c>
      <c r="S57" s="29" t="s">
        <v>263</v>
      </c>
      <c r="T57" s="30" t="s">
        <v>264</v>
      </c>
    </row>
    <row r="58" spans="1:20" s="89" customFormat="1" ht="15" x14ac:dyDescent="0.25">
      <c r="A58" s="88" t="s">
        <v>259</v>
      </c>
      <c r="B58" s="89" t="s">
        <v>260</v>
      </c>
      <c r="C58" s="111">
        <f>+FACTURACIÓN!H58-'C&amp;A'!K58-'C&amp;A'!G58-'C&amp;A'!I58+SINDICATO!F58</f>
        <v>1229.19</v>
      </c>
      <c r="D58" s="112">
        <v>0</v>
      </c>
      <c r="E58" s="113">
        <f t="shared" si="1"/>
        <v>1229.19</v>
      </c>
      <c r="F58" s="112">
        <f>-FACTURACIÓN!F58</f>
        <v>0</v>
      </c>
      <c r="G58" s="112">
        <f>+FACTURACIÓN!G58</f>
        <v>0</v>
      </c>
      <c r="H58" s="112">
        <v>0</v>
      </c>
      <c r="I58" s="112">
        <f t="shared" si="2"/>
        <v>0</v>
      </c>
      <c r="J58" s="118">
        <f t="shared" si="3"/>
        <v>1229.19</v>
      </c>
      <c r="K58" s="31"/>
      <c r="L58" s="114" t="s">
        <v>415</v>
      </c>
      <c r="M58" s="114">
        <v>0</v>
      </c>
      <c r="O58" s="111">
        <f t="shared" si="6"/>
        <v>0</v>
      </c>
      <c r="P58" s="111">
        <f t="shared" si="7"/>
        <v>0</v>
      </c>
      <c r="R58" s="89" t="str">
        <f t="shared" si="8"/>
        <v>S</v>
      </c>
      <c r="S58" s="29" t="s">
        <v>259</v>
      </c>
      <c r="T58" s="30" t="s">
        <v>260</v>
      </c>
    </row>
    <row r="59" spans="1:20" s="89" customFormat="1" ht="15" x14ac:dyDescent="0.25">
      <c r="A59" s="88" t="s">
        <v>261</v>
      </c>
      <c r="B59" s="89" t="s">
        <v>262</v>
      </c>
      <c r="C59" s="111">
        <f>+FACTURACIÓN!H59-'C&amp;A'!K59-'C&amp;A'!G59-'C&amp;A'!I59+SINDICATO!F59</f>
        <v>5284.55</v>
      </c>
      <c r="D59" s="112">
        <v>0</v>
      </c>
      <c r="E59" s="113">
        <f t="shared" si="1"/>
        <v>5284.55</v>
      </c>
      <c r="F59" s="112">
        <f>-FACTURACIÓN!F59</f>
        <v>88.79</v>
      </c>
      <c r="G59" s="112">
        <f>+FACTURACIÓN!G59</f>
        <v>0</v>
      </c>
      <c r="H59" s="112">
        <v>519.58440000000007</v>
      </c>
      <c r="I59" s="112">
        <f t="shared" si="2"/>
        <v>608.37440000000004</v>
      </c>
      <c r="J59" s="118">
        <f t="shared" si="3"/>
        <v>4676.1756000000005</v>
      </c>
      <c r="K59" s="31"/>
      <c r="L59" s="114" t="s">
        <v>416</v>
      </c>
      <c r="M59" s="114">
        <v>0</v>
      </c>
      <c r="O59" s="111">
        <f t="shared" si="6"/>
        <v>0</v>
      </c>
      <c r="P59" s="111">
        <f t="shared" si="7"/>
        <v>0</v>
      </c>
      <c r="R59" s="89" t="str">
        <f t="shared" si="8"/>
        <v>S</v>
      </c>
      <c r="S59" s="29" t="s">
        <v>261</v>
      </c>
      <c r="T59" s="30" t="s">
        <v>262</v>
      </c>
    </row>
    <row r="60" spans="1:20" s="89" customFormat="1" ht="15" x14ac:dyDescent="0.25">
      <c r="A60" s="88" t="s">
        <v>265</v>
      </c>
      <c r="B60" s="89" t="s">
        <v>266</v>
      </c>
      <c r="C60" s="111">
        <f>+FACTURACIÓN!H60-'C&amp;A'!K60-'C&amp;A'!G60-'C&amp;A'!I60+SINDICATO!F60</f>
        <v>30.528571428571468</v>
      </c>
      <c r="D60" s="112">
        <v>0</v>
      </c>
      <c r="E60" s="113">
        <f t="shared" si="1"/>
        <v>30.528571428571468</v>
      </c>
      <c r="F60" s="112">
        <f>-FACTURACIÓN!F60</f>
        <v>0</v>
      </c>
      <c r="G60" s="112">
        <f>+FACTURACIÓN!G60</f>
        <v>0</v>
      </c>
      <c r="H60" s="112">
        <v>0</v>
      </c>
      <c r="I60" s="112">
        <f t="shared" si="2"/>
        <v>0</v>
      </c>
      <c r="J60" s="118">
        <f t="shared" si="3"/>
        <v>30.528571428571468</v>
      </c>
      <c r="K60" s="31"/>
      <c r="L60" s="114" t="s">
        <v>445</v>
      </c>
      <c r="M60" s="114">
        <v>0</v>
      </c>
      <c r="O60" s="111">
        <f t="shared" si="6"/>
        <v>0</v>
      </c>
      <c r="P60" s="111">
        <f t="shared" si="7"/>
        <v>0</v>
      </c>
      <c r="R60" s="89" t="str">
        <f t="shared" si="8"/>
        <v>S</v>
      </c>
      <c r="S60" s="29" t="s">
        <v>265</v>
      </c>
      <c r="T60" s="30" t="s">
        <v>266</v>
      </c>
    </row>
    <row r="61" spans="1:20" s="89" customFormat="1" ht="15" x14ac:dyDescent="0.25">
      <c r="A61" s="88" t="s">
        <v>267</v>
      </c>
      <c r="B61" s="89" t="s">
        <v>268</v>
      </c>
      <c r="C61" s="111">
        <f>+FACTURACIÓN!H61-'C&amp;A'!K61-'C&amp;A'!G61-'C&amp;A'!I61+SINDICATO!F61</f>
        <v>2289.9699999999998</v>
      </c>
      <c r="D61" s="112">
        <v>0</v>
      </c>
      <c r="E61" s="113">
        <f t="shared" si="1"/>
        <v>2289.9699999999998</v>
      </c>
      <c r="F61" s="112">
        <f>-FACTURACIÓN!F61</f>
        <v>45.13</v>
      </c>
      <c r="G61" s="112">
        <f>+FACTURACIÓN!G61</f>
        <v>0</v>
      </c>
      <c r="H61" s="112">
        <v>0</v>
      </c>
      <c r="I61" s="112">
        <f t="shared" si="2"/>
        <v>45.13</v>
      </c>
      <c r="J61" s="118">
        <f t="shared" si="3"/>
        <v>2244.8399999999997</v>
      </c>
      <c r="K61" s="31"/>
      <c r="L61" s="114" t="s">
        <v>380</v>
      </c>
      <c r="M61" s="114">
        <v>0</v>
      </c>
      <c r="O61" s="111">
        <f t="shared" si="6"/>
        <v>0</v>
      </c>
      <c r="P61" s="111">
        <f t="shared" si="7"/>
        <v>0</v>
      </c>
      <c r="R61" s="89" t="str">
        <f t="shared" si="8"/>
        <v>S</v>
      </c>
      <c r="S61" s="29" t="s">
        <v>267</v>
      </c>
      <c r="T61" s="30" t="s">
        <v>268</v>
      </c>
    </row>
    <row r="62" spans="1:20" s="89" customFormat="1" ht="15" x14ac:dyDescent="0.25">
      <c r="A62" s="88" t="s">
        <v>269</v>
      </c>
      <c r="B62" s="89" t="s">
        <v>270</v>
      </c>
      <c r="C62" s="111">
        <f>+FACTURACIÓN!H62-'C&amp;A'!K62-'C&amp;A'!G62-'C&amp;A'!I62+SINDICATO!F62</f>
        <v>2148.08</v>
      </c>
      <c r="D62" s="112">
        <v>0</v>
      </c>
      <c r="E62" s="113">
        <f t="shared" si="1"/>
        <v>2148.08</v>
      </c>
      <c r="F62" s="112">
        <f>-FACTURACIÓN!F62</f>
        <v>368.13</v>
      </c>
      <c r="G62" s="112">
        <f>+FACTURACIÓN!G62</f>
        <v>955.1</v>
      </c>
      <c r="H62" s="112">
        <v>0</v>
      </c>
      <c r="I62" s="112">
        <f t="shared" si="2"/>
        <v>1323.23</v>
      </c>
      <c r="J62" s="118">
        <f t="shared" si="3"/>
        <v>824.84999999999991</v>
      </c>
      <c r="K62" s="31"/>
      <c r="L62" s="114" t="s">
        <v>404</v>
      </c>
      <c r="M62" s="114">
        <v>955.1</v>
      </c>
      <c r="O62" s="111">
        <f t="shared" si="6"/>
        <v>0</v>
      </c>
      <c r="P62" s="111">
        <f t="shared" si="7"/>
        <v>955.1</v>
      </c>
      <c r="R62" s="89" t="str">
        <f t="shared" si="8"/>
        <v>S</v>
      </c>
      <c r="S62" s="29" t="s">
        <v>269</v>
      </c>
      <c r="T62" s="30" t="s">
        <v>270</v>
      </c>
    </row>
    <row r="63" spans="1:20" s="89" customFormat="1" ht="15" x14ac:dyDescent="0.25">
      <c r="A63" s="88" t="s">
        <v>271</v>
      </c>
      <c r="B63" s="89" t="s">
        <v>272</v>
      </c>
      <c r="C63" s="111">
        <f>+FACTURACIÓN!H63-'C&amp;A'!K63-'C&amp;A'!G63-'C&amp;A'!I63+SINDICATO!F63</f>
        <v>1940.07</v>
      </c>
      <c r="D63" s="112">
        <v>0</v>
      </c>
      <c r="E63" s="113">
        <f t="shared" si="1"/>
        <v>1940.07</v>
      </c>
      <c r="F63" s="112">
        <f>-FACTURACIÓN!F63</f>
        <v>0</v>
      </c>
      <c r="G63" s="112">
        <f>+FACTURACIÓN!G63</f>
        <v>0</v>
      </c>
      <c r="H63" s="112">
        <v>0</v>
      </c>
      <c r="I63" s="112">
        <f t="shared" si="2"/>
        <v>0</v>
      </c>
      <c r="J63" s="118">
        <f t="shared" si="3"/>
        <v>1940.07</v>
      </c>
      <c r="K63" s="31"/>
      <c r="L63" s="114" t="s">
        <v>381</v>
      </c>
      <c r="M63" s="114">
        <v>0</v>
      </c>
      <c r="O63" s="111">
        <f t="shared" si="6"/>
        <v>0</v>
      </c>
      <c r="P63" s="111">
        <f t="shared" si="7"/>
        <v>0</v>
      </c>
      <c r="R63" s="89" t="str">
        <f t="shared" si="8"/>
        <v>S</v>
      </c>
      <c r="S63" s="29" t="s">
        <v>271</v>
      </c>
      <c r="T63" s="30" t="s">
        <v>272</v>
      </c>
    </row>
    <row r="64" spans="1:20" s="89" customFormat="1" ht="15" x14ac:dyDescent="0.25">
      <c r="A64" s="88" t="s">
        <v>273</v>
      </c>
      <c r="B64" s="89" t="s">
        <v>274</v>
      </c>
      <c r="C64" s="111">
        <f>+FACTURACIÓN!H64-'C&amp;A'!K64-'C&amp;A'!G64-'C&amp;A'!I64+SINDICATO!F64</f>
        <v>2738.34</v>
      </c>
      <c r="D64" s="112">
        <v>0</v>
      </c>
      <c r="E64" s="113">
        <f t="shared" si="1"/>
        <v>2738.34</v>
      </c>
      <c r="F64" s="112">
        <f>-FACTURACIÓN!F64</f>
        <v>88.79</v>
      </c>
      <c r="G64" s="112">
        <f>+FACTURACIÓN!G64</f>
        <v>0</v>
      </c>
      <c r="H64" s="112">
        <v>0</v>
      </c>
      <c r="I64" s="112">
        <f t="shared" si="2"/>
        <v>88.79</v>
      </c>
      <c r="J64" s="118">
        <f t="shared" si="3"/>
        <v>2649.55</v>
      </c>
      <c r="K64" s="31"/>
      <c r="L64" s="114" t="s">
        <v>417</v>
      </c>
      <c r="M64" s="114">
        <v>0</v>
      </c>
      <c r="O64" s="111">
        <f t="shared" si="6"/>
        <v>0</v>
      </c>
      <c r="P64" s="111">
        <f t="shared" si="7"/>
        <v>0</v>
      </c>
      <c r="R64" s="89" t="str">
        <f t="shared" si="8"/>
        <v>S</v>
      </c>
      <c r="S64" s="29" t="s">
        <v>273</v>
      </c>
      <c r="T64" s="30" t="s">
        <v>274</v>
      </c>
    </row>
    <row r="65" spans="1:20" s="89" customFormat="1" ht="15" x14ac:dyDescent="0.25">
      <c r="A65" s="88" t="s">
        <v>275</v>
      </c>
      <c r="B65" s="89" t="s">
        <v>276</v>
      </c>
      <c r="C65" s="111">
        <f>+FACTURACIÓN!H65-'C&amp;A'!K65-'C&amp;A'!G65-'C&amp;A'!I65+SINDICATO!F65</f>
        <v>3745.21</v>
      </c>
      <c r="D65" s="112">
        <v>0</v>
      </c>
      <c r="E65" s="113">
        <f t="shared" si="1"/>
        <v>3745.21</v>
      </c>
      <c r="F65" s="112">
        <f>-FACTURACIÓN!F65</f>
        <v>88.79</v>
      </c>
      <c r="G65" s="112">
        <f>+FACTURACIÓN!G65</f>
        <v>0</v>
      </c>
      <c r="H65" s="112">
        <v>0</v>
      </c>
      <c r="I65" s="112">
        <f t="shared" si="2"/>
        <v>88.79</v>
      </c>
      <c r="J65" s="118">
        <f t="shared" si="3"/>
        <v>3656.42</v>
      </c>
      <c r="K65" s="31"/>
      <c r="L65" s="114" t="s">
        <v>418</v>
      </c>
      <c r="M65" s="114">
        <v>0</v>
      </c>
      <c r="O65" s="111">
        <f t="shared" si="6"/>
        <v>0</v>
      </c>
      <c r="P65" s="111">
        <f t="shared" si="7"/>
        <v>0</v>
      </c>
      <c r="R65" s="89" t="str">
        <f t="shared" si="8"/>
        <v>S</v>
      </c>
      <c r="S65" s="29" t="s">
        <v>275</v>
      </c>
      <c r="T65" s="30" t="s">
        <v>276</v>
      </c>
    </row>
    <row r="66" spans="1:20" s="89" customFormat="1" ht="15" x14ac:dyDescent="0.25">
      <c r="A66" s="88" t="s">
        <v>277</v>
      </c>
      <c r="B66" s="89" t="s">
        <v>278</v>
      </c>
      <c r="C66" s="111">
        <f>+FACTURACIÓN!H66-'C&amp;A'!K66-'C&amp;A'!G66-'C&amp;A'!I66+SINDICATO!F66</f>
        <v>890.44</v>
      </c>
      <c r="D66" s="112">
        <v>0</v>
      </c>
      <c r="E66" s="113">
        <f t="shared" si="1"/>
        <v>890.44</v>
      </c>
      <c r="F66" s="112">
        <f>-FACTURACIÓN!F66</f>
        <v>355.65</v>
      </c>
      <c r="G66" s="112">
        <f>+FACTURACIÓN!G66</f>
        <v>0</v>
      </c>
      <c r="H66" s="112">
        <v>0</v>
      </c>
      <c r="I66" s="112">
        <f t="shared" si="2"/>
        <v>355.65</v>
      </c>
      <c r="J66" s="118">
        <f t="shared" si="3"/>
        <v>534.79000000000008</v>
      </c>
      <c r="K66" s="31"/>
      <c r="L66" s="114" t="s">
        <v>395</v>
      </c>
      <c r="M66" s="114">
        <v>0</v>
      </c>
      <c r="O66" s="111">
        <f t="shared" si="6"/>
        <v>0</v>
      </c>
      <c r="P66" s="111">
        <f t="shared" si="7"/>
        <v>0</v>
      </c>
      <c r="R66" s="89" t="str">
        <f t="shared" si="8"/>
        <v>S</v>
      </c>
      <c r="S66" s="29" t="s">
        <v>277</v>
      </c>
      <c r="T66" s="30" t="s">
        <v>278</v>
      </c>
    </row>
    <row r="67" spans="1:20" s="89" customFormat="1" ht="15" x14ac:dyDescent="0.25">
      <c r="A67" s="30" t="s">
        <v>359</v>
      </c>
      <c r="B67" s="30" t="s">
        <v>470</v>
      </c>
      <c r="C67" s="111">
        <f>+FACTURACIÓN!H67-'C&amp;A'!K67-'C&amp;A'!G67-'C&amp;A'!I67+SINDICATO!F67</f>
        <v>10.740000000000066</v>
      </c>
      <c r="D67" s="112">
        <v>0</v>
      </c>
      <c r="E67" s="113">
        <f t="shared" si="1"/>
        <v>10.740000000000066</v>
      </c>
      <c r="F67" s="112">
        <f>-FACTURACIÓN!F67</f>
        <v>0</v>
      </c>
      <c r="G67" s="112">
        <v>0</v>
      </c>
      <c r="H67" s="112">
        <v>0</v>
      </c>
      <c r="I67" s="112">
        <f t="shared" si="2"/>
        <v>0</v>
      </c>
      <c r="J67" s="118">
        <f t="shared" si="3"/>
        <v>10.740000000000066</v>
      </c>
      <c r="K67" s="31"/>
      <c r="L67" s="114"/>
      <c r="M67" s="114"/>
      <c r="N67" s="115"/>
      <c r="O67" s="111">
        <f t="shared" si="6"/>
        <v>0</v>
      </c>
      <c r="P67" s="111">
        <f t="shared" si="7"/>
        <v>0</v>
      </c>
      <c r="R67" s="89" t="str">
        <f t="shared" si="8"/>
        <v>S</v>
      </c>
      <c r="S67" s="29" t="s">
        <v>359</v>
      </c>
      <c r="T67" s="30" t="s">
        <v>360</v>
      </c>
    </row>
    <row r="68" spans="1:20" s="89" customFormat="1" ht="15" x14ac:dyDescent="0.25">
      <c r="A68" s="88" t="s">
        <v>279</v>
      </c>
      <c r="B68" s="89" t="s">
        <v>280</v>
      </c>
      <c r="C68" s="111">
        <f>+FACTURACIÓN!H68-'C&amp;A'!K68-'C&amp;A'!G68-'C&amp;A'!I68+SINDICATO!F68</f>
        <v>550.82999999999993</v>
      </c>
      <c r="D68" s="112">
        <v>0</v>
      </c>
      <c r="E68" s="113">
        <f t="shared" si="1"/>
        <v>550.82999999999993</v>
      </c>
      <c r="F68" s="112">
        <f>-FACTURACIÓN!F68</f>
        <v>45.13</v>
      </c>
      <c r="G68" s="112">
        <f>+FACTURACIÓN!G68</f>
        <v>0</v>
      </c>
      <c r="H68" s="112">
        <v>0</v>
      </c>
      <c r="I68" s="112">
        <f t="shared" si="2"/>
        <v>45.13</v>
      </c>
      <c r="J68" s="118">
        <f t="shared" si="3"/>
        <v>505.69999999999993</v>
      </c>
      <c r="K68" s="31"/>
      <c r="L68" s="114" t="s">
        <v>421</v>
      </c>
      <c r="M68" s="114">
        <v>0</v>
      </c>
      <c r="N68" s="117"/>
      <c r="O68" s="111">
        <f t="shared" si="6"/>
        <v>0</v>
      </c>
      <c r="P68" s="111">
        <f t="shared" si="7"/>
        <v>0</v>
      </c>
      <c r="R68" s="89" t="str">
        <f t="shared" si="8"/>
        <v>S</v>
      </c>
      <c r="S68" s="29" t="s">
        <v>279</v>
      </c>
      <c r="T68" s="30" t="s">
        <v>280</v>
      </c>
    </row>
    <row r="69" spans="1:20" s="89" customFormat="1" ht="15" x14ac:dyDescent="0.25">
      <c r="A69" s="88" t="s">
        <v>281</v>
      </c>
      <c r="B69" s="89" t="s">
        <v>282</v>
      </c>
      <c r="C69" s="111">
        <f>+FACTURACIÓN!H69-'C&amp;A'!K69-'C&amp;A'!G69-'C&amp;A'!I69+SINDICATO!F69</f>
        <v>822.8</v>
      </c>
      <c r="D69" s="112">
        <v>0</v>
      </c>
      <c r="E69" s="113">
        <f t="shared" si="1"/>
        <v>822.8</v>
      </c>
      <c r="F69" s="112">
        <f>-FACTURACIÓN!F69</f>
        <v>0</v>
      </c>
      <c r="G69" s="112">
        <f>+FACTURACIÓN!G69</f>
        <v>0</v>
      </c>
      <c r="H69" s="112">
        <v>0</v>
      </c>
      <c r="I69" s="112">
        <f t="shared" si="2"/>
        <v>0</v>
      </c>
      <c r="J69" s="118">
        <f t="shared" si="3"/>
        <v>822.8</v>
      </c>
      <c r="K69" s="31"/>
      <c r="L69" s="114" t="s">
        <v>394</v>
      </c>
      <c r="M69" s="114">
        <v>0</v>
      </c>
      <c r="O69" s="111">
        <f t="shared" si="6"/>
        <v>0</v>
      </c>
      <c r="P69" s="111">
        <f t="shared" si="7"/>
        <v>0</v>
      </c>
      <c r="R69" s="89" t="str">
        <f t="shared" si="8"/>
        <v>S</v>
      </c>
      <c r="S69" s="29" t="s">
        <v>281</v>
      </c>
      <c r="T69" s="30" t="s">
        <v>282</v>
      </c>
    </row>
    <row r="70" spans="1:20" s="115" customFormat="1" ht="15" x14ac:dyDescent="0.25">
      <c r="A70" s="88" t="s">
        <v>283</v>
      </c>
      <c r="B70" s="89" t="s">
        <v>284</v>
      </c>
      <c r="C70" s="111">
        <f>+FACTURACIÓN!H70-'C&amp;A'!K70-'C&amp;A'!G70-'C&amp;A'!I70+SINDICATO!F70</f>
        <v>1057.33</v>
      </c>
      <c r="D70" s="112">
        <v>0</v>
      </c>
      <c r="E70" s="113">
        <f t="shared" si="1"/>
        <v>1057.33</v>
      </c>
      <c r="F70" s="112">
        <f>-FACTURACIÓN!F70</f>
        <v>0</v>
      </c>
      <c r="G70" s="112">
        <f>+FACTURACIÓN!G70</f>
        <v>831.77</v>
      </c>
      <c r="H70" s="112">
        <v>0</v>
      </c>
      <c r="I70" s="112">
        <f t="shared" si="2"/>
        <v>831.77</v>
      </c>
      <c r="J70" s="118">
        <f t="shared" si="3"/>
        <v>225.55999999999995</v>
      </c>
      <c r="K70" s="31"/>
      <c r="L70" s="114" t="s">
        <v>419</v>
      </c>
      <c r="M70" s="114">
        <v>831.77</v>
      </c>
      <c r="N70" s="89"/>
      <c r="O70" s="111">
        <f t="shared" si="6"/>
        <v>0</v>
      </c>
      <c r="P70" s="111">
        <f t="shared" si="7"/>
        <v>831.77</v>
      </c>
      <c r="R70" s="89" t="str">
        <f t="shared" si="8"/>
        <v>S</v>
      </c>
      <c r="S70" s="29" t="s">
        <v>283</v>
      </c>
      <c r="T70" s="30" t="s">
        <v>284</v>
      </c>
    </row>
    <row r="71" spans="1:20" s="117" customFormat="1" ht="15" x14ac:dyDescent="0.25">
      <c r="A71" s="88" t="s">
        <v>285</v>
      </c>
      <c r="B71" s="89" t="s">
        <v>286</v>
      </c>
      <c r="C71" s="111">
        <f>+FACTURACIÓN!H71-'C&amp;A'!K71-'C&amp;A'!G71-'C&amp;A'!I71+SINDICATO!F71</f>
        <v>6569.72</v>
      </c>
      <c r="D71" s="112">
        <v>0</v>
      </c>
      <c r="E71" s="113">
        <f t="shared" si="1"/>
        <v>6569.72</v>
      </c>
      <c r="F71" s="112">
        <f>-FACTURACIÓN!F71</f>
        <v>0</v>
      </c>
      <c r="G71" s="112">
        <f>+FACTURACIÓN!G71</f>
        <v>0</v>
      </c>
      <c r="H71" s="112">
        <v>643.24080000000004</v>
      </c>
      <c r="I71" s="112">
        <f t="shared" si="2"/>
        <v>643.24080000000004</v>
      </c>
      <c r="J71" s="118">
        <f t="shared" si="3"/>
        <v>5926.4791999999998</v>
      </c>
      <c r="K71" s="31"/>
      <c r="L71" s="114" t="s">
        <v>372</v>
      </c>
      <c r="M71" s="114">
        <v>0</v>
      </c>
      <c r="N71" s="89"/>
      <c r="O71" s="111">
        <f t="shared" si="6"/>
        <v>0</v>
      </c>
      <c r="P71" s="111">
        <f t="shared" si="7"/>
        <v>0</v>
      </c>
      <c r="R71" s="89" t="str">
        <f t="shared" si="8"/>
        <v>S</v>
      </c>
      <c r="S71" s="29" t="s">
        <v>285</v>
      </c>
      <c r="T71" s="30" t="s">
        <v>286</v>
      </c>
    </row>
    <row r="72" spans="1:20" s="89" customFormat="1" ht="15" x14ac:dyDescent="0.25">
      <c r="A72" s="88" t="s">
        <v>342</v>
      </c>
      <c r="B72" s="89" t="s">
        <v>475</v>
      </c>
      <c r="C72" s="111">
        <f>+FACTURACIÓN!H72-'C&amp;A'!K72-'C&amp;A'!G72-'C&amp;A'!I72+SINDICATO!F72</f>
        <v>597.6099999999999</v>
      </c>
      <c r="D72" s="112">
        <v>0</v>
      </c>
      <c r="E72" s="113">
        <f t="shared" si="1"/>
        <v>597.6099999999999</v>
      </c>
      <c r="F72" s="112">
        <f>-FACTURACIÓN!F72</f>
        <v>0</v>
      </c>
      <c r="G72" s="112">
        <f>+FACTURACIÓN!G72</f>
        <v>0</v>
      </c>
      <c r="H72" s="112">
        <v>0</v>
      </c>
      <c r="I72" s="112">
        <f t="shared" si="2"/>
        <v>0</v>
      </c>
      <c r="J72" s="118">
        <f t="shared" si="3"/>
        <v>597.6099999999999</v>
      </c>
      <c r="K72" s="31"/>
      <c r="L72" s="114" t="s">
        <v>382</v>
      </c>
      <c r="M72" s="114">
        <v>0</v>
      </c>
      <c r="O72" s="111">
        <f t="shared" si="6"/>
        <v>0</v>
      </c>
      <c r="P72" s="111">
        <f t="shared" si="7"/>
        <v>0</v>
      </c>
      <c r="R72" s="89" t="str">
        <f t="shared" si="8"/>
        <v>S</v>
      </c>
      <c r="S72" s="29" t="s">
        <v>342</v>
      </c>
      <c r="T72" s="30" t="s">
        <v>343</v>
      </c>
    </row>
    <row r="73" spans="1:20" s="89" customFormat="1" ht="15" x14ac:dyDescent="0.25">
      <c r="A73" s="88" t="s">
        <v>287</v>
      </c>
      <c r="B73" s="89" t="s">
        <v>288</v>
      </c>
      <c r="C73" s="111">
        <f>+FACTURACIÓN!H73-'C&amp;A'!K73-'C&amp;A'!G73-'C&amp;A'!I73+SINDICATO!F73</f>
        <v>354.43000000000006</v>
      </c>
      <c r="D73" s="112">
        <v>0</v>
      </c>
      <c r="E73" s="113">
        <f t="shared" si="1"/>
        <v>354.43000000000006</v>
      </c>
      <c r="F73" s="112">
        <f>-FACTURACIÓN!F73</f>
        <v>45.13</v>
      </c>
      <c r="G73" s="112">
        <f>+FACTURACIÓN!G73</f>
        <v>0</v>
      </c>
      <c r="H73" s="112">
        <v>0</v>
      </c>
      <c r="I73" s="112">
        <f t="shared" si="2"/>
        <v>45.13</v>
      </c>
      <c r="J73" s="118">
        <f t="shared" si="3"/>
        <v>309.30000000000007</v>
      </c>
      <c r="K73" s="31"/>
      <c r="L73" s="114"/>
      <c r="M73" s="114"/>
      <c r="O73" s="111">
        <f t="shared" si="6"/>
        <v>0</v>
      </c>
      <c r="P73" s="111">
        <f t="shared" si="7"/>
        <v>0</v>
      </c>
      <c r="R73" s="89" t="str">
        <f t="shared" si="8"/>
        <v>S</v>
      </c>
      <c r="S73" s="29" t="s">
        <v>287</v>
      </c>
      <c r="T73" s="30" t="s">
        <v>288</v>
      </c>
    </row>
    <row r="74" spans="1:20" s="89" customFormat="1" ht="15" x14ac:dyDescent="0.25">
      <c r="A74" s="88" t="s">
        <v>289</v>
      </c>
      <c r="B74" s="89" t="s">
        <v>290</v>
      </c>
      <c r="C74" s="111">
        <f>+FACTURACIÓN!H74-'C&amp;A'!K74-'C&amp;A'!G74-'C&amp;A'!I74+SINDICATO!F74</f>
        <v>897.77999999999986</v>
      </c>
      <c r="D74" s="112">
        <v>0</v>
      </c>
      <c r="E74" s="113">
        <f t="shared" si="1"/>
        <v>897.77999999999986</v>
      </c>
      <c r="F74" s="112">
        <f>-FACTURACIÓN!F74</f>
        <v>58.55</v>
      </c>
      <c r="G74" s="112">
        <f>+FACTURACIÓN!G74</f>
        <v>137.07</v>
      </c>
      <c r="H74" s="112">
        <v>0</v>
      </c>
      <c r="I74" s="112">
        <f t="shared" si="2"/>
        <v>195.62</v>
      </c>
      <c r="J74" s="118">
        <f t="shared" si="3"/>
        <v>702.15999999999985</v>
      </c>
      <c r="K74" s="31"/>
      <c r="L74" s="114" t="s">
        <v>428</v>
      </c>
      <c r="M74" s="114">
        <v>163.91</v>
      </c>
      <c r="O74" s="111">
        <f t="shared" si="6"/>
        <v>0</v>
      </c>
      <c r="P74" s="111">
        <f t="shared" si="7"/>
        <v>163.91</v>
      </c>
      <c r="R74" s="89" t="str">
        <f t="shared" ref="R74:R90" si="9">IF(A74=S74,"S","N")</f>
        <v>S</v>
      </c>
      <c r="S74" s="29" t="s">
        <v>289</v>
      </c>
      <c r="T74" s="30" t="s">
        <v>290</v>
      </c>
    </row>
    <row r="75" spans="1:20" s="89" customFormat="1" ht="15" x14ac:dyDescent="0.25">
      <c r="A75" s="88" t="s">
        <v>291</v>
      </c>
      <c r="B75" s="89" t="s">
        <v>292</v>
      </c>
      <c r="C75" s="111">
        <f>+FACTURACIÓN!H75-'C&amp;A'!K75-'C&amp;A'!G75-'C&amp;A'!I75+SINDICATO!F75</f>
        <v>3566.4000000000005</v>
      </c>
      <c r="D75" s="112">
        <v>0</v>
      </c>
      <c r="E75" s="113">
        <f t="shared" ref="E75:E90" si="10">SUM(C75:D75)</f>
        <v>3566.4000000000005</v>
      </c>
      <c r="F75" s="112">
        <f>-FACTURACIÓN!F75</f>
        <v>45.13</v>
      </c>
      <c r="G75" s="112">
        <f>+FACTURACIÓN!G75</f>
        <v>0</v>
      </c>
      <c r="H75" s="112">
        <v>0</v>
      </c>
      <c r="I75" s="112">
        <f t="shared" ref="I75:I90" si="11">SUM(F75:H75)</f>
        <v>45.13</v>
      </c>
      <c r="J75" s="118">
        <f t="shared" ref="J75:J90" si="12">+E75-I75</f>
        <v>3521.2700000000004</v>
      </c>
      <c r="K75" s="31"/>
      <c r="L75" s="114" t="s">
        <v>446</v>
      </c>
      <c r="M75" s="114">
        <v>0</v>
      </c>
      <c r="O75" s="111">
        <f t="shared" si="6"/>
        <v>0</v>
      </c>
      <c r="P75" s="111">
        <f t="shared" si="7"/>
        <v>0</v>
      </c>
      <c r="R75" s="89" t="str">
        <f t="shared" si="9"/>
        <v>S</v>
      </c>
      <c r="S75" s="29" t="s">
        <v>291</v>
      </c>
      <c r="T75" s="30" t="s">
        <v>292</v>
      </c>
    </row>
    <row r="76" spans="1:20" s="89" customFormat="1" ht="15" x14ac:dyDescent="0.25">
      <c r="A76" s="88" t="s">
        <v>293</v>
      </c>
      <c r="B76" s="89" t="s">
        <v>294</v>
      </c>
      <c r="C76" s="111">
        <f>+FACTURACIÓN!H76-'C&amp;A'!K76-'C&amp;A'!G76-'C&amp;A'!I76+SINDICATO!F76</f>
        <v>1063.8999999999999</v>
      </c>
      <c r="D76" s="112">
        <v>0</v>
      </c>
      <c r="E76" s="113">
        <f t="shared" si="10"/>
        <v>1063.8999999999999</v>
      </c>
      <c r="F76" s="112">
        <f>-FACTURACIÓN!F76</f>
        <v>45.13</v>
      </c>
      <c r="G76" s="112">
        <f>+FACTURACIÓN!G76</f>
        <v>0</v>
      </c>
      <c r="H76" s="112">
        <v>0</v>
      </c>
      <c r="I76" s="112">
        <f t="shared" si="11"/>
        <v>45.13</v>
      </c>
      <c r="J76" s="118">
        <f t="shared" si="12"/>
        <v>1018.7699999999999</v>
      </c>
      <c r="K76" s="31"/>
      <c r="L76" s="114" t="s">
        <v>423</v>
      </c>
      <c r="M76" s="114">
        <v>0</v>
      </c>
      <c r="O76" s="111">
        <f t="shared" si="6"/>
        <v>0</v>
      </c>
      <c r="P76" s="111">
        <f t="shared" si="7"/>
        <v>0</v>
      </c>
      <c r="R76" s="89" t="str">
        <f t="shared" si="9"/>
        <v>S</v>
      </c>
      <c r="S76" s="29" t="s">
        <v>293</v>
      </c>
      <c r="T76" s="30" t="s">
        <v>294</v>
      </c>
    </row>
    <row r="77" spans="1:20" s="89" customFormat="1" ht="15" x14ac:dyDescent="0.25">
      <c r="A77" s="88" t="s">
        <v>295</v>
      </c>
      <c r="B77" s="89" t="s">
        <v>296</v>
      </c>
      <c r="C77" s="111">
        <f>+FACTURACIÓN!H77-'C&amp;A'!K77-'C&amp;A'!G77-'C&amp;A'!I77+SINDICATO!F77</f>
        <v>1616.7800000000004</v>
      </c>
      <c r="D77" s="112">
        <v>0</v>
      </c>
      <c r="E77" s="113">
        <f t="shared" si="10"/>
        <v>1616.7800000000004</v>
      </c>
      <c r="F77" s="112">
        <f>-FACTURACIÓN!F77</f>
        <v>290.02999999999997</v>
      </c>
      <c r="G77" s="112">
        <f>+FACTURACIÓN!G77</f>
        <v>0</v>
      </c>
      <c r="H77" s="112">
        <v>0</v>
      </c>
      <c r="I77" s="112">
        <f t="shared" si="11"/>
        <v>290.02999999999997</v>
      </c>
      <c r="J77" s="118">
        <f t="shared" si="12"/>
        <v>1326.7500000000005</v>
      </c>
      <c r="K77" s="31"/>
      <c r="L77" s="114" t="s">
        <v>424</v>
      </c>
      <c r="M77" s="114">
        <v>0</v>
      </c>
      <c r="O77" s="111">
        <f t="shared" si="6"/>
        <v>0</v>
      </c>
      <c r="P77" s="111">
        <f t="shared" si="7"/>
        <v>0</v>
      </c>
      <c r="R77" s="89" t="str">
        <f t="shared" si="9"/>
        <v>S</v>
      </c>
      <c r="S77" s="29" t="s">
        <v>295</v>
      </c>
      <c r="T77" s="30" t="s">
        <v>296</v>
      </c>
    </row>
    <row r="78" spans="1:20" s="89" customFormat="1" ht="15" x14ac:dyDescent="0.25">
      <c r="A78" s="88" t="s">
        <v>478</v>
      </c>
      <c r="B78" s="89" t="s">
        <v>297</v>
      </c>
      <c r="C78" s="111">
        <f>+FACTURACIÓN!H78-'C&amp;A'!K78-'C&amp;A'!G78-'C&amp;A'!I78+SINDICATO!F78</f>
        <v>1389.3200000000002</v>
      </c>
      <c r="D78" s="112">
        <v>0</v>
      </c>
      <c r="E78" s="113">
        <f t="shared" si="10"/>
        <v>1389.3200000000002</v>
      </c>
      <c r="F78" s="112">
        <f>-FACTURACIÓN!F78</f>
        <v>45.13</v>
      </c>
      <c r="G78" s="112">
        <f>+FACTURACIÓN!G78</f>
        <v>0</v>
      </c>
      <c r="H78" s="112">
        <v>0</v>
      </c>
      <c r="I78" s="112">
        <f t="shared" si="11"/>
        <v>45.13</v>
      </c>
      <c r="J78" s="118">
        <f t="shared" si="12"/>
        <v>1344.19</v>
      </c>
      <c r="K78" s="31"/>
      <c r="L78" s="114" t="s">
        <v>384</v>
      </c>
      <c r="M78" s="114">
        <v>0</v>
      </c>
      <c r="O78" s="111">
        <f t="shared" si="6"/>
        <v>0</v>
      </c>
      <c r="P78" s="111">
        <f t="shared" si="7"/>
        <v>0</v>
      </c>
      <c r="R78" s="89" t="str">
        <f t="shared" si="9"/>
        <v>S</v>
      </c>
      <c r="S78" s="29" t="s">
        <v>478</v>
      </c>
      <c r="T78" s="30" t="s">
        <v>297</v>
      </c>
    </row>
    <row r="79" spans="1:20" s="89" customFormat="1" ht="15" x14ac:dyDescent="0.25">
      <c r="A79" s="88" t="s">
        <v>298</v>
      </c>
      <c r="B79" s="89" t="s">
        <v>299</v>
      </c>
      <c r="C79" s="111">
        <f>+FACTURACIÓN!H79-'C&amp;A'!K79-'C&amp;A'!G79-'C&amp;A'!I79+SINDICATO!F79</f>
        <v>822.6</v>
      </c>
      <c r="D79" s="112">
        <v>0</v>
      </c>
      <c r="E79" s="113">
        <f t="shared" si="10"/>
        <v>822.6</v>
      </c>
      <c r="F79" s="112">
        <f>-FACTURACIÓN!F79</f>
        <v>0</v>
      </c>
      <c r="G79" s="112">
        <f>+FACTURACIÓN!G79</f>
        <v>355.65</v>
      </c>
      <c r="H79" s="112">
        <v>0</v>
      </c>
      <c r="I79" s="112">
        <f t="shared" si="11"/>
        <v>355.65</v>
      </c>
      <c r="J79" s="118">
        <f t="shared" si="12"/>
        <v>466.95000000000005</v>
      </c>
      <c r="K79" s="31"/>
      <c r="L79" s="114" t="s">
        <v>396</v>
      </c>
      <c r="M79" s="114">
        <v>355.65</v>
      </c>
      <c r="O79" s="111">
        <f t="shared" si="6"/>
        <v>0</v>
      </c>
      <c r="P79" s="111">
        <f t="shared" si="7"/>
        <v>355.65</v>
      </c>
      <c r="R79" s="89" t="str">
        <f t="shared" si="9"/>
        <v>S</v>
      </c>
      <c r="S79" s="29" t="s">
        <v>298</v>
      </c>
      <c r="T79" s="30" t="s">
        <v>299</v>
      </c>
    </row>
    <row r="80" spans="1:20" s="89" customFormat="1" ht="15" x14ac:dyDescent="0.25">
      <c r="A80" s="88"/>
      <c r="B80" s="30" t="s">
        <v>328</v>
      </c>
      <c r="C80" s="111">
        <f>+FACTURACIÓN!H80-'C&amp;A'!K80-'C&amp;A'!G80-'C&amp;A'!I80+SINDICATO!F80</f>
        <v>5500.68</v>
      </c>
      <c r="D80" s="112">
        <v>0</v>
      </c>
      <c r="E80" s="113">
        <f t="shared" si="10"/>
        <v>5500.68</v>
      </c>
      <c r="F80" s="112">
        <f>-FACTURACIÓN!F80</f>
        <v>0</v>
      </c>
      <c r="G80" s="112">
        <f>+FACTURACIÓN!G80</f>
        <v>0</v>
      </c>
      <c r="H80" s="112">
        <v>547.02719999999999</v>
      </c>
      <c r="I80" s="112">
        <f t="shared" si="11"/>
        <v>547.02719999999999</v>
      </c>
      <c r="J80" s="118">
        <f t="shared" si="12"/>
        <v>4953.6527999999998</v>
      </c>
      <c r="K80" s="31"/>
      <c r="L80" s="114"/>
      <c r="M80" s="114"/>
      <c r="O80" s="111">
        <f t="shared" si="6"/>
        <v>0</v>
      </c>
      <c r="P80" s="111">
        <f t="shared" si="7"/>
        <v>0</v>
      </c>
      <c r="R80" s="89" t="str">
        <f t="shared" si="9"/>
        <v>S</v>
      </c>
      <c r="S80" s="29"/>
      <c r="T80" s="30" t="s">
        <v>328</v>
      </c>
    </row>
    <row r="81" spans="1:20" s="89" customFormat="1" ht="15" x14ac:dyDescent="0.25">
      <c r="A81" s="88" t="s">
        <v>300</v>
      </c>
      <c r="B81" s="89" t="s">
        <v>301</v>
      </c>
      <c r="C81" s="111">
        <f>+FACTURACIÓN!H81-'C&amp;A'!K81-'C&amp;A'!G81-'C&amp;A'!I81+SINDICATO!F81</f>
        <v>217.39</v>
      </c>
      <c r="D81" s="112">
        <v>0</v>
      </c>
      <c r="E81" s="113">
        <f t="shared" si="10"/>
        <v>217.39</v>
      </c>
      <c r="F81" s="112">
        <f>-FACTURACIÓN!F81</f>
        <v>0</v>
      </c>
      <c r="G81" s="112">
        <f>+FACTURACIÓN!G81</f>
        <v>0</v>
      </c>
      <c r="H81" s="112">
        <v>0</v>
      </c>
      <c r="I81" s="112">
        <f t="shared" si="11"/>
        <v>0</v>
      </c>
      <c r="J81" s="118">
        <f t="shared" si="12"/>
        <v>217.39</v>
      </c>
      <c r="K81" s="31"/>
      <c r="L81" s="114" t="s">
        <v>383</v>
      </c>
      <c r="M81" s="114">
        <v>0</v>
      </c>
      <c r="O81" s="111">
        <f t="shared" si="6"/>
        <v>0</v>
      </c>
      <c r="P81" s="111">
        <f t="shared" si="7"/>
        <v>0</v>
      </c>
      <c r="R81" s="89" t="str">
        <f t="shared" si="9"/>
        <v>S</v>
      </c>
      <c r="S81" s="29" t="s">
        <v>300</v>
      </c>
      <c r="T81" s="30" t="s">
        <v>301</v>
      </c>
    </row>
    <row r="82" spans="1:20" s="89" customFormat="1" ht="15" x14ac:dyDescent="0.25">
      <c r="A82" s="88" t="s">
        <v>302</v>
      </c>
      <c r="B82" s="89" t="s">
        <v>303</v>
      </c>
      <c r="C82" s="111">
        <f>+FACTURACIÓN!H82-'C&amp;A'!K82-'C&amp;A'!G82-'C&amp;A'!I82+SINDICATO!F82</f>
        <v>1343.13</v>
      </c>
      <c r="D82" s="112">
        <v>0</v>
      </c>
      <c r="E82" s="113">
        <f t="shared" si="10"/>
        <v>1343.13</v>
      </c>
      <c r="F82" s="112">
        <f>-FACTURACIÓN!F82</f>
        <v>45.13</v>
      </c>
      <c r="G82" s="112">
        <f>+FACTURACIÓN!G82</f>
        <v>0</v>
      </c>
      <c r="H82" s="112">
        <v>0</v>
      </c>
      <c r="I82" s="112">
        <f t="shared" si="11"/>
        <v>45.13</v>
      </c>
      <c r="J82" s="118">
        <f t="shared" si="12"/>
        <v>1298</v>
      </c>
      <c r="K82" s="31"/>
      <c r="L82" s="114" t="s">
        <v>385</v>
      </c>
      <c r="M82" s="114">
        <v>0</v>
      </c>
      <c r="O82" s="111">
        <f t="shared" si="6"/>
        <v>0</v>
      </c>
      <c r="P82" s="111">
        <f t="shared" si="7"/>
        <v>0</v>
      </c>
      <c r="R82" s="89" t="str">
        <f t="shared" si="9"/>
        <v>S</v>
      </c>
      <c r="S82" s="29" t="s">
        <v>302</v>
      </c>
      <c r="T82" s="30" t="s">
        <v>303</v>
      </c>
    </row>
    <row r="83" spans="1:20" s="89" customFormat="1" ht="15" x14ac:dyDescent="0.25">
      <c r="A83" s="88" t="s">
        <v>304</v>
      </c>
      <c r="B83" s="89" t="s">
        <v>305</v>
      </c>
      <c r="C83" s="111">
        <f>+FACTURACIÓN!H83-'C&amp;A'!K83-'C&amp;A'!G83-'C&amp;A'!I83+SINDICATO!F83</f>
        <v>2680.0200000000004</v>
      </c>
      <c r="D83" s="112">
        <v>0</v>
      </c>
      <c r="E83" s="113">
        <f t="shared" si="10"/>
        <v>2680.0200000000004</v>
      </c>
      <c r="F83" s="112">
        <f>-FACTURACIÓN!F83</f>
        <v>0</v>
      </c>
      <c r="G83" s="112">
        <f>+FACTURACIÓN!G83</f>
        <v>0</v>
      </c>
      <c r="H83" s="112">
        <v>0</v>
      </c>
      <c r="I83" s="112">
        <f t="shared" si="11"/>
        <v>0</v>
      </c>
      <c r="J83" s="118">
        <f t="shared" si="12"/>
        <v>2680.0200000000004</v>
      </c>
      <c r="K83" s="31"/>
      <c r="L83" s="114" t="s">
        <v>373</v>
      </c>
      <c r="M83" s="114">
        <v>0</v>
      </c>
      <c r="O83" s="111">
        <f t="shared" si="6"/>
        <v>0</v>
      </c>
      <c r="P83" s="111">
        <f t="shared" si="7"/>
        <v>0</v>
      </c>
      <c r="R83" s="89" t="str">
        <f t="shared" si="9"/>
        <v>S</v>
      </c>
      <c r="S83" s="29" t="s">
        <v>304</v>
      </c>
      <c r="T83" s="30" t="s">
        <v>305</v>
      </c>
    </row>
    <row r="84" spans="1:20" s="89" customFormat="1" ht="15" x14ac:dyDescent="0.25">
      <c r="A84" s="88" t="s">
        <v>306</v>
      </c>
      <c r="B84" s="89" t="s">
        <v>307</v>
      </c>
      <c r="C84" s="111">
        <f>+FACTURACIÓN!H84-'C&amp;A'!K84-'C&amp;A'!G84-'C&amp;A'!I84+SINDICATO!F84</f>
        <v>3473.25</v>
      </c>
      <c r="D84" s="112">
        <v>0</v>
      </c>
      <c r="E84" s="113">
        <f t="shared" si="10"/>
        <v>3473.25</v>
      </c>
      <c r="F84" s="112">
        <f>-FACTURACIÓN!F84</f>
        <v>0</v>
      </c>
      <c r="G84" s="112">
        <f>+FACTURACIÓN!G84</f>
        <v>488.83</v>
      </c>
      <c r="H84" s="112">
        <v>0</v>
      </c>
      <c r="I84" s="112">
        <f t="shared" si="11"/>
        <v>488.83</v>
      </c>
      <c r="J84" s="118">
        <f t="shared" si="12"/>
        <v>2984.42</v>
      </c>
      <c r="K84" s="31"/>
      <c r="L84" s="114" t="s">
        <v>447</v>
      </c>
      <c r="M84" s="114">
        <v>488.83</v>
      </c>
      <c r="O84" s="111">
        <f t="shared" si="6"/>
        <v>0</v>
      </c>
      <c r="P84" s="111">
        <f t="shared" si="7"/>
        <v>488.83</v>
      </c>
      <c r="R84" s="89" t="str">
        <f t="shared" si="9"/>
        <v>S</v>
      </c>
      <c r="S84" s="29" t="s">
        <v>306</v>
      </c>
      <c r="T84" s="30" t="s">
        <v>307</v>
      </c>
    </row>
    <row r="85" spans="1:20" s="89" customFormat="1" ht="15" x14ac:dyDescent="0.25">
      <c r="A85" s="88" t="s">
        <v>308</v>
      </c>
      <c r="B85" s="89" t="s">
        <v>309</v>
      </c>
      <c r="C85" s="111">
        <f>+FACTURACIÓN!H85-'C&amp;A'!K85-'C&amp;A'!G85-'C&amp;A'!I85+SINDICATO!F85</f>
        <v>4589.47</v>
      </c>
      <c r="D85" s="112">
        <v>0</v>
      </c>
      <c r="E85" s="113">
        <f t="shared" si="10"/>
        <v>4589.47</v>
      </c>
      <c r="F85" s="112">
        <f>-FACTURACIÓN!F85</f>
        <v>0</v>
      </c>
      <c r="G85" s="112">
        <f>+FACTURACIÓN!G85</f>
        <v>0</v>
      </c>
      <c r="H85" s="112">
        <v>0</v>
      </c>
      <c r="I85" s="112">
        <f t="shared" si="11"/>
        <v>0</v>
      </c>
      <c r="J85" s="118">
        <f t="shared" si="12"/>
        <v>4589.47</v>
      </c>
      <c r="K85" s="31"/>
      <c r="L85" s="114" t="s">
        <v>405</v>
      </c>
      <c r="M85" s="114">
        <v>0</v>
      </c>
      <c r="O85" s="111">
        <f t="shared" ref="O85:O90" si="13">-K85</f>
        <v>0</v>
      </c>
      <c r="P85" s="111">
        <f t="shared" ref="P85:P90" si="14">+M85-O85</f>
        <v>0</v>
      </c>
      <c r="R85" s="89" t="str">
        <f t="shared" si="9"/>
        <v>S</v>
      </c>
      <c r="S85" s="29" t="s">
        <v>308</v>
      </c>
      <c r="T85" s="30" t="s">
        <v>309</v>
      </c>
    </row>
    <row r="86" spans="1:20" s="89" customFormat="1" ht="15" x14ac:dyDescent="0.25">
      <c r="A86" s="88" t="s">
        <v>310</v>
      </c>
      <c r="B86" s="89" t="s">
        <v>311</v>
      </c>
      <c r="C86" s="111">
        <f>+FACTURACIÓN!H86-'C&amp;A'!K86-'C&amp;A'!G86-'C&amp;A'!I86+SINDICATO!F86</f>
        <v>3429.83</v>
      </c>
      <c r="D86" s="112">
        <v>0</v>
      </c>
      <c r="E86" s="113">
        <f t="shared" si="10"/>
        <v>3429.83</v>
      </c>
      <c r="F86" s="112">
        <f>-FACTURACIÓN!F86</f>
        <v>88.79</v>
      </c>
      <c r="G86" s="112">
        <f>+FACTURACIÓN!G86</f>
        <v>0</v>
      </c>
      <c r="H86" s="112">
        <v>0</v>
      </c>
      <c r="I86" s="112">
        <f t="shared" si="11"/>
        <v>88.79</v>
      </c>
      <c r="J86" s="118">
        <f t="shared" si="12"/>
        <v>3341.04</v>
      </c>
      <c r="K86" s="31"/>
      <c r="L86" s="114" t="s">
        <v>425</v>
      </c>
      <c r="M86" s="114">
        <v>0</v>
      </c>
      <c r="O86" s="111">
        <f t="shared" si="13"/>
        <v>0</v>
      </c>
      <c r="P86" s="111">
        <f t="shared" si="14"/>
        <v>0</v>
      </c>
      <c r="R86" s="89" t="str">
        <f t="shared" si="9"/>
        <v>S</v>
      </c>
      <c r="S86" s="29" t="s">
        <v>310</v>
      </c>
      <c r="T86" s="30" t="s">
        <v>311</v>
      </c>
    </row>
    <row r="87" spans="1:20" s="89" customFormat="1" ht="15" x14ac:dyDescent="0.25">
      <c r="A87" s="88" t="s">
        <v>312</v>
      </c>
      <c r="B87" s="89" t="s">
        <v>313</v>
      </c>
      <c r="C87" s="111">
        <f>+FACTURACIÓN!H87-'C&amp;A'!K87-'C&amp;A'!G87-'C&amp;A'!I87+SINDICATO!F87</f>
        <v>597.41</v>
      </c>
      <c r="D87" s="112">
        <v>0</v>
      </c>
      <c r="E87" s="113">
        <f t="shared" si="10"/>
        <v>597.41</v>
      </c>
      <c r="F87" s="112">
        <f>-FACTURACIÓN!F87</f>
        <v>0</v>
      </c>
      <c r="G87" s="112">
        <f>+FACTURACIÓN!G87</f>
        <v>0</v>
      </c>
      <c r="H87" s="112">
        <v>0</v>
      </c>
      <c r="I87" s="112">
        <f t="shared" si="11"/>
        <v>0</v>
      </c>
      <c r="J87" s="118">
        <f t="shared" si="12"/>
        <v>597.41</v>
      </c>
      <c r="K87" s="31"/>
      <c r="L87" s="114" t="s">
        <v>387</v>
      </c>
      <c r="M87" s="114">
        <v>0</v>
      </c>
      <c r="O87" s="111">
        <f t="shared" si="13"/>
        <v>0</v>
      </c>
      <c r="P87" s="111">
        <f t="shared" si="14"/>
        <v>0</v>
      </c>
      <c r="R87" s="89" t="str">
        <f t="shared" si="9"/>
        <v>S</v>
      </c>
      <c r="S87" s="29" t="s">
        <v>312</v>
      </c>
      <c r="T87" s="30" t="s">
        <v>313</v>
      </c>
    </row>
    <row r="88" spans="1:20" s="89" customFormat="1" ht="15" x14ac:dyDescent="0.25">
      <c r="A88" s="88" t="s">
        <v>314</v>
      </c>
      <c r="B88" s="89" t="s">
        <v>315</v>
      </c>
      <c r="C88" s="111">
        <f>+FACTURACIÓN!H88-'C&amp;A'!K88-'C&amp;A'!G88-'C&amp;A'!I88+SINDICATO!F88</f>
        <v>30.728571428571513</v>
      </c>
      <c r="D88" s="112">
        <v>0</v>
      </c>
      <c r="E88" s="113">
        <f t="shared" si="10"/>
        <v>30.728571428571513</v>
      </c>
      <c r="F88" s="112">
        <f>-FACTURACIÓN!F88</f>
        <v>0</v>
      </c>
      <c r="G88" s="112">
        <f>+FACTURACIÓN!G88</f>
        <v>0</v>
      </c>
      <c r="H88" s="112">
        <v>0</v>
      </c>
      <c r="I88" s="112">
        <f t="shared" si="11"/>
        <v>0</v>
      </c>
      <c r="J88" s="118">
        <f t="shared" si="12"/>
        <v>30.728571428571513</v>
      </c>
      <c r="K88" s="31"/>
      <c r="L88" s="114" t="s">
        <v>448</v>
      </c>
      <c r="M88" s="114">
        <v>0</v>
      </c>
      <c r="O88" s="111">
        <f t="shared" si="13"/>
        <v>0</v>
      </c>
      <c r="P88" s="111">
        <f t="shared" si="14"/>
        <v>0</v>
      </c>
      <c r="R88" s="89" t="str">
        <f t="shared" si="9"/>
        <v>S</v>
      </c>
      <c r="S88" s="29" t="s">
        <v>314</v>
      </c>
      <c r="T88" s="30" t="s">
        <v>315</v>
      </c>
    </row>
    <row r="89" spans="1:20" s="89" customFormat="1" ht="15" x14ac:dyDescent="0.25">
      <c r="A89" s="88" t="s">
        <v>316</v>
      </c>
      <c r="B89" s="89" t="s">
        <v>317</v>
      </c>
      <c r="C89" s="111">
        <f>+FACTURACIÓN!H89-'C&amp;A'!K89-'C&amp;A'!G89-'C&amp;A'!I89+SINDICATO!F89</f>
        <v>2165.1000000000004</v>
      </c>
      <c r="D89" s="112">
        <v>0</v>
      </c>
      <c r="E89" s="113">
        <f t="shared" si="10"/>
        <v>2165.1000000000004</v>
      </c>
      <c r="F89" s="112">
        <f>-FACTURACIÓN!F89</f>
        <v>45.13</v>
      </c>
      <c r="G89" s="112">
        <f>+FACTURACIÓN!G89</f>
        <v>0</v>
      </c>
      <c r="H89" s="112">
        <v>0</v>
      </c>
      <c r="I89" s="112">
        <f t="shared" si="11"/>
        <v>45.13</v>
      </c>
      <c r="J89" s="118">
        <f t="shared" si="12"/>
        <v>2119.9700000000003</v>
      </c>
      <c r="K89" s="31"/>
      <c r="L89" s="114" t="s">
        <v>386</v>
      </c>
      <c r="M89" s="114">
        <v>0</v>
      </c>
      <c r="O89" s="111">
        <f t="shared" si="13"/>
        <v>0</v>
      </c>
      <c r="P89" s="111">
        <f t="shared" si="14"/>
        <v>0</v>
      </c>
      <c r="R89" s="89" t="str">
        <f t="shared" si="9"/>
        <v>S</v>
      </c>
      <c r="S89" s="29" t="s">
        <v>316</v>
      </c>
      <c r="T89" s="30" t="s">
        <v>317</v>
      </c>
    </row>
    <row r="90" spans="1:20" s="89" customFormat="1" ht="15" x14ac:dyDescent="0.25">
      <c r="A90" s="88" t="s">
        <v>318</v>
      </c>
      <c r="B90" s="89" t="s">
        <v>319</v>
      </c>
      <c r="C90" s="111">
        <f>+FACTURACIÓN!H90-'C&amp;A'!K90-'C&amp;A'!G90-'C&amp;A'!I90+SINDICATO!F90</f>
        <v>30.728571428571513</v>
      </c>
      <c r="D90" s="112">
        <v>0</v>
      </c>
      <c r="E90" s="113">
        <f t="shared" si="10"/>
        <v>30.728571428571513</v>
      </c>
      <c r="F90" s="112">
        <f>-FACTURACIÓN!F90</f>
        <v>0</v>
      </c>
      <c r="G90" s="112">
        <f>+FACTURACIÓN!G90</f>
        <v>0</v>
      </c>
      <c r="H90" s="112">
        <v>0</v>
      </c>
      <c r="I90" s="112">
        <f t="shared" si="11"/>
        <v>0</v>
      </c>
      <c r="J90" s="118">
        <f t="shared" si="12"/>
        <v>30.728571428571513</v>
      </c>
      <c r="K90" s="31"/>
      <c r="L90" s="114" t="s">
        <v>449</v>
      </c>
      <c r="M90" s="114">
        <v>0</v>
      </c>
      <c r="O90" s="111">
        <f t="shared" si="13"/>
        <v>0</v>
      </c>
      <c r="P90" s="111">
        <f t="shared" si="14"/>
        <v>0</v>
      </c>
      <c r="R90" s="89" t="str">
        <f t="shared" si="9"/>
        <v>S</v>
      </c>
      <c r="S90" s="29" t="s">
        <v>318</v>
      </c>
      <c r="T90" s="30" t="s">
        <v>319</v>
      </c>
    </row>
    <row r="91" spans="1:20" s="89" customFormat="1" x14ac:dyDescent="0.2">
      <c r="A91" s="88"/>
      <c r="C91" s="115" t="s">
        <v>17</v>
      </c>
      <c r="D91" s="115" t="s">
        <v>17</v>
      </c>
      <c r="E91" s="115" t="s">
        <v>17</v>
      </c>
      <c r="F91" s="115" t="s">
        <v>17</v>
      </c>
      <c r="G91" s="115" t="s">
        <v>17</v>
      </c>
      <c r="H91" s="115" t="s">
        <v>17</v>
      </c>
      <c r="I91" s="115" t="s">
        <v>17</v>
      </c>
      <c r="J91" s="115" t="s">
        <v>17</v>
      </c>
    </row>
    <row r="92" spans="1:20" s="89" customFormat="1" ht="15" x14ac:dyDescent="0.25">
      <c r="A92" s="88"/>
      <c r="C92" s="116">
        <f>SUM(C10:C90)</f>
        <v>199893.30285714276</v>
      </c>
      <c r="D92" s="116">
        <f t="shared" ref="D92:J92" si="15">SUM(D10:D90)</f>
        <v>0</v>
      </c>
      <c r="E92" s="116">
        <f t="shared" si="15"/>
        <v>199893.30285714276</v>
      </c>
      <c r="F92" s="116">
        <f t="shared" si="15"/>
        <v>4031.550000000002</v>
      </c>
      <c r="G92" s="116">
        <f t="shared" si="15"/>
        <v>5121.49</v>
      </c>
      <c r="H92" s="116">
        <f>SUM(H10:H90)</f>
        <v>9480.5325000000012</v>
      </c>
      <c r="I92" s="116">
        <f t="shared" si="15"/>
        <v>18633.572500000009</v>
      </c>
      <c r="J92" s="116">
        <f t="shared" si="15"/>
        <v>181259.73035714289</v>
      </c>
    </row>
  </sheetData>
  <mergeCells count="2">
    <mergeCell ref="B1:C1"/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workbookViewId="0">
      <selection activeCell="B18" sqref="B18"/>
    </sheetView>
  </sheetViews>
  <sheetFormatPr baseColWidth="10" defaultRowHeight="15" x14ac:dyDescent="0.25"/>
  <cols>
    <col min="2" max="2" width="25" bestFit="1" customWidth="1"/>
    <col min="10" max="17" width="0" style="25" hidden="1" customWidth="1"/>
  </cols>
  <sheetData>
    <row r="1" spans="1:17" x14ac:dyDescent="0.25">
      <c r="A1" t="s">
        <v>361</v>
      </c>
    </row>
    <row r="7" spans="1:17" x14ac:dyDescent="0.25">
      <c r="C7" t="s">
        <v>362</v>
      </c>
    </row>
    <row r="8" spans="1:17" x14ac:dyDescent="0.25">
      <c r="A8" t="s">
        <v>363</v>
      </c>
      <c r="B8" t="s">
        <v>364</v>
      </c>
      <c r="C8" t="s">
        <v>365</v>
      </c>
      <c r="J8" s="39"/>
      <c r="K8" s="39"/>
      <c r="L8" s="39"/>
      <c r="M8" s="39"/>
      <c r="N8" s="39"/>
      <c r="O8" s="39"/>
      <c r="P8" s="39"/>
      <c r="Q8" s="39"/>
    </row>
    <row r="9" spans="1:17" x14ac:dyDescent="0.25">
      <c r="A9" t="s">
        <v>175</v>
      </c>
      <c r="B9" t="s">
        <v>366</v>
      </c>
      <c r="C9">
        <v>0</v>
      </c>
    </row>
    <row r="10" spans="1:17" x14ac:dyDescent="0.25">
      <c r="A10" t="s">
        <v>177</v>
      </c>
      <c r="B10" t="s">
        <v>431</v>
      </c>
      <c r="C10">
        <v>0</v>
      </c>
      <c r="J10" s="46"/>
      <c r="K10" s="46"/>
      <c r="L10" s="46"/>
      <c r="M10" s="46"/>
      <c r="N10" s="46"/>
      <c r="O10" s="46"/>
      <c r="P10" s="46"/>
      <c r="Q10" s="46"/>
    </row>
    <row r="11" spans="1:17" x14ac:dyDescent="0.25">
      <c r="A11" t="s">
        <v>179</v>
      </c>
      <c r="B11" t="s">
        <v>406</v>
      </c>
      <c r="C11">
        <v>0</v>
      </c>
      <c r="J11" s="46"/>
      <c r="K11" s="46"/>
      <c r="L11" s="46"/>
      <c r="M11" s="46"/>
      <c r="N11" s="46"/>
      <c r="O11" s="46"/>
      <c r="P11" s="46"/>
      <c r="Q11" s="46"/>
    </row>
    <row r="12" spans="1:17" x14ac:dyDescent="0.25">
      <c r="A12" t="s">
        <v>181</v>
      </c>
      <c r="B12" t="s">
        <v>367</v>
      </c>
      <c r="C12">
        <v>0</v>
      </c>
      <c r="J12" s="46"/>
      <c r="K12" s="46"/>
      <c r="L12" s="46"/>
      <c r="M12" s="46"/>
      <c r="N12" s="46"/>
      <c r="O12" s="46"/>
      <c r="P12" s="46"/>
      <c r="Q12" s="46"/>
    </row>
    <row r="13" spans="1:17" x14ac:dyDescent="0.25">
      <c r="A13">
        <v>16</v>
      </c>
      <c r="B13" t="s">
        <v>426</v>
      </c>
      <c r="C13">
        <v>0</v>
      </c>
      <c r="J13" s="46"/>
      <c r="K13" s="46"/>
      <c r="L13" s="46"/>
      <c r="M13" s="46"/>
      <c r="N13" s="46"/>
      <c r="O13" s="46"/>
      <c r="P13" s="46"/>
      <c r="Q13" s="46"/>
    </row>
    <row r="14" spans="1:17" x14ac:dyDescent="0.25">
      <c r="A14" t="s">
        <v>348</v>
      </c>
      <c r="B14" t="s">
        <v>407</v>
      </c>
      <c r="C14">
        <v>0</v>
      </c>
      <c r="J14" s="46"/>
      <c r="K14" s="46"/>
      <c r="L14" s="46"/>
      <c r="M14" s="46"/>
      <c r="N14" s="46"/>
      <c r="O14" s="46"/>
      <c r="P14" s="46"/>
      <c r="Q14" s="46"/>
    </row>
    <row r="15" spans="1:17" x14ac:dyDescent="0.25">
      <c r="A15" t="s">
        <v>397</v>
      </c>
      <c r="B15" t="s">
        <v>398</v>
      </c>
      <c r="C15">
        <v>0</v>
      </c>
      <c r="J15" s="46"/>
      <c r="K15" s="46"/>
      <c r="L15" s="46"/>
      <c r="M15" s="46"/>
      <c r="N15" s="46"/>
      <c r="O15" s="46"/>
      <c r="P15" s="46"/>
      <c r="Q15" s="46"/>
    </row>
    <row r="16" spans="1:17" x14ac:dyDescent="0.25">
      <c r="A16" t="s">
        <v>15</v>
      </c>
      <c r="B16" t="s">
        <v>430</v>
      </c>
      <c r="C16">
        <v>879.45</v>
      </c>
      <c r="J16" s="46"/>
      <c r="K16" s="46"/>
      <c r="L16" s="46"/>
      <c r="M16" s="46"/>
      <c r="N16" s="46"/>
      <c r="O16" s="46"/>
      <c r="P16" s="46"/>
      <c r="Q16" s="46"/>
    </row>
    <row r="17" spans="1:17" x14ac:dyDescent="0.25">
      <c r="A17" t="s">
        <v>189</v>
      </c>
      <c r="B17" t="s">
        <v>388</v>
      </c>
      <c r="C17">
        <v>0</v>
      </c>
      <c r="J17" s="46"/>
      <c r="K17" s="46"/>
      <c r="L17" s="46"/>
      <c r="M17" s="46"/>
      <c r="N17" s="46"/>
      <c r="O17" s="46"/>
      <c r="P17" s="46"/>
      <c r="Q17" s="46"/>
    </row>
    <row r="18" spans="1:17" x14ac:dyDescent="0.25">
      <c r="A18" t="s">
        <v>191</v>
      </c>
      <c r="B18" t="s">
        <v>432</v>
      </c>
      <c r="C18">
        <v>3257.47</v>
      </c>
      <c r="J18" s="46"/>
      <c r="K18" s="46"/>
      <c r="L18" s="46"/>
      <c r="M18" s="46"/>
      <c r="N18" s="46"/>
      <c r="O18" s="46"/>
      <c r="P18" s="46"/>
      <c r="Q18" s="46"/>
    </row>
    <row r="19" spans="1:17" x14ac:dyDescent="0.25">
      <c r="A19" t="s">
        <v>333</v>
      </c>
      <c r="B19" t="s">
        <v>368</v>
      </c>
      <c r="C19">
        <v>0</v>
      </c>
      <c r="J19" s="46"/>
      <c r="K19" s="46"/>
      <c r="L19" s="46"/>
      <c r="M19" s="46"/>
      <c r="N19" s="46"/>
      <c r="O19" s="46"/>
      <c r="P19" s="46"/>
      <c r="Q19" s="46"/>
    </row>
    <row r="20" spans="1:17" x14ac:dyDescent="0.25">
      <c r="A20" t="s">
        <v>194</v>
      </c>
      <c r="B20" t="s">
        <v>408</v>
      </c>
      <c r="C20">
        <v>0</v>
      </c>
      <c r="J20" s="46"/>
      <c r="K20" s="46"/>
      <c r="L20" s="46"/>
      <c r="M20" s="46"/>
      <c r="N20" s="46"/>
      <c r="O20" s="46"/>
      <c r="P20" s="46"/>
      <c r="Q20" s="46"/>
    </row>
    <row r="21" spans="1:17" x14ac:dyDescent="0.25">
      <c r="A21">
        <v>18</v>
      </c>
      <c r="B21" t="s">
        <v>427</v>
      </c>
      <c r="C21">
        <v>0</v>
      </c>
      <c r="J21" s="46"/>
      <c r="K21" s="46"/>
      <c r="L21" s="46"/>
      <c r="M21" s="46"/>
      <c r="N21" s="46"/>
      <c r="O21" s="46"/>
      <c r="P21" s="46"/>
      <c r="Q21" s="46"/>
    </row>
    <row r="22" spans="1:17" x14ac:dyDescent="0.25">
      <c r="A22" t="s">
        <v>197</v>
      </c>
      <c r="B22" t="s">
        <v>409</v>
      </c>
      <c r="C22">
        <v>0</v>
      </c>
      <c r="J22" s="46"/>
      <c r="K22" s="46"/>
      <c r="L22" s="46"/>
      <c r="M22" s="46"/>
      <c r="N22" s="46"/>
      <c r="O22" s="46"/>
      <c r="P22" s="46"/>
      <c r="Q22" s="46"/>
    </row>
    <row r="23" spans="1:17" x14ac:dyDescent="0.25">
      <c r="A23" t="s">
        <v>199</v>
      </c>
      <c r="B23" t="s">
        <v>390</v>
      </c>
      <c r="C23">
        <v>357.73</v>
      </c>
      <c r="J23" s="46"/>
      <c r="K23" s="46"/>
      <c r="L23" s="46"/>
      <c r="M23" s="46"/>
      <c r="N23" s="46"/>
      <c r="O23" s="46"/>
      <c r="P23" s="46"/>
      <c r="Q23" s="46"/>
    </row>
    <row r="24" spans="1:17" x14ac:dyDescent="0.25">
      <c r="A24" t="s">
        <v>201</v>
      </c>
      <c r="B24" t="s">
        <v>400</v>
      </c>
      <c r="C24">
        <v>797.62</v>
      </c>
      <c r="J24" s="46"/>
      <c r="K24" s="46"/>
      <c r="L24" s="46"/>
      <c r="M24" s="46"/>
      <c r="N24" s="46"/>
      <c r="O24" s="46"/>
      <c r="P24" s="46"/>
      <c r="Q24" s="46"/>
    </row>
    <row r="25" spans="1:17" x14ac:dyDescent="0.25">
      <c r="A25" t="s">
        <v>203</v>
      </c>
      <c r="B25" t="s">
        <v>374</v>
      </c>
      <c r="C25">
        <v>0</v>
      </c>
      <c r="J25" s="46"/>
      <c r="K25" s="46"/>
      <c r="L25" s="46"/>
      <c r="M25" s="46"/>
      <c r="N25" s="46"/>
      <c r="O25" s="46"/>
      <c r="P25" s="46"/>
      <c r="Q25" s="46"/>
    </row>
    <row r="26" spans="1:17" x14ac:dyDescent="0.25">
      <c r="A26" t="s">
        <v>205</v>
      </c>
      <c r="B26" t="s">
        <v>399</v>
      </c>
      <c r="C26">
        <v>0</v>
      </c>
      <c r="J26" s="46"/>
      <c r="K26" s="46"/>
      <c r="L26" s="46"/>
      <c r="M26" s="46"/>
      <c r="N26" s="46"/>
      <c r="O26" s="46"/>
      <c r="P26" s="46"/>
      <c r="Q26" s="46"/>
    </row>
    <row r="27" spans="1:17" x14ac:dyDescent="0.25">
      <c r="A27" t="s">
        <v>207</v>
      </c>
      <c r="B27" t="s">
        <v>391</v>
      </c>
      <c r="C27">
        <v>0</v>
      </c>
      <c r="J27" s="46"/>
      <c r="K27" s="46"/>
      <c r="L27" s="46"/>
      <c r="M27" s="46"/>
      <c r="N27" s="46"/>
      <c r="O27" s="46"/>
      <c r="P27" s="46"/>
      <c r="Q27" s="46"/>
    </row>
    <row r="28" spans="1:17" x14ac:dyDescent="0.25">
      <c r="A28" t="s">
        <v>209</v>
      </c>
      <c r="B28" t="s">
        <v>389</v>
      </c>
      <c r="C28">
        <v>0</v>
      </c>
      <c r="J28" s="46"/>
      <c r="K28" s="46"/>
      <c r="L28" s="46"/>
      <c r="M28" s="46"/>
      <c r="N28" s="46"/>
      <c r="O28" s="46"/>
      <c r="P28" s="46"/>
      <c r="Q28" s="46"/>
    </row>
    <row r="29" spans="1:17" x14ac:dyDescent="0.25">
      <c r="A29" t="s">
        <v>211</v>
      </c>
      <c r="B29" t="s">
        <v>392</v>
      </c>
      <c r="C29">
        <v>0</v>
      </c>
      <c r="J29" s="46"/>
      <c r="K29" s="46"/>
      <c r="L29" s="46"/>
      <c r="M29" s="46"/>
      <c r="N29" s="46"/>
      <c r="O29" s="46"/>
      <c r="P29" s="46"/>
      <c r="Q29" s="46"/>
    </row>
    <row r="30" spans="1:17" x14ac:dyDescent="0.25">
      <c r="A30" t="s">
        <v>213</v>
      </c>
      <c r="B30" t="s">
        <v>410</v>
      </c>
      <c r="C30">
        <v>0</v>
      </c>
      <c r="J30" s="46"/>
      <c r="K30" s="46"/>
      <c r="L30" s="46"/>
      <c r="M30" s="46"/>
      <c r="N30" s="46"/>
      <c r="O30" s="46"/>
      <c r="P30" s="46"/>
      <c r="Q30" s="46"/>
    </row>
    <row r="31" spans="1:17" x14ac:dyDescent="0.25">
      <c r="A31" t="s">
        <v>215</v>
      </c>
      <c r="B31" t="s">
        <v>433</v>
      </c>
      <c r="C31">
        <v>530.28</v>
      </c>
      <c r="J31" s="46"/>
      <c r="K31" s="46"/>
      <c r="L31" s="46"/>
      <c r="M31" s="46"/>
      <c r="N31" s="46"/>
      <c r="O31" s="46"/>
      <c r="P31" s="46"/>
      <c r="Q31" s="46"/>
    </row>
    <row r="32" spans="1:17" x14ac:dyDescent="0.25">
      <c r="A32" t="s">
        <v>217</v>
      </c>
      <c r="B32" t="s">
        <v>411</v>
      </c>
      <c r="C32">
        <v>0</v>
      </c>
      <c r="J32" s="46"/>
      <c r="K32" s="46"/>
      <c r="L32" s="46"/>
      <c r="M32" s="46"/>
      <c r="N32" s="46"/>
      <c r="O32" s="46"/>
      <c r="P32" s="46"/>
      <c r="Q32" s="46"/>
    </row>
    <row r="33" spans="1:17" x14ac:dyDescent="0.25">
      <c r="A33" t="s">
        <v>219</v>
      </c>
      <c r="B33" t="s">
        <v>369</v>
      </c>
      <c r="C33">
        <v>0</v>
      </c>
      <c r="J33" s="46"/>
      <c r="K33" s="46"/>
      <c r="L33" s="46"/>
      <c r="M33" s="46"/>
      <c r="N33" s="46"/>
      <c r="O33" s="46"/>
      <c r="P33" s="46"/>
      <c r="Q33" s="46"/>
    </row>
    <row r="34" spans="1:17" x14ac:dyDescent="0.25">
      <c r="A34" t="s">
        <v>434</v>
      </c>
      <c r="B34" t="s">
        <v>435</v>
      </c>
      <c r="C34">
        <v>349.07</v>
      </c>
      <c r="J34" s="46"/>
      <c r="K34" s="46"/>
      <c r="L34" s="46"/>
      <c r="M34" s="46"/>
      <c r="N34" s="46"/>
      <c r="O34" s="46"/>
      <c r="P34" s="46"/>
      <c r="Q34" s="46"/>
    </row>
    <row r="35" spans="1:17" x14ac:dyDescent="0.25">
      <c r="A35" t="s">
        <v>223</v>
      </c>
      <c r="B35" t="s">
        <v>437</v>
      </c>
      <c r="C35">
        <v>0</v>
      </c>
      <c r="J35" s="46"/>
      <c r="K35" s="46"/>
      <c r="L35" s="46"/>
      <c r="M35" s="46"/>
      <c r="N35" s="46"/>
      <c r="O35" s="46"/>
      <c r="P35" s="46"/>
      <c r="Q35" s="46"/>
    </row>
    <row r="36" spans="1:17" x14ac:dyDescent="0.25">
      <c r="A36" t="s">
        <v>357</v>
      </c>
      <c r="B36" t="s">
        <v>436</v>
      </c>
      <c r="C36">
        <v>0</v>
      </c>
      <c r="J36" s="46"/>
      <c r="K36" s="46"/>
      <c r="L36" s="46"/>
      <c r="M36" s="46"/>
      <c r="N36" s="46"/>
      <c r="O36" s="46"/>
      <c r="P36" s="46"/>
      <c r="Q36" s="46"/>
    </row>
    <row r="37" spans="1:17" x14ac:dyDescent="0.25">
      <c r="A37" t="s">
        <v>225</v>
      </c>
      <c r="B37" t="s">
        <v>401</v>
      </c>
      <c r="C37">
        <v>0</v>
      </c>
      <c r="J37" s="46"/>
      <c r="K37" s="46"/>
      <c r="L37" s="46"/>
      <c r="M37" s="46"/>
      <c r="N37" s="46"/>
      <c r="O37" s="46"/>
      <c r="P37" s="46"/>
      <c r="Q37" s="46"/>
    </row>
    <row r="38" spans="1:17" x14ac:dyDescent="0.25">
      <c r="A38" t="s">
        <v>227</v>
      </c>
      <c r="B38" t="s">
        <v>375</v>
      </c>
      <c r="C38">
        <v>0</v>
      </c>
      <c r="J38" s="46"/>
      <c r="K38" s="46"/>
      <c r="L38" s="46"/>
      <c r="M38" s="46"/>
      <c r="N38" s="46"/>
      <c r="O38" s="46"/>
      <c r="P38" s="46"/>
      <c r="Q38" s="46"/>
    </row>
    <row r="39" spans="1:17" x14ac:dyDescent="0.25">
      <c r="A39" t="s">
        <v>229</v>
      </c>
      <c r="B39" t="s">
        <v>438</v>
      </c>
      <c r="C39">
        <v>0</v>
      </c>
      <c r="J39" s="46"/>
      <c r="K39" s="46"/>
      <c r="L39" s="46"/>
      <c r="M39" s="46"/>
      <c r="N39" s="46"/>
      <c r="O39" s="46"/>
      <c r="P39" s="46"/>
      <c r="Q39" s="46"/>
    </row>
    <row r="40" spans="1:17" x14ac:dyDescent="0.25">
      <c r="A40" t="s">
        <v>231</v>
      </c>
      <c r="B40" t="s">
        <v>439</v>
      </c>
      <c r="C40">
        <v>771.61</v>
      </c>
      <c r="J40" s="52" t="s">
        <v>453</v>
      </c>
      <c r="K40" s="53" t="s">
        <v>454</v>
      </c>
      <c r="L40" s="46"/>
      <c r="M40" s="46"/>
      <c r="N40" s="46"/>
      <c r="O40" s="46"/>
      <c r="P40" s="46"/>
      <c r="Q40" s="46"/>
    </row>
    <row r="41" spans="1:17" x14ac:dyDescent="0.25">
      <c r="A41" t="s">
        <v>233</v>
      </c>
      <c r="B41" t="s">
        <v>402</v>
      </c>
      <c r="C41">
        <v>0</v>
      </c>
      <c r="J41" s="52" t="s">
        <v>455</v>
      </c>
      <c r="K41" s="53" t="s">
        <v>456</v>
      </c>
      <c r="L41" s="46"/>
      <c r="M41" s="46"/>
      <c r="N41" s="46"/>
      <c r="O41" s="46"/>
      <c r="P41" s="46"/>
      <c r="Q41" s="46"/>
    </row>
    <row r="42" spans="1:17" x14ac:dyDescent="0.25">
      <c r="A42" t="s">
        <v>235</v>
      </c>
      <c r="B42" t="s">
        <v>440</v>
      </c>
      <c r="C42">
        <v>0</v>
      </c>
      <c r="J42" s="45" t="s">
        <v>458</v>
      </c>
      <c r="K42" s="44" t="s">
        <v>459</v>
      </c>
      <c r="L42" s="46"/>
      <c r="M42" s="46"/>
      <c r="N42" s="46"/>
      <c r="O42" s="46"/>
      <c r="P42" s="46"/>
      <c r="Q42" s="46"/>
    </row>
    <row r="43" spans="1:17" x14ac:dyDescent="0.25">
      <c r="A43" t="s">
        <v>237</v>
      </c>
      <c r="B43" t="s">
        <v>393</v>
      </c>
      <c r="C43">
        <v>0</v>
      </c>
      <c r="J43" s="45" t="s">
        <v>460</v>
      </c>
      <c r="K43" s="44" t="s">
        <v>461</v>
      </c>
      <c r="L43" s="46"/>
      <c r="M43" s="46"/>
      <c r="N43" s="46"/>
      <c r="O43" s="46"/>
      <c r="P43" s="46"/>
      <c r="Q43" s="46"/>
    </row>
    <row r="44" spans="1:17" x14ac:dyDescent="0.25">
      <c r="A44" t="s">
        <v>239</v>
      </c>
      <c r="B44" t="s">
        <v>441</v>
      </c>
      <c r="C44">
        <v>697.64</v>
      </c>
      <c r="J44" s="45" t="s">
        <v>462</v>
      </c>
      <c r="K44" s="44" t="s">
        <v>463</v>
      </c>
      <c r="L44" s="46"/>
      <c r="M44" s="46"/>
      <c r="N44" s="46"/>
      <c r="O44" s="46"/>
      <c r="P44" s="46"/>
      <c r="Q44" s="46"/>
    </row>
    <row r="45" spans="1:17" x14ac:dyDescent="0.25">
      <c r="A45" t="s">
        <v>241</v>
      </c>
      <c r="B45" t="s">
        <v>443</v>
      </c>
      <c r="C45">
        <v>284.61</v>
      </c>
      <c r="J45" s="45" t="s">
        <v>464</v>
      </c>
      <c r="K45" s="44" t="s">
        <v>465</v>
      </c>
      <c r="L45" s="46"/>
      <c r="M45" s="46"/>
      <c r="N45" s="46"/>
      <c r="O45" s="46"/>
      <c r="P45" s="46"/>
      <c r="Q45" s="46"/>
    </row>
    <row r="46" spans="1:17" x14ac:dyDescent="0.25">
      <c r="A46" t="s">
        <v>243</v>
      </c>
      <c r="B46" t="s">
        <v>412</v>
      </c>
      <c r="C46">
        <v>0</v>
      </c>
      <c r="J46" s="45" t="s">
        <v>466</v>
      </c>
      <c r="K46" s="44" t="s">
        <v>467</v>
      </c>
      <c r="L46" s="46"/>
      <c r="M46" s="46"/>
      <c r="N46" s="46"/>
      <c r="O46" s="46"/>
      <c r="P46" s="46"/>
      <c r="Q46" s="46"/>
    </row>
    <row r="47" spans="1:17" x14ac:dyDescent="0.25">
      <c r="A47" t="s">
        <v>245</v>
      </c>
      <c r="B47" t="s">
        <v>413</v>
      </c>
      <c r="C47">
        <v>0</v>
      </c>
      <c r="J47" s="45" t="s">
        <v>468</v>
      </c>
      <c r="K47" s="44" t="s">
        <v>469</v>
      </c>
      <c r="L47" s="46"/>
      <c r="M47" s="46"/>
      <c r="N47" s="46"/>
      <c r="O47" s="46"/>
      <c r="P47" s="46"/>
      <c r="Q47" s="46"/>
    </row>
    <row r="48" spans="1:17" x14ac:dyDescent="0.25">
      <c r="A48" t="s">
        <v>247</v>
      </c>
      <c r="B48" t="s">
        <v>376</v>
      </c>
      <c r="C48">
        <v>0</v>
      </c>
      <c r="J48" s="45" t="s">
        <v>359</v>
      </c>
      <c r="K48" s="44" t="s">
        <v>470</v>
      </c>
      <c r="L48" s="46"/>
      <c r="M48" s="46"/>
      <c r="N48" s="46"/>
      <c r="O48" s="46"/>
      <c r="P48" s="46"/>
      <c r="Q48" s="46"/>
    </row>
    <row r="49" spans="1:17" x14ac:dyDescent="0.25">
      <c r="A49" t="s">
        <v>249</v>
      </c>
      <c r="B49" t="s">
        <v>442</v>
      </c>
      <c r="C49">
        <v>0</v>
      </c>
      <c r="J49" s="45" t="s">
        <v>471</v>
      </c>
      <c r="K49" s="44" t="s">
        <v>472</v>
      </c>
      <c r="L49" s="46"/>
      <c r="M49" s="46"/>
      <c r="N49" s="46"/>
      <c r="O49" s="46"/>
      <c r="P49" s="46"/>
      <c r="Q49" s="46"/>
    </row>
    <row r="50" spans="1:17" x14ac:dyDescent="0.25">
      <c r="A50">
        <v>30</v>
      </c>
      <c r="B50" t="s">
        <v>429</v>
      </c>
      <c r="C50">
        <v>0</v>
      </c>
      <c r="J50" s="45" t="s">
        <v>473</v>
      </c>
      <c r="K50" s="44" t="s">
        <v>474</v>
      </c>
      <c r="L50" s="46"/>
      <c r="M50" s="46"/>
      <c r="N50" s="46"/>
      <c r="O50" s="46"/>
      <c r="P50" s="46"/>
      <c r="Q50" s="46"/>
    </row>
    <row r="51" spans="1:17" x14ac:dyDescent="0.25">
      <c r="A51" t="s">
        <v>253</v>
      </c>
      <c r="B51" t="s">
        <v>403</v>
      </c>
      <c r="C51">
        <v>0</v>
      </c>
      <c r="J51" s="45" t="s">
        <v>476</v>
      </c>
      <c r="K51" s="44" t="s">
        <v>477</v>
      </c>
      <c r="L51" s="46"/>
      <c r="M51" s="46"/>
      <c r="N51" s="46"/>
      <c r="O51" s="46"/>
      <c r="P51" s="46"/>
      <c r="Q51" s="46"/>
    </row>
    <row r="52" spans="1:17" x14ac:dyDescent="0.25">
      <c r="A52" t="s">
        <v>370</v>
      </c>
      <c r="B52" t="s">
        <v>371</v>
      </c>
      <c r="C52">
        <v>0</v>
      </c>
      <c r="J52" s="45" t="s">
        <v>479</v>
      </c>
      <c r="K52" s="44" t="s">
        <v>480</v>
      </c>
      <c r="L52" s="46"/>
      <c r="M52" s="46"/>
      <c r="N52" s="46"/>
      <c r="O52" s="46"/>
      <c r="P52" s="46"/>
      <c r="Q52" s="46"/>
    </row>
    <row r="53" spans="1:17" x14ac:dyDescent="0.25">
      <c r="A53" t="s">
        <v>255</v>
      </c>
      <c r="B53" t="s">
        <v>444</v>
      </c>
      <c r="C53">
        <v>523.01</v>
      </c>
      <c r="J53" s="45" t="s">
        <v>481</v>
      </c>
      <c r="K53" s="44" t="s">
        <v>482</v>
      </c>
      <c r="L53" s="46"/>
      <c r="M53" s="46"/>
      <c r="N53" s="46"/>
      <c r="O53" s="46"/>
      <c r="P53" s="46"/>
      <c r="Q53" s="46"/>
    </row>
    <row r="54" spans="1:17" x14ac:dyDescent="0.25">
      <c r="A54" t="s">
        <v>257</v>
      </c>
      <c r="B54" t="s">
        <v>414</v>
      </c>
      <c r="C54">
        <v>0</v>
      </c>
      <c r="J54" s="45" t="s">
        <v>483</v>
      </c>
      <c r="K54" s="44" t="s">
        <v>484</v>
      </c>
      <c r="L54" s="46"/>
      <c r="M54" s="46"/>
      <c r="N54" s="46"/>
      <c r="O54" s="46"/>
      <c r="P54" s="46"/>
      <c r="Q54" s="46"/>
    </row>
    <row r="55" spans="1:17" x14ac:dyDescent="0.25">
      <c r="A55" t="s">
        <v>377</v>
      </c>
      <c r="B55" t="s">
        <v>378</v>
      </c>
      <c r="C55">
        <v>0</v>
      </c>
      <c r="J55" s="45" t="s">
        <v>485</v>
      </c>
      <c r="K55" s="44" t="s">
        <v>486</v>
      </c>
      <c r="L55" s="46"/>
      <c r="M55" s="46"/>
      <c r="N55" s="46"/>
      <c r="O55" s="46"/>
      <c r="P55" s="46"/>
      <c r="Q55" s="46"/>
    </row>
    <row r="56" spans="1:17" x14ac:dyDescent="0.25">
      <c r="A56" t="s">
        <v>259</v>
      </c>
      <c r="B56" t="s">
        <v>379</v>
      </c>
      <c r="C56">
        <v>0</v>
      </c>
      <c r="J56" s="45" t="s">
        <v>487</v>
      </c>
      <c r="K56" s="44" t="s">
        <v>488</v>
      </c>
      <c r="L56" s="46"/>
      <c r="M56" s="46"/>
      <c r="N56" s="46"/>
      <c r="O56" s="46"/>
      <c r="P56" s="46"/>
      <c r="Q56" s="46"/>
    </row>
    <row r="57" spans="1:17" x14ac:dyDescent="0.25">
      <c r="A57" t="s">
        <v>261</v>
      </c>
      <c r="B57" t="s">
        <v>415</v>
      </c>
      <c r="C57">
        <v>0</v>
      </c>
      <c r="J57" s="46"/>
      <c r="K57" s="46"/>
      <c r="L57" s="46"/>
      <c r="M57" s="46"/>
      <c r="N57" s="46"/>
      <c r="O57" s="46"/>
      <c r="P57" s="46"/>
      <c r="Q57" s="46"/>
    </row>
    <row r="58" spans="1:17" x14ac:dyDescent="0.25">
      <c r="A58" t="s">
        <v>263</v>
      </c>
      <c r="B58" t="s">
        <v>416</v>
      </c>
      <c r="C58">
        <v>0</v>
      </c>
      <c r="J58" s="46"/>
      <c r="K58" s="46"/>
      <c r="L58" s="46"/>
      <c r="M58" s="46"/>
      <c r="N58" s="46"/>
      <c r="O58" s="46"/>
      <c r="P58" s="46"/>
      <c r="Q58" s="46"/>
    </row>
    <row r="59" spans="1:17" x14ac:dyDescent="0.25">
      <c r="A59" t="s">
        <v>265</v>
      </c>
      <c r="B59" t="s">
        <v>445</v>
      </c>
      <c r="C59">
        <v>0</v>
      </c>
      <c r="J59" s="46"/>
      <c r="K59" s="46"/>
      <c r="L59" s="46"/>
      <c r="M59" s="46"/>
      <c r="N59" s="46"/>
      <c r="O59" s="46"/>
      <c r="P59" s="46"/>
      <c r="Q59" s="46"/>
    </row>
    <row r="60" spans="1:17" x14ac:dyDescent="0.25">
      <c r="A60" t="s">
        <v>267</v>
      </c>
      <c r="B60" t="s">
        <v>380</v>
      </c>
      <c r="C60">
        <v>0</v>
      </c>
      <c r="J60" s="46"/>
      <c r="K60" s="46"/>
      <c r="L60" s="46"/>
      <c r="M60" s="46"/>
      <c r="N60" s="46"/>
      <c r="O60" s="46"/>
      <c r="P60" s="46"/>
      <c r="Q60" s="46"/>
    </row>
    <row r="61" spans="1:17" x14ac:dyDescent="0.25">
      <c r="A61" t="s">
        <v>269</v>
      </c>
      <c r="B61" t="s">
        <v>404</v>
      </c>
      <c r="C61">
        <v>955.1</v>
      </c>
      <c r="J61" s="46"/>
      <c r="K61" s="46"/>
      <c r="L61" s="46"/>
      <c r="M61" s="46"/>
      <c r="N61" s="46"/>
      <c r="O61" s="46"/>
      <c r="P61" s="46"/>
      <c r="Q61" s="46"/>
    </row>
    <row r="62" spans="1:17" x14ac:dyDescent="0.25">
      <c r="A62" t="s">
        <v>271</v>
      </c>
      <c r="B62" t="s">
        <v>381</v>
      </c>
      <c r="C62">
        <v>0</v>
      </c>
      <c r="J62" s="46"/>
      <c r="K62" s="46"/>
      <c r="L62" s="46"/>
      <c r="M62" s="46"/>
      <c r="N62" s="46"/>
      <c r="O62" s="46"/>
      <c r="P62" s="46"/>
      <c r="Q62" s="46"/>
    </row>
    <row r="63" spans="1:17" x14ac:dyDescent="0.25">
      <c r="A63" t="s">
        <v>273</v>
      </c>
      <c r="B63" t="s">
        <v>417</v>
      </c>
      <c r="C63">
        <v>0</v>
      </c>
      <c r="J63" s="60"/>
      <c r="K63" s="60"/>
      <c r="L63" s="60"/>
      <c r="M63" s="60"/>
      <c r="N63" s="60"/>
      <c r="O63" s="60"/>
      <c r="P63" s="60"/>
      <c r="Q63" s="60"/>
    </row>
    <row r="64" spans="1:17" x14ac:dyDescent="0.25">
      <c r="A64" t="s">
        <v>275</v>
      </c>
      <c r="B64" t="s">
        <v>418</v>
      </c>
      <c r="C64">
        <v>0</v>
      </c>
      <c r="J64" s="61"/>
      <c r="K64" s="61"/>
      <c r="L64" s="61"/>
      <c r="M64" s="61"/>
      <c r="N64" s="61"/>
      <c r="O64" s="61"/>
      <c r="P64" s="61"/>
      <c r="Q64" s="61"/>
    </row>
    <row r="65" spans="1:17" x14ac:dyDescent="0.25">
      <c r="A65" t="s">
        <v>277</v>
      </c>
      <c r="B65" t="s">
        <v>395</v>
      </c>
      <c r="C65">
        <v>0</v>
      </c>
      <c r="J65" s="46"/>
      <c r="K65" s="46"/>
      <c r="L65" s="46"/>
      <c r="M65" s="46"/>
      <c r="N65" s="46"/>
      <c r="O65" s="46"/>
      <c r="P65" s="46"/>
      <c r="Q65" s="46"/>
    </row>
    <row r="66" spans="1:17" x14ac:dyDescent="0.25">
      <c r="A66" t="s">
        <v>420</v>
      </c>
      <c r="B66" t="s">
        <v>421</v>
      </c>
      <c r="C66">
        <v>0</v>
      </c>
      <c r="J66" s="46"/>
      <c r="K66" s="46"/>
      <c r="L66" s="46"/>
      <c r="M66" s="46"/>
      <c r="N66" s="46"/>
      <c r="O66" s="46"/>
      <c r="P66" s="46"/>
      <c r="Q66" s="46"/>
    </row>
    <row r="67" spans="1:17" x14ac:dyDescent="0.25">
      <c r="A67" t="s">
        <v>281</v>
      </c>
      <c r="B67" t="s">
        <v>394</v>
      </c>
      <c r="C67">
        <v>0</v>
      </c>
      <c r="J67" s="30"/>
      <c r="K67" s="30"/>
      <c r="L67" s="30"/>
      <c r="M67" s="30"/>
      <c r="N67" s="30"/>
      <c r="O67" s="30"/>
      <c r="P67" s="30"/>
      <c r="Q67" s="30"/>
    </row>
    <row r="68" spans="1:17" x14ac:dyDescent="0.25">
      <c r="A68" t="s">
        <v>283</v>
      </c>
      <c r="B68" t="s">
        <v>419</v>
      </c>
      <c r="C68">
        <v>831.77</v>
      </c>
      <c r="J68" s="46"/>
      <c r="K68" s="46"/>
      <c r="L68" s="46"/>
      <c r="M68" s="46"/>
      <c r="N68" s="46"/>
      <c r="O68" s="46"/>
      <c r="P68" s="46"/>
      <c r="Q68" s="46"/>
    </row>
    <row r="69" spans="1:17" x14ac:dyDescent="0.25">
      <c r="A69" t="s">
        <v>285</v>
      </c>
      <c r="B69" t="s">
        <v>372</v>
      </c>
      <c r="C69">
        <v>0</v>
      </c>
      <c r="J69" s="46"/>
      <c r="K69" s="46"/>
      <c r="L69" s="46"/>
      <c r="M69" s="46"/>
      <c r="N69" s="46"/>
      <c r="O69" s="46"/>
      <c r="P69" s="46"/>
      <c r="Q69" s="46"/>
    </row>
    <row r="70" spans="1:17" x14ac:dyDescent="0.25">
      <c r="A70" t="s">
        <v>287</v>
      </c>
      <c r="B70" t="s">
        <v>382</v>
      </c>
      <c r="C70">
        <v>0</v>
      </c>
      <c r="J70" s="46"/>
      <c r="K70" s="46"/>
      <c r="L70" s="46"/>
      <c r="M70" s="46"/>
      <c r="N70" s="46"/>
      <c r="O70" s="46"/>
      <c r="P70" s="46"/>
      <c r="Q70" s="46"/>
    </row>
    <row r="71" spans="1:17" x14ac:dyDescent="0.25">
      <c r="A71">
        <v>21</v>
      </c>
      <c r="B71" t="s">
        <v>428</v>
      </c>
      <c r="C71">
        <v>163.91</v>
      </c>
      <c r="J71" s="46"/>
      <c r="K71" s="46"/>
      <c r="L71" s="46"/>
      <c r="M71" s="46"/>
      <c r="N71" s="46"/>
      <c r="O71" s="46"/>
      <c r="P71" s="46"/>
      <c r="Q71" s="46"/>
    </row>
    <row r="72" spans="1:17" x14ac:dyDescent="0.25">
      <c r="A72" t="s">
        <v>291</v>
      </c>
      <c r="B72" t="s">
        <v>446</v>
      </c>
      <c r="C72">
        <v>0</v>
      </c>
      <c r="J72" s="46"/>
      <c r="K72" s="46"/>
      <c r="L72" s="46"/>
      <c r="M72" s="46"/>
      <c r="N72" s="46"/>
      <c r="O72" s="46"/>
      <c r="P72" s="46"/>
      <c r="Q72" s="46"/>
    </row>
    <row r="73" spans="1:17" x14ac:dyDescent="0.25">
      <c r="A73" t="s">
        <v>422</v>
      </c>
      <c r="B73" t="s">
        <v>423</v>
      </c>
      <c r="C73">
        <v>0</v>
      </c>
      <c r="J73" s="46"/>
      <c r="K73" s="46"/>
      <c r="L73" s="46"/>
      <c r="M73" s="46"/>
      <c r="N73" s="46"/>
      <c r="O73" s="46"/>
      <c r="P73" s="46"/>
      <c r="Q73" s="46"/>
    </row>
    <row r="74" spans="1:17" x14ac:dyDescent="0.25">
      <c r="A74" t="s">
        <v>295</v>
      </c>
      <c r="B74" t="s">
        <v>424</v>
      </c>
      <c r="C74">
        <v>0</v>
      </c>
      <c r="J74" s="46"/>
      <c r="K74" s="46"/>
      <c r="L74" s="46"/>
      <c r="M74" s="46"/>
      <c r="N74" s="46"/>
      <c r="O74" s="46"/>
      <c r="P74" s="46"/>
      <c r="Q74" s="46"/>
    </row>
    <row r="75" spans="1:17" x14ac:dyDescent="0.25">
      <c r="A75" t="s">
        <v>335</v>
      </c>
      <c r="B75" t="s">
        <v>384</v>
      </c>
      <c r="C75">
        <v>0</v>
      </c>
      <c r="J75" s="46"/>
      <c r="K75" s="46"/>
      <c r="L75" s="46"/>
      <c r="M75" s="46"/>
      <c r="N75" s="46"/>
      <c r="O75" s="46"/>
      <c r="P75" s="46"/>
      <c r="Q75" s="46"/>
    </row>
    <row r="76" spans="1:17" x14ac:dyDescent="0.25">
      <c r="A76" t="s">
        <v>298</v>
      </c>
      <c r="B76" t="s">
        <v>396</v>
      </c>
      <c r="C76">
        <v>355.65</v>
      </c>
      <c r="J76" s="46"/>
      <c r="K76" s="46"/>
      <c r="L76" s="46"/>
      <c r="M76" s="46"/>
      <c r="N76" s="46"/>
      <c r="O76" s="46"/>
      <c r="P76" s="46"/>
      <c r="Q76" s="46"/>
    </row>
    <row r="77" spans="1:17" x14ac:dyDescent="0.25">
      <c r="A77" t="s">
        <v>300</v>
      </c>
      <c r="B77" t="s">
        <v>383</v>
      </c>
      <c r="C77">
        <v>0</v>
      </c>
      <c r="J77" s="46"/>
      <c r="K77" s="46"/>
      <c r="L77" s="46"/>
      <c r="M77" s="46"/>
      <c r="N77" s="46"/>
      <c r="O77" s="46"/>
      <c r="P77" s="46"/>
      <c r="Q77" s="46"/>
    </row>
    <row r="78" spans="1:17" x14ac:dyDescent="0.25">
      <c r="A78" t="s">
        <v>302</v>
      </c>
      <c r="B78" t="s">
        <v>385</v>
      </c>
      <c r="C78">
        <v>0</v>
      </c>
      <c r="J78" s="46"/>
      <c r="K78" s="46"/>
      <c r="L78" s="46"/>
      <c r="M78" s="46"/>
      <c r="N78" s="46"/>
      <c r="O78" s="46"/>
      <c r="P78" s="46"/>
      <c r="Q78" s="46"/>
    </row>
    <row r="79" spans="1:17" x14ac:dyDescent="0.25">
      <c r="A79" t="s">
        <v>304</v>
      </c>
      <c r="B79" t="s">
        <v>373</v>
      </c>
      <c r="C79">
        <v>0</v>
      </c>
      <c r="J79" s="46"/>
      <c r="K79" s="46"/>
      <c r="L79" s="46"/>
      <c r="M79" s="46"/>
      <c r="N79" s="46"/>
      <c r="O79" s="46"/>
      <c r="P79" s="46"/>
      <c r="Q79" s="46"/>
    </row>
    <row r="80" spans="1:17" x14ac:dyDescent="0.25">
      <c r="A80" t="s">
        <v>306</v>
      </c>
      <c r="B80" t="s">
        <v>447</v>
      </c>
      <c r="C80">
        <v>488.83</v>
      </c>
      <c r="J80" s="30"/>
      <c r="K80" s="30"/>
      <c r="L80" s="30"/>
      <c r="M80" s="30"/>
      <c r="N80" s="30"/>
      <c r="O80" s="30"/>
      <c r="P80" s="30"/>
      <c r="Q80" s="30"/>
    </row>
    <row r="81" spans="1:17" x14ac:dyDescent="0.25">
      <c r="A81" t="s">
        <v>308</v>
      </c>
      <c r="B81" t="s">
        <v>405</v>
      </c>
      <c r="C81">
        <v>0</v>
      </c>
      <c r="J81" s="46"/>
      <c r="K81" s="46"/>
      <c r="L81" s="46"/>
      <c r="M81" s="46"/>
      <c r="N81" s="46"/>
      <c r="O81" s="46"/>
      <c r="P81" s="46"/>
      <c r="Q81" s="46"/>
    </row>
    <row r="82" spans="1:17" x14ac:dyDescent="0.25">
      <c r="A82" t="s">
        <v>310</v>
      </c>
      <c r="B82" t="s">
        <v>425</v>
      </c>
      <c r="C82">
        <v>0</v>
      </c>
      <c r="J82" s="46"/>
      <c r="K82" s="46"/>
      <c r="L82" s="46"/>
      <c r="M82" s="46"/>
      <c r="N82" s="46"/>
      <c r="O82" s="46"/>
      <c r="P82" s="46"/>
      <c r="Q82" s="46"/>
    </row>
    <row r="83" spans="1:17" x14ac:dyDescent="0.25">
      <c r="A83" t="s">
        <v>312</v>
      </c>
      <c r="B83" t="s">
        <v>387</v>
      </c>
      <c r="C83">
        <v>0</v>
      </c>
      <c r="J83" s="46"/>
      <c r="K83" s="46"/>
      <c r="L83" s="46"/>
      <c r="M83" s="46"/>
      <c r="N83" s="46"/>
      <c r="O83" s="46"/>
      <c r="P83" s="46"/>
      <c r="Q83" s="46"/>
    </row>
    <row r="84" spans="1:17" x14ac:dyDescent="0.25">
      <c r="A84" t="s">
        <v>314</v>
      </c>
      <c r="B84" t="s">
        <v>448</v>
      </c>
      <c r="C84">
        <v>0</v>
      </c>
      <c r="J84" s="46"/>
      <c r="K84" s="46"/>
      <c r="L84" s="46"/>
      <c r="M84" s="46"/>
      <c r="N84" s="46"/>
      <c r="O84" s="46"/>
      <c r="P84" s="46"/>
      <c r="Q84" s="46"/>
    </row>
    <row r="85" spans="1:17" x14ac:dyDescent="0.25">
      <c r="A85" t="s">
        <v>316</v>
      </c>
      <c r="B85" t="s">
        <v>386</v>
      </c>
      <c r="C85">
        <v>0</v>
      </c>
      <c r="J85" s="46"/>
      <c r="K85" s="46"/>
      <c r="L85" s="46"/>
      <c r="M85" s="46"/>
      <c r="N85" s="46"/>
      <c r="O85" s="46"/>
      <c r="P85" s="46"/>
      <c r="Q85" s="46"/>
    </row>
    <row r="86" spans="1:17" x14ac:dyDescent="0.25">
      <c r="A86" t="s">
        <v>318</v>
      </c>
      <c r="B86" t="s">
        <v>449</v>
      </c>
      <c r="C86">
        <v>0</v>
      </c>
      <c r="J86" s="46"/>
      <c r="K86" s="46"/>
      <c r="L86" s="46"/>
      <c r="M86" s="46"/>
      <c r="N86" s="46"/>
      <c r="O86" s="46"/>
      <c r="P86" s="46"/>
      <c r="Q86" s="46"/>
    </row>
    <row r="87" spans="1:17" x14ac:dyDescent="0.25">
      <c r="J87" s="46"/>
      <c r="K87" s="46"/>
      <c r="L87" s="46"/>
      <c r="M87" s="46"/>
      <c r="N87" s="46"/>
      <c r="O87" s="46"/>
      <c r="P87" s="46"/>
      <c r="Q87" s="46"/>
    </row>
    <row r="88" spans="1:17" x14ac:dyDescent="0.25">
      <c r="J88" s="46"/>
      <c r="K88" s="46"/>
      <c r="L88" s="46"/>
      <c r="M88" s="46"/>
      <c r="N88" s="46"/>
      <c r="O88" s="46"/>
      <c r="P88" s="46"/>
      <c r="Q88" s="46"/>
    </row>
    <row r="89" spans="1:17" x14ac:dyDescent="0.25">
      <c r="J89" s="46"/>
      <c r="K89" s="46"/>
      <c r="L89" s="46"/>
      <c r="M89" s="46"/>
      <c r="N89" s="46"/>
      <c r="O89" s="46"/>
      <c r="P89" s="46"/>
      <c r="Q89" s="46"/>
    </row>
    <row r="90" spans="1:17" x14ac:dyDescent="0.25">
      <c r="J90" s="46"/>
      <c r="K90" s="46"/>
      <c r="L90" s="46"/>
      <c r="M90" s="46"/>
      <c r="N90" s="46"/>
      <c r="O90" s="46"/>
      <c r="P90" s="46"/>
      <c r="Q90" s="46"/>
    </row>
  </sheetData>
  <sortState ref="A9:D307">
    <sortCondition ref="B9:B30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FACTURACIÓN</vt:lpstr>
      <vt:lpstr>C&amp;A</vt:lpstr>
      <vt:lpstr>SINDICATO</vt:lpstr>
      <vt:lpstr>INFONAVIT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ljimenez</cp:lastModifiedBy>
  <cp:lastPrinted>2016-01-16T18:55:13Z</cp:lastPrinted>
  <dcterms:created xsi:type="dcterms:W3CDTF">2016-01-16T18:25:25Z</dcterms:created>
  <dcterms:modified xsi:type="dcterms:W3CDTF">2016-03-07T15:24:33Z</dcterms:modified>
</cp:coreProperties>
</file>