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COMPRAS SEMINUEVOS/"/>
    </mc:Choice>
  </mc:AlternateContent>
  <bookViews>
    <workbookView xWindow="0" yWindow="0" windowWidth="20490" windowHeight="7365" tabRatio="445"/>
  </bookViews>
  <sheets>
    <sheet name="REPORTE" sheetId="4" r:id="rId1"/>
    <sheet name="INDICES" sheetId="2" r:id="rId2"/>
    <sheet name="Hoja3" sheetId="3" r:id="rId3"/>
  </sheets>
  <externalReferences>
    <externalReference r:id="rId4"/>
  </externalReferences>
  <definedNames>
    <definedName name="_xlnm.Print_Area" localSheetId="0">REPORTE!$A$1:$R$6</definedName>
  </definedNames>
  <calcPr calcId="152511"/>
</workbook>
</file>

<file path=xl/calcChain.xml><?xml version="1.0" encoding="utf-8"?>
<calcChain xmlns="http://schemas.openxmlformats.org/spreadsheetml/2006/main">
  <c r="J106" i="4" l="1"/>
  <c r="G77" i="4"/>
  <c r="N1" i="4"/>
  <c r="N65" i="4" s="1"/>
  <c r="J65" i="4"/>
  <c r="F30" i="4"/>
  <c r="G30" i="4"/>
  <c r="J41" i="4"/>
  <c r="J33" i="4"/>
  <c r="J28" i="4"/>
  <c r="J21" i="4"/>
  <c r="J30" i="4"/>
  <c r="J27" i="4"/>
  <c r="J26" i="4"/>
  <c r="J25" i="4"/>
  <c r="J24" i="4"/>
  <c r="J23" i="4"/>
  <c r="J22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6" i="4"/>
  <c r="J192" i="4"/>
  <c r="J191" i="4"/>
  <c r="J190" i="4"/>
  <c r="J189" i="4"/>
  <c r="J188" i="4"/>
  <c r="J188" i="2"/>
  <c r="J187" i="4"/>
  <c r="J186" i="4"/>
  <c r="J185" i="4"/>
  <c r="J180" i="4"/>
  <c r="J184" i="4"/>
  <c r="J183" i="4"/>
  <c r="J182" i="4"/>
  <c r="J181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G143" i="4"/>
  <c r="G144" i="4"/>
  <c r="G145" i="4"/>
  <c r="F143" i="4"/>
  <c r="F144" i="4"/>
  <c r="F145" i="4"/>
  <c r="I145" i="4" s="1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J141" i="4"/>
  <c r="J140" i="4"/>
  <c r="J139" i="4"/>
  <c r="J138" i="4"/>
  <c r="J137" i="4"/>
  <c r="J136" i="4"/>
  <c r="J135" i="4"/>
  <c r="G135" i="4"/>
  <c r="F135" i="4"/>
  <c r="J134" i="4"/>
  <c r="J133" i="4"/>
  <c r="J132" i="4"/>
  <c r="J131" i="4"/>
  <c r="J130" i="4"/>
  <c r="F132" i="4"/>
  <c r="J129" i="4"/>
  <c r="J128" i="4"/>
  <c r="G132" i="4"/>
  <c r="G128" i="4"/>
  <c r="F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5" i="4"/>
  <c r="J104" i="4"/>
  <c r="J103" i="4"/>
  <c r="J102" i="4"/>
  <c r="J101" i="4"/>
  <c r="J100" i="4"/>
  <c r="J99" i="4"/>
  <c r="J98" i="4"/>
  <c r="J97" i="4"/>
  <c r="J96" i="4"/>
  <c r="J95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J93" i="4"/>
  <c r="J92" i="4"/>
  <c r="J91" i="4"/>
  <c r="J90" i="4"/>
  <c r="J89" i="4"/>
  <c r="J94" i="4"/>
  <c r="J88" i="4"/>
  <c r="J87" i="4"/>
  <c r="J86" i="4"/>
  <c r="J85" i="4"/>
  <c r="J84" i="4"/>
  <c r="J82" i="4"/>
  <c r="J83" i="4"/>
  <c r="J81" i="4"/>
  <c r="J79" i="4"/>
  <c r="J80" i="4"/>
  <c r="J78" i="4"/>
  <c r="J77" i="4"/>
  <c r="J69" i="4"/>
  <c r="J76" i="4"/>
  <c r="J75" i="4"/>
  <c r="J74" i="4"/>
  <c r="J72" i="4"/>
  <c r="J71" i="4"/>
  <c r="J70" i="4"/>
  <c r="J68" i="4"/>
  <c r="J67" i="4"/>
  <c r="J66" i="4"/>
  <c r="G66" i="4"/>
  <c r="F66" i="4"/>
  <c r="F67" i="4"/>
  <c r="F68" i="4"/>
  <c r="F69" i="4"/>
  <c r="F70" i="4"/>
  <c r="F71" i="4"/>
  <c r="F72" i="4"/>
  <c r="F73" i="4"/>
  <c r="M73" i="4"/>
  <c r="F74" i="4"/>
  <c r="F75" i="4"/>
  <c r="F76" i="4"/>
  <c r="F77" i="4"/>
  <c r="F78" i="4"/>
  <c r="F79" i="4"/>
  <c r="F80" i="4"/>
  <c r="F81" i="4"/>
  <c r="J64" i="4"/>
  <c r="J63" i="4"/>
  <c r="J62" i="4"/>
  <c r="J61" i="4"/>
  <c r="F61" i="4"/>
  <c r="F62" i="4"/>
  <c r="F63" i="4"/>
  <c r="F64" i="4"/>
  <c r="F65" i="4"/>
  <c r="F82" i="4"/>
  <c r="F83" i="4"/>
  <c r="F84" i="4"/>
  <c r="F85" i="4"/>
  <c r="F86" i="4"/>
  <c r="F87" i="4"/>
  <c r="F88" i="4"/>
  <c r="F89" i="4"/>
  <c r="J60" i="4"/>
  <c r="J59" i="4"/>
  <c r="J58" i="4"/>
  <c r="J57" i="4"/>
  <c r="J56" i="4"/>
  <c r="J55" i="4"/>
  <c r="J54" i="4"/>
  <c r="J53" i="4"/>
  <c r="J52" i="4"/>
  <c r="J51" i="4"/>
  <c r="J50" i="4"/>
  <c r="G50" i="4"/>
  <c r="J49" i="4"/>
  <c r="J48" i="4"/>
  <c r="J47" i="4"/>
  <c r="J46" i="4"/>
  <c r="J45" i="4"/>
  <c r="J44" i="4"/>
  <c r="J43" i="4"/>
  <c r="J42" i="4"/>
  <c r="J40" i="4"/>
  <c r="J39" i="4"/>
  <c r="J38" i="4"/>
  <c r="G38" i="4"/>
  <c r="J37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33" i="4"/>
  <c r="F36" i="4"/>
  <c r="F37" i="4"/>
  <c r="F38" i="4"/>
  <c r="I38" i="4" s="1"/>
  <c r="F39" i="4"/>
  <c r="F40" i="4"/>
  <c r="F41" i="4"/>
  <c r="F42" i="4"/>
  <c r="F43" i="4"/>
  <c r="F44" i="4"/>
  <c r="F45" i="4"/>
  <c r="F46" i="4"/>
  <c r="J36" i="4"/>
  <c r="J35" i="4"/>
  <c r="J34" i="4"/>
  <c r="J32" i="4"/>
  <c r="J31" i="4"/>
  <c r="J29" i="4"/>
  <c r="N12" i="4"/>
  <c r="G12" i="4"/>
  <c r="I12" i="4" s="1"/>
  <c r="F12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1" i="4"/>
  <c r="F32" i="4"/>
  <c r="F34" i="4"/>
  <c r="F35" i="4"/>
  <c r="F13" i="4"/>
  <c r="F11" i="4"/>
  <c r="N30" i="4"/>
  <c r="J204" i="4"/>
  <c r="G204" i="4"/>
  <c r="F204" i="4"/>
  <c r="N203" i="4"/>
  <c r="J203" i="4"/>
  <c r="G203" i="4"/>
  <c r="F203" i="4"/>
  <c r="J200" i="4"/>
  <c r="J202" i="4"/>
  <c r="G202" i="4"/>
  <c r="F202" i="4"/>
  <c r="J201" i="4"/>
  <c r="G201" i="4"/>
  <c r="F201" i="4"/>
  <c r="N200" i="4"/>
  <c r="G200" i="4"/>
  <c r="F200" i="4"/>
  <c r="J199" i="4"/>
  <c r="G199" i="4"/>
  <c r="I199" i="4" s="1"/>
  <c r="F199" i="4"/>
  <c r="J198" i="4"/>
  <c r="G198" i="4"/>
  <c r="I198" i="4" s="1"/>
  <c r="K198" i="4" s="1"/>
  <c r="M198" i="4" s="1"/>
  <c r="F198" i="4"/>
  <c r="J197" i="4"/>
  <c r="G197" i="4"/>
  <c r="F197" i="4"/>
  <c r="J196" i="4"/>
  <c r="G196" i="4"/>
  <c r="I196" i="4" s="1"/>
  <c r="F196" i="4"/>
  <c r="J195" i="4"/>
  <c r="G195" i="4"/>
  <c r="F195" i="4"/>
  <c r="N194" i="4"/>
  <c r="J194" i="4"/>
  <c r="G194" i="4"/>
  <c r="F194" i="4"/>
  <c r="J193" i="4"/>
  <c r="G193" i="4"/>
  <c r="F193" i="4"/>
  <c r="N192" i="4"/>
  <c r="G192" i="4"/>
  <c r="F192" i="4"/>
  <c r="G191" i="4"/>
  <c r="F191" i="4"/>
  <c r="N190" i="4"/>
  <c r="G190" i="4"/>
  <c r="F190" i="4"/>
  <c r="N189" i="4"/>
  <c r="G189" i="4"/>
  <c r="I189" i="4" s="1"/>
  <c r="K189" i="4" s="1"/>
  <c r="M189" i="4" s="1"/>
  <c r="O189" i="4" s="1"/>
  <c r="P189" i="4" s="1"/>
  <c r="F189" i="4"/>
  <c r="N188" i="4"/>
  <c r="G188" i="4"/>
  <c r="I188" i="4" s="1"/>
  <c r="K188" i="4" s="1"/>
  <c r="M188" i="4" s="1"/>
  <c r="F188" i="4"/>
  <c r="G187" i="4"/>
  <c r="F187" i="4"/>
  <c r="N186" i="4"/>
  <c r="G186" i="4"/>
  <c r="F186" i="4"/>
  <c r="N185" i="4"/>
  <c r="G185" i="4"/>
  <c r="I185" i="4" s="1"/>
  <c r="K185" i="4" s="1"/>
  <c r="M185" i="4" s="1"/>
  <c r="F185" i="4"/>
  <c r="G184" i="4"/>
  <c r="F184" i="4"/>
  <c r="N183" i="4"/>
  <c r="G183" i="4"/>
  <c r="F183" i="4"/>
  <c r="N182" i="4"/>
  <c r="G182" i="4"/>
  <c r="I182" i="4" s="1"/>
  <c r="K182" i="4" s="1"/>
  <c r="M182" i="4" s="1"/>
  <c r="F182" i="4"/>
  <c r="G181" i="4"/>
  <c r="F181" i="4"/>
  <c r="G180" i="4"/>
  <c r="I180" i="4" s="1"/>
  <c r="K180" i="4" s="1"/>
  <c r="M180" i="4" s="1"/>
  <c r="F180" i="4"/>
  <c r="G179" i="4"/>
  <c r="F179" i="4"/>
  <c r="G178" i="4"/>
  <c r="F178" i="4"/>
  <c r="N177" i="4"/>
  <c r="G177" i="4"/>
  <c r="F177" i="4"/>
  <c r="G176" i="4"/>
  <c r="F176" i="4"/>
  <c r="G175" i="4"/>
  <c r="F175" i="4"/>
  <c r="N174" i="4"/>
  <c r="G174" i="4"/>
  <c r="I174" i="4" s="1"/>
  <c r="F174" i="4"/>
  <c r="G173" i="4"/>
  <c r="F173" i="4"/>
  <c r="G167" i="4"/>
  <c r="F167" i="4"/>
  <c r="I167" i="4" s="1"/>
  <c r="K167" i="4" s="1"/>
  <c r="M167" i="4" s="1"/>
  <c r="G172" i="4"/>
  <c r="F172" i="4"/>
  <c r="G171" i="4"/>
  <c r="F171" i="4"/>
  <c r="G170" i="4"/>
  <c r="F170" i="4"/>
  <c r="G169" i="4"/>
  <c r="F169" i="4"/>
  <c r="N168" i="4"/>
  <c r="G168" i="4"/>
  <c r="F168" i="4"/>
  <c r="N166" i="4"/>
  <c r="G166" i="4"/>
  <c r="I166" i="4" s="1"/>
  <c r="K166" i="4" s="1"/>
  <c r="M166" i="4" s="1"/>
  <c r="F166" i="4"/>
  <c r="G165" i="4"/>
  <c r="F165" i="4"/>
  <c r="G164" i="4"/>
  <c r="F164" i="4"/>
  <c r="N163" i="4"/>
  <c r="G163" i="4"/>
  <c r="F163" i="4"/>
  <c r="G162" i="4"/>
  <c r="I162" i="4" s="1"/>
  <c r="K162" i="4" s="1"/>
  <c r="M162" i="4" s="1"/>
  <c r="F162" i="4"/>
  <c r="G161" i="4"/>
  <c r="N160" i="4"/>
  <c r="G160" i="4"/>
  <c r="I160" i="4" s="1"/>
  <c r="G159" i="4"/>
  <c r="N158" i="4"/>
  <c r="G158" i="4"/>
  <c r="I158" i="4" s="1"/>
  <c r="G157" i="4"/>
  <c r="N156" i="4"/>
  <c r="O156" i="4" s="1"/>
  <c r="P156" i="4" s="1"/>
  <c r="G156" i="4"/>
  <c r="I156" i="4" s="1"/>
  <c r="G155" i="4"/>
  <c r="N154" i="4"/>
  <c r="G154" i="4"/>
  <c r="I154" i="4" s="1"/>
  <c r="K154" i="4" s="1"/>
  <c r="M154" i="4" s="1"/>
  <c r="G153" i="4"/>
  <c r="N152" i="4"/>
  <c r="J142" i="4"/>
  <c r="G152" i="4"/>
  <c r="G151" i="4"/>
  <c r="I151" i="4" s="1"/>
  <c r="G150" i="4"/>
  <c r="I150" i="4" s="1"/>
  <c r="G149" i="4"/>
  <c r="G148" i="4"/>
  <c r="I148" i="4" s="1"/>
  <c r="N147" i="4"/>
  <c r="G147" i="4"/>
  <c r="G146" i="4"/>
  <c r="I146" i="4" s="1"/>
  <c r="N144" i="4"/>
  <c r="G142" i="4"/>
  <c r="F142" i="4"/>
  <c r="N141" i="4"/>
  <c r="G141" i="4"/>
  <c r="F141" i="4"/>
  <c r="N140" i="4"/>
  <c r="G140" i="4"/>
  <c r="I140" i="4" s="1"/>
  <c r="F140" i="4"/>
  <c r="G139" i="4"/>
  <c r="F139" i="4"/>
  <c r="N138" i="4"/>
  <c r="G138" i="4"/>
  <c r="F138" i="4"/>
  <c r="G129" i="4"/>
  <c r="F129" i="4"/>
  <c r="G127" i="4"/>
  <c r="F127" i="4"/>
  <c r="G137" i="4"/>
  <c r="F137" i="4"/>
  <c r="G136" i="4"/>
  <c r="I136" i="4" s="1"/>
  <c r="K136" i="4" s="1"/>
  <c r="M136" i="4" s="1"/>
  <c r="F136" i="4"/>
  <c r="F133" i="4"/>
  <c r="G133" i="4"/>
  <c r="F134" i="4"/>
  <c r="G134" i="4"/>
  <c r="G131" i="4"/>
  <c r="F131" i="4"/>
  <c r="G130" i="4"/>
  <c r="F130" i="4"/>
  <c r="G126" i="4"/>
  <c r="F126" i="4"/>
  <c r="N125" i="4"/>
  <c r="G125" i="4"/>
  <c r="F125" i="4"/>
  <c r="G124" i="4"/>
  <c r="F124" i="4"/>
  <c r="G123" i="4"/>
  <c r="F123" i="4"/>
  <c r="N122" i="4"/>
  <c r="G122" i="4"/>
  <c r="F122" i="4"/>
  <c r="G121" i="4"/>
  <c r="F121" i="4"/>
  <c r="G120" i="4"/>
  <c r="F120" i="4"/>
  <c r="N119" i="4"/>
  <c r="G119" i="4"/>
  <c r="F119" i="4"/>
  <c r="N118" i="4"/>
  <c r="G118" i="4"/>
  <c r="I118" i="4" s="1"/>
  <c r="K118" i="4" s="1"/>
  <c r="M118" i="4" s="1"/>
  <c r="G117" i="4"/>
  <c r="I117" i="4" s="1"/>
  <c r="K117" i="4" s="1"/>
  <c r="M117" i="4" s="1"/>
  <c r="N116" i="4"/>
  <c r="G116" i="4"/>
  <c r="G115" i="4"/>
  <c r="I115" i="4" s="1"/>
  <c r="N114" i="4"/>
  <c r="G114" i="4"/>
  <c r="I114" i="4" s="1"/>
  <c r="G113" i="4"/>
  <c r="N112" i="4"/>
  <c r="G112" i="4"/>
  <c r="G111" i="4"/>
  <c r="I111" i="4" s="1"/>
  <c r="N110" i="4"/>
  <c r="G110" i="4"/>
  <c r="I110" i="4" s="1"/>
  <c r="G109" i="4"/>
  <c r="N108" i="4"/>
  <c r="G108" i="4"/>
  <c r="G107" i="4"/>
  <c r="I107" i="4" s="1"/>
  <c r="N106" i="4"/>
  <c r="G106" i="4"/>
  <c r="G105" i="4"/>
  <c r="N104" i="4"/>
  <c r="G104" i="4"/>
  <c r="G103" i="4"/>
  <c r="I103" i="4" s="1"/>
  <c r="N102" i="4"/>
  <c r="G102" i="4"/>
  <c r="I102" i="4" s="1"/>
  <c r="K102" i="4" s="1"/>
  <c r="M102" i="4" s="1"/>
  <c r="G101" i="4"/>
  <c r="N100" i="4"/>
  <c r="G100" i="4"/>
  <c r="G99" i="4"/>
  <c r="I99" i="4" s="1"/>
  <c r="N98" i="4"/>
  <c r="G98" i="4"/>
  <c r="G97" i="4"/>
  <c r="N96" i="4"/>
  <c r="G96" i="4"/>
  <c r="G95" i="4"/>
  <c r="N94" i="4"/>
  <c r="G94" i="4"/>
  <c r="G93" i="4"/>
  <c r="I93" i="4" s="1"/>
  <c r="G92" i="4"/>
  <c r="G91" i="4"/>
  <c r="G90" i="4"/>
  <c r="I90" i="4" s="1"/>
  <c r="N89" i="4"/>
  <c r="G89" i="4"/>
  <c r="I89" i="4" s="1"/>
  <c r="G88" i="4"/>
  <c r="N87" i="4"/>
  <c r="G87" i="4"/>
  <c r="G86" i="4"/>
  <c r="N85" i="4"/>
  <c r="G85" i="4"/>
  <c r="I85" i="4" s="1"/>
  <c r="G84" i="4"/>
  <c r="G83" i="4"/>
  <c r="G82" i="4"/>
  <c r="I82" i="4" s="1"/>
  <c r="K82" i="4" s="1"/>
  <c r="M82" i="4" s="1"/>
  <c r="G81" i="4"/>
  <c r="G80" i="4"/>
  <c r="N79" i="4"/>
  <c r="G79" i="4"/>
  <c r="I79" i="4" s="1"/>
  <c r="G78" i="4"/>
  <c r="I78" i="4" s="1"/>
  <c r="K78" i="4" s="1"/>
  <c r="M78" i="4" s="1"/>
  <c r="N77" i="4"/>
  <c r="G76" i="4"/>
  <c r="N75" i="4"/>
  <c r="G75" i="4"/>
  <c r="I75" i="4" s="1"/>
  <c r="G74" i="4"/>
  <c r="N73" i="4"/>
  <c r="O73" i="4" s="1"/>
  <c r="P73" i="4" s="1"/>
  <c r="G73" i="4"/>
  <c r="G72" i="4"/>
  <c r="N71" i="4"/>
  <c r="G71" i="4"/>
  <c r="G70" i="4"/>
  <c r="N69" i="4"/>
  <c r="G69" i="4"/>
  <c r="G68" i="4"/>
  <c r="N67" i="4"/>
  <c r="G67" i="4"/>
  <c r="G65" i="4"/>
  <c r="I65" i="4" s="1"/>
  <c r="K65" i="4" s="1"/>
  <c r="M65" i="4" s="1"/>
  <c r="G64" i="4"/>
  <c r="N63" i="4"/>
  <c r="G63" i="4"/>
  <c r="G62" i="4"/>
  <c r="N61" i="4"/>
  <c r="G61" i="4"/>
  <c r="I61" i="4" s="1"/>
  <c r="G60" i="4"/>
  <c r="I60" i="4" s="1"/>
  <c r="K60" i="4" s="1"/>
  <c r="M60" i="4" s="1"/>
  <c r="N59" i="4"/>
  <c r="G59" i="4"/>
  <c r="G58" i="4"/>
  <c r="N57" i="4"/>
  <c r="G57" i="4"/>
  <c r="G56" i="4"/>
  <c r="N55" i="4"/>
  <c r="G55" i="4"/>
  <c r="G54" i="4"/>
  <c r="N53" i="4"/>
  <c r="G53" i="4"/>
  <c r="N49" i="4"/>
  <c r="G49" i="4"/>
  <c r="I49" i="4" s="1"/>
  <c r="G51" i="4"/>
  <c r="G52" i="4"/>
  <c r="N48" i="4"/>
  <c r="G48" i="4"/>
  <c r="G47" i="4"/>
  <c r="G46" i="4"/>
  <c r="N46" i="4"/>
  <c r="G45" i="4"/>
  <c r="N44" i="4"/>
  <c r="G44" i="4"/>
  <c r="G43" i="4"/>
  <c r="N42" i="4"/>
  <c r="G42" i="4"/>
  <c r="G41" i="4"/>
  <c r="N40" i="4"/>
  <c r="N39" i="4"/>
  <c r="G40" i="4"/>
  <c r="G39" i="4"/>
  <c r="N37" i="4"/>
  <c r="G37" i="4"/>
  <c r="G36" i="4"/>
  <c r="N35" i="4"/>
  <c r="G35" i="4"/>
  <c r="G34" i="4"/>
  <c r="N33" i="4"/>
  <c r="G33" i="4"/>
  <c r="G32" i="4"/>
  <c r="N31" i="4"/>
  <c r="G31" i="4"/>
  <c r="G29" i="4"/>
  <c r="N28" i="4"/>
  <c r="G28" i="4"/>
  <c r="I28" i="4" s="1"/>
  <c r="K28" i="4" s="1"/>
  <c r="M28" i="4" s="1"/>
  <c r="G27" i="4"/>
  <c r="N26" i="4"/>
  <c r="G26" i="4"/>
  <c r="I26" i="4" s="1"/>
  <c r="K26" i="4" s="1"/>
  <c r="M26" i="4" s="1"/>
  <c r="G25" i="4"/>
  <c r="N24" i="4"/>
  <c r="G24" i="4"/>
  <c r="I24" i="4" s="1"/>
  <c r="K24" i="4" s="1"/>
  <c r="M24" i="4" s="1"/>
  <c r="G23" i="4"/>
  <c r="N22" i="4"/>
  <c r="G22" i="4"/>
  <c r="I22" i="4" s="1"/>
  <c r="K22" i="4" s="1"/>
  <c r="M22" i="4" s="1"/>
  <c r="G21" i="4"/>
  <c r="N20" i="4"/>
  <c r="G20" i="4"/>
  <c r="I20" i="4" s="1"/>
  <c r="G19" i="4"/>
  <c r="N18" i="4"/>
  <c r="G18" i="4"/>
  <c r="I18" i="4" s="1"/>
  <c r="G17" i="4"/>
  <c r="N16" i="4"/>
  <c r="G16" i="4"/>
  <c r="I16" i="4" s="1"/>
  <c r="G15" i="4"/>
  <c r="N14" i="4"/>
  <c r="G14" i="4"/>
  <c r="I14" i="4" s="1"/>
  <c r="G13" i="4"/>
  <c r="I13" i="4" s="1"/>
  <c r="K13" i="4" s="1"/>
  <c r="M13" i="4" s="1"/>
  <c r="N11" i="4"/>
  <c r="G11" i="4"/>
  <c r="G10" i="4"/>
  <c r="F10" i="4"/>
  <c r="N9" i="4"/>
  <c r="N135" i="4" s="1"/>
  <c r="G9" i="4"/>
  <c r="I9" i="4" s="1"/>
  <c r="K9" i="4" s="1"/>
  <c r="M9" i="4" s="1"/>
  <c r="F9" i="4"/>
  <c r="N8" i="4"/>
  <c r="N134" i="4" s="1"/>
  <c r="G8" i="4"/>
  <c r="F8" i="4"/>
  <c r="G7" i="4"/>
  <c r="F7" i="4"/>
  <c r="G6" i="4"/>
  <c r="F6" i="4"/>
  <c r="X6" i="4"/>
  <c r="Y6" i="4" s="1"/>
  <c r="B47" i="2"/>
  <c r="E346" i="2"/>
  <c r="O46" i="2"/>
  <c r="P46" i="2" s="1"/>
  <c r="B46" i="2"/>
  <c r="O45" i="2"/>
  <c r="P45" i="2" s="1"/>
  <c r="B45" i="2"/>
  <c r="J7" i="4" s="1"/>
  <c r="O44" i="2"/>
  <c r="P44" i="2" s="1"/>
  <c r="B44" i="2"/>
  <c r="O43" i="2"/>
  <c r="P43" i="2" s="1"/>
  <c r="B43" i="2"/>
  <c r="O42" i="2"/>
  <c r="P42" i="2" s="1"/>
  <c r="O41" i="2"/>
  <c r="P41" i="2" s="1"/>
  <c r="O40" i="2"/>
  <c r="P40" i="2" s="1"/>
  <c r="O39" i="2"/>
  <c r="P39" i="2" s="1"/>
  <c r="O38" i="2"/>
  <c r="P38" i="2" s="1"/>
  <c r="O37" i="2"/>
  <c r="P37" i="2" s="1"/>
  <c r="O36" i="2"/>
  <c r="P36" i="2" s="1"/>
  <c r="B36" i="2"/>
  <c r="B35" i="2"/>
  <c r="B34" i="2"/>
  <c r="B33" i="2"/>
  <c r="B32" i="2"/>
  <c r="B31" i="2"/>
  <c r="B30" i="2"/>
  <c r="B29" i="2"/>
  <c r="B28" i="2"/>
  <c r="B27" i="2"/>
  <c r="B26" i="2"/>
  <c r="N24" i="2"/>
  <c r="B25" i="2"/>
  <c r="M24" i="2"/>
  <c r="N23" i="2"/>
  <c r="B24" i="2" s="1"/>
  <c r="M23" i="2"/>
  <c r="N22" i="2"/>
  <c r="B23" i="2" s="1"/>
  <c r="M22" i="2"/>
  <c r="N21" i="2"/>
  <c r="B22" i="2" s="1"/>
  <c r="M21" i="2"/>
  <c r="N20" i="2"/>
  <c r="B21" i="2"/>
  <c r="M20" i="2"/>
  <c r="N19" i="2"/>
  <c r="B20" i="2" s="1"/>
  <c r="M19" i="2"/>
  <c r="N18" i="2"/>
  <c r="B19" i="2" s="1"/>
  <c r="M18" i="2"/>
  <c r="N17" i="2"/>
  <c r="B18" i="2" s="1"/>
  <c r="M17" i="2"/>
  <c r="N16" i="2"/>
  <c r="B17" i="2"/>
  <c r="M16" i="2"/>
  <c r="N15" i="2"/>
  <c r="B16" i="2" s="1"/>
  <c r="M15" i="2"/>
  <c r="N14" i="2"/>
  <c r="B15" i="2" s="1"/>
  <c r="M14" i="2"/>
  <c r="N13" i="2"/>
  <c r="B14" i="2" s="1"/>
  <c r="M13" i="2"/>
  <c r="N12" i="2"/>
  <c r="B13" i="2"/>
  <c r="I200" i="4"/>
  <c r="N204" i="4"/>
  <c r="N193" i="4"/>
  <c r="N202" i="4"/>
  <c r="N195" i="4"/>
  <c r="N201" i="4"/>
  <c r="N198" i="4"/>
  <c r="N10" i="4" l="1"/>
  <c r="N13" i="4"/>
  <c r="O13" i="4" s="1"/>
  <c r="P13" i="4" s="1"/>
  <c r="N15" i="4"/>
  <c r="N17" i="4"/>
  <c r="N19" i="4"/>
  <c r="N21" i="4"/>
  <c r="O21" i="4" s="1"/>
  <c r="P21" i="4" s="1"/>
  <c r="N23" i="4"/>
  <c r="N25" i="4"/>
  <c r="N27" i="4"/>
  <c r="N29" i="4"/>
  <c r="N32" i="4"/>
  <c r="N34" i="4"/>
  <c r="N36" i="4"/>
  <c r="N41" i="4"/>
  <c r="N43" i="4"/>
  <c r="N45" i="4"/>
  <c r="N47" i="4"/>
  <c r="N68" i="4"/>
  <c r="N70" i="4"/>
  <c r="N72" i="4"/>
  <c r="N74" i="4"/>
  <c r="N76" i="4"/>
  <c r="N81" i="4"/>
  <c r="I87" i="4"/>
  <c r="K89" i="4"/>
  <c r="M89" i="4" s="1"/>
  <c r="N91" i="4"/>
  <c r="I96" i="4"/>
  <c r="I108" i="4"/>
  <c r="K110" i="4"/>
  <c r="M110" i="4" s="1"/>
  <c r="I112" i="4"/>
  <c r="K112" i="4" s="1"/>
  <c r="M112" i="4" s="1"/>
  <c r="O112" i="4" s="1"/>
  <c r="P112" i="4" s="1"/>
  <c r="K114" i="4"/>
  <c r="M114" i="4" s="1"/>
  <c r="O114" i="4" s="1"/>
  <c r="P114" i="4" s="1"/>
  <c r="N120" i="4"/>
  <c r="N126" i="4"/>
  <c r="N127" i="4"/>
  <c r="N142" i="4"/>
  <c r="I147" i="4"/>
  <c r="K147" i="4" s="1"/>
  <c r="M147" i="4" s="1"/>
  <c r="N149" i="4"/>
  <c r="I152" i="4"/>
  <c r="K152" i="4" s="1"/>
  <c r="M152" i="4" s="1"/>
  <c r="O152" i="4" s="1"/>
  <c r="P152" i="4" s="1"/>
  <c r="N153" i="4"/>
  <c r="N155" i="4"/>
  <c r="N157" i="4"/>
  <c r="N159" i="4"/>
  <c r="N161" i="4"/>
  <c r="N169" i="4"/>
  <c r="N172" i="4"/>
  <c r="N167" i="4"/>
  <c r="O167" i="4" s="1"/>
  <c r="P167" i="4" s="1"/>
  <c r="N178" i="4"/>
  <c r="N196" i="4"/>
  <c r="N197" i="4"/>
  <c r="I97" i="4"/>
  <c r="K97" i="4" s="1"/>
  <c r="M97" i="4" s="1"/>
  <c r="I11" i="4"/>
  <c r="K11" i="4" s="1"/>
  <c r="M11" i="4" s="1"/>
  <c r="O11" i="4" s="1"/>
  <c r="P11" i="4" s="1"/>
  <c r="O24" i="4"/>
  <c r="P24" i="4" s="1"/>
  <c r="I37" i="4"/>
  <c r="I69" i="4"/>
  <c r="K69" i="4" s="1"/>
  <c r="M69" i="4" s="1"/>
  <c r="O69" i="4" s="1"/>
  <c r="P69" i="4" s="1"/>
  <c r="K75" i="4"/>
  <c r="M75" i="4" s="1"/>
  <c r="O75" i="4" s="1"/>
  <c r="P75" i="4" s="1"/>
  <c r="K140" i="4"/>
  <c r="M140" i="4" s="1"/>
  <c r="O166" i="4"/>
  <c r="P166" i="4" s="1"/>
  <c r="O182" i="4"/>
  <c r="P182" i="4" s="1"/>
  <c r="O185" i="4"/>
  <c r="P185" i="4" s="1"/>
  <c r="O188" i="4"/>
  <c r="P188" i="4" s="1"/>
  <c r="K12" i="4"/>
  <c r="M12" i="4" s="1"/>
  <c r="I77" i="4"/>
  <c r="N7" i="4"/>
  <c r="N133" i="4" s="1"/>
  <c r="I10" i="4"/>
  <c r="K10" i="4" s="1"/>
  <c r="M10" i="4" s="1"/>
  <c r="I15" i="4"/>
  <c r="K15" i="4" s="1"/>
  <c r="M15" i="4" s="1"/>
  <c r="I17" i="4"/>
  <c r="K17" i="4" s="1"/>
  <c r="M17" i="4" s="1"/>
  <c r="I19" i="4"/>
  <c r="K19" i="4" s="1"/>
  <c r="M19" i="4" s="1"/>
  <c r="I21" i="4"/>
  <c r="K21" i="4" s="1"/>
  <c r="M21" i="4" s="1"/>
  <c r="I23" i="4"/>
  <c r="K23" i="4" s="1"/>
  <c r="M23" i="4" s="1"/>
  <c r="I25" i="4"/>
  <c r="K25" i="4" s="1"/>
  <c r="M25" i="4" s="1"/>
  <c r="I27" i="4"/>
  <c r="K27" i="4" s="1"/>
  <c r="M27" i="4" s="1"/>
  <c r="I43" i="4"/>
  <c r="N52" i="4"/>
  <c r="N54" i="4"/>
  <c r="N56" i="4"/>
  <c r="N58" i="4"/>
  <c r="N60" i="4"/>
  <c r="O60" i="4" s="1"/>
  <c r="P60" i="4" s="1"/>
  <c r="N62" i="4"/>
  <c r="N64" i="4"/>
  <c r="I70" i="4"/>
  <c r="K70" i="4" s="1"/>
  <c r="M70" i="4" s="1"/>
  <c r="O70" i="4" s="1"/>
  <c r="P70" i="4" s="1"/>
  <c r="I74" i="4"/>
  <c r="K74" i="4" s="1"/>
  <c r="M74" i="4" s="1"/>
  <c r="O74" i="4" s="1"/>
  <c r="P74" i="4" s="1"/>
  <c r="N78" i="4"/>
  <c r="I81" i="4"/>
  <c r="N83" i="4"/>
  <c r="N88" i="4"/>
  <c r="N93" i="4"/>
  <c r="N95" i="4"/>
  <c r="N97" i="4"/>
  <c r="N99" i="4"/>
  <c r="N101" i="4"/>
  <c r="N103" i="4"/>
  <c r="N105" i="4"/>
  <c r="N107" i="4"/>
  <c r="N109" i="4"/>
  <c r="N111" i="4"/>
  <c r="N113" i="4"/>
  <c r="N115" i="4"/>
  <c r="N117" i="4"/>
  <c r="O117" i="4" s="1"/>
  <c r="P117" i="4" s="1"/>
  <c r="N121" i="4"/>
  <c r="N136" i="4"/>
  <c r="O136" i="4" s="1"/>
  <c r="P136" i="4" s="1"/>
  <c r="N146" i="4"/>
  <c r="I149" i="4"/>
  <c r="N151" i="4"/>
  <c r="I153" i="4"/>
  <c r="K153" i="4" s="1"/>
  <c r="M153" i="4" s="1"/>
  <c r="O153" i="4" s="1"/>
  <c r="P153" i="4" s="1"/>
  <c r="I155" i="4"/>
  <c r="K155" i="4" s="1"/>
  <c r="M155" i="4" s="1"/>
  <c r="O155" i="4" s="1"/>
  <c r="P155" i="4" s="1"/>
  <c r="I157" i="4"/>
  <c r="I159" i="4"/>
  <c r="I161" i="4"/>
  <c r="K161" i="4" s="1"/>
  <c r="M161" i="4" s="1"/>
  <c r="O161" i="4" s="1"/>
  <c r="P161" i="4" s="1"/>
  <c r="N162" i="4"/>
  <c r="O162" i="4" s="1"/>
  <c r="P162" i="4" s="1"/>
  <c r="N165" i="4"/>
  <c r="N170" i="4"/>
  <c r="N173" i="4"/>
  <c r="N179" i="4"/>
  <c r="I194" i="4"/>
  <c r="K194" i="4" s="1"/>
  <c r="M194" i="4" s="1"/>
  <c r="O194" i="4" s="1"/>
  <c r="P194" i="4" s="1"/>
  <c r="N199" i="4"/>
  <c r="I50" i="4"/>
  <c r="K50" i="4" s="1"/>
  <c r="I94" i="4"/>
  <c r="K94" i="4" s="1"/>
  <c r="M94" i="4" s="1"/>
  <c r="O94" i="4" s="1"/>
  <c r="P94" i="4" s="1"/>
  <c r="I135" i="4"/>
  <c r="I130" i="4"/>
  <c r="K130" i="4" s="1"/>
  <c r="M130" i="4" s="1"/>
  <c r="I129" i="4"/>
  <c r="I127" i="4"/>
  <c r="K127" i="4" s="1"/>
  <c r="M127" i="4" s="1"/>
  <c r="O127" i="4" s="1"/>
  <c r="P127" i="4" s="1"/>
  <c r="I120" i="4"/>
  <c r="K120" i="4" s="1"/>
  <c r="M120" i="4" s="1"/>
  <c r="O120" i="4" s="1"/>
  <c r="P120" i="4" s="1"/>
  <c r="I119" i="4"/>
  <c r="K119" i="4" s="1"/>
  <c r="M119" i="4" s="1"/>
  <c r="O119" i="4" s="1"/>
  <c r="P119" i="4" s="1"/>
  <c r="I116" i="4"/>
  <c r="I113" i="4"/>
  <c r="I109" i="4"/>
  <c r="K109" i="4" s="1"/>
  <c r="M109" i="4" s="1"/>
  <c r="O109" i="4" s="1"/>
  <c r="P109" i="4" s="1"/>
  <c r="I106" i="4"/>
  <c r="K106" i="4" s="1"/>
  <c r="M106" i="4" s="1"/>
  <c r="I105" i="4"/>
  <c r="I104" i="4"/>
  <c r="K104" i="4" s="1"/>
  <c r="M104" i="4" s="1"/>
  <c r="O104" i="4" s="1"/>
  <c r="P104" i="4" s="1"/>
  <c r="I101" i="4"/>
  <c r="I100" i="4"/>
  <c r="I98" i="4"/>
  <c r="K98" i="4" s="1"/>
  <c r="M98" i="4" s="1"/>
  <c r="O98" i="4" s="1"/>
  <c r="P98" i="4" s="1"/>
  <c r="I95" i="4"/>
  <c r="K95" i="4" s="1"/>
  <c r="M95" i="4" s="1"/>
  <c r="O95" i="4" s="1"/>
  <c r="P95" i="4" s="1"/>
  <c r="I92" i="4"/>
  <c r="I91" i="4"/>
  <c r="I88" i="4"/>
  <c r="I86" i="4"/>
  <c r="I84" i="4"/>
  <c r="I83" i="4"/>
  <c r="I80" i="4"/>
  <c r="K80" i="4" s="1"/>
  <c r="M80" i="4" s="1"/>
  <c r="I76" i="4"/>
  <c r="I6" i="4"/>
  <c r="K6" i="4" s="1"/>
  <c r="M6" i="4" s="1"/>
  <c r="I122" i="4"/>
  <c r="K122" i="4" s="1"/>
  <c r="M122" i="4" s="1"/>
  <c r="O122" i="4" s="1"/>
  <c r="P122" i="4" s="1"/>
  <c r="I141" i="4"/>
  <c r="K141" i="4" s="1"/>
  <c r="M141" i="4" s="1"/>
  <c r="O141" i="4" s="1"/>
  <c r="P141" i="4" s="1"/>
  <c r="I168" i="4"/>
  <c r="K168" i="4" s="1"/>
  <c r="M168" i="4" s="1"/>
  <c r="O168" i="4" s="1"/>
  <c r="P168" i="4" s="1"/>
  <c r="I175" i="4"/>
  <c r="K175" i="4" s="1"/>
  <c r="M175" i="4" s="1"/>
  <c r="I177" i="4"/>
  <c r="K177" i="4" s="1"/>
  <c r="M177" i="4" s="1"/>
  <c r="O177" i="4" s="1"/>
  <c r="P177" i="4" s="1"/>
  <c r="I183" i="4"/>
  <c r="K183" i="4" s="1"/>
  <c r="M183" i="4" s="1"/>
  <c r="O183" i="4" s="1"/>
  <c r="P183" i="4" s="1"/>
  <c r="I186" i="4"/>
  <c r="K186" i="4" s="1"/>
  <c r="M186" i="4" s="1"/>
  <c r="O186" i="4" s="1"/>
  <c r="P186" i="4" s="1"/>
  <c r="I197" i="4"/>
  <c r="K197" i="4" s="1"/>
  <c r="M197" i="4" s="1"/>
  <c r="O197" i="4" s="1"/>
  <c r="P197" i="4" s="1"/>
  <c r="I30" i="4"/>
  <c r="I8" i="4"/>
  <c r="K8" i="4" s="1"/>
  <c r="M8" i="4" s="1"/>
  <c r="O8" i="4" s="1"/>
  <c r="P8" i="4" s="1"/>
  <c r="I7" i="4"/>
  <c r="K7" i="4" s="1"/>
  <c r="M7" i="4" s="1"/>
  <c r="O7" i="4" s="1"/>
  <c r="P7" i="4" s="1"/>
  <c r="I123" i="4"/>
  <c r="K123" i="4" s="1"/>
  <c r="M123" i="4" s="1"/>
  <c r="I125" i="4"/>
  <c r="K125" i="4" s="1"/>
  <c r="M125" i="4" s="1"/>
  <c r="O125" i="4" s="1"/>
  <c r="P125" i="4" s="1"/>
  <c r="I131" i="4"/>
  <c r="K131" i="4" s="1"/>
  <c r="M131" i="4" s="1"/>
  <c r="O131" i="4" s="1"/>
  <c r="P131" i="4" s="1"/>
  <c r="I142" i="4"/>
  <c r="K142" i="4" s="1"/>
  <c r="M142" i="4" s="1"/>
  <c r="O142" i="4" s="1"/>
  <c r="P142" i="4" s="1"/>
  <c r="I169" i="4"/>
  <c r="K169" i="4" s="1"/>
  <c r="M169" i="4" s="1"/>
  <c r="O169" i="4" s="1"/>
  <c r="P169" i="4" s="1"/>
  <c r="I172" i="4"/>
  <c r="K172" i="4" s="1"/>
  <c r="M172" i="4" s="1"/>
  <c r="I178" i="4"/>
  <c r="K178" i="4" s="1"/>
  <c r="M178" i="4" s="1"/>
  <c r="O178" i="4" s="1"/>
  <c r="P178" i="4" s="1"/>
  <c r="I184" i="4"/>
  <c r="K184" i="4" s="1"/>
  <c r="M184" i="4" s="1"/>
  <c r="O184" i="4" s="1"/>
  <c r="P184" i="4" s="1"/>
  <c r="I187" i="4"/>
  <c r="K187" i="4" s="1"/>
  <c r="M187" i="4" s="1"/>
  <c r="I192" i="4"/>
  <c r="K192" i="4" s="1"/>
  <c r="M192" i="4" s="1"/>
  <c r="O192" i="4" s="1"/>
  <c r="P192" i="4" s="1"/>
  <c r="I202" i="4"/>
  <c r="K202" i="4" s="1"/>
  <c r="M202" i="4" s="1"/>
  <c r="O202" i="4" s="1"/>
  <c r="P202" i="4" s="1"/>
  <c r="I204" i="4"/>
  <c r="K204" i="4" s="1"/>
  <c r="M204" i="4" s="1"/>
  <c r="O204" i="4" s="1"/>
  <c r="P204" i="4" s="1"/>
  <c r="I132" i="4"/>
  <c r="K132" i="4" s="1"/>
  <c r="M132" i="4" s="1"/>
  <c r="I144" i="4"/>
  <c r="I126" i="4"/>
  <c r="K126" i="4" s="1"/>
  <c r="M126" i="4" s="1"/>
  <c r="O126" i="4" s="1"/>
  <c r="P126" i="4" s="1"/>
  <c r="I139" i="4"/>
  <c r="K139" i="4" s="1"/>
  <c r="M139" i="4" s="1"/>
  <c r="I165" i="4"/>
  <c r="K165" i="4" s="1"/>
  <c r="M165" i="4" s="1"/>
  <c r="O165" i="4" s="1"/>
  <c r="P165" i="4" s="1"/>
  <c r="I170" i="4"/>
  <c r="K170" i="4" s="1"/>
  <c r="M170" i="4" s="1"/>
  <c r="I179" i="4"/>
  <c r="K179" i="4" s="1"/>
  <c r="M179" i="4" s="1"/>
  <c r="I193" i="4"/>
  <c r="K193" i="4" s="1"/>
  <c r="M193" i="4" s="1"/>
  <c r="O193" i="4" s="1"/>
  <c r="P193" i="4" s="1"/>
  <c r="I128" i="4"/>
  <c r="K128" i="4" s="1"/>
  <c r="M128" i="4" s="1"/>
  <c r="O28" i="4"/>
  <c r="P28" i="4" s="1"/>
  <c r="K199" i="4"/>
  <c r="M199" i="4" s="1"/>
  <c r="I203" i="4"/>
  <c r="K203" i="4" s="1"/>
  <c r="M203" i="4" s="1"/>
  <c r="O203" i="4" s="1"/>
  <c r="P203" i="4" s="1"/>
  <c r="I143" i="4"/>
  <c r="O10" i="4"/>
  <c r="P10" i="4" s="1"/>
  <c r="O25" i="4"/>
  <c r="P25" i="4" s="1"/>
  <c r="O27" i="4"/>
  <c r="P27" i="4" s="1"/>
  <c r="O78" i="4"/>
  <c r="P78" i="4" s="1"/>
  <c r="I134" i="4"/>
  <c r="K134" i="4" s="1"/>
  <c r="M134" i="4" s="1"/>
  <c r="O134" i="4" s="1"/>
  <c r="P134" i="4" s="1"/>
  <c r="I137" i="4"/>
  <c r="K137" i="4" s="1"/>
  <c r="M137" i="4" s="1"/>
  <c r="O154" i="4"/>
  <c r="P154" i="4" s="1"/>
  <c r="I163" i="4"/>
  <c r="K163" i="4" s="1"/>
  <c r="M163" i="4" s="1"/>
  <c r="O163" i="4" s="1"/>
  <c r="P163" i="4" s="1"/>
  <c r="I171" i="4"/>
  <c r="K171" i="4" s="1"/>
  <c r="M171" i="4" s="1"/>
  <c r="I190" i="4"/>
  <c r="K190" i="4" s="1"/>
  <c r="M190" i="4" s="1"/>
  <c r="O190" i="4" s="1"/>
  <c r="P190" i="4" s="1"/>
  <c r="I121" i="4"/>
  <c r="K121" i="4" s="1"/>
  <c r="M121" i="4" s="1"/>
  <c r="O121" i="4" s="1"/>
  <c r="P121" i="4" s="1"/>
  <c r="I124" i="4"/>
  <c r="K124" i="4" s="1"/>
  <c r="M124" i="4" s="1"/>
  <c r="I133" i="4"/>
  <c r="K133" i="4" s="1"/>
  <c r="M133" i="4" s="1"/>
  <c r="O133" i="4" s="1"/>
  <c r="P133" i="4" s="1"/>
  <c r="I138" i="4"/>
  <c r="K138" i="4" s="1"/>
  <c r="M138" i="4" s="1"/>
  <c r="I164" i="4"/>
  <c r="K164" i="4" s="1"/>
  <c r="M164" i="4" s="1"/>
  <c r="I173" i="4"/>
  <c r="K173" i="4" s="1"/>
  <c r="M173" i="4" s="1"/>
  <c r="O173" i="4" s="1"/>
  <c r="P173" i="4" s="1"/>
  <c r="I176" i="4"/>
  <c r="K176" i="4" s="1"/>
  <c r="M176" i="4" s="1"/>
  <c r="I181" i="4"/>
  <c r="I191" i="4"/>
  <c r="K191" i="4" s="1"/>
  <c r="M191" i="4" s="1"/>
  <c r="I195" i="4"/>
  <c r="I201" i="4"/>
  <c r="K201" i="4" s="1"/>
  <c r="M201" i="4" s="1"/>
  <c r="O201" i="4" s="1"/>
  <c r="P201" i="4" s="1"/>
  <c r="I35" i="4"/>
  <c r="I72" i="4"/>
  <c r="I71" i="4"/>
  <c r="I68" i="4"/>
  <c r="K68" i="4" s="1"/>
  <c r="M68" i="4" s="1"/>
  <c r="O68" i="4" s="1"/>
  <c r="P68" i="4" s="1"/>
  <c r="I67" i="4"/>
  <c r="I66" i="4"/>
  <c r="O22" i="4"/>
  <c r="P22" i="4" s="1"/>
  <c r="O97" i="4"/>
  <c r="P97" i="4" s="1"/>
  <c r="O102" i="4"/>
  <c r="P102" i="4" s="1"/>
  <c r="O106" i="4"/>
  <c r="P106" i="4" s="1"/>
  <c r="O110" i="4"/>
  <c r="P110" i="4" s="1"/>
  <c r="O118" i="4"/>
  <c r="P118" i="4" s="1"/>
  <c r="O170" i="4"/>
  <c r="P170" i="4" s="1"/>
  <c r="O172" i="4"/>
  <c r="P172" i="4" s="1"/>
  <c r="O199" i="4"/>
  <c r="P199" i="4" s="1"/>
  <c r="O12" i="4"/>
  <c r="P12" i="4" s="1"/>
  <c r="O9" i="4"/>
  <c r="P9" i="4" s="1"/>
  <c r="O15" i="4"/>
  <c r="P15" i="4" s="1"/>
  <c r="O17" i="4"/>
  <c r="P17" i="4" s="1"/>
  <c r="O19" i="4"/>
  <c r="P19" i="4" s="1"/>
  <c r="O23" i="4"/>
  <c r="P23" i="4" s="1"/>
  <c r="O89" i="4"/>
  <c r="P89" i="4" s="1"/>
  <c r="O138" i="4"/>
  <c r="P138" i="4" s="1"/>
  <c r="O140" i="4"/>
  <c r="P140" i="4" s="1"/>
  <c r="O147" i="4"/>
  <c r="P147" i="4" s="1"/>
  <c r="O26" i="4"/>
  <c r="P26" i="4" s="1"/>
  <c r="O65" i="4"/>
  <c r="I31" i="4"/>
  <c r="K31" i="4" s="1"/>
  <c r="M31" i="4" s="1"/>
  <c r="O31" i="4" s="1"/>
  <c r="P31" i="4" s="1"/>
  <c r="I46" i="4"/>
  <c r="I39" i="4"/>
  <c r="K39" i="4" s="1"/>
  <c r="M39" i="4" s="1"/>
  <c r="O39" i="4" s="1"/>
  <c r="P39" i="4" s="1"/>
  <c r="I36" i="4"/>
  <c r="K36" i="4" s="1"/>
  <c r="M36" i="4" s="1"/>
  <c r="O36" i="4" s="1"/>
  <c r="P36" i="4" s="1"/>
  <c r="I59" i="4"/>
  <c r="K59" i="4" s="1"/>
  <c r="M59" i="4" s="1"/>
  <c r="O59" i="4" s="1"/>
  <c r="P59" i="4" s="1"/>
  <c r="I55" i="4"/>
  <c r="I51" i="4"/>
  <c r="I47" i="4"/>
  <c r="K47" i="4" s="1"/>
  <c r="M47" i="4" s="1"/>
  <c r="O47" i="4" s="1"/>
  <c r="P47" i="4" s="1"/>
  <c r="N38" i="4"/>
  <c r="I63" i="4"/>
  <c r="K63" i="4" s="1"/>
  <c r="M63" i="4" s="1"/>
  <c r="O63" i="4" s="1"/>
  <c r="P63" i="4" s="1"/>
  <c r="N66" i="4"/>
  <c r="K83" i="4"/>
  <c r="M83" i="4" s="1"/>
  <c r="O83" i="4" s="1"/>
  <c r="P83" i="4" s="1"/>
  <c r="K86" i="4"/>
  <c r="M86" i="4" s="1"/>
  <c r="K92" i="4"/>
  <c r="M92" i="4" s="1"/>
  <c r="K99" i="4"/>
  <c r="M99" i="4" s="1"/>
  <c r="K103" i="4"/>
  <c r="M103" i="4" s="1"/>
  <c r="O103" i="4" s="1"/>
  <c r="P103" i="4" s="1"/>
  <c r="K107" i="4"/>
  <c r="M107" i="4" s="1"/>
  <c r="K111" i="4"/>
  <c r="M111" i="4" s="1"/>
  <c r="O111" i="4" s="1"/>
  <c r="P111" i="4" s="1"/>
  <c r="K115" i="4"/>
  <c r="M115" i="4" s="1"/>
  <c r="N129" i="4"/>
  <c r="N143" i="4"/>
  <c r="K151" i="4"/>
  <c r="M151" i="4" s="1"/>
  <c r="O151" i="4" s="1"/>
  <c r="P151" i="4" s="1"/>
  <c r="K159" i="4"/>
  <c r="M159" i="4" s="1"/>
  <c r="N80" i="4"/>
  <c r="N82" i="4"/>
  <c r="O82" i="4" s="1"/>
  <c r="P82" i="4" s="1"/>
  <c r="N84" i="4"/>
  <c r="N86" i="4"/>
  <c r="N90" i="4"/>
  <c r="N92" i="4"/>
  <c r="N123" i="4"/>
  <c r="N124" i="4"/>
  <c r="N137" i="4"/>
  <c r="N139" i="4"/>
  <c r="N145" i="4"/>
  <c r="N148" i="4"/>
  <c r="N150" i="4"/>
  <c r="N164" i="4"/>
  <c r="N171" i="4"/>
  <c r="N175" i="4"/>
  <c r="O175" i="4" s="1"/>
  <c r="P175" i="4" s="1"/>
  <c r="N176" i="4"/>
  <c r="N180" i="4"/>
  <c r="O180" i="4" s="1"/>
  <c r="P180" i="4" s="1"/>
  <c r="N181" i="4"/>
  <c r="N187" i="4"/>
  <c r="O187" i="4" s="1"/>
  <c r="P187" i="4" s="1"/>
  <c r="N191" i="4"/>
  <c r="O191" i="4" s="1"/>
  <c r="P191" i="4" s="1"/>
  <c r="K200" i="4"/>
  <c r="M200" i="4" s="1"/>
  <c r="O200" i="4" s="1"/>
  <c r="P200" i="4" s="1"/>
  <c r="N184" i="4"/>
  <c r="I32" i="4"/>
  <c r="K32" i="4" s="1"/>
  <c r="M32" i="4" s="1"/>
  <c r="O32" i="4" s="1"/>
  <c r="P32" i="4" s="1"/>
  <c r="I40" i="4"/>
  <c r="K40" i="4" s="1"/>
  <c r="M40" i="4" s="1"/>
  <c r="O40" i="4" s="1"/>
  <c r="P40" i="4" s="1"/>
  <c r="I56" i="4"/>
  <c r="K56" i="4" s="1"/>
  <c r="M56" i="4" s="1"/>
  <c r="O56" i="4" s="1"/>
  <c r="P56" i="4" s="1"/>
  <c r="I52" i="4"/>
  <c r="K52" i="4" s="1"/>
  <c r="M52" i="4" s="1"/>
  <c r="O52" i="4" s="1"/>
  <c r="P52" i="4" s="1"/>
  <c r="I48" i="4"/>
  <c r="K48" i="4" s="1"/>
  <c r="M48" i="4" s="1"/>
  <c r="O48" i="4" s="1"/>
  <c r="P48" i="4" s="1"/>
  <c r="N50" i="4"/>
  <c r="O50" i="4" s="1"/>
  <c r="P50" i="4" s="1"/>
  <c r="I64" i="4"/>
  <c r="K64" i="4" s="1"/>
  <c r="M64" i="4" s="1"/>
  <c r="O64" i="4" s="1"/>
  <c r="P64" i="4" s="1"/>
  <c r="K77" i="4"/>
  <c r="M77" i="4" s="1"/>
  <c r="O77" i="4" s="1"/>
  <c r="P77" i="4" s="1"/>
  <c r="K81" i="4"/>
  <c r="M81" i="4" s="1"/>
  <c r="O81" i="4" s="1"/>
  <c r="P81" i="4" s="1"/>
  <c r="K85" i="4"/>
  <c r="M85" i="4" s="1"/>
  <c r="O85" i="4" s="1"/>
  <c r="P85" i="4" s="1"/>
  <c r="K91" i="4"/>
  <c r="M91" i="4" s="1"/>
  <c r="O91" i="4" s="1"/>
  <c r="P91" i="4" s="1"/>
  <c r="N128" i="4"/>
  <c r="K129" i="4"/>
  <c r="M129" i="4" s="1"/>
  <c r="K143" i="4"/>
  <c r="M143" i="4" s="1"/>
  <c r="K146" i="4"/>
  <c r="M146" i="4" s="1"/>
  <c r="K150" i="4"/>
  <c r="M150" i="4" s="1"/>
  <c r="K158" i="4"/>
  <c r="M158" i="4" s="1"/>
  <c r="O158" i="4" s="1"/>
  <c r="P158" i="4" s="1"/>
  <c r="K174" i="4"/>
  <c r="M174" i="4" s="1"/>
  <c r="O174" i="4" s="1"/>
  <c r="P174" i="4" s="1"/>
  <c r="K14" i="4"/>
  <c r="M14" i="4" s="1"/>
  <c r="O14" i="4" s="1"/>
  <c r="P14" i="4" s="1"/>
  <c r="K18" i="4"/>
  <c r="M18" i="4" s="1"/>
  <c r="O18" i="4" s="1"/>
  <c r="P18" i="4" s="1"/>
  <c r="K195" i="4"/>
  <c r="M195" i="4" s="1"/>
  <c r="O195" i="4" s="1"/>
  <c r="P195" i="4" s="1"/>
  <c r="N6" i="4"/>
  <c r="N132" i="4" s="1"/>
  <c r="I34" i="4"/>
  <c r="K34" i="4" s="1"/>
  <c r="M34" i="4" s="1"/>
  <c r="O34" i="4" s="1"/>
  <c r="P34" i="4" s="1"/>
  <c r="I44" i="4"/>
  <c r="K44" i="4" s="1"/>
  <c r="M44" i="4" s="1"/>
  <c r="O44" i="4" s="1"/>
  <c r="P44" i="4" s="1"/>
  <c r="I41" i="4"/>
  <c r="K41" i="4" s="1"/>
  <c r="M41" i="4" s="1"/>
  <c r="I57" i="4"/>
  <c r="K57" i="4" s="1"/>
  <c r="M57" i="4" s="1"/>
  <c r="O57" i="4" s="1"/>
  <c r="P57" i="4" s="1"/>
  <c r="I53" i="4"/>
  <c r="K53" i="4" s="1"/>
  <c r="M53" i="4" s="1"/>
  <c r="O53" i="4" s="1"/>
  <c r="P53" i="4" s="1"/>
  <c r="P65" i="4"/>
  <c r="K67" i="4"/>
  <c r="M67" i="4" s="1"/>
  <c r="O67" i="4" s="1"/>
  <c r="P67" i="4" s="1"/>
  <c r="K72" i="4"/>
  <c r="M72" i="4" s="1"/>
  <c r="O72" i="4" s="1"/>
  <c r="P72" i="4" s="1"/>
  <c r="K79" i="4"/>
  <c r="M79" i="4" s="1"/>
  <c r="O79" i="4" s="1"/>
  <c r="P79" i="4" s="1"/>
  <c r="K84" i="4"/>
  <c r="M84" i="4" s="1"/>
  <c r="K88" i="4"/>
  <c r="M88" i="4" s="1"/>
  <c r="O88" i="4" s="1"/>
  <c r="P88" i="4" s="1"/>
  <c r="K90" i="4"/>
  <c r="M90" i="4" s="1"/>
  <c r="K101" i="4"/>
  <c r="M101" i="4" s="1"/>
  <c r="O101" i="4" s="1"/>
  <c r="P101" i="4" s="1"/>
  <c r="K105" i="4"/>
  <c r="M105" i="4" s="1"/>
  <c r="O105" i="4" s="1"/>
  <c r="P105" i="4" s="1"/>
  <c r="K113" i="4"/>
  <c r="M113" i="4" s="1"/>
  <c r="O113" i="4" s="1"/>
  <c r="P113" i="4" s="1"/>
  <c r="N131" i="4"/>
  <c r="K145" i="4"/>
  <c r="M145" i="4" s="1"/>
  <c r="O145" i="4" s="1"/>
  <c r="P145" i="4" s="1"/>
  <c r="K149" i="4"/>
  <c r="M149" i="4" s="1"/>
  <c r="O149" i="4" s="1"/>
  <c r="P149" i="4" s="1"/>
  <c r="K157" i="4"/>
  <c r="M157" i="4" s="1"/>
  <c r="O157" i="4" s="1"/>
  <c r="P157" i="4" s="1"/>
  <c r="K30" i="4"/>
  <c r="M30" i="4" s="1"/>
  <c r="O30" i="4" s="1"/>
  <c r="P30" i="4" s="1"/>
  <c r="K196" i="4"/>
  <c r="M196" i="4" s="1"/>
  <c r="O196" i="4" s="1"/>
  <c r="P196" i="4" s="1"/>
  <c r="O198" i="4"/>
  <c r="P198" i="4" s="1"/>
  <c r="I29" i="4"/>
  <c r="K29" i="4" s="1"/>
  <c r="M29" i="4" s="1"/>
  <c r="I45" i="4"/>
  <c r="K45" i="4" s="1"/>
  <c r="M45" i="4" s="1"/>
  <c r="O45" i="4" s="1"/>
  <c r="P45" i="4" s="1"/>
  <c r="I42" i="4"/>
  <c r="K42" i="4" s="1"/>
  <c r="M42" i="4" s="1"/>
  <c r="O42" i="4" s="1"/>
  <c r="P42" i="4" s="1"/>
  <c r="I33" i="4"/>
  <c r="K33" i="4" s="1"/>
  <c r="M33" i="4" s="1"/>
  <c r="O33" i="4" s="1"/>
  <c r="P33" i="4" s="1"/>
  <c r="I58" i="4"/>
  <c r="K58" i="4" s="1"/>
  <c r="M58" i="4" s="1"/>
  <c r="I54" i="4"/>
  <c r="K54" i="4" s="1"/>
  <c r="M54" i="4" s="1"/>
  <c r="O54" i="4" s="1"/>
  <c r="P54" i="4" s="1"/>
  <c r="N51" i="4"/>
  <c r="I62" i="4"/>
  <c r="K66" i="4"/>
  <c r="M66" i="4" s="1"/>
  <c r="K71" i="4"/>
  <c r="M71" i="4" s="1"/>
  <c r="O71" i="4" s="1"/>
  <c r="P71" i="4" s="1"/>
  <c r="K76" i="4"/>
  <c r="M76" i="4" s="1"/>
  <c r="O76" i="4" s="1"/>
  <c r="P76" i="4" s="1"/>
  <c r="K87" i="4"/>
  <c r="M87" i="4" s="1"/>
  <c r="O87" i="4" s="1"/>
  <c r="P87" i="4" s="1"/>
  <c r="K93" i="4"/>
  <c r="M93" i="4" s="1"/>
  <c r="O93" i="4" s="1"/>
  <c r="P93" i="4" s="1"/>
  <c r="K96" i="4"/>
  <c r="M96" i="4" s="1"/>
  <c r="O96" i="4" s="1"/>
  <c r="P96" i="4" s="1"/>
  <c r="K100" i="4"/>
  <c r="M100" i="4" s="1"/>
  <c r="O100" i="4" s="1"/>
  <c r="P100" i="4" s="1"/>
  <c r="K108" i="4"/>
  <c r="M108" i="4" s="1"/>
  <c r="O108" i="4" s="1"/>
  <c r="P108" i="4" s="1"/>
  <c r="K116" i="4"/>
  <c r="M116" i="4" s="1"/>
  <c r="O116" i="4" s="1"/>
  <c r="P116" i="4" s="1"/>
  <c r="N130" i="4"/>
  <c r="O130" i="4" s="1"/>
  <c r="P130" i="4" s="1"/>
  <c r="K135" i="4"/>
  <c r="M135" i="4" s="1"/>
  <c r="O135" i="4" s="1"/>
  <c r="P135" i="4" s="1"/>
  <c r="K144" i="4"/>
  <c r="M144" i="4" s="1"/>
  <c r="O144" i="4" s="1"/>
  <c r="P144" i="4" s="1"/>
  <c r="K148" i="4"/>
  <c r="M148" i="4" s="1"/>
  <c r="K156" i="4"/>
  <c r="K160" i="4"/>
  <c r="M160" i="4" s="1"/>
  <c r="O160" i="4" s="1"/>
  <c r="P160" i="4" s="1"/>
  <c r="K181" i="4"/>
  <c r="M181" i="4" s="1"/>
  <c r="K16" i="4"/>
  <c r="M16" i="4" s="1"/>
  <c r="O16" i="4" s="1"/>
  <c r="P16" i="4" s="1"/>
  <c r="K20" i="4"/>
  <c r="M20" i="4" s="1"/>
  <c r="O20" i="4" s="1"/>
  <c r="P20" i="4" s="1"/>
  <c r="K62" i="4"/>
  <c r="M62" i="4" s="1"/>
  <c r="O62" i="4" s="1"/>
  <c r="P62" i="4" s="1"/>
  <c r="K61" i="4"/>
  <c r="M61" i="4" s="1"/>
  <c r="O61" i="4" s="1"/>
  <c r="P61" i="4" s="1"/>
  <c r="K35" i="4"/>
  <c r="M35" i="4" s="1"/>
  <c r="O35" i="4" s="1"/>
  <c r="P35" i="4" s="1"/>
  <c r="K49" i="4"/>
  <c r="M49" i="4" s="1"/>
  <c r="O49" i="4" s="1"/>
  <c r="P49" i="4" s="1"/>
  <c r="K43" i="4"/>
  <c r="M43" i="4" s="1"/>
  <c r="O43" i="4" s="1"/>
  <c r="P43" i="4" s="1"/>
  <c r="K55" i="4"/>
  <c r="M55" i="4" s="1"/>
  <c r="O55" i="4" s="1"/>
  <c r="P55" i="4" s="1"/>
  <c r="K51" i="4"/>
  <c r="M51" i="4" s="1"/>
  <c r="O51" i="4" s="1"/>
  <c r="P51" i="4" s="1"/>
  <c r="K46" i="4"/>
  <c r="M46" i="4" s="1"/>
  <c r="O46" i="4" s="1"/>
  <c r="P46" i="4" s="1"/>
  <c r="K38" i="4"/>
  <c r="M38" i="4" s="1"/>
  <c r="O38" i="4" s="1"/>
  <c r="P38" i="4" s="1"/>
  <c r="K37" i="4"/>
  <c r="M37" i="4" s="1"/>
  <c r="O37" i="4" s="1"/>
  <c r="P37" i="4" s="1"/>
  <c r="O41" i="4" l="1"/>
  <c r="P41" i="4" s="1"/>
  <c r="O159" i="4"/>
  <c r="P159" i="4" s="1"/>
  <c r="O99" i="4"/>
  <c r="P99" i="4" s="1"/>
  <c r="O58" i="4"/>
  <c r="P58" i="4" s="1"/>
  <c r="O29" i="4"/>
  <c r="P29" i="4" s="1"/>
  <c r="O150" i="4"/>
  <c r="P150" i="4" s="1"/>
  <c r="O129" i="4"/>
  <c r="P129" i="4" s="1"/>
  <c r="O115" i="4"/>
  <c r="P115" i="4" s="1"/>
  <c r="O179" i="4"/>
  <c r="P179" i="4" s="1"/>
  <c r="O80" i="4"/>
  <c r="P80" i="4" s="1"/>
  <c r="O90" i="4"/>
  <c r="P90" i="4" s="1"/>
  <c r="O146" i="4"/>
  <c r="P146" i="4" s="1"/>
  <c r="O176" i="4"/>
  <c r="P176" i="4" s="1"/>
  <c r="O139" i="4"/>
  <c r="P139" i="4" s="1"/>
  <c r="O107" i="4"/>
  <c r="P107" i="4" s="1"/>
  <c r="O123" i="4"/>
  <c r="P123" i="4" s="1"/>
  <c r="O128" i="4"/>
  <c r="P128" i="4" s="1"/>
  <c r="O84" i="4"/>
  <c r="P84" i="4" s="1"/>
  <c r="O171" i="4"/>
  <c r="P171" i="4" s="1"/>
  <c r="O143" i="4"/>
  <c r="O137" i="4"/>
  <c r="P137" i="4" s="1"/>
  <c r="O66" i="4"/>
  <c r="P66" i="4" s="1"/>
  <c r="O164" i="4"/>
  <c r="P164" i="4" s="1"/>
  <c r="O181" i="4"/>
  <c r="P181" i="4" s="1"/>
  <c r="O124" i="4"/>
  <c r="P124" i="4" s="1"/>
  <c r="O132" i="4"/>
  <c r="P132" i="4" s="1"/>
  <c r="O92" i="4"/>
  <c r="P92" i="4" s="1"/>
  <c r="O148" i="4"/>
  <c r="P148" i="4" s="1"/>
  <c r="O6" i="4"/>
  <c r="P6" i="4" s="1"/>
  <c r="O86" i="4"/>
  <c r="P86" i="4" s="1"/>
</calcChain>
</file>

<file path=xl/comments1.xml><?xml version="1.0" encoding="utf-8"?>
<comments xmlns="http://schemas.openxmlformats.org/spreadsheetml/2006/main">
  <authors>
    <author>Beatriz Solis Medina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Beatriz Solis Medina:</t>
        </r>
        <r>
          <rPr>
            <sz val="8"/>
            <color indexed="81"/>
            <rFont val="Tahoma"/>
            <family val="2"/>
          </rPr>
          <t xml:space="preserve">
REGLA 1.3.14.6: cuando la operación exceda a $227,400.00, la utilidad de laoperación estara gravada por el excedente a 3SMGA.</t>
        </r>
      </text>
    </comment>
  </commentList>
</comments>
</file>

<file path=xl/sharedStrings.xml><?xml version="1.0" encoding="utf-8"?>
<sst xmlns="http://schemas.openxmlformats.org/spreadsheetml/2006/main" count="331" uniqueCount="227">
  <si>
    <t>VEHICULO</t>
  </si>
  <si>
    <t>FECHA DE ADQUISICIÓN</t>
  </si>
  <si>
    <t>FECHA DE ENAJENACIÓN</t>
  </si>
  <si>
    <t>MESES DE USO</t>
  </si>
  <si>
    <t>FACTOR DE DEP. MENS</t>
  </si>
  <si>
    <t>VALOR FACTURA</t>
  </si>
  <si>
    <t>PRECIO COMPRA</t>
  </si>
  <si>
    <t>ASESOR</t>
  </si>
  <si>
    <t>COMENTARIOS</t>
  </si>
  <si>
    <t>COMPRA</t>
  </si>
  <si>
    <t>VENTA</t>
  </si>
  <si>
    <t>MEDIA</t>
  </si>
  <si>
    <t>SM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</si>
  <si>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</si>
  <si>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</si>
  <si>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</si>
  <si>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</si>
  <si>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</si>
  <si>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</si>
  <si>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</si>
  <si>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</si>
  <si>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</si>
  <si>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</si>
  <si>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</si>
  <si>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</si>
  <si>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 xml:space="preserve"> </t>
  </si>
  <si>
    <t>INPC pubicado en el DOF enero 2011</t>
  </si>
  <si>
    <t>FACTOR DE ACT</t>
  </si>
  <si>
    <t>COSTO SIN ACTUALIZ</t>
  </si>
  <si>
    <t>DIFERENCIA</t>
  </si>
  <si>
    <t>COSTO ACTUALIZADO</t>
  </si>
  <si>
    <t>EXCENCION</t>
  </si>
  <si>
    <t>BASE P/RETENCION</t>
  </si>
  <si>
    <t>ISR</t>
  </si>
  <si>
    <t xml:space="preserve">QUERETARO MOTORS </t>
  </si>
  <si>
    <t>COMPRAS UNIDADES USADAS</t>
  </si>
  <si>
    <t>TOPE DE EXENSION 73.04SMZG (X) 365 (3)   =</t>
  </si>
  <si>
    <t>SOLO PERSONAS FISICAS S/ACTIVIDAD EMPRESARIAL</t>
  </si>
  <si>
    <t>JCJH</t>
  </si>
  <si>
    <t>0005-QMU17</t>
  </si>
  <si>
    <t>JCMP</t>
  </si>
  <si>
    <t>0006-QMU17</t>
  </si>
  <si>
    <t>0008-QMU17</t>
  </si>
  <si>
    <t>JCO</t>
  </si>
  <si>
    <t>0010-QMU17</t>
  </si>
  <si>
    <t>ALE</t>
  </si>
  <si>
    <t>0011-QMU17</t>
  </si>
  <si>
    <t>PHC</t>
  </si>
  <si>
    <t>0012-QMU17</t>
  </si>
  <si>
    <t>AANA</t>
  </si>
  <si>
    <t>0015-QMU17</t>
  </si>
  <si>
    <t>ARF</t>
  </si>
  <si>
    <t>0014-QMU17</t>
  </si>
  <si>
    <t>0016-QMU17</t>
  </si>
  <si>
    <t>CM</t>
  </si>
  <si>
    <t>0017-QMU17</t>
  </si>
  <si>
    <t>SLO</t>
  </si>
  <si>
    <t>0018-QMU17</t>
  </si>
  <si>
    <t>0019-QMU17</t>
  </si>
  <si>
    <t>FJAO</t>
  </si>
  <si>
    <t>0020-QMU17</t>
  </si>
  <si>
    <t>0028-QMU17</t>
  </si>
  <si>
    <t>0021-QMU17</t>
  </si>
  <si>
    <t>0022-QMU17</t>
  </si>
  <si>
    <t>MGG</t>
  </si>
  <si>
    <t>RLR</t>
  </si>
  <si>
    <t>JCL</t>
  </si>
  <si>
    <t>0034-QMU17</t>
  </si>
  <si>
    <t>0025-QMU17</t>
  </si>
  <si>
    <t>0026-QMU17</t>
  </si>
  <si>
    <t>0027-QMU17</t>
  </si>
  <si>
    <t>BIPH</t>
  </si>
  <si>
    <t>0029-QMU17</t>
  </si>
  <si>
    <t>0032-QMU17</t>
  </si>
  <si>
    <t>GAZ</t>
  </si>
  <si>
    <t>0023-QMU17</t>
  </si>
  <si>
    <t>GBL</t>
  </si>
  <si>
    <t>0031-QMU17</t>
  </si>
  <si>
    <t>PHS</t>
  </si>
  <si>
    <t>0057-QMU17</t>
  </si>
  <si>
    <t>" 2017 "</t>
  </si>
  <si>
    <t>0033-QMU17</t>
  </si>
  <si>
    <t>0037-QMU17</t>
  </si>
  <si>
    <t>GTP</t>
  </si>
  <si>
    <t>0039-QMU17</t>
  </si>
  <si>
    <t>JMH</t>
  </si>
  <si>
    <t>0042-QMU17</t>
  </si>
  <si>
    <t>NRM</t>
  </si>
  <si>
    <t>NESTOR RAMIREZ MOYA (ASESOR)</t>
  </si>
  <si>
    <t>0041-QMU17</t>
  </si>
  <si>
    <t>ORR</t>
  </si>
  <si>
    <t>0044-QMU17</t>
  </si>
  <si>
    <t>0045-QMU17</t>
  </si>
  <si>
    <t>0046-QMU17</t>
  </si>
  <si>
    <t>0047-QMU17</t>
  </si>
  <si>
    <t>0048-QMU17</t>
  </si>
  <si>
    <t>0049-QMU17</t>
  </si>
  <si>
    <t>0051-QMU17</t>
  </si>
  <si>
    <t>0054-QMU17</t>
  </si>
  <si>
    <t>0059-QMU17</t>
  </si>
  <si>
    <t>0062-QMU17</t>
  </si>
  <si>
    <t>0064-QMU17</t>
  </si>
  <si>
    <t>0066-QMU17</t>
  </si>
  <si>
    <t>LVC</t>
  </si>
  <si>
    <t>0068-QMU17</t>
  </si>
  <si>
    <t>JARA</t>
  </si>
  <si>
    <t>0071-QMU17</t>
  </si>
  <si>
    <t>0072-QMU17</t>
  </si>
  <si>
    <t>0073-QMU17</t>
  </si>
  <si>
    <t>0074-QMU17</t>
  </si>
  <si>
    <t>AAS</t>
  </si>
  <si>
    <t>ALFREDO ARTEAGA</t>
  </si>
  <si>
    <t>JULIO MIRANDA</t>
  </si>
  <si>
    <t>MARVIN</t>
  </si>
  <si>
    <t>LILIANA</t>
  </si>
  <si>
    <t>0076-QMU17</t>
  </si>
  <si>
    <t>0075-QMU17</t>
  </si>
  <si>
    <t>CAST</t>
  </si>
  <si>
    <t>CARLOS TIRADO</t>
  </si>
  <si>
    <t>0079-QMU17</t>
  </si>
  <si>
    <t>0080-QMU17</t>
  </si>
  <si>
    <t>0088-QMU17</t>
  </si>
  <si>
    <t>BLGP</t>
  </si>
  <si>
    <t>0082-QMU17</t>
  </si>
  <si>
    <t>0083-QMU17</t>
  </si>
  <si>
    <t>0084-QMU17</t>
  </si>
  <si>
    <t>0085-QMU17</t>
  </si>
  <si>
    <t>0086-QMU17</t>
  </si>
  <si>
    <t>GHS</t>
  </si>
  <si>
    <t>0087-QMU17</t>
  </si>
  <si>
    <t>BC</t>
  </si>
  <si>
    <t xml:space="preserve">BARUSH CASILLAS </t>
  </si>
  <si>
    <t>0090-QMU17</t>
  </si>
  <si>
    <t>0091-QMU17</t>
  </si>
  <si>
    <t>0092-QMU17</t>
  </si>
  <si>
    <t>IMR</t>
  </si>
  <si>
    <t>ISRAEL MUÑOS</t>
  </si>
  <si>
    <t>0095-QMU17</t>
  </si>
  <si>
    <t>FRANCISCO AGUAS</t>
  </si>
  <si>
    <t>0096-QMU17</t>
  </si>
  <si>
    <t>0094-QMU17</t>
  </si>
  <si>
    <t>JAAO</t>
  </si>
  <si>
    <t>AURELIO ALARCON</t>
  </si>
  <si>
    <t>0097-QMU17</t>
  </si>
  <si>
    <t>JMP</t>
  </si>
  <si>
    <t>0098-QMU17</t>
  </si>
  <si>
    <t>0099-QMU17</t>
  </si>
  <si>
    <t>0100-QMU17</t>
  </si>
  <si>
    <t>0101-QMU17</t>
  </si>
  <si>
    <t>0102-QMU17</t>
  </si>
  <si>
    <t>CS</t>
  </si>
  <si>
    <t>CESAR SALDAÑA</t>
  </si>
  <si>
    <t>0103-QMU17</t>
  </si>
  <si>
    <t>0104-QMU17</t>
  </si>
  <si>
    <t>JAM</t>
  </si>
  <si>
    <t>JOSE ARIAS MONROY</t>
  </si>
  <si>
    <t>0105-QMU17</t>
  </si>
  <si>
    <t>0106-QMU17</t>
  </si>
  <si>
    <t>0107-QMU17</t>
  </si>
  <si>
    <t>0109-QMU17</t>
  </si>
  <si>
    <t>0111-QMU17</t>
  </si>
  <si>
    <t>0112-QMU17</t>
  </si>
  <si>
    <t>0113-QMU17</t>
  </si>
  <si>
    <t>0119-QMU17</t>
  </si>
  <si>
    <t>0123-QMU17</t>
  </si>
  <si>
    <t>0124-QMU17</t>
  </si>
  <si>
    <t>0125-QMU17</t>
  </si>
  <si>
    <t>0122-QMU17</t>
  </si>
  <si>
    <t>0126-QMU17</t>
  </si>
  <si>
    <t>0128-QMU17</t>
  </si>
  <si>
    <t>BPH</t>
  </si>
  <si>
    <t>0130-QMU17</t>
  </si>
  <si>
    <t>0131-QMU17</t>
  </si>
  <si>
    <t>DG</t>
  </si>
  <si>
    <t>DIEGO GUZMAN</t>
  </si>
  <si>
    <t>0132-QMU17</t>
  </si>
  <si>
    <t>0133-QMU17</t>
  </si>
  <si>
    <t>FJA</t>
  </si>
  <si>
    <t>0135-QMU17</t>
  </si>
  <si>
    <t>JC</t>
  </si>
  <si>
    <t>0134-QMU17</t>
  </si>
  <si>
    <t>0136-QMU17</t>
  </si>
  <si>
    <t>0138-QMU17</t>
  </si>
  <si>
    <t>0139-QMU17</t>
  </si>
  <si>
    <t>0140-QMU17</t>
  </si>
  <si>
    <t>0141-QMU17</t>
  </si>
  <si>
    <t>0143-QMU17</t>
  </si>
  <si>
    <t>0144-QMU17</t>
  </si>
  <si>
    <t>0145-QMU17</t>
  </si>
  <si>
    <t>0146-QMU17</t>
  </si>
  <si>
    <t>0148-QMU17</t>
  </si>
  <si>
    <t>0149-QMU17</t>
  </si>
  <si>
    <t>0150-QMU17</t>
  </si>
  <si>
    <t>0152-QMU17</t>
  </si>
  <si>
    <t>0153-QMU17</t>
  </si>
  <si>
    <t>RH</t>
  </si>
  <si>
    <t>RODRIGO HERNANDEZ</t>
  </si>
  <si>
    <t>0154-QMU17</t>
  </si>
  <si>
    <t>155-QMU17</t>
  </si>
  <si>
    <t>156-QMU17</t>
  </si>
  <si>
    <t>FMA</t>
  </si>
  <si>
    <t>157-QMU17</t>
  </si>
  <si>
    <t>0158-QMU17</t>
  </si>
  <si>
    <t>0159-QMU17</t>
  </si>
  <si>
    <t>EGR</t>
  </si>
  <si>
    <t>ERICK GONZALEZ</t>
  </si>
  <si>
    <t>0160-QMU17</t>
  </si>
  <si>
    <t>0161-QMU17</t>
  </si>
  <si>
    <t>LT</t>
  </si>
  <si>
    <t>LUIS TORRES</t>
  </si>
  <si>
    <t>0162-QMU17</t>
  </si>
  <si>
    <t>CT</t>
  </si>
  <si>
    <t>163-QMU17</t>
  </si>
  <si>
    <t>164-QMU17</t>
  </si>
  <si>
    <t>0165-QMU17</t>
  </si>
  <si>
    <t>0166-QMU17</t>
  </si>
  <si>
    <t>0168-QMU17</t>
  </si>
  <si>
    <t>0169-QMU17</t>
  </si>
  <si>
    <t>FABIOLA MORENO</t>
  </si>
  <si>
    <t>0170-QMU17</t>
  </si>
  <si>
    <t>0171-QMU17</t>
  </si>
  <si>
    <t>0172-QMU17</t>
  </si>
  <si>
    <t>0173-QMU17</t>
  </si>
  <si>
    <t>0175-QMU17</t>
  </si>
  <si>
    <t>0176-QMU17</t>
  </si>
  <si>
    <t>0178-QMU17</t>
  </si>
  <si>
    <t>0177-QMU17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</si>
</sst>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000"/>
    <numFmt numFmtId="165" formatCode="0.00000"/>
    <numFmt numFmtId="166" formatCode="0.0"/>
    <numFmt numFmtId="167" formatCode="_-* #,##0.0000_-;\-* #,##0.0000_-;_-* &quot;-&quot;??_-;_-@_-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8"/>
      <color indexed="62"/>
      <name val="Arial"/>
      <family val="2"/>
    </font>
    <font>
      <b/>
      <sz val="8"/>
      <color indexed="62"/>
      <name val="Arial"/>
      <family val="2"/>
    </font>
    <font>
      <b/>
      <sz val="10"/>
      <color indexed="20"/>
      <name val="Arial"/>
      <family val="2"/>
    </font>
    <font>
      <sz val="10"/>
      <name val="Arial"/>
      <family val="2"/>
    </font>
    <font>
      <b/>
      <sz val="10"/>
      <color indexed="14"/>
      <name val="Arial"/>
      <family val="2"/>
    </font>
    <font>
      <sz val="10"/>
      <color rgb="FF2F2F2F"/>
      <name val="Arial"/>
      <family val="2"/>
    </font>
    <font>
      <b/>
      <sz val="10"/>
      <color rgb="FF2F2F2F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ill="0" applyBorder="0" applyAlignment="0" applyProtection="0"/>
  </cellStyleXfs>
  <cellXfs count="98">
    <xf numFmtId="0" fontId="0" fillId="0" borderId="0" xfId="0"/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  <xf numFmtId="164" fontId="0" fillId="2" borderId="0" xfId="0" applyNumberFormat="1" applyFont="1" applyFill="1"/>
    <xf numFmtId="166" fontId="6" fillId="0" borderId="0" xfId="0" applyNumberFormat="1" applyFont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4" fontId="0" fillId="0" borderId="0" xfId="0" applyNumberFormat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43" fontId="1" fillId="0" borderId="1" xfId="1" applyFill="1" applyBorder="1" applyAlignment="1" applyProtection="1">
      <alignment horizontal="center" vertical="center"/>
      <protection locked="0"/>
    </xf>
    <xf numFmtId="167" fontId="1" fillId="0" borderId="1" xfId="1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164" fontId="0" fillId="0" borderId="2" xfId="0" applyNumberFormat="1" applyFill="1" applyBorder="1" applyAlignment="1" applyProtection="1">
      <alignment horizontal="center" vertical="center"/>
      <protection locked="0"/>
    </xf>
    <xf numFmtId="43" fontId="1" fillId="0" borderId="2" xfId="1" applyFill="1" applyBorder="1" applyAlignment="1" applyProtection="1">
      <alignment horizontal="center" vertical="center"/>
      <protection locked="0"/>
    </xf>
    <xf numFmtId="167" fontId="1" fillId="0" borderId="2" xfId="1" applyNumberForma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3" fontId="1" fillId="0" borderId="0" xfId="1" applyProtection="1">
      <protection locked="0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3" xfId="0" applyFont="1" applyBorder="1" applyProtection="1"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4" fontId="1" fillId="0" borderId="5" xfId="0" applyNumberFormat="1" applyFont="1" applyBorder="1" applyProtection="1">
      <protection locked="0"/>
    </xf>
    <xf numFmtId="43" fontId="1" fillId="0" borderId="5" xfId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left"/>
      <protection locked="0"/>
    </xf>
    <xf numFmtId="164" fontId="0" fillId="0" borderId="0" xfId="0" applyNumberFormat="1" applyFont="1" applyFill="1" applyBorder="1" applyAlignment="1">
      <alignment horizontal="center"/>
    </xf>
    <xf numFmtId="0" fontId="2" fillId="3" borderId="0" xfId="0" applyFont="1" applyFill="1"/>
    <xf numFmtId="0" fontId="11" fillId="3" borderId="0" xfId="0" applyFont="1" applyFill="1"/>
    <xf numFmtId="0" fontId="0" fillId="0" borderId="3" xfId="0" applyFont="1" applyBorder="1" applyProtection="1">
      <protection locked="0"/>
    </xf>
    <xf numFmtId="0" fontId="1" fillId="0" borderId="3" xfId="0" applyFont="1" applyFill="1" applyBorder="1" applyProtection="1">
      <protection locked="0"/>
    </xf>
    <xf numFmtId="164" fontId="0" fillId="0" borderId="0" xfId="0" applyNumberFormat="1" applyFont="1" applyAlignment="1">
      <alignment horizontal="center"/>
    </xf>
    <xf numFmtId="164" fontId="0" fillId="2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" fillId="0" borderId="9" xfId="0" applyFont="1" applyFill="1" applyBorder="1" applyAlignment="1" applyProtection="1">
      <alignment horizontal="left"/>
      <protection locked="0"/>
    </xf>
    <xf numFmtId="0" fontId="0" fillId="0" borderId="3" xfId="0" applyFont="1" applyFill="1" applyBorder="1" applyProtection="1">
      <protection locked="0"/>
    </xf>
    <xf numFmtId="14" fontId="0" fillId="0" borderId="1" xfId="0" applyNumberFormat="1" applyFill="1" applyBorder="1" applyAlignment="1" applyProtection="1">
      <alignment vertical="center"/>
      <protection locked="0"/>
    </xf>
    <xf numFmtId="14" fontId="1" fillId="0" borderId="1" xfId="0" applyNumberFormat="1" applyFont="1" applyFill="1" applyBorder="1" applyProtection="1"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14" fontId="0" fillId="0" borderId="1" xfId="0" applyNumberForma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4" xfId="0" applyFill="1" applyBorder="1" applyProtection="1">
      <protection locked="0"/>
    </xf>
    <xf numFmtId="43" fontId="10" fillId="0" borderId="1" xfId="1" applyFont="1" applyFill="1" applyBorder="1" applyAlignment="1" applyProtection="1">
      <alignment horizontal="center" vertical="center"/>
      <protection locked="0"/>
    </xf>
    <xf numFmtId="167" fontId="0" fillId="0" borderId="1" xfId="1" applyNumberFormat="1" applyFont="1" applyFill="1" applyBorder="1" applyAlignment="1" applyProtection="1">
      <alignment horizontal="center" vertical="center"/>
      <protection locked="0"/>
    </xf>
    <xf numFmtId="14" fontId="0" fillId="0" borderId="1" xfId="0" applyNumberFormat="1" applyFont="1" applyBorder="1" applyProtection="1">
      <protection locked="0"/>
    </xf>
    <xf numFmtId="0" fontId="12" fillId="0" borderId="0" xfId="0" applyFont="1"/>
    <xf numFmtId="0" fontId="13" fillId="0" borderId="0" xfId="0" applyFont="1"/>
    <xf numFmtId="14" fontId="0" fillId="0" borderId="3" xfId="0" applyNumberFormat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4" fillId="0" borderId="4" xfId="0" applyFont="1" applyFill="1" applyBorder="1" applyProtection="1">
      <protection locked="0"/>
    </xf>
    <xf numFmtId="14" fontId="0" fillId="0" borderId="1" xfId="0" applyNumberFormat="1" applyFont="1" applyFill="1" applyBorder="1" applyProtection="1"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pacontabilidad\Mis%20documentos\ContabilidadToyota\Conciliacion%20de%20cuentas%20contables%20Pachuca\Pachuca%202013\INFORMATIVAS%202013\ANUAL%202013\ISR%20ALECSA%20PACHU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Gen"/>
      <sheetName val="ERes"/>
      <sheetName val="Datos"/>
      <sheetName val="DIVIDENDOS"/>
      <sheetName val="BzaCompr"/>
      <sheetName val="PP ISR"/>
      <sheetName val="IETU"/>
      <sheetName val="AInf"/>
      <sheetName val="DepF"/>
      <sheetName val="SProm"/>
      <sheetName val="CInf"/>
      <sheetName val="Acum"/>
      <sheetName val="ISR"/>
      <sheetName val="VTA AF"/>
      <sheetName val="FACTORES DEP"/>
      <sheetName val="Ind"/>
    </sheetNames>
    <sheetDataSet>
      <sheetData sheetId="0">
        <row r="17">
          <cell r="D17">
            <v>1381735.69</v>
          </cell>
        </row>
        <row r="18">
          <cell r="D18">
            <v>2075827.26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04"/>
  <sheetViews>
    <sheetView tabSelected="1" zoomScale="85" workbookViewId="0">
      <pane ySplit="5" topLeftCell="A125" activePane="bottomLeft" state="frozen"/>
      <selection pane="bottomLeft" activeCell="Q135" sqref="Q135"/>
    </sheetView>
  </sheetViews>
  <sheetFormatPr baseColWidth="10" defaultRowHeight="12.75" x14ac:dyDescent="0.2"/>
  <cols>
    <col min="1" max="1" width="5.140625" style="21" bestFit="1" customWidth="1"/>
    <col min="2" max="2" width="5.140625" style="21" customWidth="1"/>
    <col min="3" max="3" width="12.42578125" style="21" bestFit="1" customWidth="1"/>
    <col min="4" max="4" width="10.85546875" style="21" bestFit="1" customWidth="1"/>
    <col min="5" max="5" width="11.42578125" style="21"/>
    <col min="6" max="6" width="8.28515625" style="21" customWidth="1"/>
    <col min="7" max="7" width="13.140625" style="21" bestFit="1" customWidth="1"/>
    <col min="8" max="8" width="12.5703125" style="21" customWidth="1"/>
    <col min="9" max="9" width="14.140625" style="21" bestFit="1" customWidth="1"/>
    <col min="10" max="10" width="9.140625" style="21" customWidth="1"/>
    <col min="11" max="11" width="14.28515625" style="21" customWidth="1" collapsed="1"/>
    <col min="12" max="12" width="11.7109375" style="21" customWidth="1"/>
    <col min="13" max="13" width="14.140625" style="21" bestFit="1" customWidth="1"/>
    <col min="14" max="14" width="11.28515625" style="21" customWidth="1"/>
    <col min="15" max="15" width="20.140625" style="21" customWidth="1"/>
    <col min="16" max="16" width="13.140625" style="21" bestFit="1" customWidth="1"/>
    <col min="17" max="17" width="10.5703125" style="21" customWidth="1"/>
    <col min="18" max="18" width="57" style="21" customWidth="1"/>
    <col min="19" max="19" width="11.42578125" style="21"/>
    <col min="20" max="25" width="0" style="21" hidden="1" customWidth="1"/>
    <col min="26" max="16384" width="11.42578125" style="21"/>
  </cols>
  <sheetData>
    <row r="1" spans="1:25" x14ac:dyDescent="0.2">
      <c r="C1" s="49" t="s">
        <v>34</v>
      </c>
      <c r="N1" s="22">
        <f>80.04*365*3</f>
        <v>87643.8</v>
      </c>
      <c r="O1" s="21" t="s">
        <v>36</v>
      </c>
    </row>
    <row r="2" spans="1:25" s="23" customFormat="1" ht="15.95" customHeight="1" x14ac:dyDescent="0.2">
      <c r="C2" s="47" t="s">
        <v>35</v>
      </c>
      <c r="F2" s="24"/>
      <c r="J2" s="93" t="s">
        <v>80</v>
      </c>
    </row>
    <row r="3" spans="1:25" s="23" customFormat="1" ht="15.95" customHeight="1" x14ac:dyDescent="0.2">
      <c r="C3" s="48" t="s">
        <v>37</v>
      </c>
      <c r="F3" s="24"/>
    </row>
    <row r="4" spans="1:25" s="23" customFormat="1" ht="15.95" customHeight="1" thickBot="1" x14ac:dyDescent="0.25">
      <c r="D4" s="41"/>
      <c r="E4" s="41"/>
      <c r="F4" s="24"/>
      <c r="H4" s="41"/>
      <c r="I4" s="41"/>
      <c r="J4" s="41"/>
      <c r="K4" s="41"/>
      <c r="L4" s="42"/>
    </row>
    <row r="5" spans="1:25" s="25" customFormat="1" ht="39.75" customHeight="1" thickBot="1" x14ac:dyDescent="0.25">
      <c r="B5" s="96" t="s">
        <v>0</v>
      </c>
      <c r="C5" s="97"/>
      <c r="D5" s="94" t="s">
        <v>1</v>
      </c>
      <c r="E5" s="94" t="s">
        <v>2</v>
      </c>
      <c r="F5" s="46" t="s">
        <v>3</v>
      </c>
      <c r="G5" s="46" t="s">
        <v>4</v>
      </c>
      <c r="H5" s="94" t="s">
        <v>5</v>
      </c>
      <c r="I5" s="92" t="s">
        <v>28</v>
      </c>
      <c r="J5" s="95" t="s">
        <v>27</v>
      </c>
      <c r="K5" s="92" t="s">
        <v>30</v>
      </c>
      <c r="L5" s="94" t="s">
        <v>6</v>
      </c>
      <c r="M5" s="92" t="s">
        <v>29</v>
      </c>
      <c r="N5" s="92" t="s">
        <v>31</v>
      </c>
      <c r="O5" s="46" t="s">
        <v>32</v>
      </c>
      <c r="P5" s="46" t="s">
        <v>33</v>
      </c>
      <c r="Q5" s="46" t="s">
        <v>7</v>
      </c>
      <c r="R5" s="46" t="s">
        <v>8</v>
      </c>
      <c r="T5" s="25" t="s">
        <v>9</v>
      </c>
      <c r="U5" s="25" t="s">
        <v>10</v>
      </c>
      <c r="V5" s="25" t="s">
        <v>11</v>
      </c>
      <c r="W5" s="25" t="s">
        <v>12</v>
      </c>
    </row>
    <row r="6" spans="1:25" s="26" customFormat="1" x14ac:dyDescent="0.2">
      <c r="A6" s="53">
        <v>1</v>
      </c>
      <c r="B6" s="54">
        <v>581</v>
      </c>
      <c r="C6" s="50" t="s">
        <v>42</v>
      </c>
      <c r="D6" s="29">
        <v>42737</v>
      </c>
      <c r="E6" s="43">
        <v>41646</v>
      </c>
      <c r="F6" s="17">
        <f t="shared" ref="F6:F69" si="0">(E6-D6)/30</f>
        <v>-36.366666666666667</v>
      </c>
      <c r="G6" s="18">
        <f t="shared" ref="G6:G129" si="1">0.2/12</f>
        <v>1.6666666666666666E-2</v>
      </c>
      <c r="H6" s="19">
        <v>159500</v>
      </c>
      <c r="I6" s="19">
        <f>H6-(H6*G6*F6)</f>
        <v>256174.72222222225</v>
      </c>
      <c r="J6" s="16">
        <f>INDICES!N49/INDICES!C47</f>
        <v>1.0889738233856274</v>
      </c>
      <c r="K6" s="19">
        <f>+I6*J6</f>
        <v>278967.56671308441</v>
      </c>
      <c r="L6" s="19">
        <v>107000</v>
      </c>
      <c r="M6" s="19">
        <f t="shared" ref="M6:M28" si="2">+L6-K6</f>
        <v>-171967.56671308441</v>
      </c>
      <c r="N6" s="19">
        <f>+N1</f>
        <v>87643.8</v>
      </c>
      <c r="O6" s="44">
        <f t="shared" ref="O6:O28" si="3">+M6-N6</f>
        <v>-259611.3667130844</v>
      </c>
      <c r="P6" s="19">
        <f t="shared" ref="P6:P129" si="4">IF(O6&gt;1,O6*0.2,0)</f>
        <v>0</v>
      </c>
      <c r="Q6" s="34" t="s">
        <v>38</v>
      </c>
      <c r="R6" s="45"/>
      <c r="W6" s="26">
        <v>57</v>
      </c>
      <c r="X6" s="26">
        <f>W6*365</f>
        <v>20805</v>
      </c>
      <c r="Y6" s="26">
        <f>X6*3</f>
        <v>62415</v>
      </c>
    </row>
    <row r="7" spans="1:25" s="27" customFormat="1" x14ac:dyDescent="0.2">
      <c r="A7" s="52">
        <v>2</v>
      </c>
      <c r="B7" s="51">
        <v>583</v>
      </c>
      <c r="C7" s="28" t="s">
        <v>39</v>
      </c>
      <c r="D7" s="29">
        <v>41263</v>
      </c>
      <c r="E7" s="30">
        <v>42745</v>
      </c>
      <c r="F7" s="13">
        <f t="shared" si="0"/>
        <v>49.4</v>
      </c>
      <c r="G7" s="14">
        <f t="shared" si="1"/>
        <v>1.6666666666666666E-2</v>
      </c>
      <c r="H7" s="15">
        <v>229900.01</v>
      </c>
      <c r="I7" s="15">
        <f t="shared" ref="I7:I28" si="5">H7-(H7*G7*F7)</f>
        <v>40615.66843333334</v>
      </c>
      <c r="J7" s="16">
        <f>INDICES!B50/INDICES!B45</f>
        <v>1.1831368118125367</v>
      </c>
      <c r="K7" s="15">
        <f t="shared" ref="K7:K28" si="6">+I7*J7</f>
        <v>48053.892459849092</v>
      </c>
      <c r="L7" s="15">
        <v>117000</v>
      </c>
      <c r="M7" s="15">
        <f t="shared" si="2"/>
        <v>68946.107540150901</v>
      </c>
      <c r="N7" s="15">
        <f>+N1</f>
        <v>87643.8</v>
      </c>
      <c r="O7" s="15">
        <f t="shared" si="3"/>
        <v>-18697.692459849102</v>
      </c>
      <c r="P7" s="15">
        <f t="shared" si="4"/>
        <v>0</v>
      </c>
      <c r="Q7" s="31" t="s">
        <v>40</v>
      </c>
      <c r="R7" s="32"/>
    </row>
    <row r="8" spans="1:25" s="23" customFormat="1" x14ac:dyDescent="0.2">
      <c r="A8" s="53">
        <v>3</v>
      </c>
      <c r="B8" s="51">
        <v>584</v>
      </c>
      <c r="C8" s="28" t="s">
        <v>41</v>
      </c>
      <c r="D8" s="33">
        <v>40478</v>
      </c>
      <c r="E8" s="30">
        <v>42746</v>
      </c>
      <c r="F8" s="17">
        <f t="shared" si="0"/>
        <v>75.599999999999994</v>
      </c>
      <c r="G8" s="18">
        <f t="shared" si="1"/>
        <v>1.6666666666666666E-2</v>
      </c>
      <c r="H8" s="19">
        <v>183900</v>
      </c>
      <c r="I8" s="19">
        <f t="shared" si="5"/>
        <v>-47813.999999999971</v>
      </c>
      <c r="J8" s="20">
        <f>INDICES!B50/INDICES!L43</f>
        <v>1.244293236892601</v>
      </c>
      <c r="K8" s="19">
        <f t="shared" si="6"/>
        <v>-59494.636828782786</v>
      </c>
      <c r="L8" s="19">
        <v>99000</v>
      </c>
      <c r="M8" s="19">
        <f t="shared" si="2"/>
        <v>158494.63682878279</v>
      </c>
      <c r="N8" s="19">
        <f>+N1</f>
        <v>87643.8</v>
      </c>
      <c r="O8" s="19">
        <f t="shared" si="3"/>
        <v>70850.836828782791</v>
      </c>
      <c r="P8" s="19">
        <f t="shared" si="4"/>
        <v>14170.167365756559</v>
      </c>
      <c r="Q8" s="34" t="s">
        <v>43</v>
      </c>
      <c r="R8" s="35"/>
    </row>
    <row r="9" spans="1:25" s="23" customFormat="1" x14ac:dyDescent="0.2">
      <c r="A9" s="52">
        <v>4</v>
      </c>
      <c r="B9" s="51">
        <v>587</v>
      </c>
      <c r="C9" s="58" t="s">
        <v>44</v>
      </c>
      <c r="D9" s="33">
        <v>41514</v>
      </c>
      <c r="E9" s="30">
        <v>42747</v>
      </c>
      <c r="F9" s="13">
        <f t="shared" si="0"/>
        <v>41.1</v>
      </c>
      <c r="G9" s="14">
        <f t="shared" si="1"/>
        <v>1.6666666666666666E-2</v>
      </c>
      <c r="H9" s="15">
        <v>166500</v>
      </c>
      <c r="I9" s="15">
        <f t="shared" si="5"/>
        <v>52447.5</v>
      </c>
      <c r="J9" s="16">
        <f>INDICES!B50/INDICES!J46</f>
        <v>1.1248370333645494</v>
      </c>
      <c r="K9" s="15">
        <f t="shared" si="6"/>
        <v>58994.890307387206</v>
      </c>
      <c r="L9" s="15">
        <v>105000</v>
      </c>
      <c r="M9" s="15">
        <f t="shared" si="2"/>
        <v>46005.109692612794</v>
      </c>
      <c r="N9" s="15">
        <f>+N1</f>
        <v>87643.8</v>
      </c>
      <c r="O9" s="15">
        <f t="shared" si="3"/>
        <v>-41638.690307387209</v>
      </c>
      <c r="P9" s="15">
        <f t="shared" si="4"/>
        <v>0</v>
      </c>
      <c r="Q9" s="31" t="s">
        <v>45</v>
      </c>
      <c r="R9" s="35"/>
    </row>
    <row r="10" spans="1:25" s="77" customFormat="1" x14ac:dyDescent="0.2">
      <c r="A10" s="53">
        <v>5</v>
      </c>
      <c r="B10" s="71">
        <v>588</v>
      </c>
      <c r="C10" s="72" t="s">
        <v>46</v>
      </c>
      <c r="D10" s="73">
        <v>42157</v>
      </c>
      <c r="E10" s="74">
        <v>42749</v>
      </c>
      <c r="F10" s="13">
        <f t="shared" si="0"/>
        <v>19.733333333333334</v>
      </c>
      <c r="G10" s="14">
        <f t="shared" si="1"/>
        <v>1.6666666666666666E-2</v>
      </c>
      <c r="H10" s="15">
        <v>573000</v>
      </c>
      <c r="I10" s="15">
        <f t="shared" si="5"/>
        <v>384546.66666666663</v>
      </c>
      <c r="J10" s="16">
        <f>INDICES!B50/INDICES!H48</f>
        <v>1.0565463357422515</v>
      </c>
      <c r="K10" s="15">
        <f t="shared" si="6"/>
        <v>406291.37158856366</v>
      </c>
      <c r="L10" s="15">
        <v>370000</v>
      </c>
      <c r="M10" s="15">
        <f t="shared" si="2"/>
        <v>-36291.371588563663</v>
      </c>
      <c r="N10" s="15">
        <f>+N1</f>
        <v>87643.8</v>
      </c>
      <c r="O10" s="15">
        <f t="shared" si="3"/>
        <v>-123935.17158856367</v>
      </c>
      <c r="P10" s="15">
        <f t="shared" si="4"/>
        <v>0</v>
      </c>
      <c r="Q10" s="75" t="s">
        <v>47</v>
      </c>
      <c r="R10" s="76"/>
    </row>
    <row r="11" spans="1:25" s="77" customFormat="1" x14ac:dyDescent="0.2">
      <c r="A11" s="53">
        <v>6</v>
      </c>
      <c r="B11" s="71">
        <v>589</v>
      </c>
      <c r="C11" s="72" t="s">
        <v>48</v>
      </c>
      <c r="D11" s="73">
        <v>42348</v>
      </c>
      <c r="E11" s="74">
        <v>42749</v>
      </c>
      <c r="F11" s="13">
        <f t="shared" si="0"/>
        <v>13.366666666666667</v>
      </c>
      <c r="G11" s="14">
        <f t="shared" si="1"/>
        <v>1.6666666666666666E-2</v>
      </c>
      <c r="H11" s="15">
        <v>185300</v>
      </c>
      <c r="I11" s="15">
        <f t="shared" si="5"/>
        <v>144019.27777777778</v>
      </c>
      <c r="J11" s="16">
        <f>INDICES!B50/INDICES!N48</f>
        <v>1.0336027401883037</v>
      </c>
      <c r="K11" s="15">
        <f t="shared" si="6"/>
        <v>148858.72015105159</v>
      </c>
      <c r="L11" s="15">
        <v>145000</v>
      </c>
      <c r="M11" s="15">
        <f t="shared" si="2"/>
        <v>-3858.7201510515879</v>
      </c>
      <c r="N11" s="15">
        <f>+N1</f>
        <v>87643.8</v>
      </c>
      <c r="O11" s="15">
        <f t="shared" si="3"/>
        <v>-91502.520151051591</v>
      </c>
      <c r="P11" s="15">
        <f t="shared" si="4"/>
        <v>0</v>
      </c>
      <c r="Q11" s="75" t="s">
        <v>49</v>
      </c>
      <c r="R11" s="76"/>
    </row>
    <row r="12" spans="1:25" s="77" customFormat="1" x14ac:dyDescent="0.2">
      <c r="A12" s="53">
        <v>7</v>
      </c>
      <c r="B12" s="71">
        <v>590</v>
      </c>
      <c r="C12" s="72" t="s">
        <v>50</v>
      </c>
      <c r="D12" s="73">
        <v>41270</v>
      </c>
      <c r="E12" s="74">
        <v>42752</v>
      </c>
      <c r="F12" s="13">
        <f t="shared" si="0"/>
        <v>49.4</v>
      </c>
      <c r="G12" s="14">
        <f t="shared" si="1"/>
        <v>1.6666666666666666E-2</v>
      </c>
      <c r="H12" s="15">
        <v>738500</v>
      </c>
      <c r="I12" s="15">
        <f t="shared" si="5"/>
        <v>130468.33333333337</v>
      </c>
      <c r="J12" s="16">
        <f>INDICES!B50/INDICES!N45</f>
        <v>1.1423736083397051</v>
      </c>
      <c r="K12" s="15">
        <f t="shared" si="6"/>
        <v>149043.58072406746</v>
      </c>
      <c r="L12" s="15">
        <v>362000</v>
      </c>
      <c r="M12" s="15">
        <f t="shared" si="2"/>
        <v>212956.41927593254</v>
      </c>
      <c r="N12" s="15">
        <f>+N1</f>
        <v>87643.8</v>
      </c>
      <c r="O12" s="15">
        <f t="shared" si="3"/>
        <v>125312.61927593253</v>
      </c>
      <c r="P12" s="15">
        <f t="shared" si="4"/>
        <v>25062.523855186508</v>
      </c>
      <c r="Q12" s="75" t="s">
        <v>51</v>
      </c>
      <c r="R12" s="76"/>
    </row>
    <row r="13" spans="1:25" s="77" customFormat="1" x14ac:dyDescent="0.2">
      <c r="A13" s="53">
        <v>8</v>
      </c>
      <c r="B13" s="71">
        <v>591</v>
      </c>
      <c r="C13" s="72" t="s">
        <v>52</v>
      </c>
      <c r="D13" s="73">
        <v>41774</v>
      </c>
      <c r="E13" s="91">
        <v>42752</v>
      </c>
      <c r="F13" s="13">
        <f t="shared" si="0"/>
        <v>32.6</v>
      </c>
      <c r="G13" s="14">
        <f t="shared" si="1"/>
        <v>1.6666666666666666E-2</v>
      </c>
      <c r="H13" s="15">
        <v>193400</v>
      </c>
      <c r="I13" s="15">
        <f t="shared" si="5"/>
        <v>88319.333333333328</v>
      </c>
      <c r="J13" s="16">
        <f>INDICES!B50/INDICES!G48</f>
        <v>1.0583169206316299</v>
      </c>
      <c r="K13" s="15">
        <f t="shared" si="6"/>
        <v>93469.844885571787</v>
      </c>
      <c r="L13" s="15">
        <v>145000</v>
      </c>
      <c r="M13" s="15">
        <f t="shared" si="2"/>
        <v>51530.155114428213</v>
      </c>
      <c r="N13" s="15">
        <f>+N1</f>
        <v>87643.8</v>
      </c>
      <c r="O13" s="15">
        <f t="shared" si="3"/>
        <v>-36113.64488557179</v>
      </c>
      <c r="P13" s="15">
        <f t="shared" si="4"/>
        <v>0</v>
      </c>
      <c r="Q13" s="75" t="s">
        <v>45</v>
      </c>
      <c r="R13" s="76"/>
    </row>
    <row r="14" spans="1:25" s="77" customFormat="1" x14ac:dyDescent="0.2">
      <c r="A14" s="53">
        <v>9</v>
      </c>
      <c r="B14" s="71">
        <v>592</v>
      </c>
      <c r="C14" s="72" t="s">
        <v>53</v>
      </c>
      <c r="D14" s="73">
        <v>42115</v>
      </c>
      <c r="E14" s="74">
        <v>42755</v>
      </c>
      <c r="F14" s="13">
        <f t="shared" si="0"/>
        <v>21.333333333333332</v>
      </c>
      <c r="G14" s="14">
        <f t="shared" si="1"/>
        <v>1.6666666666666666E-2</v>
      </c>
      <c r="H14" s="15">
        <v>142900</v>
      </c>
      <c r="I14" s="15">
        <f t="shared" si="5"/>
        <v>92091.111111111124</v>
      </c>
      <c r="J14" s="16">
        <f>INDICES!B50/INDICES!F48</f>
        <v>1.0530319308951825</v>
      </c>
      <c r="K14" s="15">
        <f t="shared" si="6"/>
        <v>96974.880551616152</v>
      </c>
      <c r="L14" s="15">
        <v>105000</v>
      </c>
      <c r="M14" s="15">
        <f t="shared" si="2"/>
        <v>8025.1194483838481</v>
      </c>
      <c r="N14" s="15">
        <f>+N1</f>
        <v>87643.8</v>
      </c>
      <c r="O14" s="15">
        <f t="shared" si="3"/>
        <v>-79618.680551616155</v>
      </c>
      <c r="P14" s="15">
        <f t="shared" si="4"/>
        <v>0</v>
      </c>
      <c r="Q14" s="75" t="s">
        <v>54</v>
      </c>
      <c r="R14" s="76"/>
    </row>
    <row r="15" spans="1:25" s="77" customFormat="1" x14ac:dyDescent="0.2">
      <c r="A15" s="53">
        <v>10</v>
      </c>
      <c r="B15" s="71">
        <v>593</v>
      </c>
      <c r="C15" s="72" t="s">
        <v>55</v>
      </c>
      <c r="D15" s="73">
        <v>41017</v>
      </c>
      <c r="E15" s="74">
        <v>42755</v>
      </c>
      <c r="F15" s="13">
        <f t="shared" si="0"/>
        <v>57.93333333333333</v>
      </c>
      <c r="G15" s="14">
        <f t="shared" si="1"/>
        <v>1.6666666666666666E-2</v>
      </c>
      <c r="H15" s="15">
        <v>155500</v>
      </c>
      <c r="I15" s="15">
        <f t="shared" si="5"/>
        <v>5356.111111111124</v>
      </c>
      <c r="J15" s="16">
        <f>INDICES!B50/INDICES!F45</f>
        <v>1.175451893924857</v>
      </c>
      <c r="K15" s="15">
        <f t="shared" si="6"/>
        <v>6295.850949627541</v>
      </c>
      <c r="L15" s="15">
        <v>78000</v>
      </c>
      <c r="M15" s="15">
        <f t="shared" si="2"/>
        <v>71704.149050372464</v>
      </c>
      <c r="N15" s="15">
        <f>+N1</f>
        <v>87643.8</v>
      </c>
      <c r="O15" s="15">
        <f t="shared" si="3"/>
        <v>-15939.650949627539</v>
      </c>
      <c r="P15" s="15">
        <f t="shared" si="4"/>
        <v>0</v>
      </c>
      <c r="Q15" s="75" t="s">
        <v>56</v>
      </c>
      <c r="R15" s="76"/>
    </row>
    <row r="16" spans="1:25" s="77" customFormat="1" x14ac:dyDescent="0.2">
      <c r="A16" s="53">
        <v>11</v>
      </c>
      <c r="B16" s="71">
        <v>594</v>
      </c>
      <c r="C16" s="72" t="s">
        <v>57</v>
      </c>
      <c r="D16" s="73">
        <v>40607</v>
      </c>
      <c r="E16" s="74">
        <v>42756</v>
      </c>
      <c r="F16" s="13">
        <f t="shared" si="0"/>
        <v>71.63333333333334</v>
      </c>
      <c r="G16" s="14">
        <f t="shared" si="1"/>
        <v>1.6666666666666666E-2</v>
      </c>
      <c r="H16" s="15">
        <v>153900</v>
      </c>
      <c r="I16" s="15">
        <f t="shared" si="5"/>
        <v>-29839.500000000029</v>
      </c>
      <c r="J16" s="16">
        <f>INDICES!B50/INDICES!E44</f>
        <v>1.2154627617885454</v>
      </c>
      <c r="K16" s="15">
        <f t="shared" si="6"/>
        <v>-36268.801080389334</v>
      </c>
      <c r="L16" s="15">
        <v>78000</v>
      </c>
      <c r="M16" s="15">
        <f t="shared" si="2"/>
        <v>114268.80108038933</v>
      </c>
      <c r="N16" s="15">
        <f>+N1</f>
        <v>87643.8</v>
      </c>
      <c r="O16" s="15">
        <f t="shared" si="3"/>
        <v>26625.001080389324</v>
      </c>
      <c r="P16" s="15">
        <f t="shared" si="4"/>
        <v>5325.0002160778649</v>
      </c>
      <c r="Q16" s="75" t="s">
        <v>43</v>
      </c>
      <c r="R16" s="76"/>
    </row>
    <row r="17" spans="1:18" s="77" customFormat="1" x14ac:dyDescent="0.2">
      <c r="A17" s="53">
        <v>12</v>
      </c>
      <c r="B17" s="71">
        <v>595</v>
      </c>
      <c r="C17" s="72" t="s">
        <v>58</v>
      </c>
      <c r="D17" s="73">
        <v>42046</v>
      </c>
      <c r="E17" s="74">
        <v>42756</v>
      </c>
      <c r="F17" s="13">
        <f t="shared" si="0"/>
        <v>23.666666666666668</v>
      </c>
      <c r="G17" s="14">
        <f t="shared" si="1"/>
        <v>1.6666666666666666E-2</v>
      </c>
      <c r="H17" s="15">
        <v>177500</v>
      </c>
      <c r="I17" s="15">
        <f t="shared" si="5"/>
        <v>107486.11111111111</v>
      </c>
      <c r="J17" s="16">
        <f>INDICES!B50/INDICES!D48</f>
        <v>1.0545819202231135</v>
      </c>
      <c r="K17" s="15">
        <f t="shared" si="6"/>
        <v>113352.90945287049</v>
      </c>
      <c r="L17" s="15">
        <v>122000</v>
      </c>
      <c r="M17" s="15">
        <f t="shared" si="2"/>
        <v>8647.0905471295118</v>
      </c>
      <c r="N17" s="15">
        <f>+N1</f>
        <v>87643.8</v>
      </c>
      <c r="O17" s="15">
        <f t="shared" si="3"/>
        <v>-78996.709452870491</v>
      </c>
      <c r="P17" s="15">
        <f t="shared" si="4"/>
        <v>0</v>
      </c>
      <c r="Q17" s="75" t="s">
        <v>59</v>
      </c>
      <c r="R17" s="76"/>
    </row>
    <row r="18" spans="1:18" s="80" customFormat="1" x14ac:dyDescent="0.2">
      <c r="A18" s="53">
        <v>13</v>
      </c>
      <c r="B18" s="71">
        <v>596</v>
      </c>
      <c r="C18" s="59" t="s">
        <v>60</v>
      </c>
      <c r="D18" s="78">
        <v>41208</v>
      </c>
      <c r="E18" s="74">
        <v>42756</v>
      </c>
      <c r="F18" s="13">
        <f t="shared" si="0"/>
        <v>51.6</v>
      </c>
      <c r="G18" s="14">
        <f t="shared" si="1"/>
        <v>1.6666666666666666E-2</v>
      </c>
      <c r="H18" s="15">
        <v>99000</v>
      </c>
      <c r="I18" s="15">
        <f t="shared" si="5"/>
        <v>13860</v>
      </c>
      <c r="J18" s="16">
        <f>INDICES!B50/INDICES!L45</f>
        <v>1.1527785618848678</v>
      </c>
      <c r="K18" s="15">
        <f t="shared" si="6"/>
        <v>15977.510867724268</v>
      </c>
      <c r="L18" s="15">
        <v>54000</v>
      </c>
      <c r="M18" s="15">
        <f t="shared" si="2"/>
        <v>38022.489132275732</v>
      </c>
      <c r="N18" s="15">
        <f>+N1</f>
        <v>87643.8</v>
      </c>
      <c r="O18" s="15">
        <f t="shared" si="3"/>
        <v>-49621.310867724271</v>
      </c>
      <c r="P18" s="15">
        <f t="shared" si="4"/>
        <v>0</v>
      </c>
      <c r="Q18" s="75" t="s">
        <v>64</v>
      </c>
      <c r="R18" s="79"/>
    </row>
    <row r="19" spans="1:18" s="80" customFormat="1" x14ac:dyDescent="0.2">
      <c r="A19" s="53">
        <v>14</v>
      </c>
      <c r="B19" s="71">
        <v>597</v>
      </c>
      <c r="C19" s="59" t="s">
        <v>62</v>
      </c>
      <c r="D19" s="78">
        <v>42399</v>
      </c>
      <c r="E19" s="74">
        <v>42759</v>
      </c>
      <c r="F19" s="13">
        <f t="shared" si="0"/>
        <v>12</v>
      </c>
      <c r="G19" s="14">
        <f t="shared" si="1"/>
        <v>1.6666666666666666E-2</v>
      </c>
      <c r="H19" s="15">
        <v>130000</v>
      </c>
      <c r="I19" s="15">
        <f t="shared" si="5"/>
        <v>104000</v>
      </c>
      <c r="J19" s="16">
        <f>INDICES!B50/INDICES!C49</f>
        <v>1.0297108757774416</v>
      </c>
      <c r="K19" s="15">
        <f t="shared" si="6"/>
        <v>107089.93108085393</v>
      </c>
      <c r="L19" s="15">
        <v>130000</v>
      </c>
      <c r="M19" s="15">
        <f t="shared" si="2"/>
        <v>22910.06891914607</v>
      </c>
      <c r="N19" s="15">
        <f>+N1</f>
        <v>87643.8</v>
      </c>
      <c r="O19" s="15">
        <f t="shared" si="3"/>
        <v>-64733.731080853933</v>
      </c>
      <c r="P19" s="15">
        <f t="shared" si="4"/>
        <v>0</v>
      </c>
      <c r="Q19" s="75" t="s">
        <v>45</v>
      </c>
      <c r="R19" s="79"/>
    </row>
    <row r="20" spans="1:18" s="80" customFormat="1" x14ac:dyDescent="0.2">
      <c r="A20" s="53">
        <v>15</v>
      </c>
      <c r="B20" s="71">
        <v>598</v>
      </c>
      <c r="C20" s="59" t="s">
        <v>63</v>
      </c>
      <c r="D20" s="78">
        <v>42438</v>
      </c>
      <c r="E20" s="74">
        <v>42759</v>
      </c>
      <c r="F20" s="13">
        <f t="shared" si="0"/>
        <v>10.7</v>
      </c>
      <c r="G20" s="14">
        <f t="shared" si="1"/>
        <v>1.6666666666666666E-2</v>
      </c>
      <c r="H20" s="15">
        <v>143100</v>
      </c>
      <c r="I20" s="15">
        <f t="shared" si="5"/>
        <v>117580.5</v>
      </c>
      <c r="J20" s="16">
        <f>INDICES!B50/INDICES!E49</f>
        <v>1.0236796149764791</v>
      </c>
      <c r="K20" s="15">
        <f t="shared" si="6"/>
        <v>120364.7609687419</v>
      </c>
      <c r="L20" s="82">
        <v>115000</v>
      </c>
      <c r="M20" s="15">
        <f t="shared" si="2"/>
        <v>-5364.7609687419026</v>
      </c>
      <c r="N20" s="15">
        <f>+N1</f>
        <v>87643.8</v>
      </c>
      <c r="O20" s="15">
        <f t="shared" si="3"/>
        <v>-93008.560968741906</v>
      </c>
      <c r="P20" s="15">
        <f t="shared" si="4"/>
        <v>0</v>
      </c>
      <c r="Q20" s="75" t="s">
        <v>65</v>
      </c>
      <c r="R20" s="79"/>
    </row>
    <row r="21" spans="1:18" s="80" customFormat="1" x14ac:dyDescent="0.2">
      <c r="A21" s="53">
        <v>16</v>
      </c>
      <c r="B21" s="71">
        <v>599</v>
      </c>
      <c r="C21" s="72" t="s">
        <v>75</v>
      </c>
      <c r="D21" s="78">
        <v>40701</v>
      </c>
      <c r="E21" s="74">
        <v>42760</v>
      </c>
      <c r="F21" s="13">
        <f t="shared" si="0"/>
        <v>68.63333333333334</v>
      </c>
      <c r="G21" s="14">
        <f t="shared" si="1"/>
        <v>1.6666666666666666E-2</v>
      </c>
      <c r="H21" s="15">
        <v>237850</v>
      </c>
      <c r="I21" s="15">
        <f t="shared" si="5"/>
        <v>-34223.972222222248</v>
      </c>
      <c r="J21" s="16">
        <f>INDICES!B50/INDICES!H44</f>
        <v>1.224647894363311</v>
      </c>
      <c r="K21" s="15">
        <f t="shared" si="6"/>
        <v>-41912.315518692922</v>
      </c>
      <c r="L21" s="15">
        <v>113000</v>
      </c>
      <c r="M21" s="15">
        <f t="shared" si="2"/>
        <v>154912.31551869292</v>
      </c>
      <c r="N21" s="15">
        <f>+N1</f>
        <v>87643.8</v>
      </c>
      <c r="O21" s="15">
        <f t="shared" si="3"/>
        <v>67268.515518692919</v>
      </c>
      <c r="P21" s="15">
        <f t="shared" si="4"/>
        <v>13453.703103738584</v>
      </c>
      <c r="Q21" s="75" t="s">
        <v>76</v>
      </c>
      <c r="R21" s="81"/>
    </row>
    <row r="22" spans="1:18" s="80" customFormat="1" x14ac:dyDescent="0.2">
      <c r="A22" s="53">
        <v>17</v>
      </c>
      <c r="B22" s="71">
        <v>600</v>
      </c>
      <c r="C22" s="72" t="s">
        <v>67</v>
      </c>
      <c r="D22" s="78">
        <v>41067</v>
      </c>
      <c r="E22" s="74">
        <v>42760</v>
      </c>
      <c r="F22" s="13">
        <f t="shared" si="0"/>
        <v>56.43333333333333</v>
      </c>
      <c r="G22" s="14">
        <f t="shared" si="1"/>
        <v>1.6666666666666666E-2</v>
      </c>
      <c r="H22" s="15">
        <v>139900</v>
      </c>
      <c r="I22" s="15">
        <f t="shared" si="5"/>
        <v>8316.277777777781</v>
      </c>
      <c r="J22" s="16">
        <f>INDICES!B50/INDICES!H45</f>
        <v>1.1737626702945065</v>
      </c>
      <c r="K22" s="15">
        <f t="shared" si="6"/>
        <v>9761.3364113553125</v>
      </c>
      <c r="L22" s="15">
        <v>82000</v>
      </c>
      <c r="M22" s="15">
        <f t="shared" si="2"/>
        <v>72238.663588644689</v>
      </c>
      <c r="N22" s="15">
        <f>+N1</f>
        <v>87643.8</v>
      </c>
      <c r="O22" s="15">
        <f t="shared" si="3"/>
        <v>-15405.136411355314</v>
      </c>
      <c r="P22" s="15">
        <f t="shared" si="4"/>
        <v>0</v>
      </c>
      <c r="Q22" s="75" t="s">
        <v>66</v>
      </c>
      <c r="R22" s="81"/>
    </row>
    <row r="23" spans="1:18" s="80" customFormat="1" x14ac:dyDescent="0.2">
      <c r="A23" s="53">
        <v>18</v>
      </c>
      <c r="B23" s="71">
        <v>601</v>
      </c>
      <c r="C23" s="72" t="s">
        <v>68</v>
      </c>
      <c r="D23" s="78">
        <v>42016</v>
      </c>
      <c r="E23" s="74">
        <v>42760</v>
      </c>
      <c r="F23" s="13">
        <f t="shared" si="0"/>
        <v>24.8</v>
      </c>
      <c r="G23" s="14">
        <f t="shared" si="1"/>
        <v>1.6666666666666666E-2</v>
      </c>
      <c r="H23" s="15">
        <v>196300</v>
      </c>
      <c r="I23" s="15">
        <f t="shared" si="5"/>
        <v>115162.66666666667</v>
      </c>
      <c r="J23" s="16">
        <f>INDICES!B50/INDICES!M44</f>
        <v>1.1928592987819722</v>
      </c>
      <c r="K23" s="15">
        <f t="shared" si="6"/>
        <v>137372.857805862</v>
      </c>
      <c r="L23" s="15">
        <v>145000</v>
      </c>
      <c r="M23" s="15">
        <f t="shared" si="2"/>
        <v>7627.1421941379958</v>
      </c>
      <c r="N23" s="15">
        <f>+N1</f>
        <v>87643.8</v>
      </c>
      <c r="O23" s="15">
        <f t="shared" si="3"/>
        <v>-80016.657805862007</v>
      </c>
      <c r="P23" s="15">
        <f t="shared" si="4"/>
        <v>0</v>
      </c>
      <c r="Q23" s="75" t="s">
        <v>65</v>
      </c>
      <c r="R23" s="81"/>
    </row>
    <row r="24" spans="1:18" s="80" customFormat="1" x14ac:dyDescent="0.2">
      <c r="A24" s="53">
        <v>19</v>
      </c>
      <c r="B24" s="71">
        <v>602</v>
      </c>
      <c r="C24" s="72" t="s">
        <v>69</v>
      </c>
      <c r="D24" s="78">
        <v>41344</v>
      </c>
      <c r="E24" s="74">
        <v>42760</v>
      </c>
      <c r="F24" s="13">
        <f t="shared" si="0"/>
        <v>47.2</v>
      </c>
      <c r="G24" s="14">
        <f t="shared" si="1"/>
        <v>1.6666666666666666E-2</v>
      </c>
      <c r="H24" s="15">
        <v>334300</v>
      </c>
      <c r="I24" s="15">
        <f t="shared" si="5"/>
        <v>71317.333333333314</v>
      </c>
      <c r="J24" s="16">
        <f>INDICES!B50/INDICES!E46</f>
        <v>1.1239702023816078</v>
      </c>
      <c r="K24" s="15">
        <f t="shared" si="6"/>
        <v>80158.55757998323</v>
      </c>
      <c r="L24" s="15">
        <v>175000</v>
      </c>
      <c r="M24" s="15">
        <f t="shared" si="2"/>
        <v>94841.44242001677</v>
      </c>
      <c r="N24" s="15">
        <f>+N1</f>
        <v>87643.8</v>
      </c>
      <c r="O24" s="15">
        <f t="shared" si="3"/>
        <v>7197.6424200167676</v>
      </c>
      <c r="P24" s="15">
        <f t="shared" si="4"/>
        <v>1439.5284840033537</v>
      </c>
      <c r="Q24" s="75" t="s">
        <v>21</v>
      </c>
      <c r="R24" s="81"/>
    </row>
    <row r="25" spans="1:18" s="80" customFormat="1" x14ac:dyDescent="0.2">
      <c r="A25" s="53">
        <v>20</v>
      </c>
      <c r="B25" s="71">
        <v>603</v>
      </c>
      <c r="C25" s="72" t="s">
        <v>70</v>
      </c>
      <c r="D25" s="78">
        <v>42332</v>
      </c>
      <c r="E25" s="74">
        <v>42760</v>
      </c>
      <c r="F25" s="13">
        <f t="shared" si="0"/>
        <v>14.266666666666667</v>
      </c>
      <c r="G25" s="14">
        <f t="shared" si="1"/>
        <v>1.6666666666666666E-2</v>
      </c>
      <c r="H25" s="15">
        <v>207900</v>
      </c>
      <c r="I25" s="15">
        <f t="shared" si="5"/>
        <v>158466</v>
      </c>
      <c r="J25" s="16">
        <f>INDICES!B50/INDICES!M48</f>
        <v>1.0378141650642518</v>
      </c>
      <c r="K25" s="15">
        <f t="shared" si="6"/>
        <v>164458.25948107173</v>
      </c>
      <c r="L25" s="15">
        <v>168500</v>
      </c>
      <c r="M25" s="15">
        <f t="shared" si="2"/>
        <v>4041.7405189282726</v>
      </c>
      <c r="N25" s="15">
        <f>+N1</f>
        <v>87643.8</v>
      </c>
      <c r="O25" s="15">
        <f t="shared" si="3"/>
        <v>-83602.05948107173</v>
      </c>
      <c r="P25" s="15">
        <f t="shared" si="4"/>
        <v>0</v>
      </c>
      <c r="Q25" s="75" t="s">
        <v>71</v>
      </c>
      <c r="R25" s="81"/>
    </row>
    <row r="26" spans="1:18" s="80" customFormat="1" x14ac:dyDescent="0.2">
      <c r="A26" s="53">
        <v>21</v>
      </c>
      <c r="B26" s="71">
        <v>604</v>
      </c>
      <c r="C26" s="72" t="s">
        <v>61</v>
      </c>
      <c r="D26" s="78">
        <v>40939</v>
      </c>
      <c r="E26" s="74">
        <v>42761</v>
      </c>
      <c r="F26" s="13">
        <f t="shared" si="0"/>
        <v>60.733333333333334</v>
      </c>
      <c r="G26" s="14">
        <f t="shared" si="1"/>
        <v>1.6666666666666666E-2</v>
      </c>
      <c r="H26" s="15">
        <v>199900</v>
      </c>
      <c r="I26" s="15">
        <f t="shared" si="5"/>
        <v>-2443.222222222219</v>
      </c>
      <c r="J26" s="16">
        <f>INDICES!B50/INDICES!C45</f>
        <v>1.1748206819838134</v>
      </c>
      <c r="K26" s="15">
        <f t="shared" si="6"/>
        <v>-2870.3479973491153</v>
      </c>
      <c r="L26" s="15">
        <v>100000</v>
      </c>
      <c r="M26" s="15">
        <f t="shared" si="2"/>
        <v>102870.34799734912</v>
      </c>
      <c r="N26" s="15">
        <f>+N1</f>
        <v>87643.8</v>
      </c>
      <c r="O26" s="15">
        <f t="shared" si="3"/>
        <v>15226.547997349116</v>
      </c>
      <c r="P26" s="15">
        <f t="shared" si="4"/>
        <v>3045.3095994698233</v>
      </c>
      <c r="Q26" s="75" t="s">
        <v>51</v>
      </c>
      <c r="R26" s="79"/>
    </row>
    <row r="27" spans="1:18" x14ac:dyDescent="0.2">
      <c r="A27" s="53">
        <v>22</v>
      </c>
      <c r="B27" s="51">
        <v>605</v>
      </c>
      <c r="C27" s="58" t="s">
        <v>72</v>
      </c>
      <c r="D27" s="36">
        <v>42460</v>
      </c>
      <c r="E27" s="30">
        <v>42825</v>
      </c>
      <c r="F27" s="13">
        <f t="shared" si="0"/>
        <v>12.166666666666666</v>
      </c>
      <c r="G27" s="14">
        <f t="shared" si="1"/>
        <v>1.6666666666666666E-2</v>
      </c>
      <c r="H27" s="15">
        <v>176200</v>
      </c>
      <c r="I27" s="15">
        <f t="shared" si="5"/>
        <v>140470.55555555556</v>
      </c>
      <c r="J27" s="16">
        <f>INDICES!B50/INDICES!E49</f>
        <v>1.0236796149764791</v>
      </c>
      <c r="K27" s="15">
        <f t="shared" si="6"/>
        <v>143796.84422664324</v>
      </c>
      <c r="L27" s="15">
        <v>135000</v>
      </c>
      <c r="M27" s="15">
        <f t="shared" si="2"/>
        <v>-8796.8442266432394</v>
      </c>
      <c r="N27" s="15">
        <f>+N1</f>
        <v>87643.8</v>
      </c>
      <c r="O27" s="15">
        <f t="shared" si="3"/>
        <v>-96440.644226643242</v>
      </c>
      <c r="P27" s="15">
        <f t="shared" si="4"/>
        <v>0</v>
      </c>
      <c r="Q27" s="31" t="s">
        <v>65</v>
      </c>
      <c r="R27" s="38"/>
    </row>
    <row r="28" spans="1:18" x14ac:dyDescent="0.2">
      <c r="A28" s="53">
        <v>23</v>
      </c>
      <c r="B28" s="51">
        <v>607</v>
      </c>
      <c r="C28" s="58" t="s">
        <v>77</v>
      </c>
      <c r="D28" s="36">
        <v>40598</v>
      </c>
      <c r="E28" s="30">
        <v>42763</v>
      </c>
      <c r="F28" s="13">
        <f t="shared" si="0"/>
        <v>72.166666666666671</v>
      </c>
      <c r="G28" s="14">
        <f t="shared" si="1"/>
        <v>1.6666666666666666E-2</v>
      </c>
      <c r="H28" s="15">
        <v>153900</v>
      </c>
      <c r="I28" s="15">
        <f t="shared" si="5"/>
        <v>-31207.5</v>
      </c>
      <c r="J28" s="16">
        <f>INDICES!B50/INDICES!D44</f>
        <v>1.2177945210926007</v>
      </c>
      <c r="K28" s="15">
        <f t="shared" si="6"/>
        <v>-38004.322516997338</v>
      </c>
      <c r="L28" s="15">
        <v>72000</v>
      </c>
      <c r="M28" s="15">
        <f t="shared" si="2"/>
        <v>110004.32251699734</v>
      </c>
      <c r="N28" s="15">
        <f>+N1</f>
        <v>87643.8</v>
      </c>
      <c r="O28" s="15">
        <f t="shared" si="3"/>
        <v>22360.522516997342</v>
      </c>
      <c r="P28" s="15">
        <f t="shared" si="4"/>
        <v>4472.1045033994687</v>
      </c>
      <c r="Q28" s="31" t="s">
        <v>78</v>
      </c>
      <c r="R28" s="38"/>
    </row>
    <row r="29" spans="1:18" x14ac:dyDescent="0.2">
      <c r="A29" s="53">
        <v>24</v>
      </c>
      <c r="B29" s="51">
        <v>608</v>
      </c>
      <c r="C29" s="39" t="s">
        <v>73</v>
      </c>
      <c r="D29" s="36">
        <v>40175</v>
      </c>
      <c r="E29" s="30">
        <v>42763</v>
      </c>
      <c r="F29" s="13">
        <f t="shared" si="0"/>
        <v>86.266666666666666</v>
      </c>
      <c r="G29" s="14">
        <f t="shared" si="1"/>
        <v>1.6666666666666666E-2</v>
      </c>
      <c r="H29" s="15">
        <v>332500.01</v>
      </c>
      <c r="I29" s="15">
        <f t="shared" ref="I29:I38" si="7">H29-(H29*G29*F29)</f>
        <v>-145561.11548888893</v>
      </c>
      <c r="J29" s="16">
        <f>+INDICES!D49/INDICES!N46</f>
        <v>1.0717168274921978</v>
      </c>
      <c r="K29" s="15">
        <f t="shared" ref="K29:K38" si="8">+I29*J29</f>
        <v>-156000.29689797745</v>
      </c>
      <c r="L29" s="15">
        <v>125000</v>
      </c>
      <c r="M29" s="15">
        <f t="shared" ref="M29:M38" si="9">+L29-K29</f>
        <v>281000.29689797747</v>
      </c>
      <c r="N29" s="15">
        <f>+N1</f>
        <v>87643.8</v>
      </c>
      <c r="O29" s="15">
        <f t="shared" ref="O29:O38" si="10">+M29-N29</f>
        <v>193356.49689797749</v>
      </c>
      <c r="P29" s="15">
        <f t="shared" si="4"/>
        <v>38671.299379595497</v>
      </c>
      <c r="Q29" s="31" t="s">
        <v>74</v>
      </c>
      <c r="R29" s="38"/>
    </row>
    <row r="30" spans="1:18" x14ac:dyDescent="0.2">
      <c r="A30" s="53">
        <v>25</v>
      </c>
      <c r="B30" s="51">
        <v>609</v>
      </c>
      <c r="C30" s="39" t="s">
        <v>81</v>
      </c>
      <c r="D30" s="36">
        <v>41953</v>
      </c>
      <c r="E30" s="30">
        <v>42804</v>
      </c>
      <c r="F30" s="13">
        <f t="shared" si="0"/>
        <v>28.366666666666667</v>
      </c>
      <c r="G30" s="14">
        <f t="shared" si="1"/>
        <v>1.6666666666666666E-2</v>
      </c>
      <c r="H30" s="15">
        <v>247000</v>
      </c>
      <c r="I30" s="15">
        <f t="shared" si="7"/>
        <v>130223.88888888888</v>
      </c>
      <c r="J30" s="16">
        <f>INDICES!B50/INDICES!N42</f>
        <v>1.2823833879501436</v>
      </c>
      <c r="K30" s="15">
        <f t="shared" si="8"/>
        <v>166996.95182537637</v>
      </c>
      <c r="L30" s="15">
        <v>160000</v>
      </c>
      <c r="M30" s="15">
        <f t="shared" si="9"/>
        <v>-6996.9518253763672</v>
      </c>
      <c r="N30" s="15">
        <f>+N1</f>
        <v>87643.8</v>
      </c>
      <c r="O30" s="15">
        <f t="shared" si="10"/>
        <v>-94640.75182537637</v>
      </c>
      <c r="P30" s="15">
        <f t="shared" si="4"/>
        <v>0</v>
      </c>
      <c r="Q30" s="31" t="s">
        <v>40</v>
      </c>
      <c r="R30" s="38"/>
    </row>
    <row r="31" spans="1:18" x14ac:dyDescent="0.2">
      <c r="A31" s="53">
        <v>26</v>
      </c>
      <c r="B31" s="51">
        <v>611</v>
      </c>
      <c r="C31" s="39" t="s">
        <v>82</v>
      </c>
      <c r="D31" s="36">
        <v>42156</v>
      </c>
      <c r="E31" s="30">
        <v>42804</v>
      </c>
      <c r="F31" s="13">
        <f t="shared" si="0"/>
        <v>21.6</v>
      </c>
      <c r="G31" s="14">
        <f t="shared" si="1"/>
        <v>1.6666666666666666E-2</v>
      </c>
      <c r="H31" s="15">
        <v>104900</v>
      </c>
      <c r="I31" s="15">
        <f t="shared" si="7"/>
        <v>67136</v>
      </c>
      <c r="J31" s="16">
        <f>+INDICES!D49/INDICES!I47</f>
        <v>1.0572669686460472</v>
      </c>
      <c r="K31" s="15">
        <f t="shared" si="8"/>
        <v>70980.67520702102</v>
      </c>
      <c r="L31" s="15">
        <v>91000</v>
      </c>
      <c r="M31" s="15">
        <f t="shared" si="9"/>
        <v>20019.32479297898</v>
      </c>
      <c r="N31" s="15">
        <f>+N1</f>
        <v>87643.8</v>
      </c>
      <c r="O31" s="15">
        <f t="shared" si="10"/>
        <v>-67624.475207021023</v>
      </c>
      <c r="P31" s="15">
        <f t="shared" si="4"/>
        <v>0</v>
      </c>
      <c r="Q31" s="31" t="s">
        <v>83</v>
      </c>
      <c r="R31" s="38"/>
    </row>
    <row r="32" spans="1:18" x14ac:dyDescent="0.2">
      <c r="A32" s="53">
        <v>27</v>
      </c>
      <c r="B32" s="51">
        <v>613</v>
      </c>
      <c r="C32" s="39" t="s">
        <v>84</v>
      </c>
      <c r="D32" s="36">
        <v>41240</v>
      </c>
      <c r="E32" s="30">
        <v>42804</v>
      </c>
      <c r="F32" s="13">
        <f t="shared" si="0"/>
        <v>52.133333333333333</v>
      </c>
      <c r="G32" s="14">
        <f t="shared" si="1"/>
        <v>1.6666666666666666E-2</v>
      </c>
      <c r="H32" s="15">
        <v>145900</v>
      </c>
      <c r="I32" s="15">
        <f t="shared" si="7"/>
        <v>19129.111111111124</v>
      </c>
      <c r="J32" s="16">
        <f>+INDICES!D49/INDICES!L45</f>
        <v>1.1244566137864844</v>
      </c>
      <c r="K32" s="15">
        <f t="shared" si="8"/>
        <v>21509.855504745428</v>
      </c>
      <c r="L32" s="15">
        <v>85000</v>
      </c>
      <c r="M32" s="15">
        <f t="shared" si="9"/>
        <v>63490.144495254572</v>
      </c>
      <c r="N32" s="15">
        <f>+N1</f>
        <v>87643.8</v>
      </c>
      <c r="O32" s="15">
        <f t="shared" si="10"/>
        <v>-24153.655504745431</v>
      </c>
      <c r="P32" s="15">
        <f t="shared" si="4"/>
        <v>0</v>
      </c>
      <c r="Q32" s="31" t="s">
        <v>85</v>
      </c>
      <c r="R32" s="38"/>
    </row>
    <row r="33" spans="1:18" x14ac:dyDescent="0.2">
      <c r="A33" s="53">
        <v>28</v>
      </c>
      <c r="B33" s="51">
        <v>614</v>
      </c>
      <c r="C33" s="39" t="s">
        <v>86</v>
      </c>
      <c r="D33" s="36">
        <v>41111</v>
      </c>
      <c r="E33" s="30">
        <v>42804</v>
      </c>
      <c r="F33" s="13">
        <f t="shared" si="0"/>
        <v>56.43333333333333</v>
      </c>
      <c r="G33" s="14">
        <f t="shared" si="1"/>
        <v>1.6666666666666666E-2</v>
      </c>
      <c r="H33" s="15">
        <v>345000</v>
      </c>
      <c r="I33" s="15">
        <f t="shared" si="7"/>
        <v>20508.333333333372</v>
      </c>
      <c r="J33" s="16">
        <f>INDICES!B50/INDICES!G48</f>
        <v>1.0583169206316299</v>
      </c>
      <c r="K33" s="15">
        <f t="shared" si="8"/>
        <v>21704.316180620383</v>
      </c>
      <c r="L33" s="15">
        <v>171900</v>
      </c>
      <c r="M33" s="15">
        <f t="shared" si="9"/>
        <v>150195.68381937963</v>
      </c>
      <c r="N33" s="15">
        <f>+N1</f>
        <v>87643.8</v>
      </c>
      <c r="O33" s="15">
        <f t="shared" si="10"/>
        <v>62551.883819379625</v>
      </c>
      <c r="P33" s="15">
        <f t="shared" si="4"/>
        <v>12510.376763875925</v>
      </c>
      <c r="Q33" s="31" t="s">
        <v>87</v>
      </c>
      <c r="R33" s="38" t="s">
        <v>88</v>
      </c>
    </row>
    <row r="34" spans="1:18" x14ac:dyDescent="0.2">
      <c r="A34" s="53">
        <v>29</v>
      </c>
      <c r="B34" s="51">
        <v>615</v>
      </c>
      <c r="C34" s="39" t="s">
        <v>89</v>
      </c>
      <c r="D34" s="36">
        <v>41163</v>
      </c>
      <c r="E34" s="30">
        <v>42804</v>
      </c>
      <c r="F34" s="13">
        <f t="shared" si="0"/>
        <v>54.7</v>
      </c>
      <c r="G34" s="14">
        <f t="shared" si="1"/>
        <v>1.6666666666666666E-2</v>
      </c>
      <c r="H34" s="15">
        <v>237900</v>
      </c>
      <c r="I34" s="15">
        <f t="shared" si="7"/>
        <v>21014.5</v>
      </c>
      <c r="J34" s="16">
        <f>+INDICES!E49/INDICES!N45</f>
        <v>1.1159483803591743</v>
      </c>
      <c r="K34" s="15">
        <f t="shared" si="8"/>
        <v>23451.097239057868</v>
      </c>
      <c r="L34" s="15">
        <v>115000</v>
      </c>
      <c r="M34" s="15">
        <f t="shared" si="9"/>
        <v>91548.902760942132</v>
      </c>
      <c r="N34" s="15">
        <f>+N1</f>
        <v>87643.8</v>
      </c>
      <c r="O34" s="15">
        <f t="shared" si="10"/>
        <v>3905.102760942129</v>
      </c>
      <c r="P34" s="15">
        <f t="shared" si="4"/>
        <v>781.02055218842588</v>
      </c>
      <c r="Q34" s="31" t="s">
        <v>90</v>
      </c>
      <c r="R34" s="38"/>
    </row>
    <row r="35" spans="1:18" x14ac:dyDescent="0.2">
      <c r="A35" s="53">
        <v>30</v>
      </c>
      <c r="B35" s="51">
        <v>617</v>
      </c>
      <c r="C35" s="39" t="s">
        <v>91</v>
      </c>
      <c r="D35" s="36">
        <v>41729</v>
      </c>
      <c r="E35" s="30">
        <v>42804</v>
      </c>
      <c r="F35" s="13">
        <f t="shared" si="0"/>
        <v>35.833333333333336</v>
      </c>
      <c r="G35" s="14">
        <f t="shared" si="1"/>
        <v>1.6666666666666666E-2</v>
      </c>
      <c r="H35" s="15">
        <v>170500</v>
      </c>
      <c r="I35" s="15">
        <f t="shared" si="7"/>
        <v>68673.611111111109</v>
      </c>
      <c r="J35" s="16">
        <f>+INDICES!E49/INDICES!M47</f>
        <v>1.0362619379529496</v>
      </c>
      <c r="K35" s="15">
        <f t="shared" si="8"/>
        <v>71163.849336227213</v>
      </c>
      <c r="L35" s="15">
        <v>127000</v>
      </c>
      <c r="M35" s="15">
        <f t="shared" si="9"/>
        <v>55836.150663772787</v>
      </c>
      <c r="N35" s="15">
        <f>+N1</f>
        <v>87643.8</v>
      </c>
      <c r="O35" s="15">
        <f t="shared" si="10"/>
        <v>-31807.649336227216</v>
      </c>
      <c r="P35" s="15">
        <f t="shared" si="4"/>
        <v>0</v>
      </c>
      <c r="Q35" s="31" t="s">
        <v>45</v>
      </c>
      <c r="R35" s="38"/>
    </row>
    <row r="36" spans="1:18" x14ac:dyDescent="0.2">
      <c r="A36" s="53">
        <v>31</v>
      </c>
      <c r="B36" s="51">
        <v>618</v>
      </c>
      <c r="C36" s="39" t="s">
        <v>92</v>
      </c>
      <c r="D36" s="36">
        <v>41729</v>
      </c>
      <c r="E36" s="30">
        <v>42804</v>
      </c>
      <c r="F36" s="13">
        <f t="shared" si="0"/>
        <v>35.833333333333336</v>
      </c>
      <c r="G36" s="14">
        <f t="shared" si="1"/>
        <v>1.6666666666666666E-2</v>
      </c>
      <c r="H36" s="15">
        <v>170500</v>
      </c>
      <c r="I36" s="15">
        <f t="shared" si="7"/>
        <v>68673.611111111109</v>
      </c>
      <c r="J36" s="16">
        <f>+INDICES!E49/INDICES!M45</f>
        <v>1.1185140186915887</v>
      </c>
      <c r="K36" s="15">
        <f t="shared" si="8"/>
        <v>76812.396741952223</v>
      </c>
      <c r="L36" s="15">
        <v>130000</v>
      </c>
      <c r="M36" s="15">
        <f t="shared" si="9"/>
        <v>53187.603258047777</v>
      </c>
      <c r="N36" s="15">
        <f>+N1</f>
        <v>87643.8</v>
      </c>
      <c r="O36" s="15">
        <f t="shared" si="10"/>
        <v>-34456.196741952226</v>
      </c>
      <c r="P36" s="15">
        <f t="shared" si="4"/>
        <v>0</v>
      </c>
      <c r="Q36" s="31" t="s">
        <v>87</v>
      </c>
      <c r="R36" s="38"/>
    </row>
    <row r="37" spans="1:18" x14ac:dyDescent="0.2">
      <c r="A37" s="53">
        <v>32</v>
      </c>
      <c r="B37" s="51">
        <v>619</v>
      </c>
      <c r="C37" s="39" t="s">
        <v>93</v>
      </c>
      <c r="D37" s="36">
        <v>41730</v>
      </c>
      <c r="E37" s="30">
        <v>42804</v>
      </c>
      <c r="F37" s="13">
        <f t="shared" si="0"/>
        <v>35.799999999999997</v>
      </c>
      <c r="G37" s="14">
        <f t="shared" si="1"/>
        <v>1.6666666666666666E-2</v>
      </c>
      <c r="H37" s="15">
        <v>200000</v>
      </c>
      <c r="I37" s="15">
        <f t="shared" si="7"/>
        <v>80666.666666666672</v>
      </c>
      <c r="J37" s="16">
        <f>+INDICES!E49/INDICES!L45</f>
        <v>1.1261126479610077</v>
      </c>
      <c r="K37" s="15">
        <f t="shared" si="8"/>
        <v>90839.753602187964</v>
      </c>
      <c r="L37" s="15">
        <v>147000</v>
      </c>
      <c r="M37" s="15">
        <f t="shared" si="9"/>
        <v>56160.246397812036</v>
      </c>
      <c r="N37" s="15">
        <f>+N1</f>
        <v>87643.8</v>
      </c>
      <c r="O37" s="15">
        <f t="shared" si="10"/>
        <v>-31483.553602187967</v>
      </c>
      <c r="P37" s="15">
        <f t="shared" si="4"/>
        <v>0</v>
      </c>
      <c r="Q37" s="31" t="s">
        <v>87</v>
      </c>
      <c r="R37" s="38"/>
    </row>
    <row r="38" spans="1:18" x14ac:dyDescent="0.2">
      <c r="A38" s="53">
        <v>33</v>
      </c>
      <c r="B38" s="51">
        <v>620</v>
      </c>
      <c r="C38" s="39" t="s">
        <v>94</v>
      </c>
      <c r="D38" s="36">
        <v>41730</v>
      </c>
      <c r="E38" s="30">
        <v>42804</v>
      </c>
      <c r="F38" s="13">
        <f t="shared" si="0"/>
        <v>35.799999999999997</v>
      </c>
      <c r="G38" s="14">
        <f t="shared" si="1"/>
        <v>1.6666666666666666E-2</v>
      </c>
      <c r="H38" s="15">
        <v>200000</v>
      </c>
      <c r="I38" s="15">
        <f t="shared" si="7"/>
        <v>80666.666666666672</v>
      </c>
      <c r="J38" s="16">
        <f>+INDICES!E49/INDICES!E43</f>
        <v>1.2234363375088937</v>
      </c>
      <c r="K38" s="15">
        <f t="shared" si="8"/>
        <v>98690.531225717437</v>
      </c>
      <c r="L38" s="15">
        <v>147000</v>
      </c>
      <c r="M38" s="15">
        <f t="shared" si="9"/>
        <v>48309.468774282563</v>
      </c>
      <c r="N38" s="15">
        <f>+N1</f>
        <v>87643.8</v>
      </c>
      <c r="O38" s="15">
        <f t="shared" si="10"/>
        <v>-39334.33122571744</v>
      </c>
      <c r="P38" s="15">
        <f t="shared" si="4"/>
        <v>0</v>
      </c>
      <c r="Q38" s="31" t="s">
        <v>45</v>
      </c>
      <c r="R38" s="38"/>
    </row>
    <row r="39" spans="1:18" x14ac:dyDescent="0.2">
      <c r="A39" s="53">
        <v>34</v>
      </c>
      <c r="B39" s="51">
        <v>621</v>
      </c>
      <c r="C39" s="39" t="s">
        <v>95</v>
      </c>
      <c r="D39" s="36">
        <v>41729</v>
      </c>
      <c r="E39" s="30">
        <v>42804</v>
      </c>
      <c r="F39" s="13">
        <f t="shared" si="0"/>
        <v>35.833333333333336</v>
      </c>
      <c r="G39" s="14">
        <f t="shared" si="1"/>
        <v>1.6666666666666666E-2</v>
      </c>
      <c r="H39" s="15">
        <v>170500</v>
      </c>
      <c r="I39" s="15">
        <f t="shared" ref="I39:I50" si="11">H39-(H39*G39*F39)</f>
        <v>68673.611111111109</v>
      </c>
      <c r="J39" s="16">
        <f>+INDICES!E49/INDICES!N42</f>
        <v>1.2527194731523581</v>
      </c>
      <c r="K39" s="15">
        <f t="shared" ref="K39:K50" si="12">+I39*J39</f>
        <v>86028.769930581038</v>
      </c>
      <c r="L39" s="15">
        <v>127000</v>
      </c>
      <c r="M39" s="15">
        <f t="shared" ref="M39:M49" si="13">+L39-K39</f>
        <v>40971.230069418962</v>
      </c>
      <c r="N39" s="15">
        <f>+N1</f>
        <v>87643.8</v>
      </c>
      <c r="O39" s="15">
        <f t="shared" ref="O39:O53" si="14">+M39-N39</f>
        <v>-46672.569930581041</v>
      </c>
      <c r="P39" s="15">
        <f t="shared" si="4"/>
        <v>0</v>
      </c>
      <c r="Q39" s="31" t="s">
        <v>45</v>
      </c>
      <c r="R39" s="38"/>
    </row>
    <row r="40" spans="1:18" x14ac:dyDescent="0.2">
      <c r="A40" s="53">
        <v>35</v>
      </c>
      <c r="B40" s="51">
        <v>622</v>
      </c>
      <c r="C40" s="39" t="s">
        <v>96</v>
      </c>
      <c r="D40" s="36">
        <v>41730</v>
      </c>
      <c r="E40" s="30">
        <v>42804</v>
      </c>
      <c r="F40" s="13">
        <f t="shared" si="0"/>
        <v>35.799999999999997</v>
      </c>
      <c r="G40" s="14">
        <f t="shared" si="1"/>
        <v>1.6666666666666666E-2</v>
      </c>
      <c r="H40" s="15">
        <v>200000</v>
      </c>
      <c r="I40" s="15">
        <f t="shared" si="11"/>
        <v>80666.666666666672</v>
      </c>
      <c r="J40" s="16">
        <f>+INDICES!E49/INDICES!G46</f>
        <v>1.1009097515430821</v>
      </c>
      <c r="K40" s="15">
        <f t="shared" si="12"/>
        <v>88806.719957808629</v>
      </c>
      <c r="L40" s="15">
        <v>147000</v>
      </c>
      <c r="M40" s="15">
        <f t="shared" si="13"/>
        <v>58193.280042191371</v>
      </c>
      <c r="N40" s="15">
        <f>+N1</f>
        <v>87643.8</v>
      </c>
      <c r="O40" s="15">
        <f t="shared" si="14"/>
        <v>-29450.519957808632</v>
      </c>
      <c r="P40" s="15">
        <f t="shared" si="4"/>
        <v>0</v>
      </c>
      <c r="Q40" s="31" t="s">
        <v>87</v>
      </c>
      <c r="R40" s="38" t="s">
        <v>88</v>
      </c>
    </row>
    <row r="41" spans="1:18" x14ac:dyDescent="0.2">
      <c r="A41" s="53">
        <v>36</v>
      </c>
      <c r="B41" s="51">
        <v>625</v>
      </c>
      <c r="C41" s="39" t="s">
        <v>97</v>
      </c>
      <c r="D41" s="36">
        <v>41621</v>
      </c>
      <c r="E41" s="30">
        <v>42804</v>
      </c>
      <c r="F41" s="13">
        <f t="shared" si="0"/>
        <v>39.43333333333333</v>
      </c>
      <c r="G41" s="14">
        <f t="shared" si="1"/>
        <v>1.6666666666666666E-2</v>
      </c>
      <c r="H41" s="15">
        <v>107000</v>
      </c>
      <c r="I41" s="15">
        <f t="shared" si="11"/>
        <v>36677.222222222234</v>
      </c>
      <c r="J41" s="16">
        <f>INDICES!C50/INDICES!E49</f>
        <v>1.0410842155396429</v>
      </c>
      <c r="K41" s="15">
        <f t="shared" si="12"/>
        <v>38184.077125395394</v>
      </c>
      <c r="L41" s="15">
        <v>70000</v>
      </c>
      <c r="M41" s="15">
        <f t="shared" si="13"/>
        <v>31815.922874604606</v>
      </c>
      <c r="N41" s="15">
        <f>+N1</f>
        <v>87643.8</v>
      </c>
      <c r="O41" s="15">
        <f t="shared" si="14"/>
        <v>-55827.877125395396</v>
      </c>
      <c r="P41" s="15">
        <f t="shared" si="4"/>
        <v>0</v>
      </c>
      <c r="Q41" s="31" t="s">
        <v>83</v>
      </c>
      <c r="R41" s="38"/>
    </row>
    <row r="42" spans="1:18" x14ac:dyDescent="0.2">
      <c r="A42" s="53">
        <v>37</v>
      </c>
      <c r="B42" s="51">
        <v>627</v>
      </c>
      <c r="C42" s="39" t="s">
        <v>98</v>
      </c>
      <c r="D42" s="36">
        <v>41607</v>
      </c>
      <c r="E42" s="30">
        <v>42804</v>
      </c>
      <c r="F42" s="13">
        <f t="shared" si="0"/>
        <v>39.9</v>
      </c>
      <c r="G42" s="14">
        <f t="shared" si="1"/>
        <v>1.6666666666666666E-2</v>
      </c>
      <c r="H42" s="15">
        <v>177500</v>
      </c>
      <c r="I42" s="15">
        <f t="shared" si="11"/>
        <v>59462.5</v>
      </c>
      <c r="J42" s="16">
        <f>+INDICES!E49/INDICES!L48</f>
        <v>1.019342475087301</v>
      </c>
      <c r="K42" s="15">
        <f t="shared" si="12"/>
        <v>60612.651924878635</v>
      </c>
      <c r="L42" s="15">
        <v>95000</v>
      </c>
      <c r="M42" s="15">
        <f t="shared" si="13"/>
        <v>34387.348075121365</v>
      </c>
      <c r="N42" s="15">
        <f>+N1</f>
        <v>87643.8</v>
      </c>
      <c r="O42" s="15">
        <f t="shared" si="14"/>
        <v>-53256.451924878638</v>
      </c>
      <c r="P42" s="15">
        <f t="shared" si="4"/>
        <v>0</v>
      </c>
      <c r="Q42" s="31" t="s">
        <v>40</v>
      </c>
      <c r="R42" s="38"/>
    </row>
    <row r="43" spans="1:18" x14ac:dyDescent="0.2">
      <c r="A43" s="53">
        <v>38</v>
      </c>
      <c r="B43" s="51">
        <v>628</v>
      </c>
      <c r="C43" s="39"/>
      <c r="D43" s="36"/>
      <c r="E43" s="30">
        <v>42804</v>
      </c>
      <c r="F43" s="13">
        <f t="shared" si="0"/>
        <v>1426.8</v>
      </c>
      <c r="G43" s="14">
        <f t="shared" si="1"/>
        <v>1.6666666666666666E-2</v>
      </c>
      <c r="H43" s="15">
        <v>148100</v>
      </c>
      <c r="I43" s="15">
        <f t="shared" si="11"/>
        <v>-3373718</v>
      </c>
      <c r="J43" s="16">
        <f>+INDICES!E49/INDICES!K47</f>
        <v>1.0503953870053275</v>
      </c>
      <c r="K43" s="15">
        <f t="shared" si="12"/>
        <v>-3543737.8242568397</v>
      </c>
      <c r="L43" s="15">
        <v>106000</v>
      </c>
      <c r="M43" s="15">
        <f t="shared" si="13"/>
        <v>3649737.8242568397</v>
      </c>
      <c r="N43" s="15">
        <f>+N1</f>
        <v>87643.8</v>
      </c>
      <c r="O43" s="15">
        <f t="shared" si="14"/>
        <v>3562094.0242568399</v>
      </c>
      <c r="P43" s="15">
        <f t="shared" si="4"/>
        <v>712418.80485136807</v>
      </c>
      <c r="Q43" s="31"/>
      <c r="R43" s="38"/>
    </row>
    <row r="44" spans="1:18" x14ac:dyDescent="0.2">
      <c r="A44" s="53">
        <v>39</v>
      </c>
      <c r="B44" s="51">
        <v>629</v>
      </c>
      <c r="C44" s="39" t="s">
        <v>79</v>
      </c>
      <c r="D44" s="36">
        <v>42136</v>
      </c>
      <c r="E44" s="30">
        <v>42804</v>
      </c>
      <c r="F44" s="13">
        <f t="shared" si="0"/>
        <v>22.266666666666666</v>
      </c>
      <c r="G44" s="14">
        <f t="shared" si="1"/>
        <v>1.6666666666666666E-2</v>
      </c>
      <c r="H44" s="15">
        <v>611300</v>
      </c>
      <c r="I44" s="15">
        <f t="shared" si="11"/>
        <v>384439.77777777775</v>
      </c>
      <c r="J44" s="83">
        <f>+INDICES!E49/INDICES!N45</f>
        <v>1.1159483803591743</v>
      </c>
      <c r="K44" s="15">
        <f t="shared" si="12"/>
        <v>429014.947356752</v>
      </c>
      <c r="L44" s="15">
        <v>386000</v>
      </c>
      <c r="M44" s="15">
        <f t="shared" si="13"/>
        <v>-43014.947356752004</v>
      </c>
      <c r="N44" s="15">
        <f>+N1</f>
        <v>87643.8</v>
      </c>
      <c r="O44" s="15">
        <f t="shared" si="14"/>
        <v>-130658.74735675201</v>
      </c>
      <c r="P44" s="15">
        <f t="shared" si="4"/>
        <v>0</v>
      </c>
      <c r="Q44" s="31" t="s">
        <v>49</v>
      </c>
      <c r="R44" s="38"/>
    </row>
    <row r="45" spans="1:18" x14ac:dyDescent="0.2">
      <c r="A45" s="53">
        <v>40</v>
      </c>
      <c r="B45" s="51">
        <v>631</v>
      </c>
      <c r="C45" s="39" t="s">
        <v>99</v>
      </c>
      <c r="D45" s="36">
        <v>42412</v>
      </c>
      <c r="E45" s="30">
        <v>42804</v>
      </c>
      <c r="F45" s="13">
        <f t="shared" si="0"/>
        <v>13.066666666666666</v>
      </c>
      <c r="G45" s="14">
        <f t="shared" si="1"/>
        <v>1.6666666666666666E-2</v>
      </c>
      <c r="H45" s="15">
        <v>157100</v>
      </c>
      <c r="I45" s="15">
        <f t="shared" si="11"/>
        <v>122887.11111111111</v>
      </c>
      <c r="J45" s="16">
        <f>+INDICES!E49/INDICES!L42</f>
        <v>1.2644290936047404</v>
      </c>
      <c r="K45" s="15">
        <f t="shared" si="12"/>
        <v>155382.03851792726</v>
      </c>
      <c r="L45" s="15">
        <v>126638.85</v>
      </c>
      <c r="M45" s="15">
        <f t="shared" si="13"/>
        <v>-28743.18851792725</v>
      </c>
      <c r="N45" s="15">
        <f>+N1</f>
        <v>87643.8</v>
      </c>
      <c r="O45" s="15">
        <f t="shared" si="14"/>
        <v>-116386.98851792725</v>
      </c>
      <c r="P45" s="15">
        <f t="shared" si="4"/>
        <v>0</v>
      </c>
      <c r="Q45" s="31" t="s">
        <v>74</v>
      </c>
      <c r="R45" s="38"/>
    </row>
    <row r="46" spans="1:18" x14ac:dyDescent="0.2">
      <c r="A46" s="53">
        <v>41</v>
      </c>
      <c r="B46" s="51">
        <v>634</v>
      </c>
      <c r="C46" s="39" t="s">
        <v>100</v>
      </c>
      <c r="D46" s="36">
        <v>42048</v>
      </c>
      <c r="E46" s="30">
        <v>42804</v>
      </c>
      <c r="F46" s="13">
        <f t="shared" si="0"/>
        <v>25.2</v>
      </c>
      <c r="G46" s="14">
        <f t="shared" si="1"/>
        <v>1.6666666666666666E-2</v>
      </c>
      <c r="H46" s="15">
        <v>142000</v>
      </c>
      <c r="I46" s="15">
        <f t="shared" si="11"/>
        <v>82360</v>
      </c>
      <c r="J46" s="16">
        <f>+INDICES!E49/INDICES!N48</f>
        <v>1.0096935848547228</v>
      </c>
      <c r="K46" s="15">
        <f t="shared" si="12"/>
        <v>83158.363648634971</v>
      </c>
      <c r="L46" s="15">
        <v>108500</v>
      </c>
      <c r="M46" s="15">
        <f t="shared" si="13"/>
        <v>25341.636351365029</v>
      </c>
      <c r="N46" s="15">
        <f>+N1</f>
        <v>87643.8</v>
      </c>
      <c r="O46" s="15">
        <f t="shared" si="14"/>
        <v>-62302.163648634974</v>
      </c>
      <c r="P46" s="15">
        <f t="shared" si="4"/>
        <v>0</v>
      </c>
      <c r="Q46" s="40" t="s">
        <v>49</v>
      </c>
      <c r="R46" s="38"/>
    </row>
    <row r="47" spans="1:18" x14ac:dyDescent="0.2">
      <c r="A47" s="53">
        <v>42</v>
      </c>
      <c r="B47" s="51">
        <v>636</v>
      </c>
      <c r="C47" s="39" t="s">
        <v>101</v>
      </c>
      <c r="D47" s="36">
        <v>42325</v>
      </c>
      <c r="E47" s="84">
        <v>42804</v>
      </c>
      <c r="F47" s="13">
        <f t="shared" si="0"/>
        <v>15.966666666666667</v>
      </c>
      <c r="G47" s="14">
        <f t="shared" si="1"/>
        <v>1.6666666666666666E-2</v>
      </c>
      <c r="H47" s="15">
        <v>302500</v>
      </c>
      <c r="I47" s="15">
        <f t="shared" si="11"/>
        <v>222001.38888888888</v>
      </c>
      <c r="J47" s="16">
        <f>+INDICES!E49/INDICES!C48</f>
        <v>1.0321420563326837</v>
      </c>
      <c r="K47" s="15">
        <f t="shared" si="12"/>
        <v>229136.97003648957</v>
      </c>
      <c r="L47" s="15">
        <v>245000</v>
      </c>
      <c r="M47" s="15">
        <f t="shared" si="13"/>
        <v>15863.029963510431</v>
      </c>
      <c r="N47" s="15">
        <f>+N1</f>
        <v>87643.8</v>
      </c>
      <c r="O47" s="15">
        <f t="shared" si="14"/>
        <v>-71780.770036489572</v>
      </c>
      <c r="P47" s="15">
        <f t="shared" si="4"/>
        <v>0</v>
      </c>
      <c r="Q47" s="40" t="s">
        <v>65</v>
      </c>
      <c r="R47" s="38"/>
    </row>
    <row r="48" spans="1:18" x14ac:dyDescent="0.2">
      <c r="A48" s="53">
        <v>43</v>
      </c>
      <c r="B48" s="51">
        <v>638</v>
      </c>
      <c r="C48" s="39" t="s">
        <v>102</v>
      </c>
      <c r="D48" s="36">
        <v>41612</v>
      </c>
      <c r="E48" s="84">
        <v>42804</v>
      </c>
      <c r="F48" s="13">
        <f t="shared" si="0"/>
        <v>39.733333333333334</v>
      </c>
      <c r="G48" s="14">
        <f t="shared" si="1"/>
        <v>1.6666666666666666E-2</v>
      </c>
      <c r="H48" s="15">
        <v>240000</v>
      </c>
      <c r="I48" s="15">
        <f t="shared" si="11"/>
        <v>81066.666666666657</v>
      </c>
      <c r="J48" s="16">
        <f>+INDICES!E49/INDICES!M48</f>
        <v>1.0138075916341243</v>
      </c>
      <c r="K48" s="15">
        <f t="shared" si="12"/>
        <v>82186.002095139658</v>
      </c>
      <c r="L48" s="15">
        <v>155000</v>
      </c>
      <c r="M48" s="15">
        <f t="shared" si="13"/>
        <v>72813.997904860342</v>
      </c>
      <c r="N48" s="15">
        <f>+N1</f>
        <v>87643.8</v>
      </c>
      <c r="O48" s="15">
        <f t="shared" si="14"/>
        <v>-14829.802095139661</v>
      </c>
      <c r="P48" s="15">
        <f t="shared" si="4"/>
        <v>0</v>
      </c>
      <c r="Q48" s="40" t="s">
        <v>103</v>
      </c>
      <c r="R48" s="38" t="s">
        <v>114</v>
      </c>
    </row>
    <row r="49" spans="1:18" x14ac:dyDescent="0.2">
      <c r="A49" s="53">
        <v>44</v>
      </c>
      <c r="B49" s="51">
        <v>640</v>
      </c>
      <c r="C49" s="39" t="s">
        <v>104</v>
      </c>
      <c r="D49" s="36">
        <v>41344</v>
      </c>
      <c r="E49" s="30">
        <v>42804</v>
      </c>
      <c r="F49" s="13">
        <f t="shared" si="0"/>
        <v>48.666666666666664</v>
      </c>
      <c r="G49" s="14">
        <f t="shared" si="1"/>
        <v>1.6666666666666666E-2</v>
      </c>
      <c r="H49" s="15">
        <v>125100</v>
      </c>
      <c r="I49" s="15">
        <f t="shared" si="11"/>
        <v>23630</v>
      </c>
      <c r="J49" s="16">
        <f>+INDICES!F49/INDICES!L42</f>
        <v>1.2604249607308826</v>
      </c>
      <c r="K49" s="15">
        <f t="shared" si="12"/>
        <v>29783.841822070757</v>
      </c>
      <c r="L49" s="15">
        <v>74000</v>
      </c>
      <c r="M49" s="15">
        <f t="shared" si="13"/>
        <v>44216.158177929246</v>
      </c>
      <c r="N49" s="15">
        <f>+N1</f>
        <v>87643.8</v>
      </c>
      <c r="O49" s="15">
        <f t="shared" si="14"/>
        <v>-43427.641822070756</v>
      </c>
      <c r="P49" s="15">
        <f t="shared" si="4"/>
        <v>0</v>
      </c>
      <c r="Q49" s="40" t="s">
        <v>105</v>
      </c>
      <c r="R49" s="38"/>
    </row>
    <row r="50" spans="1:18" x14ac:dyDescent="0.2">
      <c r="A50" s="53">
        <v>45</v>
      </c>
      <c r="B50" s="51">
        <v>643</v>
      </c>
      <c r="C50" s="39" t="s">
        <v>106</v>
      </c>
      <c r="D50" s="36">
        <v>41727</v>
      </c>
      <c r="E50" s="30">
        <v>42804</v>
      </c>
      <c r="F50" s="13">
        <f t="shared" si="0"/>
        <v>35.9</v>
      </c>
      <c r="G50" s="14">
        <f t="shared" si="1"/>
        <v>1.6666666666666666E-2</v>
      </c>
      <c r="H50" s="15">
        <v>369000</v>
      </c>
      <c r="I50" s="15">
        <f t="shared" si="11"/>
        <v>148215</v>
      </c>
      <c r="J50" s="16">
        <f>+INDICES!F49/INDICES!E47</f>
        <v>1.0548457546043732</v>
      </c>
      <c r="K50" s="15">
        <f t="shared" si="12"/>
        <v>156343.96351868717</v>
      </c>
      <c r="L50" s="15">
        <v>170000</v>
      </c>
      <c r="M50" s="15">
        <v>135000</v>
      </c>
      <c r="N50" s="15">
        <f>+N1</f>
        <v>87643.8</v>
      </c>
      <c r="O50" s="15">
        <f t="shared" si="14"/>
        <v>47356.2</v>
      </c>
      <c r="P50" s="15">
        <f t="shared" si="4"/>
        <v>9471.24</v>
      </c>
      <c r="Q50" s="40" t="s">
        <v>83</v>
      </c>
      <c r="R50" s="38"/>
    </row>
    <row r="51" spans="1:18" x14ac:dyDescent="0.2">
      <c r="A51" s="53">
        <v>46</v>
      </c>
      <c r="B51" s="51">
        <v>644</v>
      </c>
      <c r="C51" s="39" t="s">
        <v>107</v>
      </c>
      <c r="D51" s="36">
        <v>42088</v>
      </c>
      <c r="E51" s="30">
        <v>42804</v>
      </c>
      <c r="F51" s="13">
        <f t="shared" si="0"/>
        <v>23.866666666666667</v>
      </c>
      <c r="G51" s="14">
        <f t="shared" si="1"/>
        <v>1.6666666666666666E-2</v>
      </c>
      <c r="H51" s="15">
        <v>219400</v>
      </c>
      <c r="I51" s="15">
        <f t="shared" ref="I51:I62" si="15">H51-(H51*G51*F51)</f>
        <v>132127.55555555556</v>
      </c>
      <c r="J51" s="16">
        <f>+INDICES!F49/INDICES!K48</f>
        <v>1.0213425335376556</v>
      </c>
      <c r="K51" s="15">
        <f t="shared" ref="K51:K62" si="16">+I51*J51</f>
        <v>134947.49234124846</v>
      </c>
      <c r="L51" s="15">
        <v>160000</v>
      </c>
      <c r="M51" s="15">
        <f t="shared" ref="M51:M62" si="17">+L51-K51</f>
        <v>25052.507658751536</v>
      </c>
      <c r="N51" s="15">
        <f>+N1</f>
        <v>87643.8</v>
      </c>
      <c r="O51" s="15">
        <f t="shared" si="14"/>
        <v>-62591.292341248467</v>
      </c>
      <c r="P51" s="15">
        <f t="shared" si="4"/>
        <v>0</v>
      </c>
      <c r="Q51" s="40" t="s">
        <v>64</v>
      </c>
      <c r="R51" s="38" t="s">
        <v>113</v>
      </c>
    </row>
    <row r="52" spans="1:18" x14ac:dyDescent="0.2">
      <c r="A52" s="53">
        <v>47</v>
      </c>
      <c r="B52" s="51">
        <v>645</v>
      </c>
      <c r="C52" s="39" t="s">
        <v>108</v>
      </c>
      <c r="D52" s="36">
        <v>41935</v>
      </c>
      <c r="E52" s="30">
        <v>42804</v>
      </c>
      <c r="F52" s="13">
        <f t="shared" si="0"/>
        <v>28.966666666666665</v>
      </c>
      <c r="G52" s="14">
        <f t="shared" si="1"/>
        <v>1.6666666666666666E-2</v>
      </c>
      <c r="H52" s="15">
        <v>102400</v>
      </c>
      <c r="I52" s="15">
        <f t="shared" si="15"/>
        <v>52963.555555555555</v>
      </c>
      <c r="J52" s="16">
        <f>+INDICES!F49/INDICES!K48</f>
        <v>1.0213425335376556</v>
      </c>
      <c r="K52" s="15">
        <f t="shared" si="16"/>
        <v>54093.93201627348</v>
      </c>
      <c r="L52" s="15">
        <v>89000</v>
      </c>
      <c r="M52" s="15">
        <f t="shared" si="17"/>
        <v>34906.06798372652</v>
      </c>
      <c r="N52" s="15">
        <f>+N1</f>
        <v>87643.8</v>
      </c>
      <c r="O52" s="15">
        <f t="shared" si="14"/>
        <v>-52737.732016273483</v>
      </c>
      <c r="P52" s="15">
        <f t="shared" si="4"/>
        <v>0</v>
      </c>
      <c r="Q52" s="40" t="s">
        <v>40</v>
      </c>
      <c r="R52" s="38" t="s">
        <v>112</v>
      </c>
    </row>
    <row r="53" spans="1:18" x14ac:dyDescent="0.2">
      <c r="A53" s="53">
        <v>48</v>
      </c>
      <c r="B53" s="51">
        <v>646</v>
      </c>
      <c r="C53" s="39" t="s">
        <v>109</v>
      </c>
      <c r="D53" s="36">
        <v>41578</v>
      </c>
      <c r="E53" s="30">
        <v>42804</v>
      </c>
      <c r="F53" s="13">
        <f t="shared" si="0"/>
        <v>40.866666666666667</v>
      </c>
      <c r="G53" s="14">
        <f t="shared" si="1"/>
        <v>1.6666666666666666E-2</v>
      </c>
      <c r="H53" s="15">
        <v>305535.59000000003</v>
      </c>
      <c r="I53" s="15">
        <f t="shared" si="15"/>
        <v>97431.904811111133</v>
      </c>
      <c r="J53" s="16">
        <f>+INDICES!F49/INDICES!K43</f>
        <v>1.2191409049837203</v>
      </c>
      <c r="K53" s="15">
        <f t="shared" si="16"/>
        <v>118783.22060570572</v>
      </c>
      <c r="L53" s="15">
        <v>197000</v>
      </c>
      <c r="M53" s="15">
        <f t="shared" si="17"/>
        <v>78216.779394294281</v>
      </c>
      <c r="N53" s="15">
        <f>+N1</f>
        <v>87643.8</v>
      </c>
      <c r="O53" s="15">
        <f t="shared" si="14"/>
        <v>-9427.0206057057221</v>
      </c>
      <c r="P53" s="15">
        <f t="shared" si="4"/>
        <v>0</v>
      </c>
      <c r="Q53" s="40" t="s">
        <v>110</v>
      </c>
      <c r="R53" s="38" t="s">
        <v>111</v>
      </c>
    </row>
    <row r="54" spans="1:18" x14ac:dyDescent="0.2">
      <c r="A54" s="53">
        <v>49</v>
      </c>
      <c r="B54" s="51">
        <v>647</v>
      </c>
      <c r="C54" s="39" t="s">
        <v>116</v>
      </c>
      <c r="D54" s="36">
        <v>41480</v>
      </c>
      <c r="E54" s="30">
        <v>42804</v>
      </c>
      <c r="F54" s="13">
        <f t="shared" si="0"/>
        <v>44.133333333333333</v>
      </c>
      <c r="G54" s="14">
        <f t="shared" si="1"/>
        <v>1.6666666666666666E-2</v>
      </c>
      <c r="H54" s="15">
        <v>315500</v>
      </c>
      <c r="I54" s="15">
        <f t="shared" si="15"/>
        <v>83432.222222222248</v>
      </c>
      <c r="J54" s="16">
        <f>+INDICES!G49/INDICES!M44</f>
        <v>1.1563963507842698</v>
      </c>
      <c r="K54" s="15">
        <f t="shared" si="16"/>
        <v>96480.717315600064</v>
      </c>
      <c r="L54" s="15">
        <v>169000</v>
      </c>
      <c r="M54" s="15">
        <f t="shared" si="17"/>
        <v>72519.282684399936</v>
      </c>
      <c r="N54" s="15">
        <f>+N1</f>
        <v>87643.8</v>
      </c>
      <c r="O54" s="15">
        <f t="shared" ref="O54:O62" si="18">+M54-N54</f>
        <v>-15124.517315600067</v>
      </c>
      <c r="P54" s="15">
        <f t="shared" si="4"/>
        <v>0</v>
      </c>
      <c r="Q54" s="40" t="s">
        <v>117</v>
      </c>
      <c r="R54" s="38" t="s">
        <v>118</v>
      </c>
    </row>
    <row r="55" spans="1:18" x14ac:dyDescent="0.2">
      <c r="A55" s="53">
        <v>50</v>
      </c>
      <c r="B55" s="51">
        <v>648</v>
      </c>
      <c r="C55" s="39" t="s">
        <v>115</v>
      </c>
      <c r="D55" s="36">
        <v>40540</v>
      </c>
      <c r="E55" s="30">
        <v>42804</v>
      </c>
      <c r="F55" s="13">
        <f t="shared" si="0"/>
        <v>75.466666666666669</v>
      </c>
      <c r="G55" s="14">
        <f t="shared" si="1"/>
        <v>1.6666666666666666E-2</v>
      </c>
      <c r="H55" s="15">
        <v>149900</v>
      </c>
      <c r="I55" s="15">
        <f t="shared" si="15"/>
        <v>-38640.888888888905</v>
      </c>
      <c r="J55" s="16">
        <f>+INDICES!G49/INDICES!G43</f>
        <v>1.2257279708783408</v>
      </c>
      <c r="K55" s="15">
        <f t="shared" si="16"/>
        <v>-47363.218330713222</v>
      </c>
      <c r="L55" s="15">
        <v>78000</v>
      </c>
      <c r="M55" s="15">
        <f t="shared" si="17"/>
        <v>125363.21833071322</v>
      </c>
      <c r="N55" s="15">
        <f>+N1</f>
        <v>87643.8</v>
      </c>
      <c r="O55" s="15">
        <f t="shared" si="18"/>
        <v>37719.418330713219</v>
      </c>
      <c r="P55" s="15">
        <f t="shared" si="4"/>
        <v>7543.883666142644</v>
      </c>
      <c r="Q55" s="40" t="s">
        <v>110</v>
      </c>
      <c r="R55" s="38" t="s">
        <v>111</v>
      </c>
    </row>
    <row r="56" spans="1:18" x14ac:dyDescent="0.2">
      <c r="A56" s="53">
        <v>51</v>
      </c>
      <c r="B56" s="51">
        <v>650</v>
      </c>
      <c r="C56" s="39" t="s">
        <v>119</v>
      </c>
      <c r="D56" s="36">
        <v>40597</v>
      </c>
      <c r="E56" s="30">
        <v>42804</v>
      </c>
      <c r="F56" s="13">
        <f t="shared" si="0"/>
        <v>73.566666666666663</v>
      </c>
      <c r="G56" s="14">
        <f t="shared" si="1"/>
        <v>1.6666666666666666E-2</v>
      </c>
      <c r="H56" s="15">
        <v>110650</v>
      </c>
      <c r="I56" s="15">
        <f t="shared" si="15"/>
        <v>-25019.194444444438</v>
      </c>
      <c r="J56" s="16">
        <f>+INDICES!G49/INDICES!H48</f>
        <v>1.0242501595405233</v>
      </c>
      <c r="K56" s="15">
        <f t="shared" si="16"/>
        <v>-25625.91390129759</v>
      </c>
      <c r="L56" s="15">
        <v>50000</v>
      </c>
      <c r="M56" s="15">
        <f t="shared" si="17"/>
        <v>75625.913901297594</v>
      </c>
      <c r="N56" s="15">
        <f>+N1</f>
        <v>87643.8</v>
      </c>
      <c r="O56" s="15">
        <f t="shared" si="18"/>
        <v>-12017.886098702409</v>
      </c>
      <c r="P56" s="15">
        <f t="shared" si="4"/>
        <v>0</v>
      </c>
      <c r="Q56" s="40" t="s">
        <v>54</v>
      </c>
      <c r="R56" s="38"/>
    </row>
    <row r="57" spans="1:18" x14ac:dyDescent="0.2">
      <c r="A57" s="53">
        <v>52</v>
      </c>
      <c r="B57" s="51">
        <v>651</v>
      </c>
      <c r="C57" s="39" t="s">
        <v>120</v>
      </c>
      <c r="D57" s="36">
        <v>42283</v>
      </c>
      <c r="E57" s="30">
        <v>42804</v>
      </c>
      <c r="F57" s="13">
        <f t="shared" si="0"/>
        <v>17.366666666666667</v>
      </c>
      <c r="G57" s="14">
        <f t="shared" si="1"/>
        <v>1.6666666666666666E-2</v>
      </c>
      <c r="H57" s="15">
        <v>109900</v>
      </c>
      <c r="I57" s="15">
        <f t="shared" si="15"/>
        <v>78090.055555555562</v>
      </c>
      <c r="J57" s="16">
        <f>+INDICES!G49/INDICES!F48</f>
        <v>1.0208431819158537</v>
      </c>
      <c r="K57" s="15">
        <f t="shared" si="16"/>
        <v>79717.700789319118</v>
      </c>
      <c r="L57" s="15">
        <v>84000</v>
      </c>
      <c r="M57" s="15">
        <f t="shared" si="17"/>
        <v>4282.2992106808815</v>
      </c>
      <c r="N57" s="15">
        <f>+N1</f>
        <v>87643.8</v>
      </c>
      <c r="O57" s="15">
        <f t="shared" si="18"/>
        <v>-83361.500789319121</v>
      </c>
      <c r="P57" s="15">
        <f t="shared" si="4"/>
        <v>0</v>
      </c>
      <c r="Q57" s="40" t="s">
        <v>49</v>
      </c>
      <c r="R57" s="38"/>
    </row>
    <row r="58" spans="1:18" x14ac:dyDescent="0.2">
      <c r="A58" s="53">
        <v>53</v>
      </c>
      <c r="B58" s="51">
        <v>652</v>
      </c>
      <c r="C58" s="39" t="s">
        <v>121</v>
      </c>
      <c r="D58" s="36">
        <v>41355</v>
      </c>
      <c r="E58" s="30">
        <v>42804</v>
      </c>
      <c r="F58" s="13">
        <f t="shared" si="0"/>
        <v>48.3</v>
      </c>
      <c r="G58" s="14">
        <f t="shared" si="1"/>
        <v>1.6666666666666666E-2</v>
      </c>
      <c r="H58" s="15">
        <v>514900</v>
      </c>
      <c r="I58" s="15">
        <f t="shared" si="15"/>
        <v>100405.50000000006</v>
      </c>
      <c r="J58" s="16">
        <f>+INDICES!G49/INDICES!E47</f>
        <v>1.0501419110690633</v>
      </c>
      <c r="K58" s="15">
        <f t="shared" si="16"/>
        <v>105440.02365184489</v>
      </c>
      <c r="L58" s="15">
        <v>267000</v>
      </c>
      <c r="M58" s="15">
        <f t="shared" si="17"/>
        <v>161559.97634815512</v>
      </c>
      <c r="N58" s="15">
        <f>+N1</f>
        <v>87643.8</v>
      </c>
      <c r="O58" s="15">
        <f t="shared" si="18"/>
        <v>73916.176348155117</v>
      </c>
      <c r="P58" s="15">
        <f t="shared" si="4"/>
        <v>14783.235269631024</v>
      </c>
      <c r="Q58" s="40" t="s">
        <v>122</v>
      </c>
      <c r="R58" s="38"/>
    </row>
    <row r="59" spans="1:18" x14ac:dyDescent="0.2">
      <c r="A59" s="53">
        <v>54</v>
      </c>
      <c r="B59" s="51">
        <v>653</v>
      </c>
      <c r="C59" s="39" t="s">
        <v>123</v>
      </c>
      <c r="D59" s="36">
        <v>42437</v>
      </c>
      <c r="E59" s="30">
        <v>42804</v>
      </c>
      <c r="F59" s="13">
        <f t="shared" si="0"/>
        <v>12.233333333333333</v>
      </c>
      <c r="G59" s="14">
        <f t="shared" si="1"/>
        <v>1.6666666666666666E-2</v>
      </c>
      <c r="H59" s="15">
        <v>820600</v>
      </c>
      <c r="I59" s="15">
        <f t="shared" si="15"/>
        <v>653288.77777777775</v>
      </c>
      <c r="J59" s="16">
        <f>+INDICES!G49/INDICES!F46</f>
        <v>1.0888937785356729</v>
      </c>
      <c r="K59" s="15">
        <f t="shared" si="16"/>
        <v>711362.08570939593</v>
      </c>
      <c r="L59" s="15">
        <v>590000</v>
      </c>
      <c r="M59" s="15">
        <f t="shared" si="17"/>
        <v>-121362.08570939593</v>
      </c>
      <c r="N59" s="15">
        <f>+N1</f>
        <v>87643.8</v>
      </c>
      <c r="O59" s="15">
        <f t="shared" si="18"/>
        <v>-209005.88570939592</v>
      </c>
      <c r="P59" s="15">
        <f t="shared" si="4"/>
        <v>0</v>
      </c>
      <c r="Q59" s="40" t="s">
        <v>54</v>
      </c>
      <c r="R59" s="38"/>
    </row>
    <row r="60" spans="1:18" x14ac:dyDescent="0.2">
      <c r="A60" s="53">
        <v>55</v>
      </c>
      <c r="B60" s="51">
        <v>654</v>
      </c>
      <c r="C60" s="39" t="s">
        <v>124</v>
      </c>
      <c r="D60" s="36">
        <v>41625</v>
      </c>
      <c r="E60" s="30">
        <v>42807</v>
      </c>
      <c r="F60" s="13">
        <f t="shared" si="0"/>
        <v>39.4</v>
      </c>
      <c r="G60" s="14">
        <f t="shared" si="1"/>
        <v>1.6666666666666666E-2</v>
      </c>
      <c r="H60" s="15">
        <v>269900</v>
      </c>
      <c r="I60" s="15">
        <f t="shared" si="15"/>
        <v>92665.666666666686</v>
      </c>
      <c r="J60" s="16">
        <f>+INDICES!G49/INDICES!D45</f>
        <v>1.1365985300872761</v>
      </c>
      <c r="K60" s="15">
        <f t="shared" si="16"/>
        <v>105323.66052289084</v>
      </c>
      <c r="L60" s="15">
        <v>170000</v>
      </c>
      <c r="M60" s="15">
        <f t="shared" si="17"/>
        <v>64676.339477109155</v>
      </c>
      <c r="N60" s="15">
        <f>+N1</f>
        <v>87643.8</v>
      </c>
      <c r="O60" s="15">
        <f t="shared" si="18"/>
        <v>-22967.460522890848</v>
      </c>
      <c r="P60" s="15">
        <f t="shared" si="4"/>
        <v>0</v>
      </c>
      <c r="Q60" s="40" t="s">
        <v>122</v>
      </c>
      <c r="R60" s="38"/>
    </row>
    <row r="61" spans="1:18" x14ac:dyDescent="0.2">
      <c r="A61" s="53">
        <v>56</v>
      </c>
      <c r="B61" s="51">
        <v>655</v>
      </c>
      <c r="C61" s="39" t="s">
        <v>125</v>
      </c>
      <c r="D61" s="36">
        <v>40847</v>
      </c>
      <c r="E61" s="30">
        <v>42807</v>
      </c>
      <c r="F61" s="13">
        <f t="shared" si="0"/>
        <v>65.333333333333329</v>
      </c>
      <c r="G61" s="14">
        <f t="shared" si="1"/>
        <v>1.6666666666666666E-2</v>
      </c>
      <c r="H61" s="15">
        <v>170700</v>
      </c>
      <c r="I61" s="15">
        <f t="shared" si="15"/>
        <v>-15173.333333333314</v>
      </c>
      <c r="J61" s="16">
        <f>+INDICES!G49/INDICES!J47</f>
        <v>1.0470036495706905</v>
      </c>
      <c r="K61" s="15">
        <f t="shared" si="16"/>
        <v>-15886.535376152589</v>
      </c>
      <c r="L61" s="15">
        <v>82000</v>
      </c>
      <c r="M61" s="15">
        <f t="shared" si="17"/>
        <v>97886.535376152591</v>
      </c>
      <c r="N61" s="15">
        <f>+N1</f>
        <v>87643.8</v>
      </c>
      <c r="O61" s="15">
        <f t="shared" si="18"/>
        <v>10242.735376152588</v>
      </c>
      <c r="P61" s="15">
        <f t="shared" si="4"/>
        <v>2048.5470752305177</v>
      </c>
      <c r="Q61" s="40" t="s">
        <v>105</v>
      </c>
      <c r="R61" s="38"/>
    </row>
    <row r="62" spans="1:18" x14ac:dyDescent="0.2">
      <c r="A62" s="53">
        <v>57</v>
      </c>
      <c r="B62" s="51">
        <v>656</v>
      </c>
      <c r="C62" s="39" t="s">
        <v>126</v>
      </c>
      <c r="D62" s="36">
        <v>41696</v>
      </c>
      <c r="E62" s="30">
        <v>42807</v>
      </c>
      <c r="F62" s="13">
        <f t="shared" si="0"/>
        <v>37.033333333333331</v>
      </c>
      <c r="G62" s="14">
        <f t="shared" si="1"/>
        <v>1.6666666666666666E-2</v>
      </c>
      <c r="H62" s="15">
        <v>126400</v>
      </c>
      <c r="I62" s="15">
        <f t="shared" si="15"/>
        <v>48383.111111111124</v>
      </c>
      <c r="J62" s="16">
        <f>+INDICES!G49/INDICES!C48</f>
        <v>1.024285492522897</v>
      </c>
      <c r="K62" s="15">
        <f t="shared" si="16"/>
        <v>49558.118794234506</v>
      </c>
      <c r="L62" s="15">
        <v>80500</v>
      </c>
      <c r="M62" s="15">
        <f t="shared" si="17"/>
        <v>30941.881205765494</v>
      </c>
      <c r="N62" s="15">
        <f>+N1</f>
        <v>87643.8</v>
      </c>
      <c r="O62" s="15">
        <f t="shared" si="18"/>
        <v>-56701.918794234509</v>
      </c>
      <c r="P62" s="15">
        <f t="shared" si="4"/>
        <v>0</v>
      </c>
      <c r="Q62" s="40" t="s">
        <v>40</v>
      </c>
      <c r="R62" s="38"/>
    </row>
    <row r="63" spans="1:18" x14ac:dyDescent="0.2">
      <c r="A63" s="53">
        <v>58</v>
      </c>
      <c r="B63" s="51">
        <v>657</v>
      </c>
      <c r="C63" s="39" t="s">
        <v>127</v>
      </c>
      <c r="D63" s="36">
        <v>41799</v>
      </c>
      <c r="E63" s="30">
        <v>42807</v>
      </c>
      <c r="F63" s="13">
        <f t="shared" si="0"/>
        <v>33.6</v>
      </c>
      <c r="G63" s="14">
        <f t="shared" si="1"/>
        <v>1.6666666666666666E-2</v>
      </c>
      <c r="H63" s="15">
        <v>158000</v>
      </c>
      <c r="I63" s="15">
        <f>H63-(H63*G63*F63)</f>
        <v>69519.999999999985</v>
      </c>
      <c r="J63" s="16">
        <f>+INDICES!G49/INDICES!G48</f>
        <v>1.0259666217476935</v>
      </c>
      <c r="K63" s="15">
        <f>+I63*J63</f>
        <v>71325.199543899638</v>
      </c>
      <c r="L63" s="15">
        <v>107000</v>
      </c>
      <c r="M63" s="15">
        <f>+L63-K63</f>
        <v>35674.800456100362</v>
      </c>
      <c r="N63" s="15">
        <f>+N1</f>
        <v>87643.8</v>
      </c>
      <c r="O63" s="15">
        <f>+M63-N63</f>
        <v>-51968.999543899641</v>
      </c>
      <c r="P63" s="15">
        <f t="shared" si="4"/>
        <v>0</v>
      </c>
      <c r="Q63" s="40" t="s">
        <v>128</v>
      </c>
      <c r="R63" s="38"/>
    </row>
    <row r="64" spans="1:18" x14ac:dyDescent="0.2">
      <c r="A64" s="53">
        <v>59</v>
      </c>
      <c r="B64" s="51">
        <v>658</v>
      </c>
      <c r="C64" s="39" t="s">
        <v>129</v>
      </c>
      <c r="D64" s="36">
        <v>41369</v>
      </c>
      <c r="E64" s="30">
        <v>42807</v>
      </c>
      <c r="F64" s="13">
        <f t="shared" si="0"/>
        <v>47.93333333333333</v>
      </c>
      <c r="G64" s="14">
        <f t="shared" si="1"/>
        <v>1.6666666666666666E-2</v>
      </c>
      <c r="H64" s="15">
        <v>162900</v>
      </c>
      <c r="I64" s="15">
        <f>H64-(H64*G64*F64)</f>
        <v>32761.000000000015</v>
      </c>
      <c r="J64" s="16">
        <f>+INDICES!G49/INDICES!K45</f>
        <v>1.1231949159755257</v>
      </c>
      <c r="K64" s="15">
        <f>+I64*J64</f>
        <v>36796.988642274213</v>
      </c>
      <c r="L64" s="15">
        <v>91000</v>
      </c>
      <c r="M64" s="15">
        <f>+L64-K64</f>
        <v>54203.011357725787</v>
      </c>
      <c r="N64" s="15">
        <f>+N1</f>
        <v>87643.8</v>
      </c>
      <c r="O64" s="15">
        <f>+M64-N64</f>
        <v>-33440.788642274216</v>
      </c>
      <c r="P64" s="15">
        <f t="shared" si="4"/>
        <v>0</v>
      </c>
      <c r="Q64" s="40" t="s">
        <v>130</v>
      </c>
      <c r="R64" s="38" t="s">
        <v>131</v>
      </c>
    </row>
    <row r="65" spans="1:18" x14ac:dyDescent="0.2">
      <c r="A65" s="53">
        <v>60</v>
      </c>
      <c r="B65" s="51">
        <v>659</v>
      </c>
      <c r="C65" s="39" t="s">
        <v>132</v>
      </c>
      <c r="D65" s="36">
        <v>39478</v>
      </c>
      <c r="E65" s="30">
        <v>42821</v>
      </c>
      <c r="F65" s="13">
        <f t="shared" si="0"/>
        <v>111.43333333333334</v>
      </c>
      <c r="G65" s="14">
        <f t="shared" si="1"/>
        <v>1.6666666666666666E-2</v>
      </c>
      <c r="H65" s="15">
        <v>339900</v>
      </c>
      <c r="I65" s="15">
        <f>H65-(H65*G65*F65)</f>
        <v>-291369.83333333337</v>
      </c>
      <c r="J65" s="16">
        <f>+INDICES!G49/INDICES!D50</f>
        <v>0.9477489267303979</v>
      </c>
      <c r="K65" s="15">
        <f>+I65*J65</f>
        <v>-276145.44682328164</v>
      </c>
      <c r="L65" s="15">
        <v>74000</v>
      </c>
      <c r="M65" s="15">
        <f>+L65-K65</f>
        <v>350145.44682328164</v>
      </c>
      <c r="N65" s="15">
        <f>+N1</f>
        <v>87643.8</v>
      </c>
      <c r="O65" s="15">
        <f>+M65-N65</f>
        <v>262501.64682328166</v>
      </c>
      <c r="P65" s="15">
        <f t="shared" si="4"/>
        <v>52500.329364656332</v>
      </c>
      <c r="Q65" s="40"/>
      <c r="R65" s="38"/>
    </row>
    <row r="66" spans="1:18" x14ac:dyDescent="0.2">
      <c r="A66" s="53">
        <v>61</v>
      </c>
      <c r="B66" s="51">
        <v>660</v>
      </c>
      <c r="C66" s="39" t="s">
        <v>133</v>
      </c>
      <c r="D66" s="36">
        <v>40777</v>
      </c>
      <c r="E66" s="30">
        <v>42822</v>
      </c>
      <c r="F66" s="13">
        <f t="shared" si="0"/>
        <v>68.166666666666671</v>
      </c>
      <c r="G66" s="14">
        <f t="shared" si="1"/>
        <v>1.6666666666666666E-2</v>
      </c>
      <c r="H66" s="15">
        <v>119500</v>
      </c>
      <c r="I66" s="15">
        <f>H66-(H66*G66*F66)</f>
        <v>-16265.277777777781</v>
      </c>
      <c r="J66" s="16">
        <f>+INDICES!G49/INDICES!E44</f>
        <v>1.1783088782404239</v>
      </c>
      <c r="K66" s="15">
        <f>+I66*J66</f>
        <v>-19165.521212602231</v>
      </c>
      <c r="L66" s="15">
        <v>73000</v>
      </c>
      <c r="M66" s="15">
        <f>+L66-K66</f>
        <v>92165.521212602238</v>
      </c>
      <c r="N66" s="15">
        <f>+N1</f>
        <v>87643.8</v>
      </c>
      <c r="O66" s="15">
        <f>+M66-N66</f>
        <v>4521.721212602235</v>
      </c>
      <c r="P66" s="15">
        <f t="shared" si="4"/>
        <v>904.3442425204471</v>
      </c>
      <c r="Q66" s="40" t="s">
        <v>49</v>
      </c>
      <c r="R66" s="38"/>
    </row>
    <row r="67" spans="1:18" x14ac:dyDescent="0.2">
      <c r="A67" s="53">
        <v>62</v>
      </c>
      <c r="B67" s="51">
        <v>661</v>
      </c>
      <c r="C67" s="39" t="s">
        <v>134</v>
      </c>
      <c r="D67" s="36">
        <v>41243</v>
      </c>
      <c r="E67" s="30">
        <v>42822</v>
      </c>
      <c r="F67" s="13">
        <f t="shared" si="0"/>
        <v>52.633333333333333</v>
      </c>
      <c r="G67" s="14">
        <f t="shared" si="1"/>
        <v>1.6666666666666666E-2</v>
      </c>
      <c r="H67" s="15">
        <v>283700</v>
      </c>
      <c r="I67" s="15">
        <f t="shared" ref="I67:I98" si="19">H67-(H67*G67*F67)</f>
        <v>34832.055555555562</v>
      </c>
      <c r="J67" s="16">
        <f>+INDICES!G49/INDICES!E47</f>
        <v>1.0501419110690633</v>
      </c>
      <c r="K67" s="15">
        <f t="shared" ref="K67:K98" si="20">+I67*J67</f>
        <v>36578.601387574898</v>
      </c>
      <c r="L67" s="15">
        <v>155000</v>
      </c>
      <c r="M67" s="15">
        <f t="shared" ref="M67:M98" si="21">+L67-K67</f>
        <v>118421.39861242511</v>
      </c>
      <c r="N67" s="15">
        <f>+N1</f>
        <v>87643.8</v>
      </c>
      <c r="O67" s="15">
        <f t="shared" ref="O67:O98" si="22">+M67-N67</f>
        <v>30777.598612425107</v>
      </c>
      <c r="P67" s="15">
        <f t="shared" si="4"/>
        <v>6155.5197224850217</v>
      </c>
      <c r="Q67" s="40" t="s">
        <v>135</v>
      </c>
      <c r="R67" s="38" t="s">
        <v>136</v>
      </c>
    </row>
    <row r="68" spans="1:18" x14ac:dyDescent="0.2">
      <c r="A68" s="53">
        <v>63</v>
      </c>
      <c r="B68" s="51">
        <v>662</v>
      </c>
      <c r="C68" s="39" t="s">
        <v>137</v>
      </c>
      <c r="D68" s="36">
        <v>41907</v>
      </c>
      <c r="E68" s="30">
        <v>42822</v>
      </c>
      <c r="F68" s="13">
        <f t="shared" si="0"/>
        <v>30.5</v>
      </c>
      <c r="G68" s="14">
        <f t="shared" si="1"/>
        <v>1.6666666666666666E-2</v>
      </c>
      <c r="H68" s="15">
        <v>111900</v>
      </c>
      <c r="I68" s="15">
        <f t="shared" si="19"/>
        <v>55017.5</v>
      </c>
      <c r="J68" s="16">
        <f>+INDICES!G49/INDICES!N46</f>
        <v>1.0651253721706067</v>
      </c>
      <c r="K68" s="15">
        <f t="shared" si="20"/>
        <v>58600.535163396351</v>
      </c>
      <c r="L68" s="15">
        <v>82000</v>
      </c>
      <c r="M68" s="15">
        <f t="shared" si="21"/>
        <v>23399.464836603649</v>
      </c>
      <c r="N68" s="15">
        <f>+N1</f>
        <v>87643.8</v>
      </c>
      <c r="O68" s="15">
        <f t="shared" si="22"/>
        <v>-64244.335163396354</v>
      </c>
      <c r="P68" s="15">
        <f t="shared" si="4"/>
        <v>0</v>
      </c>
      <c r="Q68" s="40" t="s">
        <v>59</v>
      </c>
      <c r="R68" s="38" t="s">
        <v>138</v>
      </c>
    </row>
    <row r="69" spans="1:18" x14ac:dyDescent="0.2">
      <c r="A69" s="53">
        <v>64</v>
      </c>
      <c r="B69" s="51">
        <v>663</v>
      </c>
      <c r="C69" s="39" t="s">
        <v>139</v>
      </c>
      <c r="D69" s="36">
        <v>42411</v>
      </c>
      <c r="E69" s="30">
        <v>42822</v>
      </c>
      <c r="F69" s="13">
        <f t="shared" si="0"/>
        <v>13.7</v>
      </c>
      <c r="G69" s="14">
        <f t="shared" si="1"/>
        <v>1.6666666666666666E-2</v>
      </c>
      <c r="H69" s="15">
        <v>329100</v>
      </c>
      <c r="I69" s="15">
        <f t="shared" si="19"/>
        <v>253955.5</v>
      </c>
      <c r="J69" s="16">
        <f>+INDICES!G49/INDICES!H47</f>
        <v>1.0536541225315377</v>
      </c>
      <c r="K69" s="15">
        <f t="shared" si="20"/>
        <v>267581.2595145579</v>
      </c>
      <c r="L69" s="15">
        <v>257000</v>
      </c>
      <c r="M69" s="15">
        <f t="shared" si="21"/>
        <v>-10581.259514557896</v>
      </c>
      <c r="N69" s="15">
        <f>+N1</f>
        <v>87643.8</v>
      </c>
      <c r="O69" s="15">
        <f t="shared" si="22"/>
        <v>-98225.059514557899</v>
      </c>
      <c r="P69" s="15">
        <f t="shared" si="4"/>
        <v>0</v>
      </c>
      <c r="Q69" s="40" t="s">
        <v>83</v>
      </c>
      <c r="R69" s="38"/>
    </row>
    <row r="70" spans="1:18" x14ac:dyDescent="0.2">
      <c r="A70" s="53">
        <v>65</v>
      </c>
      <c r="B70" s="51">
        <v>664</v>
      </c>
      <c r="C70" s="39" t="s">
        <v>140</v>
      </c>
      <c r="D70" s="36">
        <v>42104</v>
      </c>
      <c r="E70" s="30">
        <v>42822</v>
      </c>
      <c r="F70" s="13">
        <f t="shared" ref="F70:F81" si="23">(E70-D70)/30</f>
        <v>23.933333333333334</v>
      </c>
      <c r="G70" s="14">
        <f t="shared" si="1"/>
        <v>1.6666666666666666E-2</v>
      </c>
      <c r="H70" s="15">
        <v>210900</v>
      </c>
      <c r="I70" s="15">
        <f t="shared" si="19"/>
        <v>126774.33333333333</v>
      </c>
      <c r="J70" s="16">
        <f>+INDICES!G49/INDICES!G47</f>
        <v>1.0554800181289823</v>
      </c>
      <c r="K70" s="15">
        <f t="shared" si="20"/>
        <v>133807.7756449563</v>
      </c>
      <c r="L70" s="15">
        <v>140000</v>
      </c>
      <c r="M70" s="15">
        <f t="shared" si="21"/>
        <v>6192.2243550436979</v>
      </c>
      <c r="N70" s="15">
        <f>+N1</f>
        <v>87643.8</v>
      </c>
      <c r="O70" s="15">
        <f t="shared" si="22"/>
        <v>-81451.575644956305</v>
      </c>
      <c r="P70" s="15">
        <f t="shared" si="4"/>
        <v>0</v>
      </c>
      <c r="Q70" s="40" t="s">
        <v>141</v>
      </c>
      <c r="R70" s="38" t="s">
        <v>142</v>
      </c>
    </row>
    <row r="71" spans="1:18" x14ac:dyDescent="0.2">
      <c r="A71" s="53">
        <v>66</v>
      </c>
      <c r="B71" s="51">
        <v>665</v>
      </c>
      <c r="C71" s="39" t="s">
        <v>143</v>
      </c>
      <c r="D71" s="36">
        <v>41705</v>
      </c>
      <c r="E71" s="30">
        <v>42822</v>
      </c>
      <c r="F71" s="13">
        <f t="shared" si="23"/>
        <v>37.233333333333334</v>
      </c>
      <c r="G71" s="14">
        <f t="shared" si="1"/>
        <v>1.6666666666666666E-2</v>
      </c>
      <c r="H71" s="15">
        <v>117400</v>
      </c>
      <c r="I71" s="15">
        <f t="shared" si="19"/>
        <v>44546.777777777766</v>
      </c>
      <c r="J71" s="16">
        <f>+INDICES!G49/INDICES!E48</f>
        <v>1.0182002108926933</v>
      </c>
      <c r="K71" s="15">
        <f t="shared" si="20"/>
        <v>45357.538527923265</v>
      </c>
      <c r="L71" s="15">
        <v>82000</v>
      </c>
      <c r="M71" s="15">
        <f t="shared" si="21"/>
        <v>36642.461472076735</v>
      </c>
      <c r="N71" s="15">
        <f>+N1</f>
        <v>87643.8</v>
      </c>
      <c r="O71" s="15">
        <f t="shared" si="22"/>
        <v>-51001.338527923268</v>
      </c>
      <c r="P71" s="15">
        <f t="shared" si="4"/>
        <v>0</v>
      </c>
      <c r="Q71" s="40" t="s">
        <v>144</v>
      </c>
      <c r="R71" s="38"/>
    </row>
    <row r="72" spans="1:18" x14ac:dyDescent="0.2">
      <c r="A72" s="53">
        <v>67</v>
      </c>
      <c r="B72" s="51">
        <v>666</v>
      </c>
      <c r="C72" s="39" t="s">
        <v>145</v>
      </c>
      <c r="D72" s="36">
        <v>42293</v>
      </c>
      <c r="E72" s="30">
        <v>42822</v>
      </c>
      <c r="F72" s="13">
        <f t="shared" si="23"/>
        <v>17.633333333333333</v>
      </c>
      <c r="G72" s="14">
        <f t="shared" si="1"/>
        <v>1.6666666666666666E-2</v>
      </c>
      <c r="H72" s="15">
        <v>321900</v>
      </c>
      <c r="I72" s="15">
        <f t="shared" si="19"/>
        <v>227297.16666666669</v>
      </c>
      <c r="J72" s="16">
        <f>+INDICES!G49/INDICES!I48</f>
        <v>1.0227507577845136</v>
      </c>
      <c r="K72" s="15">
        <f t="shared" si="20"/>
        <v>232468.34945060624</v>
      </c>
      <c r="L72" s="15">
        <v>260000</v>
      </c>
      <c r="M72" s="15">
        <f t="shared" si="21"/>
        <v>27531.650549393758</v>
      </c>
      <c r="N72" s="15">
        <f>+N1</f>
        <v>87643.8</v>
      </c>
      <c r="O72" s="15">
        <f t="shared" si="22"/>
        <v>-60112.149450606244</v>
      </c>
      <c r="P72" s="15">
        <f t="shared" si="4"/>
        <v>0</v>
      </c>
      <c r="Q72" s="40" t="s">
        <v>128</v>
      </c>
      <c r="R72" s="38"/>
    </row>
    <row r="73" spans="1:18" s="80" customFormat="1" x14ac:dyDescent="0.2">
      <c r="A73" s="53">
        <v>68</v>
      </c>
      <c r="B73" s="71">
        <v>667</v>
      </c>
      <c r="C73" s="88" t="s">
        <v>146</v>
      </c>
      <c r="D73" s="78">
        <v>41009</v>
      </c>
      <c r="E73" s="74">
        <v>42822</v>
      </c>
      <c r="F73" s="13">
        <f t="shared" si="23"/>
        <v>60.43333333333333</v>
      </c>
      <c r="G73" s="14">
        <f t="shared" si="1"/>
        <v>1.6666666666666666E-2</v>
      </c>
      <c r="H73" s="15">
        <v>186700</v>
      </c>
      <c r="I73" s="15"/>
      <c r="J73" s="16"/>
      <c r="K73" s="15"/>
      <c r="L73" s="15">
        <v>95000</v>
      </c>
      <c r="M73" s="15">
        <f t="shared" si="21"/>
        <v>95000</v>
      </c>
      <c r="N73" s="15">
        <f>+N1</f>
        <v>87643.8</v>
      </c>
      <c r="O73" s="15">
        <f t="shared" si="22"/>
        <v>7356.1999999999971</v>
      </c>
      <c r="P73" s="15">
        <f t="shared" si="4"/>
        <v>1471.2399999999996</v>
      </c>
      <c r="Q73" s="89" t="s">
        <v>64</v>
      </c>
      <c r="R73" s="90"/>
    </row>
    <row r="74" spans="1:18" x14ac:dyDescent="0.2">
      <c r="A74" s="53">
        <v>69</v>
      </c>
      <c r="B74" s="51">
        <v>668</v>
      </c>
      <c r="C74" s="39" t="s">
        <v>147</v>
      </c>
      <c r="D74" s="36">
        <v>41591</v>
      </c>
      <c r="E74" s="30">
        <v>42822</v>
      </c>
      <c r="F74" s="13">
        <f t="shared" si="23"/>
        <v>41.033333333333331</v>
      </c>
      <c r="G74" s="14">
        <f t="shared" si="1"/>
        <v>1.6666666666666666E-2</v>
      </c>
      <c r="H74" s="15">
        <v>183900</v>
      </c>
      <c r="I74" s="15">
        <f t="shared" si="19"/>
        <v>58132.833333333343</v>
      </c>
      <c r="J74" s="16">
        <f>+INDICES!G49/INDICES!N47</f>
        <v>1.0233588088816894</v>
      </c>
      <c r="K74" s="15">
        <f t="shared" si="20"/>
        <v>59490.747076917782</v>
      </c>
      <c r="L74" s="15">
        <v>115000</v>
      </c>
      <c r="M74" s="15">
        <f t="shared" si="21"/>
        <v>55509.252923082218</v>
      </c>
      <c r="N74" s="15">
        <f>+N1</f>
        <v>87643.8</v>
      </c>
      <c r="O74" s="15">
        <f t="shared" si="22"/>
        <v>-32134.547076917785</v>
      </c>
      <c r="P74" s="15">
        <f t="shared" si="4"/>
        <v>0</v>
      </c>
      <c r="Q74" s="40" t="s">
        <v>64</v>
      </c>
      <c r="R74" s="38"/>
    </row>
    <row r="75" spans="1:18" x14ac:dyDescent="0.2">
      <c r="A75" s="53">
        <v>70</v>
      </c>
      <c r="B75" s="51">
        <v>669</v>
      </c>
      <c r="C75" s="39" t="s">
        <v>148</v>
      </c>
      <c r="D75" s="36">
        <v>40998</v>
      </c>
      <c r="E75" s="30">
        <v>42822</v>
      </c>
      <c r="F75" s="13">
        <f t="shared" si="23"/>
        <v>60.8</v>
      </c>
      <c r="G75" s="14">
        <f t="shared" si="1"/>
        <v>1.6666666666666666E-2</v>
      </c>
      <c r="H75" s="15">
        <v>171600</v>
      </c>
      <c r="I75" s="15">
        <f t="shared" si="19"/>
        <v>-2288</v>
      </c>
      <c r="J75" s="16">
        <f>+INDICES!G49/INDICES!D46</f>
        <v>1.0976083099216325</v>
      </c>
      <c r="K75" s="15">
        <f t="shared" si="20"/>
        <v>-2511.327813100695</v>
      </c>
      <c r="L75" s="15">
        <v>87000</v>
      </c>
      <c r="M75" s="15">
        <f t="shared" si="21"/>
        <v>89511.327813100695</v>
      </c>
      <c r="N75" s="15">
        <f>+N1</f>
        <v>87643.8</v>
      </c>
      <c r="O75" s="15">
        <f t="shared" si="22"/>
        <v>1867.5278131006926</v>
      </c>
      <c r="P75" s="15">
        <f t="shared" si="4"/>
        <v>373.50556262013856</v>
      </c>
      <c r="Q75" s="40" t="s">
        <v>65</v>
      </c>
      <c r="R75" s="38"/>
    </row>
    <row r="76" spans="1:18" x14ac:dyDescent="0.2">
      <c r="A76" s="53">
        <v>71</v>
      </c>
      <c r="B76" s="51">
        <v>670</v>
      </c>
      <c r="C76" s="39" t="s">
        <v>149</v>
      </c>
      <c r="D76" s="36">
        <v>40569</v>
      </c>
      <c r="E76" s="30">
        <v>42822</v>
      </c>
      <c r="F76" s="13">
        <f t="shared" si="23"/>
        <v>75.099999999999994</v>
      </c>
      <c r="G76" s="14">
        <f t="shared" si="1"/>
        <v>1.6666666666666666E-2</v>
      </c>
      <c r="H76" s="15">
        <v>176499.8</v>
      </c>
      <c r="I76" s="15">
        <f t="shared" si="19"/>
        <v>-44419.11633333331</v>
      </c>
      <c r="J76" s="16">
        <f>+INDICES!G49/INDICES!C45</f>
        <v>1.1389091327528671</v>
      </c>
      <c r="K76" s="15">
        <f t="shared" si="20"/>
        <v>-50589.33726084535</v>
      </c>
      <c r="L76" s="15">
        <v>100000</v>
      </c>
      <c r="M76" s="15">
        <f t="shared" si="21"/>
        <v>150589.33726084535</v>
      </c>
      <c r="N76" s="15">
        <f>+N1</f>
        <v>87643.8</v>
      </c>
      <c r="O76" s="15">
        <f t="shared" si="22"/>
        <v>62945.537260845347</v>
      </c>
      <c r="P76" s="15">
        <f t="shared" si="4"/>
        <v>12589.10745216907</v>
      </c>
      <c r="Q76" s="40" t="s">
        <v>150</v>
      </c>
      <c r="R76" s="38" t="s">
        <v>151</v>
      </c>
    </row>
    <row r="77" spans="1:18" x14ac:dyDescent="0.2">
      <c r="A77" s="53">
        <v>72</v>
      </c>
      <c r="B77" s="51">
        <v>671</v>
      </c>
      <c r="C77" s="39" t="s">
        <v>152</v>
      </c>
      <c r="D77" s="36">
        <v>42809</v>
      </c>
      <c r="E77" s="30">
        <v>42822</v>
      </c>
      <c r="F77" s="13">
        <f t="shared" si="23"/>
        <v>0.43333333333333335</v>
      </c>
      <c r="G77" s="14">
        <f>0.2/12</f>
        <v>1.6666666666666666E-2</v>
      </c>
      <c r="H77" s="15">
        <v>203200</v>
      </c>
      <c r="I77" s="15">
        <f t="shared" si="19"/>
        <v>201732.44444444444</v>
      </c>
      <c r="J77" s="16">
        <f>+INDICES!G49/INDICES!H48</f>
        <v>1.0242501595405233</v>
      </c>
      <c r="K77" s="15">
        <f t="shared" si="20"/>
        <v>206624.48840672197</v>
      </c>
      <c r="L77" s="15">
        <v>150000</v>
      </c>
      <c r="M77" s="15">
        <f t="shared" si="21"/>
        <v>-56624.488406721968</v>
      </c>
      <c r="N77" s="15">
        <f>+N1</f>
        <v>87643.8</v>
      </c>
      <c r="O77" s="15">
        <f t="shared" si="22"/>
        <v>-144268.28840672196</v>
      </c>
      <c r="P77" s="15">
        <f t="shared" si="4"/>
        <v>0</v>
      </c>
      <c r="Q77" s="40" t="s">
        <v>135</v>
      </c>
      <c r="R77" s="38"/>
    </row>
    <row r="78" spans="1:18" x14ac:dyDescent="0.2">
      <c r="A78" s="53">
        <v>73</v>
      </c>
      <c r="B78" s="51">
        <v>672</v>
      </c>
      <c r="C78" s="39" t="s">
        <v>153</v>
      </c>
      <c r="D78" s="36">
        <v>41044</v>
      </c>
      <c r="E78" s="30">
        <v>42822</v>
      </c>
      <c r="F78" s="13">
        <f t="shared" si="23"/>
        <v>59.266666666666666</v>
      </c>
      <c r="G78" s="14">
        <f t="shared" si="1"/>
        <v>1.6666666666666666E-2</v>
      </c>
      <c r="H78" s="15">
        <v>201000</v>
      </c>
      <c r="I78" s="15">
        <f t="shared" si="19"/>
        <v>2456.666666666657</v>
      </c>
      <c r="J78" s="16">
        <f>+INDICES!G49/INDICES!M45</f>
        <v>1.1099999999999999</v>
      </c>
      <c r="K78" s="15">
        <f t="shared" si="20"/>
        <v>2726.8999999999887</v>
      </c>
      <c r="L78" s="15">
        <v>77000</v>
      </c>
      <c r="M78" s="15">
        <f t="shared" si="21"/>
        <v>74273.100000000006</v>
      </c>
      <c r="N78" s="15">
        <f>+N1</f>
        <v>87643.8</v>
      </c>
      <c r="O78" s="15">
        <f t="shared" si="22"/>
        <v>-13370.699999999997</v>
      </c>
      <c r="P78" s="15">
        <f t="shared" si="4"/>
        <v>0</v>
      </c>
      <c r="Q78" s="40" t="s">
        <v>154</v>
      </c>
      <c r="R78" s="38" t="s">
        <v>155</v>
      </c>
    </row>
    <row r="79" spans="1:18" x14ac:dyDescent="0.2">
      <c r="A79" s="53">
        <v>74</v>
      </c>
      <c r="B79" s="51">
        <v>673</v>
      </c>
      <c r="C79" s="39" t="s">
        <v>156</v>
      </c>
      <c r="D79" s="36">
        <v>41625</v>
      </c>
      <c r="E79" s="30">
        <v>42822</v>
      </c>
      <c r="F79" s="13">
        <f t="shared" si="23"/>
        <v>39.9</v>
      </c>
      <c r="G79" s="14">
        <f t="shared" si="1"/>
        <v>1.6666666666666666E-2</v>
      </c>
      <c r="H79" s="15">
        <v>198500</v>
      </c>
      <c r="I79" s="15">
        <f t="shared" si="19"/>
        <v>66497.5</v>
      </c>
      <c r="J79" s="16">
        <f>+INDICES!G49/INDICES!M45</f>
        <v>1.1099999999999999</v>
      </c>
      <c r="K79" s="15">
        <f t="shared" si="20"/>
        <v>73812.224999999991</v>
      </c>
      <c r="L79" s="15">
        <v>120000</v>
      </c>
      <c r="M79" s="15">
        <f t="shared" si="21"/>
        <v>46187.775000000009</v>
      </c>
      <c r="N79" s="15">
        <f>+N1</f>
        <v>87643.8</v>
      </c>
      <c r="O79" s="15">
        <f t="shared" si="22"/>
        <v>-41456.024999999994</v>
      </c>
      <c r="P79" s="15">
        <f t="shared" si="4"/>
        <v>0</v>
      </c>
      <c r="Q79" s="40" t="s">
        <v>74</v>
      </c>
      <c r="R79" s="38"/>
    </row>
    <row r="80" spans="1:18" x14ac:dyDescent="0.2">
      <c r="A80" s="53">
        <v>75</v>
      </c>
      <c r="B80" s="51">
        <v>674</v>
      </c>
      <c r="C80" s="39" t="s">
        <v>157</v>
      </c>
      <c r="D80" s="36">
        <v>42156</v>
      </c>
      <c r="E80" s="30">
        <v>42822</v>
      </c>
      <c r="F80" s="13">
        <f t="shared" si="23"/>
        <v>22.2</v>
      </c>
      <c r="G80" s="14">
        <f t="shared" si="1"/>
        <v>1.6666666666666666E-2</v>
      </c>
      <c r="H80" s="15">
        <v>271900</v>
      </c>
      <c r="I80" s="15">
        <f t="shared" si="19"/>
        <v>171297</v>
      </c>
      <c r="J80" s="16">
        <f>+INDICES!G49/INDICES!I48</f>
        <v>1.0227507577845136</v>
      </c>
      <c r="K80" s="15">
        <f t="shared" si="20"/>
        <v>175194.13655621384</v>
      </c>
      <c r="L80" s="15">
        <v>200000</v>
      </c>
      <c r="M80" s="15">
        <f t="shared" si="21"/>
        <v>24805.863443786162</v>
      </c>
      <c r="N80" s="15">
        <f>+N1</f>
        <v>87643.8</v>
      </c>
      <c r="O80" s="15">
        <f t="shared" si="22"/>
        <v>-62837.936556213841</v>
      </c>
      <c r="P80" s="15">
        <f t="shared" si="4"/>
        <v>0</v>
      </c>
      <c r="Q80" s="40" t="s">
        <v>54</v>
      </c>
      <c r="R80" s="38"/>
    </row>
    <row r="81" spans="1:18" x14ac:dyDescent="0.2">
      <c r="A81" s="53">
        <v>76</v>
      </c>
      <c r="B81" s="51">
        <v>675</v>
      </c>
      <c r="C81" s="39" t="s">
        <v>158</v>
      </c>
      <c r="D81" s="36">
        <v>41628</v>
      </c>
      <c r="E81" s="30">
        <v>42822</v>
      </c>
      <c r="F81" s="13">
        <f t="shared" si="23"/>
        <v>39.799999999999997</v>
      </c>
      <c r="G81" s="14">
        <f t="shared" si="1"/>
        <v>1.6666666666666666E-2</v>
      </c>
      <c r="H81" s="15">
        <v>165500</v>
      </c>
      <c r="I81" s="15">
        <f t="shared" si="19"/>
        <v>55718.333333333328</v>
      </c>
      <c r="J81" s="16">
        <f>+INDICES!H49/INDICES!E49</f>
        <v>0.99348267477711583</v>
      </c>
      <c r="K81" s="15">
        <f t="shared" si="20"/>
        <v>55355.19883412293</v>
      </c>
      <c r="L81" s="15">
        <v>110000</v>
      </c>
      <c r="M81" s="15">
        <f t="shared" si="21"/>
        <v>54644.80116587707</v>
      </c>
      <c r="N81" s="15">
        <f>+N1</f>
        <v>87643.8</v>
      </c>
      <c r="O81" s="15">
        <f t="shared" si="22"/>
        <v>-32998.998834122933</v>
      </c>
      <c r="P81" s="15">
        <f t="shared" si="4"/>
        <v>0</v>
      </c>
      <c r="Q81" s="40" t="s">
        <v>65</v>
      </c>
      <c r="R81" s="38"/>
    </row>
    <row r="82" spans="1:18" x14ac:dyDescent="0.2">
      <c r="A82" s="53">
        <v>77</v>
      </c>
      <c r="B82" s="51">
        <v>676</v>
      </c>
      <c r="C82" s="39" t="s">
        <v>159</v>
      </c>
      <c r="D82" s="36">
        <v>41970</v>
      </c>
      <c r="E82" s="30">
        <v>42822</v>
      </c>
      <c r="F82" s="13">
        <f t="shared" ref="F82:F118" si="24">(E82-D82)/30</f>
        <v>28.4</v>
      </c>
      <c r="G82" s="14">
        <f t="shared" si="1"/>
        <v>1.6666666666666666E-2</v>
      </c>
      <c r="H82" s="15">
        <v>160000</v>
      </c>
      <c r="I82" s="15">
        <f t="shared" si="19"/>
        <v>84266.666666666672</v>
      </c>
      <c r="J82" s="16">
        <f>+INDICES!H49/INDICES!L47</f>
        <v>1.0378112753013466</v>
      </c>
      <c r="K82" s="15">
        <f t="shared" si="20"/>
        <v>87452.896798726812</v>
      </c>
      <c r="L82" s="15">
        <v>117000</v>
      </c>
      <c r="M82" s="15">
        <f t="shared" si="21"/>
        <v>29547.103201273188</v>
      </c>
      <c r="N82" s="15">
        <f>+N1</f>
        <v>87643.8</v>
      </c>
      <c r="O82" s="15">
        <f t="shared" si="22"/>
        <v>-58096.696798726814</v>
      </c>
      <c r="P82" s="15">
        <f t="shared" si="4"/>
        <v>0</v>
      </c>
      <c r="Q82" s="40" t="s">
        <v>45</v>
      </c>
      <c r="R82" s="38"/>
    </row>
    <row r="83" spans="1:18" x14ac:dyDescent="0.2">
      <c r="A83" s="53">
        <v>78</v>
      </c>
      <c r="B83" s="51">
        <v>677</v>
      </c>
      <c r="C83" s="39" t="s">
        <v>160</v>
      </c>
      <c r="D83" s="36">
        <v>40882</v>
      </c>
      <c r="E83" s="30">
        <v>42822</v>
      </c>
      <c r="F83" s="13">
        <f t="shared" si="24"/>
        <v>64.666666666666671</v>
      </c>
      <c r="G83" s="14">
        <f t="shared" si="1"/>
        <v>1.6666666666666666E-2</v>
      </c>
      <c r="H83" s="15">
        <v>580564.85</v>
      </c>
      <c r="I83" s="15">
        <f t="shared" si="19"/>
        <v>-45155.04388888902</v>
      </c>
      <c r="J83" s="16">
        <f>+INDICES!H49/INDICES!L48</f>
        <v>1.0126990886636573</v>
      </c>
      <c r="K83" s="15">
        <f t="shared" si="20"/>
        <v>-45728.471794845362</v>
      </c>
      <c r="L83" s="15">
        <v>275000</v>
      </c>
      <c r="M83" s="15">
        <f t="shared" si="21"/>
        <v>320728.47179484536</v>
      </c>
      <c r="N83" s="15">
        <f>+N1</f>
        <v>87643.8</v>
      </c>
      <c r="O83" s="15">
        <f t="shared" si="22"/>
        <v>233084.67179484537</v>
      </c>
      <c r="P83" s="15">
        <f t="shared" si="4"/>
        <v>46616.934358969076</v>
      </c>
      <c r="Q83" s="40" t="s">
        <v>144</v>
      </c>
      <c r="R83" s="38"/>
    </row>
    <row r="84" spans="1:18" x14ac:dyDescent="0.2">
      <c r="A84" s="53">
        <v>79</v>
      </c>
      <c r="B84" s="51">
        <v>678</v>
      </c>
      <c r="C84" s="39" t="s">
        <v>161</v>
      </c>
      <c r="D84" s="36">
        <v>42208</v>
      </c>
      <c r="E84" s="30">
        <v>42822</v>
      </c>
      <c r="F84" s="13">
        <f t="shared" si="24"/>
        <v>20.466666666666665</v>
      </c>
      <c r="G84" s="14">
        <f t="shared" si="1"/>
        <v>1.6666666666666666E-2</v>
      </c>
      <c r="H84" s="15">
        <v>186900</v>
      </c>
      <c r="I84" s="15">
        <f t="shared" si="19"/>
        <v>123146.33333333334</v>
      </c>
      <c r="J84" s="16">
        <f>+INDICES!H49/INDICES!I47</f>
        <v>1.0519233491400666</v>
      </c>
      <c r="K84" s="15">
        <f t="shared" si="20"/>
        <v>129540.50339431904</v>
      </c>
      <c r="L84" s="15">
        <v>145000</v>
      </c>
      <c r="M84" s="15">
        <f t="shared" si="21"/>
        <v>15459.496605680964</v>
      </c>
      <c r="N84" s="15">
        <f>+N1</f>
        <v>87643.8</v>
      </c>
      <c r="O84" s="15">
        <f t="shared" si="22"/>
        <v>-72184.303394319038</v>
      </c>
      <c r="P84" s="15">
        <f t="shared" si="4"/>
        <v>0</v>
      </c>
      <c r="Q84" s="40" t="s">
        <v>45</v>
      </c>
      <c r="R84" s="38"/>
    </row>
    <row r="85" spans="1:18" x14ac:dyDescent="0.2">
      <c r="A85" s="53">
        <v>80</v>
      </c>
      <c r="B85" s="51">
        <v>679</v>
      </c>
      <c r="C85" s="39" t="s">
        <v>162</v>
      </c>
      <c r="D85" s="36">
        <v>41229</v>
      </c>
      <c r="E85" s="30">
        <v>42822</v>
      </c>
      <c r="F85" s="13">
        <f t="shared" si="24"/>
        <v>53.1</v>
      </c>
      <c r="G85" s="14">
        <f t="shared" si="1"/>
        <v>1.6666666666666666E-2</v>
      </c>
      <c r="H85" s="15">
        <v>180000</v>
      </c>
      <c r="I85" s="15">
        <f t="shared" si="19"/>
        <v>20700</v>
      </c>
      <c r="J85" s="16">
        <f>+INDICES!H49/INDICES!H45</f>
        <v>1.1391385157791871</v>
      </c>
      <c r="K85" s="15">
        <f t="shared" si="20"/>
        <v>23580.167276629174</v>
      </c>
      <c r="L85" s="15">
        <v>104000</v>
      </c>
      <c r="M85" s="15">
        <f t="shared" si="21"/>
        <v>80419.832723370826</v>
      </c>
      <c r="N85" s="15">
        <f>+N1</f>
        <v>87643.8</v>
      </c>
      <c r="O85" s="15">
        <f t="shared" si="22"/>
        <v>-7223.9672766291769</v>
      </c>
      <c r="P85" s="15">
        <f t="shared" si="4"/>
        <v>0</v>
      </c>
      <c r="Q85" s="40" t="s">
        <v>45</v>
      </c>
      <c r="R85" s="38"/>
    </row>
    <row r="86" spans="1:18" x14ac:dyDescent="0.2">
      <c r="A86" s="53">
        <v>81</v>
      </c>
      <c r="B86" s="51">
        <v>680</v>
      </c>
      <c r="C86" s="39" t="s">
        <v>163</v>
      </c>
      <c r="D86" s="36">
        <v>42185</v>
      </c>
      <c r="E86" s="30">
        <v>42829</v>
      </c>
      <c r="F86" s="13">
        <f t="shared" si="24"/>
        <v>21.466666666666665</v>
      </c>
      <c r="G86" s="14">
        <f t="shared" si="1"/>
        <v>1.6666666666666666E-2</v>
      </c>
      <c r="H86" s="15">
        <v>215900</v>
      </c>
      <c r="I86" s="15">
        <f t="shared" si="19"/>
        <v>138655.77777777778</v>
      </c>
      <c r="J86" s="16">
        <f>+INDICES!H49/INDICES!M48</f>
        <v>1.0072002778460156</v>
      </c>
      <c r="K86" s="15">
        <f t="shared" si="20"/>
        <v>139654.13790273317</v>
      </c>
      <c r="L86" s="15">
        <v>153000</v>
      </c>
      <c r="M86" s="15">
        <f t="shared" si="21"/>
        <v>13345.862097266829</v>
      </c>
      <c r="N86" s="15">
        <f>+N1</f>
        <v>87643.8</v>
      </c>
      <c r="O86" s="15">
        <f t="shared" si="22"/>
        <v>-74297.937902733174</v>
      </c>
      <c r="P86" s="15">
        <f t="shared" si="4"/>
        <v>0</v>
      </c>
      <c r="Q86" s="40" t="s">
        <v>87</v>
      </c>
      <c r="R86" s="38"/>
    </row>
    <row r="87" spans="1:18" x14ac:dyDescent="0.2">
      <c r="A87" s="53">
        <v>82</v>
      </c>
      <c r="B87" s="51">
        <v>681</v>
      </c>
      <c r="C87" s="39" t="s">
        <v>164</v>
      </c>
      <c r="D87" s="36">
        <v>42277</v>
      </c>
      <c r="E87" s="30">
        <v>42829</v>
      </c>
      <c r="F87" s="13">
        <f t="shared" si="24"/>
        <v>18.399999999999999</v>
      </c>
      <c r="G87" s="14">
        <f t="shared" si="1"/>
        <v>1.6666666666666666E-2</v>
      </c>
      <c r="H87" s="15">
        <v>197900</v>
      </c>
      <c r="I87" s="15">
        <f t="shared" si="19"/>
        <v>137210.66666666669</v>
      </c>
      <c r="J87" s="16">
        <f>+INDICES!H49/INDICES!G47</f>
        <v>1.056644183173816</v>
      </c>
      <c r="K87" s="15">
        <f t="shared" si="20"/>
        <v>144982.85280273476</v>
      </c>
      <c r="L87" s="15">
        <v>154000</v>
      </c>
      <c r="M87" s="15">
        <f t="shared" si="21"/>
        <v>9017.1471972652362</v>
      </c>
      <c r="N87" s="15">
        <f>+N1</f>
        <v>87643.8</v>
      </c>
      <c r="O87" s="15">
        <f t="shared" si="22"/>
        <v>-78626.652802734767</v>
      </c>
      <c r="P87" s="15">
        <f t="shared" si="4"/>
        <v>0</v>
      </c>
      <c r="Q87" s="40" t="s">
        <v>128</v>
      </c>
      <c r="R87" s="38"/>
    </row>
    <row r="88" spans="1:18" x14ac:dyDescent="0.2">
      <c r="A88" s="53">
        <v>83</v>
      </c>
      <c r="B88" s="51">
        <v>682</v>
      </c>
      <c r="C88" s="39" t="s">
        <v>165</v>
      </c>
      <c r="D88" s="36">
        <v>42054</v>
      </c>
      <c r="E88" s="30">
        <v>42829</v>
      </c>
      <c r="F88" s="13">
        <f t="shared" si="24"/>
        <v>25.833333333333332</v>
      </c>
      <c r="G88" s="14">
        <f t="shared" si="1"/>
        <v>1.6666666666666666E-2</v>
      </c>
      <c r="H88" s="15">
        <v>355900</v>
      </c>
      <c r="I88" s="15">
        <f t="shared" si="19"/>
        <v>202665.27777777778</v>
      </c>
      <c r="J88" s="16">
        <f>+INDICES!H49/INDICES!G44</f>
        <v>1.1884633068788357</v>
      </c>
      <c r="K88" s="15">
        <f t="shared" si="20"/>
        <v>240860.24621729561</v>
      </c>
      <c r="L88" s="15">
        <v>264000</v>
      </c>
      <c r="M88" s="15">
        <f t="shared" si="21"/>
        <v>23139.753782704385</v>
      </c>
      <c r="N88" s="15">
        <f>+N1</f>
        <v>87643.8</v>
      </c>
      <c r="O88" s="15">
        <f t="shared" si="22"/>
        <v>-64504.046217295618</v>
      </c>
      <c r="P88" s="15">
        <f t="shared" si="4"/>
        <v>0</v>
      </c>
      <c r="Q88" s="40" t="s">
        <v>85</v>
      </c>
      <c r="R88" s="38"/>
    </row>
    <row r="89" spans="1:18" x14ac:dyDescent="0.2">
      <c r="A89" s="53">
        <v>84</v>
      </c>
      <c r="B89" s="51">
        <v>683</v>
      </c>
      <c r="C89" s="39" t="s">
        <v>166</v>
      </c>
      <c r="D89" s="36">
        <v>42501</v>
      </c>
      <c r="E89" s="30">
        <v>42829</v>
      </c>
      <c r="F89" s="13">
        <f t="shared" si="24"/>
        <v>10.933333333333334</v>
      </c>
      <c r="G89" s="14">
        <f t="shared" si="1"/>
        <v>1.6666666666666666E-2</v>
      </c>
      <c r="H89" s="15">
        <v>462840</v>
      </c>
      <c r="I89" s="15">
        <f t="shared" si="19"/>
        <v>378500.26666666666</v>
      </c>
      <c r="J89" s="16">
        <f>INDICES!I49/INDICES!D46</f>
        <v>1.1016837941741831</v>
      </c>
      <c r="K89" s="15">
        <f t="shared" si="20"/>
        <v>416987.60987727338</v>
      </c>
      <c r="L89" s="15">
        <v>375000</v>
      </c>
      <c r="M89" s="15">
        <f t="shared" si="21"/>
        <v>-41987.609877273382</v>
      </c>
      <c r="N89" s="15">
        <f>+N1</f>
        <v>87643.8</v>
      </c>
      <c r="O89" s="15">
        <f t="shared" si="22"/>
        <v>-129631.40987727339</v>
      </c>
      <c r="P89" s="15">
        <f t="shared" si="4"/>
        <v>0</v>
      </c>
      <c r="Q89" s="40" t="s">
        <v>85</v>
      </c>
      <c r="R89" s="38"/>
    </row>
    <row r="90" spans="1:18" x14ac:dyDescent="0.2">
      <c r="A90" s="53">
        <v>85</v>
      </c>
      <c r="B90" s="51">
        <v>684</v>
      </c>
      <c r="C90" s="39" t="s">
        <v>167</v>
      </c>
      <c r="D90" s="36">
        <v>42028</v>
      </c>
      <c r="E90" s="30">
        <v>42829</v>
      </c>
      <c r="F90" s="13">
        <f t="shared" si="24"/>
        <v>26.7</v>
      </c>
      <c r="G90" s="14">
        <f t="shared" si="1"/>
        <v>1.6666666666666666E-2</v>
      </c>
      <c r="H90" s="15">
        <v>181600</v>
      </c>
      <c r="I90" s="15">
        <f t="shared" si="19"/>
        <v>100788</v>
      </c>
      <c r="J90" s="16">
        <f>INDICES!I49/INDICES!E48</f>
        <v>1.0219808482001251</v>
      </c>
      <c r="K90" s="15">
        <f t="shared" si="20"/>
        <v>103003.40572839421</v>
      </c>
      <c r="L90" s="15">
        <v>120000</v>
      </c>
      <c r="M90" s="15">
        <f t="shared" si="21"/>
        <v>16996.594271605791</v>
      </c>
      <c r="N90" s="15">
        <f>+N1</f>
        <v>87643.8</v>
      </c>
      <c r="O90" s="15">
        <f t="shared" si="22"/>
        <v>-70647.205728394212</v>
      </c>
      <c r="P90" s="15">
        <f t="shared" si="4"/>
        <v>0</v>
      </c>
      <c r="Q90" s="40" t="s">
        <v>130</v>
      </c>
      <c r="R90" s="38" t="s">
        <v>131</v>
      </c>
    </row>
    <row r="91" spans="1:18" x14ac:dyDescent="0.2">
      <c r="A91" s="53">
        <v>86</v>
      </c>
      <c r="B91" s="51">
        <v>685</v>
      </c>
      <c r="C91" s="39" t="s">
        <v>168</v>
      </c>
      <c r="D91" s="36">
        <v>41430</v>
      </c>
      <c r="E91" s="30">
        <v>42098</v>
      </c>
      <c r="F91" s="13">
        <f t="shared" si="24"/>
        <v>22.266666666666666</v>
      </c>
      <c r="G91" s="14">
        <f t="shared" si="1"/>
        <v>1.6666666666666666E-2</v>
      </c>
      <c r="H91" s="15">
        <v>189684</v>
      </c>
      <c r="I91" s="15">
        <f t="shared" si="19"/>
        <v>119290.16</v>
      </c>
      <c r="J91" s="16">
        <f>INDICES!I49/INDICES!I47</f>
        <v>1.0546659353103547</v>
      </c>
      <c r="K91" s="15">
        <f t="shared" si="20"/>
        <v>125811.26816972186</v>
      </c>
      <c r="L91" s="15">
        <v>110000</v>
      </c>
      <c r="M91" s="15">
        <f t="shared" si="21"/>
        <v>-15811.268169721865</v>
      </c>
      <c r="N91" s="15">
        <f>+N1</f>
        <v>87643.8</v>
      </c>
      <c r="O91" s="15">
        <f t="shared" si="22"/>
        <v>-103455.06816972187</v>
      </c>
      <c r="P91" s="15">
        <f t="shared" si="4"/>
        <v>0</v>
      </c>
      <c r="Q91" s="40" t="s">
        <v>144</v>
      </c>
      <c r="R91" s="38"/>
    </row>
    <row r="92" spans="1:18" x14ac:dyDescent="0.2">
      <c r="A92" s="53">
        <v>87</v>
      </c>
      <c r="B92" s="51">
        <v>686</v>
      </c>
      <c r="C92" s="39" t="s">
        <v>169</v>
      </c>
      <c r="D92" s="36">
        <v>42178</v>
      </c>
      <c r="E92" s="30">
        <v>42850</v>
      </c>
      <c r="F92" s="13">
        <f t="shared" si="24"/>
        <v>22.4</v>
      </c>
      <c r="G92" s="14">
        <f t="shared" si="1"/>
        <v>1.6666666666666666E-2</v>
      </c>
      <c r="H92" s="15">
        <v>106500</v>
      </c>
      <c r="I92" s="15">
        <f t="shared" si="19"/>
        <v>66740</v>
      </c>
      <c r="J92" s="16">
        <f>INDICES!I49/INDICES!E46</f>
        <v>1.0936588319480376</v>
      </c>
      <c r="K92" s="15">
        <f t="shared" si="20"/>
        <v>72990.790444212034</v>
      </c>
      <c r="L92" s="15">
        <v>86500</v>
      </c>
      <c r="M92" s="15">
        <f t="shared" si="21"/>
        <v>13509.209555787966</v>
      </c>
      <c r="N92" s="15">
        <f>+N1</f>
        <v>87643.8</v>
      </c>
      <c r="O92" s="15">
        <f t="shared" si="22"/>
        <v>-74134.590444212037</v>
      </c>
      <c r="P92" s="15">
        <f t="shared" si="4"/>
        <v>0</v>
      </c>
      <c r="Q92" s="40" t="s">
        <v>170</v>
      </c>
      <c r="R92" s="38"/>
    </row>
    <row r="93" spans="1:18" x14ac:dyDescent="0.2">
      <c r="A93" s="53">
        <v>88</v>
      </c>
      <c r="B93" s="51">
        <v>687</v>
      </c>
      <c r="C93" s="39" t="s">
        <v>171</v>
      </c>
      <c r="D93" s="36">
        <v>41999</v>
      </c>
      <c r="E93" s="30">
        <v>42850</v>
      </c>
      <c r="F93" s="13">
        <f t="shared" si="24"/>
        <v>28.366666666666667</v>
      </c>
      <c r="G93" s="14">
        <f t="shared" si="1"/>
        <v>1.6666666666666666E-2</v>
      </c>
      <c r="H93" s="15">
        <v>160000</v>
      </c>
      <c r="I93" s="15">
        <f t="shared" si="19"/>
        <v>84355.555555555562</v>
      </c>
      <c r="J93" s="16">
        <f>INDICES!I49/INDICES!I47</f>
        <v>1.0546659353103547</v>
      </c>
      <c r="K93" s="15">
        <f t="shared" si="20"/>
        <v>88966.930898624589</v>
      </c>
      <c r="L93" s="15">
        <v>110000</v>
      </c>
      <c r="M93" s="15">
        <f t="shared" si="21"/>
        <v>21033.069101375411</v>
      </c>
      <c r="N93" s="15">
        <f>+N1</f>
        <v>87643.8</v>
      </c>
      <c r="O93" s="15">
        <f t="shared" si="22"/>
        <v>-66610.730898624592</v>
      </c>
      <c r="P93" s="15">
        <f t="shared" si="4"/>
        <v>0</v>
      </c>
      <c r="Q93" s="40" t="s">
        <v>45</v>
      </c>
      <c r="R93" s="38"/>
    </row>
    <row r="94" spans="1:18" x14ac:dyDescent="0.2">
      <c r="A94" s="53">
        <v>89</v>
      </c>
      <c r="B94" s="51">
        <v>689</v>
      </c>
      <c r="C94" s="39" t="s">
        <v>172</v>
      </c>
      <c r="D94" s="36">
        <v>42296</v>
      </c>
      <c r="E94" s="30">
        <v>42850</v>
      </c>
      <c r="F94" s="13">
        <f t="shared" si="24"/>
        <v>18.466666666666665</v>
      </c>
      <c r="G94" s="14">
        <f t="shared" si="1"/>
        <v>1.6666666666666666E-2</v>
      </c>
      <c r="H94" s="15">
        <v>211500</v>
      </c>
      <c r="I94" s="15">
        <f t="shared" si="19"/>
        <v>146405</v>
      </c>
      <c r="J94" s="16">
        <f>+INDICES!H49/INDICES!I47</f>
        <v>1.0519233491400666</v>
      </c>
      <c r="K94" s="15">
        <f t="shared" si="20"/>
        <v>154006.83793085144</v>
      </c>
      <c r="L94" s="15">
        <v>155000</v>
      </c>
      <c r="M94" s="15">
        <f t="shared" si="21"/>
        <v>993.16206914855866</v>
      </c>
      <c r="N94" s="15">
        <f>+N1</f>
        <v>87643.8</v>
      </c>
      <c r="O94" s="15">
        <f t="shared" si="22"/>
        <v>-86650.637930851444</v>
      </c>
      <c r="P94" s="15">
        <f t="shared" si="4"/>
        <v>0</v>
      </c>
      <c r="Q94" s="40" t="s">
        <v>173</v>
      </c>
      <c r="R94" s="38" t="s">
        <v>174</v>
      </c>
    </row>
    <row r="95" spans="1:18" x14ac:dyDescent="0.2">
      <c r="A95" s="53">
        <v>90</v>
      </c>
      <c r="B95" s="51">
        <v>690</v>
      </c>
      <c r="C95" s="39" t="s">
        <v>175</v>
      </c>
      <c r="D95" s="36">
        <v>42774</v>
      </c>
      <c r="E95" s="30">
        <v>42850</v>
      </c>
      <c r="F95" s="13">
        <f t="shared" si="24"/>
        <v>2.5333333333333332</v>
      </c>
      <c r="G95" s="14">
        <f t="shared" si="1"/>
        <v>1.6666666666666666E-2</v>
      </c>
      <c r="H95" s="15">
        <v>207900</v>
      </c>
      <c r="I95" s="15">
        <f t="shared" si="19"/>
        <v>199122</v>
      </c>
      <c r="J95" s="16">
        <f>INDICES!H49/INDICES!H49</f>
        <v>1</v>
      </c>
      <c r="K95" s="15">
        <f t="shared" si="20"/>
        <v>199122</v>
      </c>
      <c r="L95" s="15">
        <v>150000</v>
      </c>
      <c r="M95" s="15">
        <f t="shared" si="21"/>
        <v>-49122</v>
      </c>
      <c r="N95" s="15">
        <f>+N1</f>
        <v>87643.8</v>
      </c>
      <c r="O95" s="15">
        <f t="shared" si="22"/>
        <v>-136765.79999999999</v>
      </c>
      <c r="P95" s="15">
        <f t="shared" si="4"/>
        <v>0</v>
      </c>
      <c r="Q95" s="40" t="s">
        <v>49</v>
      </c>
      <c r="R95" s="38"/>
    </row>
    <row r="96" spans="1:18" x14ac:dyDescent="0.2">
      <c r="A96" s="53">
        <v>91</v>
      </c>
      <c r="B96" s="51">
        <v>691</v>
      </c>
      <c r="C96" s="39" t="s">
        <v>176</v>
      </c>
      <c r="D96" s="36">
        <v>42608</v>
      </c>
      <c r="E96" s="30">
        <v>42850</v>
      </c>
      <c r="F96" s="13">
        <f t="shared" si="24"/>
        <v>8.0666666666666664</v>
      </c>
      <c r="G96" s="14">
        <f t="shared" si="1"/>
        <v>1.6666666666666666E-2</v>
      </c>
      <c r="H96" s="15">
        <v>203100</v>
      </c>
      <c r="I96" s="15">
        <f t="shared" si="19"/>
        <v>175794.33333333334</v>
      </c>
      <c r="J96" s="16">
        <f>INDICES!J49/INDICES!F48</f>
        <v>1.0275215952554901</v>
      </c>
      <c r="K96" s="15">
        <f t="shared" si="20"/>
        <v>180632.47382354207</v>
      </c>
      <c r="L96" s="15">
        <v>158000</v>
      </c>
      <c r="M96" s="15">
        <f t="shared" si="21"/>
        <v>-22632.473823542066</v>
      </c>
      <c r="N96" s="15">
        <f>+N1</f>
        <v>87643.8</v>
      </c>
      <c r="O96" s="15">
        <f t="shared" si="22"/>
        <v>-110276.27382354207</v>
      </c>
      <c r="P96" s="15">
        <f t="shared" si="4"/>
        <v>0</v>
      </c>
      <c r="Q96" s="40" t="s">
        <v>177</v>
      </c>
      <c r="R96" s="38"/>
    </row>
    <row r="97" spans="1:18" x14ac:dyDescent="0.2">
      <c r="A97" s="53">
        <v>92</v>
      </c>
      <c r="B97" s="51">
        <v>692</v>
      </c>
      <c r="C97" s="39" t="s">
        <v>178</v>
      </c>
      <c r="D97" s="36">
        <v>41817</v>
      </c>
      <c r="E97" s="30">
        <v>42850</v>
      </c>
      <c r="F97" s="13">
        <f t="shared" si="24"/>
        <v>34.43333333333333</v>
      </c>
      <c r="G97" s="14">
        <f t="shared" si="1"/>
        <v>1.6666666666666666E-2</v>
      </c>
      <c r="H97" s="15">
        <v>142000</v>
      </c>
      <c r="I97" s="15">
        <f t="shared" si="19"/>
        <v>60507.777777777796</v>
      </c>
      <c r="J97" s="16">
        <f>INDICES!J49/INDICES!E46</f>
        <v>1.0967413441955194</v>
      </c>
      <c r="K97" s="15">
        <f t="shared" si="20"/>
        <v>66361.381534283792</v>
      </c>
      <c r="L97" s="15">
        <v>100000</v>
      </c>
      <c r="M97" s="15">
        <f t="shared" si="21"/>
        <v>33638.618465716208</v>
      </c>
      <c r="N97" s="15">
        <f>+N1</f>
        <v>87643.8</v>
      </c>
      <c r="O97" s="15">
        <f t="shared" si="22"/>
        <v>-54005.181534283794</v>
      </c>
      <c r="P97" s="15">
        <f t="shared" si="4"/>
        <v>0</v>
      </c>
      <c r="Q97" s="40" t="s">
        <v>179</v>
      </c>
      <c r="R97" s="38"/>
    </row>
    <row r="98" spans="1:18" x14ac:dyDescent="0.2">
      <c r="A98" s="53">
        <v>93</v>
      </c>
      <c r="B98" s="51">
        <v>693</v>
      </c>
      <c r="C98" s="39" t="s">
        <v>180</v>
      </c>
      <c r="D98" s="36">
        <v>40992</v>
      </c>
      <c r="E98" s="30">
        <v>42850</v>
      </c>
      <c r="F98" s="13">
        <f t="shared" si="24"/>
        <v>61.93333333333333</v>
      </c>
      <c r="G98" s="14">
        <f t="shared" si="1"/>
        <v>1.6666666666666666E-2</v>
      </c>
      <c r="H98" s="15">
        <v>338800</v>
      </c>
      <c r="I98" s="15">
        <f t="shared" si="19"/>
        <v>-10916.888888888876</v>
      </c>
      <c r="J98" s="16">
        <f>INDICES!J49/INDICES!G46</f>
        <v>1.0996771255898667</v>
      </c>
      <c r="K98" s="15">
        <f t="shared" si="20"/>
        <v>-12005.052993717274</v>
      </c>
      <c r="L98" s="15">
        <v>149000</v>
      </c>
      <c r="M98" s="15">
        <f t="shared" si="21"/>
        <v>161005.05299371728</v>
      </c>
      <c r="N98" s="15">
        <f>+N1</f>
        <v>87643.8</v>
      </c>
      <c r="O98" s="15">
        <f t="shared" si="22"/>
        <v>73361.25299371728</v>
      </c>
      <c r="P98" s="15">
        <f t="shared" si="4"/>
        <v>14672.250598743456</v>
      </c>
      <c r="Q98" s="40" t="s">
        <v>45</v>
      </c>
      <c r="R98" s="38"/>
    </row>
    <row r="99" spans="1:18" x14ac:dyDescent="0.2">
      <c r="A99" s="53">
        <v>94</v>
      </c>
      <c r="B99" s="51">
        <v>694</v>
      </c>
      <c r="C99" s="39" t="s">
        <v>181</v>
      </c>
      <c r="D99" s="36">
        <v>41759</v>
      </c>
      <c r="E99" s="30">
        <v>42850</v>
      </c>
      <c r="F99" s="13">
        <f t="shared" si="24"/>
        <v>36.366666666666667</v>
      </c>
      <c r="G99" s="14">
        <f t="shared" si="1"/>
        <v>1.6666666666666666E-2</v>
      </c>
      <c r="H99" s="15">
        <v>671900</v>
      </c>
      <c r="I99" s="15">
        <f t="shared" ref="I99:I126" si="25">H99-(H99*G99*F99)</f>
        <v>264653.94444444444</v>
      </c>
      <c r="J99" s="16">
        <f>INDICES!J49/INDICES!H48</f>
        <v>1.0309508615188259</v>
      </c>
      <c r="K99" s="15">
        <f t="shared" ref="K99:K126" si="26">+I99*J99</f>
        <v>272845.21202935546</v>
      </c>
      <c r="L99" s="15">
        <v>400000</v>
      </c>
      <c r="M99" s="15">
        <f t="shared" ref="M99:M126" si="27">+L99-K99</f>
        <v>127154.78797064454</v>
      </c>
      <c r="N99" s="15">
        <f>+N1</f>
        <v>87643.8</v>
      </c>
      <c r="O99" s="15">
        <f t="shared" ref="O99:O126" si="28">+M99-N99</f>
        <v>39510.987970644535</v>
      </c>
      <c r="P99" s="15">
        <f t="shared" si="4"/>
        <v>7902.1975941289074</v>
      </c>
      <c r="Q99" s="40" t="s">
        <v>38</v>
      </c>
      <c r="R99" s="38"/>
    </row>
    <row r="100" spans="1:18" x14ac:dyDescent="0.2">
      <c r="A100" s="53">
        <v>95</v>
      </c>
      <c r="B100" s="51">
        <v>695</v>
      </c>
      <c r="C100" s="39" t="s">
        <v>182</v>
      </c>
      <c r="D100" s="36">
        <v>41668</v>
      </c>
      <c r="E100" s="30">
        <v>42850</v>
      </c>
      <c r="F100" s="13">
        <f t="shared" si="24"/>
        <v>39.4</v>
      </c>
      <c r="G100" s="14">
        <f t="shared" si="1"/>
        <v>1.6666666666666666E-2</v>
      </c>
      <c r="H100" s="15">
        <v>285000</v>
      </c>
      <c r="I100" s="15">
        <f t="shared" si="25"/>
        <v>97850</v>
      </c>
      <c r="J100" s="16">
        <f>INDICES!J49/INDICES!N45</f>
        <v>1.1146989165097068</v>
      </c>
      <c r="K100" s="15">
        <f t="shared" si="26"/>
        <v>109073.28898047481</v>
      </c>
      <c r="L100" s="15">
        <v>169000</v>
      </c>
      <c r="M100" s="15">
        <f t="shared" si="27"/>
        <v>59926.711019525188</v>
      </c>
      <c r="N100" s="15">
        <f>+N1</f>
        <v>87643.8</v>
      </c>
      <c r="O100" s="15">
        <f t="shared" si="28"/>
        <v>-27717.088980474815</v>
      </c>
      <c r="P100" s="15">
        <f t="shared" si="4"/>
        <v>0</v>
      </c>
      <c r="Q100" s="40" t="s">
        <v>40</v>
      </c>
      <c r="R100" s="38"/>
    </row>
    <row r="101" spans="1:18" x14ac:dyDescent="0.2">
      <c r="A101" s="53">
        <v>96</v>
      </c>
      <c r="B101" s="51">
        <v>696</v>
      </c>
      <c r="C101" s="39" t="s">
        <v>183</v>
      </c>
      <c r="D101" s="36">
        <v>42835</v>
      </c>
      <c r="E101" s="30">
        <v>42850</v>
      </c>
      <c r="F101" s="13">
        <f t="shared" si="24"/>
        <v>0.5</v>
      </c>
      <c r="G101" s="14">
        <f t="shared" si="1"/>
        <v>1.6666666666666666E-2</v>
      </c>
      <c r="H101" s="15">
        <v>199900</v>
      </c>
      <c r="I101" s="15">
        <f t="shared" si="25"/>
        <v>198234.16666666666</v>
      </c>
      <c r="J101" s="16">
        <f>INDICES!J49/INDICES!J45</f>
        <v>1.1355256033966887</v>
      </c>
      <c r="K101" s="15">
        <f t="shared" si="26"/>
        <v>225099.97171800642</v>
      </c>
      <c r="L101" s="15">
        <v>180000</v>
      </c>
      <c r="M101" s="15">
        <f t="shared" si="27"/>
        <v>-45099.971718006418</v>
      </c>
      <c r="N101" s="15">
        <f>+N1</f>
        <v>87643.8</v>
      </c>
      <c r="O101" s="15">
        <f t="shared" si="28"/>
        <v>-132743.77171800641</v>
      </c>
      <c r="P101" s="15">
        <f t="shared" si="4"/>
        <v>0</v>
      </c>
      <c r="Q101" s="40" t="s">
        <v>65</v>
      </c>
      <c r="R101" s="38"/>
    </row>
    <row r="102" spans="1:18" x14ac:dyDescent="0.2">
      <c r="A102" s="53">
        <v>97</v>
      </c>
      <c r="B102" s="51">
        <v>697</v>
      </c>
      <c r="C102" s="39" t="s">
        <v>184</v>
      </c>
      <c r="D102" s="36">
        <v>42272</v>
      </c>
      <c r="E102" s="30">
        <v>42850</v>
      </c>
      <c r="F102" s="13">
        <f t="shared" si="24"/>
        <v>19.266666666666666</v>
      </c>
      <c r="G102" s="14">
        <f t="shared" si="1"/>
        <v>1.6666666666666666E-2</v>
      </c>
      <c r="H102" s="15">
        <v>333900</v>
      </c>
      <c r="I102" s="15">
        <f t="shared" si="25"/>
        <v>226681</v>
      </c>
      <c r="J102" s="16">
        <f>INDICES!J49/INDICES!J47</f>
        <v>1.053853206156667</v>
      </c>
      <c r="K102" s="15">
        <f t="shared" si="26"/>
        <v>238888.49862479942</v>
      </c>
      <c r="L102" s="15">
        <v>254000</v>
      </c>
      <c r="M102" s="15">
        <f t="shared" si="27"/>
        <v>15111.501375200576</v>
      </c>
      <c r="N102" s="15">
        <f>+N1</f>
        <v>87643.8</v>
      </c>
      <c r="O102" s="15">
        <f t="shared" si="28"/>
        <v>-72532.298624799427</v>
      </c>
      <c r="P102" s="15">
        <f t="shared" si="4"/>
        <v>0</v>
      </c>
      <c r="Q102" s="40" t="s">
        <v>65</v>
      </c>
      <c r="R102" s="38"/>
    </row>
    <row r="103" spans="1:18" x14ac:dyDescent="0.2">
      <c r="A103" s="53">
        <v>98</v>
      </c>
      <c r="B103" s="51">
        <v>698</v>
      </c>
      <c r="C103" s="39" t="s">
        <v>185</v>
      </c>
      <c r="D103" s="36">
        <v>41348</v>
      </c>
      <c r="E103" s="30">
        <v>42850</v>
      </c>
      <c r="F103" s="13">
        <f t="shared" si="24"/>
        <v>50.06666666666667</v>
      </c>
      <c r="G103" s="14">
        <f t="shared" si="1"/>
        <v>1.6666666666666666E-2</v>
      </c>
      <c r="H103" s="15">
        <v>179900</v>
      </c>
      <c r="I103" s="15">
        <f t="shared" si="25"/>
        <v>29783.444444444438</v>
      </c>
      <c r="J103" s="16">
        <f>INDICES!J49/INDICES!D48</f>
        <v>1.0290340351541651</v>
      </c>
      <c r="K103" s="15">
        <f t="shared" si="26"/>
        <v>30648.178017456561</v>
      </c>
      <c r="L103" s="15">
        <v>100000</v>
      </c>
      <c r="M103" s="15">
        <f t="shared" si="27"/>
        <v>69351.821982543435</v>
      </c>
      <c r="N103" s="15">
        <f>+N1</f>
        <v>87643.8</v>
      </c>
      <c r="O103" s="15">
        <f t="shared" si="28"/>
        <v>-18291.978017456568</v>
      </c>
      <c r="P103" s="15">
        <f t="shared" si="4"/>
        <v>0</v>
      </c>
      <c r="Q103" s="40" t="s">
        <v>38</v>
      </c>
      <c r="R103" s="38"/>
    </row>
    <row r="104" spans="1:18" x14ac:dyDescent="0.2">
      <c r="A104" s="53">
        <v>99</v>
      </c>
      <c r="B104" s="51">
        <v>700</v>
      </c>
      <c r="C104" s="39" t="s">
        <v>186</v>
      </c>
      <c r="D104" s="36">
        <v>41814</v>
      </c>
      <c r="E104" s="30">
        <v>42850</v>
      </c>
      <c r="F104" s="13">
        <f t="shared" si="24"/>
        <v>34.533333333333331</v>
      </c>
      <c r="G104" s="14">
        <f t="shared" si="1"/>
        <v>1.6666666666666666E-2</v>
      </c>
      <c r="H104" s="15">
        <v>206125</v>
      </c>
      <c r="I104" s="15">
        <f t="shared" si="25"/>
        <v>87488.611111111124</v>
      </c>
      <c r="J104" s="16">
        <f>INDICES!J49/INDICES!N46</f>
        <v>1.0720934820820032</v>
      </c>
      <c r="K104" s="15">
        <f t="shared" si="26"/>
        <v>93795.969728629352</v>
      </c>
      <c r="L104" s="15">
        <v>91000</v>
      </c>
      <c r="M104" s="15">
        <f t="shared" si="27"/>
        <v>-2795.9697286293522</v>
      </c>
      <c r="N104" s="15">
        <f>+N1</f>
        <v>87643.8</v>
      </c>
      <c r="O104" s="15">
        <f t="shared" si="28"/>
        <v>-90439.769728629355</v>
      </c>
      <c r="P104" s="15">
        <f t="shared" si="4"/>
        <v>0</v>
      </c>
      <c r="Q104" s="40" t="s">
        <v>54</v>
      </c>
      <c r="R104" s="38"/>
    </row>
    <row r="105" spans="1:18" x14ac:dyDescent="0.2">
      <c r="A105" s="53">
        <v>100</v>
      </c>
      <c r="B105" s="51">
        <v>701</v>
      </c>
      <c r="C105" s="39" t="s">
        <v>187</v>
      </c>
      <c r="D105" s="36">
        <v>41688</v>
      </c>
      <c r="E105" s="30">
        <v>42850</v>
      </c>
      <c r="F105" s="13">
        <f t="shared" si="24"/>
        <v>38.733333333333334</v>
      </c>
      <c r="G105" s="14">
        <f t="shared" si="1"/>
        <v>1.6666666666666666E-2</v>
      </c>
      <c r="H105" s="15">
        <v>168500</v>
      </c>
      <c r="I105" s="15">
        <f t="shared" si="25"/>
        <v>59723.888888888876</v>
      </c>
      <c r="J105" s="16">
        <f>INDICES!J49/INDICES!E47</f>
        <v>1.0570119983377395</v>
      </c>
      <c r="K105" s="15">
        <f t="shared" si="26"/>
        <v>63128.86714294555</v>
      </c>
      <c r="L105" s="15">
        <v>110000</v>
      </c>
      <c r="M105" s="15">
        <f t="shared" si="27"/>
        <v>46871.13285705445</v>
      </c>
      <c r="N105" s="15">
        <f>+N1</f>
        <v>87643.8</v>
      </c>
      <c r="O105" s="15">
        <f t="shared" si="28"/>
        <v>-40772.667142945553</v>
      </c>
      <c r="P105" s="15">
        <f t="shared" si="4"/>
        <v>0</v>
      </c>
      <c r="Q105" s="40" t="s">
        <v>43</v>
      </c>
      <c r="R105" s="38"/>
    </row>
    <row r="106" spans="1:18" x14ac:dyDescent="0.2">
      <c r="A106" s="53">
        <v>101</v>
      </c>
      <c r="B106" s="51">
        <v>702</v>
      </c>
      <c r="C106" s="39" t="s">
        <v>188</v>
      </c>
      <c r="D106" s="36">
        <v>42087</v>
      </c>
      <c r="E106" s="30">
        <v>42872</v>
      </c>
      <c r="F106" s="13">
        <f t="shared" si="24"/>
        <v>26.166666666666668</v>
      </c>
      <c r="G106" s="14">
        <f t="shared" si="1"/>
        <v>1.6666666666666666E-2</v>
      </c>
      <c r="H106" s="15">
        <v>163200</v>
      </c>
      <c r="I106" s="15">
        <f t="shared" si="25"/>
        <v>92026.666666666657</v>
      </c>
      <c r="J106" s="16">
        <f>INDICES!J49/INDICES!N44</f>
        <v>1.1544746067155314</v>
      </c>
      <c r="K106" s="15">
        <f t="shared" si="26"/>
        <v>106242.44980734128</v>
      </c>
      <c r="L106" s="15">
        <v>120000</v>
      </c>
      <c r="M106" s="15">
        <f t="shared" si="27"/>
        <v>13757.550192658717</v>
      </c>
      <c r="N106" s="15">
        <f>+N1</f>
        <v>87643.8</v>
      </c>
      <c r="O106" s="15">
        <f t="shared" si="28"/>
        <v>-73886.249807341286</v>
      </c>
      <c r="P106" s="15">
        <f t="shared" si="4"/>
        <v>0</v>
      </c>
      <c r="Q106" s="40" t="s">
        <v>45</v>
      </c>
      <c r="R106" s="38"/>
    </row>
    <row r="107" spans="1:18" x14ac:dyDescent="0.2">
      <c r="A107" s="53">
        <v>102</v>
      </c>
      <c r="B107" s="51">
        <v>703</v>
      </c>
      <c r="C107" s="39" t="s">
        <v>189</v>
      </c>
      <c r="D107" s="36">
        <v>41634</v>
      </c>
      <c r="E107" s="30">
        <v>42872</v>
      </c>
      <c r="F107" s="13">
        <f t="shared" si="24"/>
        <v>41.266666666666666</v>
      </c>
      <c r="G107" s="14">
        <f t="shared" si="1"/>
        <v>1.6666666666666666E-2</v>
      </c>
      <c r="H107" s="15">
        <v>119751</v>
      </c>
      <c r="I107" s="15">
        <f t="shared" si="25"/>
        <v>37388.92333333334</v>
      </c>
      <c r="J107" s="16">
        <f>INDICES!J49/INDICES!K43</f>
        <v>1.2216445471835242</v>
      </c>
      <c r="K107" s="15">
        <f t="shared" si="26"/>
        <v>45675.974315229512</v>
      </c>
      <c r="L107" s="15">
        <v>95000</v>
      </c>
      <c r="M107" s="15">
        <f t="shared" si="27"/>
        <v>49324.025684770488</v>
      </c>
      <c r="N107" s="15">
        <f>+N1</f>
        <v>87643.8</v>
      </c>
      <c r="O107" s="15">
        <f t="shared" si="28"/>
        <v>-38319.774315229515</v>
      </c>
      <c r="P107" s="15">
        <f t="shared" si="4"/>
        <v>0</v>
      </c>
      <c r="Q107" s="40" t="s">
        <v>117</v>
      </c>
      <c r="R107" s="38"/>
    </row>
    <row r="108" spans="1:18" x14ac:dyDescent="0.2">
      <c r="A108" s="53">
        <v>103</v>
      </c>
      <c r="B108" s="51">
        <v>705</v>
      </c>
      <c r="C108" s="39" t="s">
        <v>190</v>
      </c>
      <c r="D108" s="36">
        <v>42216</v>
      </c>
      <c r="E108" s="30">
        <v>42872</v>
      </c>
      <c r="F108" s="13">
        <f t="shared" si="24"/>
        <v>21.866666666666667</v>
      </c>
      <c r="G108" s="14">
        <f t="shared" si="1"/>
        <v>1.6666666666666666E-2</v>
      </c>
      <c r="H108" s="15">
        <v>173900</v>
      </c>
      <c r="I108" s="15">
        <f t="shared" si="25"/>
        <v>110523.11111111111</v>
      </c>
      <c r="J108" s="16">
        <f>INDICES!J49/INDICES!D46</f>
        <v>1.1047889250332692</v>
      </c>
      <c r="K108" s="15">
        <f t="shared" si="26"/>
        <v>122104.70911577702</v>
      </c>
      <c r="L108" s="15">
        <v>90000</v>
      </c>
      <c r="M108" s="15">
        <f t="shared" si="27"/>
        <v>-32104.709115777019</v>
      </c>
      <c r="N108" s="15">
        <f>+N1</f>
        <v>87643.8</v>
      </c>
      <c r="O108" s="15">
        <f t="shared" si="28"/>
        <v>-119748.50911577702</v>
      </c>
      <c r="P108" s="15">
        <f t="shared" si="4"/>
        <v>0</v>
      </c>
      <c r="Q108" s="40" t="s">
        <v>144</v>
      </c>
      <c r="R108" s="38"/>
    </row>
    <row r="109" spans="1:18" x14ac:dyDescent="0.2">
      <c r="A109" s="53">
        <v>104</v>
      </c>
      <c r="B109" s="51">
        <v>706</v>
      </c>
      <c r="C109" s="39" t="s">
        <v>191</v>
      </c>
      <c r="D109" s="36">
        <v>42003</v>
      </c>
      <c r="E109" s="30">
        <v>42872</v>
      </c>
      <c r="F109" s="13">
        <f t="shared" si="24"/>
        <v>28.966666666666665</v>
      </c>
      <c r="G109" s="14">
        <f t="shared" si="1"/>
        <v>1.6666666666666666E-2</v>
      </c>
      <c r="H109" s="15">
        <v>160900</v>
      </c>
      <c r="I109" s="15">
        <f t="shared" si="25"/>
        <v>83221.055555555562</v>
      </c>
      <c r="J109" s="16">
        <f>INDICES!J49/INDICES!J47</f>
        <v>1.053853206156667</v>
      </c>
      <c r="K109" s="15">
        <f t="shared" si="26"/>
        <v>87702.776216964339</v>
      </c>
      <c r="L109" s="15">
        <v>12000</v>
      </c>
      <c r="M109" s="15">
        <f t="shared" si="27"/>
        <v>-75702.776216964339</v>
      </c>
      <c r="N109" s="15">
        <f>+N1</f>
        <v>87643.8</v>
      </c>
      <c r="O109" s="15">
        <f t="shared" si="28"/>
        <v>-163346.57621696434</v>
      </c>
      <c r="P109" s="15">
        <f t="shared" si="4"/>
        <v>0</v>
      </c>
      <c r="Q109" s="40" t="s">
        <v>87</v>
      </c>
      <c r="R109" s="38"/>
    </row>
    <row r="110" spans="1:18" x14ac:dyDescent="0.2">
      <c r="A110" s="53">
        <v>105</v>
      </c>
      <c r="B110" s="51">
        <v>707</v>
      </c>
      <c r="C110" s="39" t="s">
        <v>192</v>
      </c>
      <c r="D110" s="36">
        <v>41171</v>
      </c>
      <c r="E110" s="84">
        <v>42872</v>
      </c>
      <c r="F110" s="13">
        <f t="shared" si="24"/>
        <v>56.7</v>
      </c>
      <c r="G110" s="14">
        <f t="shared" si="1"/>
        <v>1.6666666666666666E-2</v>
      </c>
      <c r="H110" s="15">
        <v>399500</v>
      </c>
      <c r="I110" s="15">
        <f t="shared" si="25"/>
        <v>21972.5</v>
      </c>
      <c r="J110" s="16">
        <f>INDICES!J49/INDICES!M47</f>
        <v>1.0351016944749898</v>
      </c>
      <c r="K110" s="15">
        <f t="shared" si="26"/>
        <v>22743.771981851714</v>
      </c>
      <c r="L110" s="15">
        <v>228000</v>
      </c>
      <c r="M110" s="15">
        <f t="shared" si="27"/>
        <v>205256.22801814828</v>
      </c>
      <c r="N110" s="15">
        <f>+N1</f>
        <v>87643.8</v>
      </c>
      <c r="O110" s="15">
        <f t="shared" si="28"/>
        <v>117612.42801814828</v>
      </c>
      <c r="P110" s="15">
        <f t="shared" si="4"/>
        <v>23522.485603629655</v>
      </c>
      <c r="Q110" s="40" t="s">
        <v>45</v>
      </c>
      <c r="R110" s="38"/>
    </row>
    <row r="111" spans="1:18" x14ac:dyDescent="0.2">
      <c r="A111" s="53">
        <v>106</v>
      </c>
      <c r="B111" s="51">
        <v>708</v>
      </c>
      <c r="C111" s="39" t="s">
        <v>193</v>
      </c>
      <c r="D111" s="36">
        <v>42004</v>
      </c>
      <c r="E111" s="30">
        <v>42872</v>
      </c>
      <c r="F111" s="13">
        <f t="shared" si="24"/>
        <v>28.933333333333334</v>
      </c>
      <c r="G111" s="14">
        <f t="shared" si="1"/>
        <v>1.6666666666666666E-2</v>
      </c>
      <c r="H111" s="15">
        <v>102400</v>
      </c>
      <c r="I111" s="15">
        <f t="shared" si="25"/>
        <v>53020.444444444445</v>
      </c>
      <c r="J111" s="16">
        <f>INDICES!J49/INDICES!F46</f>
        <v>1.0960173826943176</v>
      </c>
      <c r="K111" s="15">
        <f t="shared" si="26"/>
        <v>58111.328749289474</v>
      </c>
      <c r="L111" s="15">
        <v>90000</v>
      </c>
      <c r="M111" s="15">
        <f t="shared" si="27"/>
        <v>31888.671250710526</v>
      </c>
      <c r="N111" s="15">
        <f>+N1</f>
        <v>87643.8</v>
      </c>
      <c r="O111" s="15">
        <f t="shared" si="28"/>
        <v>-55755.128749289477</v>
      </c>
      <c r="P111" s="15">
        <f t="shared" si="4"/>
        <v>0</v>
      </c>
      <c r="Q111" s="40" t="s">
        <v>83</v>
      </c>
      <c r="R111" s="38"/>
    </row>
    <row r="112" spans="1:18" x14ac:dyDescent="0.2">
      <c r="A112" s="53">
        <v>107</v>
      </c>
      <c r="B112" s="51">
        <v>709</v>
      </c>
      <c r="C112" s="39" t="s">
        <v>194</v>
      </c>
      <c r="D112" s="36">
        <v>41656</v>
      </c>
      <c r="E112" s="30">
        <v>42872</v>
      </c>
      <c r="F112" s="13">
        <f t="shared" si="24"/>
        <v>40.533333333333331</v>
      </c>
      <c r="G112" s="14">
        <f t="shared" si="1"/>
        <v>1.6666666666666666E-2</v>
      </c>
      <c r="H112" s="15">
        <v>291600</v>
      </c>
      <c r="I112" s="15">
        <f t="shared" si="25"/>
        <v>94608</v>
      </c>
      <c r="J112" s="16">
        <f>INDICES!J49/INDICES!E48</f>
        <v>1.0248613337676922</v>
      </c>
      <c r="K112" s="15">
        <f t="shared" si="26"/>
        <v>96960.081065093822</v>
      </c>
      <c r="L112" s="15">
        <v>106400</v>
      </c>
      <c r="M112" s="15">
        <f t="shared" si="27"/>
        <v>9439.918934906178</v>
      </c>
      <c r="N112" s="15">
        <f>+N1</f>
        <v>87643.8</v>
      </c>
      <c r="O112" s="15">
        <f t="shared" si="28"/>
        <v>-78203.881065093825</v>
      </c>
      <c r="P112" s="15">
        <f t="shared" si="4"/>
        <v>0</v>
      </c>
      <c r="Q112" s="40" t="s">
        <v>195</v>
      </c>
      <c r="R112" s="38" t="s">
        <v>196</v>
      </c>
    </row>
    <row r="113" spans="1:18" x14ac:dyDescent="0.2">
      <c r="A113" s="53">
        <v>108</v>
      </c>
      <c r="B113" s="51">
        <v>710</v>
      </c>
      <c r="C113" s="39" t="s">
        <v>197</v>
      </c>
      <c r="D113" s="36">
        <v>41374</v>
      </c>
      <c r="E113" s="30">
        <v>42872</v>
      </c>
      <c r="F113" s="13">
        <f t="shared" si="24"/>
        <v>49.93333333333333</v>
      </c>
      <c r="G113" s="14">
        <f t="shared" si="1"/>
        <v>1.6666666666666666E-2</v>
      </c>
      <c r="H113" s="15">
        <v>148800</v>
      </c>
      <c r="I113" s="15">
        <f t="shared" si="25"/>
        <v>24965.333333333343</v>
      </c>
      <c r="J113" s="16">
        <f>INDICES!J49/INDICES!N44</f>
        <v>1.1544746067155314</v>
      </c>
      <c r="K113" s="15">
        <f t="shared" si="26"/>
        <v>28821.843381522158</v>
      </c>
      <c r="L113" s="15">
        <v>88000</v>
      </c>
      <c r="M113" s="15">
        <f t="shared" si="27"/>
        <v>59178.156618477842</v>
      </c>
      <c r="N113" s="15">
        <f>+N1</f>
        <v>87643.8</v>
      </c>
      <c r="O113" s="15">
        <f t="shared" si="28"/>
        <v>-28465.643381522161</v>
      </c>
      <c r="P113" s="15">
        <f t="shared" si="4"/>
        <v>0</v>
      </c>
      <c r="Q113" s="40" t="s">
        <v>103</v>
      </c>
      <c r="R113" s="38" t="s">
        <v>114</v>
      </c>
    </row>
    <row r="114" spans="1:18" x14ac:dyDescent="0.2">
      <c r="A114" s="53">
        <v>109</v>
      </c>
      <c r="B114" s="51">
        <v>711</v>
      </c>
      <c r="C114" s="39" t="s">
        <v>198</v>
      </c>
      <c r="D114" s="36">
        <v>41570</v>
      </c>
      <c r="E114" s="30">
        <v>42872</v>
      </c>
      <c r="F114" s="13">
        <f t="shared" si="24"/>
        <v>43.4</v>
      </c>
      <c r="G114" s="14">
        <f t="shared" si="1"/>
        <v>1.6666666666666666E-2</v>
      </c>
      <c r="H114" s="15">
        <v>143600</v>
      </c>
      <c r="I114" s="15">
        <f t="shared" si="25"/>
        <v>39729.333333333328</v>
      </c>
      <c r="J114" s="16">
        <f>INDICES!J49/INDICES!E47</f>
        <v>1.0570119983377395</v>
      </c>
      <c r="K114" s="15">
        <f t="shared" si="26"/>
        <v>41994.382019292825</v>
      </c>
      <c r="L114" s="15">
        <v>92000</v>
      </c>
      <c r="M114" s="15">
        <f t="shared" si="27"/>
        <v>50005.617980707175</v>
      </c>
      <c r="N114" s="15">
        <f>+N1</f>
        <v>87643.8</v>
      </c>
      <c r="O114" s="15">
        <f t="shared" si="28"/>
        <v>-37638.182019292828</v>
      </c>
      <c r="P114" s="15">
        <f t="shared" si="4"/>
        <v>0</v>
      </c>
      <c r="Q114" s="40" t="s">
        <v>54</v>
      </c>
      <c r="R114" s="38"/>
    </row>
    <row r="115" spans="1:18" x14ac:dyDescent="0.2">
      <c r="A115" s="53">
        <v>110</v>
      </c>
      <c r="B115" s="51">
        <v>712</v>
      </c>
      <c r="C115" s="39" t="s">
        <v>199</v>
      </c>
      <c r="D115" s="36">
        <v>42325</v>
      </c>
      <c r="E115" s="30">
        <v>42872</v>
      </c>
      <c r="F115" s="13">
        <f t="shared" si="24"/>
        <v>18.233333333333334</v>
      </c>
      <c r="G115" s="14">
        <f t="shared" si="1"/>
        <v>1.6666666666666666E-2</v>
      </c>
      <c r="H115" s="15">
        <v>174500</v>
      </c>
      <c r="I115" s="15">
        <f t="shared" si="25"/>
        <v>121471.38888888888</v>
      </c>
      <c r="J115" s="16">
        <f>INDICES!J49/INDICES!F45</f>
        <v>1.1469758606132709</v>
      </c>
      <c r="K115" s="15">
        <f t="shared" si="26"/>
        <v>139324.75081072265</v>
      </c>
      <c r="L115" s="15">
        <v>137000</v>
      </c>
      <c r="M115" s="15">
        <f t="shared" si="27"/>
        <v>-2324.7508107226458</v>
      </c>
      <c r="N115" s="15">
        <f>+N1</f>
        <v>87643.8</v>
      </c>
      <c r="O115" s="15">
        <f t="shared" si="28"/>
        <v>-89968.550810722649</v>
      </c>
      <c r="P115" s="15">
        <f t="shared" si="4"/>
        <v>0</v>
      </c>
      <c r="Q115" s="40" t="s">
        <v>200</v>
      </c>
      <c r="R115" s="38"/>
    </row>
    <row r="116" spans="1:18" x14ac:dyDescent="0.2">
      <c r="A116" s="53">
        <v>111</v>
      </c>
      <c r="B116" s="51">
        <v>713</v>
      </c>
      <c r="C116" s="39" t="s">
        <v>201</v>
      </c>
      <c r="D116" s="36">
        <v>41920</v>
      </c>
      <c r="E116" s="30">
        <v>42872</v>
      </c>
      <c r="F116" s="13">
        <f t="shared" si="24"/>
        <v>31.733333333333334</v>
      </c>
      <c r="G116" s="14">
        <f t="shared" si="1"/>
        <v>1.6666666666666666E-2</v>
      </c>
      <c r="H116" s="15">
        <v>147000</v>
      </c>
      <c r="I116" s="15">
        <f t="shared" si="25"/>
        <v>69253.333333333328</v>
      </c>
      <c r="J116" s="16">
        <f>INDICES!J49/INDICES!L46</f>
        <v>1.0882947345422767</v>
      </c>
      <c r="K116" s="15">
        <f t="shared" si="26"/>
        <v>75368.038016167789</v>
      </c>
      <c r="L116" s="15">
        <v>100000</v>
      </c>
      <c r="M116" s="15">
        <f t="shared" si="27"/>
        <v>24631.961983832211</v>
      </c>
      <c r="N116" s="15">
        <f>+N1</f>
        <v>87643.8</v>
      </c>
      <c r="O116" s="15">
        <f t="shared" si="28"/>
        <v>-63011.838016167792</v>
      </c>
      <c r="P116" s="15">
        <f t="shared" si="4"/>
        <v>0</v>
      </c>
      <c r="Q116" s="40" t="s">
        <v>200</v>
      </c>
      <c r="R116" s="38"/>
    </row>
    <row r="117" spans="1:18" x14ac:dyDescent="0.2">
      <c r="A117" s="53">
        <v>112</v>
      </c>
      <c r="B117" s="51">
        <v>714</v>
      </c>
      <c r="C117" s="39" t="s">
        <v>202</v>
      </c>
      <c r="D117" s="36">
        <v>42277</v>
      </c>
      <c r="E117" s="30">
        <v>42872</v>
      </c>
      <c r="F117" s="13">
        <f t="shared" si="24"/>
        <v>19.833333333333332</v>
      </c>
      <c r="G117" s="14">
        <f t="shared" si="1"/>
        <v>1.6666666666666666E-2</v>
      </c>
      <c r="H117" s="15">
        <v>183980.38</v>
      </c>
      <c r="I117" s="15">
        <f t="shared" si="25"/>
        <v>123164.64327777778</v>
      </c>
      <c r="J117" s="16">
        <f>INDICES!K49/INDICES!G45</f>
        <v>1.1576338559562651</v>
      </c>
      <c r="K117" s="15">
        <f t="shared" si="26"/>
        <v>142579.56091513179</v>
      </c>
      <c r="L117" s="15">
        <v>160000</v>
      </c>
      <c r="M117" s="15">
        <f t="shared" si="27"/>
        <v>17420.439084868209</v>
      </c>
      <c r="N117" s="15">
        <f>+N1</f>
        <v>87643.8</v>
      </c>
      <c r="O117" s="15">
        <f t="shared" si="28"/>
        <v>-70223.360915131794</v>
      </c>
      <c r="P117" s="15">
        <f t="shared" si="4"/>
        <v>0</v>
      </c>
      <c r="Q117" s="40" t="s">
        <v>45</v>
      </c>
      <c r="R117" s="38"/>
    </row>
    <row r="118" spans="1:18" x14ac:dyDescent="0.2">
      <c r="A118" s="53">
        <v>113</v>
      </c>
      <c r="B118" s="51">
        <v>715</v>
      </c>
      <c r="C118" s="39" t="s">
        <v>203</v>
      </c>
      <c r="D118" s="36">
        <v>42431</v>
      </c>
      <c r="E118" s="30">
        <v>42872</v>
      </c>
      <c r="F118" s="13">
        <f t="shared" si="24"/>
        <v>14.7</v>
      </c>
      <c r="G118" s="14">
        <f t="shared" si="1"/>
        <v>1.6666666666666666E-2</v>
      </c>
      <c r="H118" s="15">
        <v>195500</v>
      </c>
      <c r="I118" s="15">
        <f t="shared" si="25"/>
        <v>147602.5</v>
      </c>
      <c r="J118" s="16">
        <f>INDICES!K49/INDICES!K47</f>
        <v>1.055626256154609</v>
      </c>
      <c r="K118" s="15">
        <f t="shared" si="26"/>
        <v>155813.07447406068</v>
      </c>
      <c r="L118" s="15">
        <v>151000</v>
      </c>
      <c r="M118" s="15">
        <f t="shared" si="27"/>
        <v>-4813.0744740606751</v>
      </c>
      <c r="N118" s="15">
        <f>+N1</f>
        <v>87643.8</v>
      </c>
      <c r="O118" s="15">
        <f t="shared" si="28"/>
        <v>-92456.874474060678</v>
      </c>
      <c r="P118" s="15">
        <f t="shared" si="4"/>
        <v>0</v>
      </c>
      <c r="Q118" s="40" t="s">
        <v>204</v>
      </c>
      <c r="R118" s="38" t="s">
        <v>205</v>
      </c>
    </row>
    <row r="119" spans="1:18" x14ac:dyDescent="0.2">
      <c r="A119" s="53">
        <v>114</v>
      </c>
      <c r="B119" s="51">
        <v>716</v>
      </c>
      <c r="C119" s="39" t="s">
        <v>206</v>
      </c>
      <c r="D119" s="36">
        <v>42866</v>
      </c>
      <c r="E119" s="30">
        <v>42872</v>
      </c>
      <c r="F119" s="40">
        <f t="shared" ref="F119:F128" si="29">(E119-D119)/30</f>
        <v>0.2</v>
      </c>
      <c r="G119" s="14">
        <f t="shared" si="1"/>
        <v>1.6666666666666666E-2</v>
      </c>
      <c r="H119" s="15">
        <v>138400</v>
      </c>
      <c r="I119" s="15">
        <f t="shared" si="25"/>
        <v>137938.66666666666</v>
      </c>
      <c r="J119" s="16">
        <f>INDICES!K49/INDICES!J47</f>
        <v>1.0602884394999912</v>
      </c>
      <c r="K119" s="15">
        <f t="shared" si="26"/>
        <v>146254.77362670944</v>
      </c>
      <c r="L119" s="15">
        <v>108000</v>
      </c>
      <c r="M119" s="15">
        <f t="shared" si="27"/>
        <v>-38254.773626709444</v>
      </c>
      <c r="N119" s="15">
        <f>+N1</f>
        <v>87643.8</v>
      </c>
      <c r="O119" s="15">
        <f t="shared" si="28"/>
        <v>-125898.57362670945</v>
      </c>
      <c r="P119" s="15">
        <f t="shared" si="4"/>
        <v>0</v>
      </c>
      <c r="Q119" s="40" t="s">
        <v>135</v>
      </c>
      <c r="R119" s="38"/>
    </row>
    <row r="120" spans="1:18" x14ac:dyDescent="0.2">
      <c r="A120" s="53">
        <v>115</v>
      </c>
      <c r="B120" s="51">
        <v>717</v>
      </c>
      <c r="C120" s="39" t="s">
        <v>207</v>
      </c>
      <c r="D120" s="36">
        <v>42165</v>
      </c>
      <c r="E120" s="30">
        <v>42872</v>
      </c>
      <c r="F120" s="40">
        <f t="shared" si="29"/>
        <v>23.566666666666666</v>
      </c>
      <c r="G120" s="14">
        <f t="shared" si="1"/>
        <v>1.6666666666666666E-2</v>
      </c>
      <c r="H120" s="15">
        <v>126900</v>
      </c>
      <c r="I120" s="15">
        <f t="shared" si="25"/>
        <v>77056.5</v>
      </c>
      <c r="J120" s="16">
        <f>INDICES!K49/INDICES!E48</f>
        <v>1.0311195315781803</v>
      </c>
      <c r="K120" s="15">
        <f t="shared" si="26"/>
        <v>79454.462185054042</v>
      </c>
      <c r="L120" s="15">
        <v>105000</v>
      </c>
      <c r="M120" s="15">
        <f t="shared" si="27"/>
        <v>25545.537814945958</v>
      </c>
      <c r="N120" s="15">
        <f>+N1</f>
        <v>87643.8</v>
      </c>
      <c r="O120" s="15">
        <f t="shared" si="28"/>
        <v>-62098.262185054045</v>
      </c>
      <c r="P120" s="15">
        <f t="shared" si="4"/>
        <v>0</v>
      </c>
      <c r="Q120" s="40" t="s">
        <v>208</v>
      </c>
      <c r="R120" s="38" t="s">
        <v>209</v>
      </c>
    </row>
    <row r="121" spans="1:18" x14ac:dyDescent="0.2">
      <c r="A121" s="53">
        <v>116</v>
      </c>
      <c r="B121" s="51">
        <v>718</v>
      </c>
      <c r="C121" s="39" t="s">
        <v>210</v>
      </c>
      <c r="D121" s="36">
        <v>42388</v>
      </c>
      <c r="E121" s="30">
        <v>42872</v>
      </c>
      <c r="F121" s="40">
        <f t="shared" si="29"/>
        <v>16.133333333333333</v>
      </c>
      <c r="G121" s="14">
        <f t="shared" si="1"/>
        <v>1.6666666666666666E-2</v>
      </c>
      <c r="H121" s="15">
        <v>233200</v>
      </c>
      <c r="I121" s="15">
        <f t="shared" si="25"/>
        <v>170495.11111111112</v>
      </c>
      <c r="J121" s="16">
        <f>INDICES!K49/INDICES!K48</f>
        <v>1.0296894931041274</v>
      </c>
      <c r="K121" s="15">
        <f t="shared" si="26"/>
        <v>175557.02453673189</v>
      </c>
      <c r="L121" s="15">
        <v>180000</v>
      </c>
      <c r="M121" s="15">
        <f t="shared" si="27"/>
        <v>4442.9754632681143</v>
      </c>
      <c r="N121" s="15">
        <f>+N1</f>
        <v>87643.8</v>
      </c>
      <c r="O121" s="15">
        <f t="shared" si="28"/>
        <v>-83200.824536731889</v>
      </c>
      <c r="P121" s="15">
        <f t="shared" si="4"/>
        <v>0</v>
      </c>
      <c r="Q121" s="40" t="s">
        <v>211</v>
      </c>
      <c r="R121" s="38"/>
    </row>
    <row r="122" spans="1:18" x14ac:dyDescent="0.2">
      <c r="A122" s="53">
        <v>117</v>
      </c>
      <c r="B122" s="51">
        <v>719</v>
      </c>
      <c r="C122" s="39" t="s">
        <v>212</v>
      </c>
      <c r="D122" s="36">
        <v>41649</v>
      </c>
      <c r="E122" s="30">
        <v>42872</v>
      </c>
      <c r="F122" s="40">
        <f t="shared" si="29"/>
        <v>40.766666666666666</v>
      </c>
      <c r="G122" s="14">
        <f t="shared" si="1"/>
        <v>1.6666666666666666E-2</v>
      </c>
      <c r="H122" s="15">
        <v>147000</v>
      </c>
      <c r="I122" s="15">
        <f t="shared" si="25"/>
        <v>47121.666666666672</v>
      </c>
      <c r="J122" s="16">
        <f>INDICES!K49/INDICES!N46</f>
        <v>1.0786400975714747</v>
      </c>
      <c r="K122" s="15">
        <f t="shared" si="26"/>
        <v>50827.319131063843</v>
      </c>
      <c r="L122" s="15">
        <v>106000</v>
      </c>
      <c r="M122" s="15">
        <f t="shared" si="27"/>
        <v>55172.680868936157</v>
      </c>
      <c r="N122" s="15">
        <f>+N1</f>
        <v>87643.8</v>
      </c>
      <c r="O122" s="15">
        <f t="shared" si="28"/>
        <v>-32471.119131063846</v>
      </c>
      <c r="P122" s="15">
        <f t="shared" si="4"/>
        <v>0</v>
      </c>
      <c r="Q122" s="40" t="s">
        <v>45</v>
      </c>
      <c r="R122" s="38"/>
    </row>
    <row r="123" spans="1:18" x14ac:dyDescent="0.2">
      <c r="A123" s="53">
        <v>118</v>
      </c>
      <c r="B123" s="51">
        <v>720</v>
      </c>
      <c r="C123" s="39" t="s">
        <v>213</v>
      </c>
      <c r="D123" s="36">
        <v>42711</v>
      </c>
      <c r="E123" s="30">
        <v>42879</v>
      </c>
      <c r="F123" s="40">
        <f t="shared" si="29"/>
        <v>5.6</v>
      </c>
      <c r="G123" s="14">
        <f t="shared" si="1"/>
        <v>1.6666666666666666E-2</v>
      </c>
      <c r="H123" s="15">
        <v>299300</v>
      </c>
      <c r="I123" s="15">
        <f t="shared" si="25"/>
        <v>271365.33333333331</v>
      </c>
      <c r="J123" s="16">
        <f>INDICES!K49/INDICES!L47</f>
        <v>1.0498215049446185</v>
      </c>
      <c r="K123" s="15">
        <f t="shared" si="26"/>
        <v>284885.162629798</v>
      </c>
      <c r="L123" s="15">
        <v>270000</v>
      </c>
      <c r="M123" s="15">
        <f t="shared" si="27"/>
        <v>-14885.162629797996</v>
      </c>
      <c r="N123" s="15">
        <f>+N1</f>
        <v>87643.8</v>
      </c>
      <c r="O123" s="15">
        <f t="shared" si="28"/>
        <v>-102528.962629798</v>
      </c>
      <c r="P123" s="15">
        <f t="shared" si="4"/>
        <v>0</v>
      </c>
      <c r="Q123" s="40" t="s">
        <v>135</v>
      </c>
      <c r="R123" s="38"/>
    </row>
    <row r="124" spans="1:18" x14ac:dyDescent="0.2">
      <c r="A124" s="53">
        <v>119</v>
      </c>
      <c r="B124" s="51">
        <v>721</v>
      </c>
      <c r="C124" s="39" t="s">
        <v>214</v>
      </c>
      <c r="D124" s="36">
        <v>42431</v>
      </c>
      <c r="E124" s="30">
        <v>42879</v>
      </c>
      <c r="F124" s="40">
        <f t="shared" si="29"/>
        <v>14.933333333333334</v>
      </c>
      <c r="G124" s="14">
        <f t="shared" si="1"/>
        <v>1.6666666666666666E-2</v>
      </c>
      <c r="H124" s="15">
        <v>183300</v>
      </c>
      <c r="I124" s="15">
        <f t="shared" si="25"/>
        <v>137678.66666666666</v>
      </c>
      <c r="J124" s="16">
        <f>INDICES!K49/INDICES!L47</f>
        <v>1.0498215049446185</v>
      </c>
      <c r="K124" s="15">
        <f t="shared" si="26"/>
        <v>144538.02503876848</v>
      </c>
      <c r="L124" s="15">
        <v>162414.10999999999</v>
      </c>
      <c r="M124" s="15">
        <f t="shared" si="27"/>
        <v>17876.084961231507</v>
      </c>
      <c r="N124" s="15">
        <f>+N1</f>
        <v>87643.8</v>
      </c>
      <c r="O124" s="15">
        <f t="shared" si="28"/>
        <v>-69767.715038768496</v>
      </c>
      <c r="P124" s="15">
        <f t="shared" si="4"/>
        <v>0</v>
      </c>
      <c r="Q124" s="40" t="s">
        <v>45</v>
      </c>
      <c r="R124" s="38"/>
    </row>
    <row r="125" spans="1:18" x14ac:dyDescent="0.2">
      <c r="A125" s="53">
        <v>120</v>
      </c>
      <c r="B125" s="51">
        <v>722</v>
      </c>
      <c r="C125" s="39" t="s">
        <v>215</v>
      </c>
      <c r="D125" s="36">
        <v>41894</v>
      </c>
      <c r="E125" s="30">
        <v>42879</v>
      </c>
      <c r="F125" s="40">
        <f t="shared" si="29"/>
        <v>32.833333333333336</v>
      </c>
      <c r="G125" s="14">
        <f t="shared" si="1"/>
        <v>1.6666666666666666E-2</v>
      </c>
      <c r="H125" s="15">
        <v>196500</v>
      </c>
      <c r="I125" s="15">
        <f t="shared" si="25"/>
        <v>88970.833333333328</v>
      </c>
      <c r="J125" s="16">
        <f>INDICES!K49/INDICES!C47</f>
        <v>1.0690813741611485</v>
      </c>
      <c r="K125" s="15">
        <f t="shared" si="26"/>
        <v>95117.06076026251</v>
      </c>
      <c r="L125" s="15">
        <v>130000</v>
      </c>
      <c r="M125" s="15">
        <f t="shared" si="27"/>
        <v>34882.93923973749</v>
      </c>
      <c r="N125" s="15">
        <f>+N1</f>
        <v>87643.8</v>
      </c>
      <c r="O125" s="15">
        <f t="shared" si="28"/>
        <v>-52760.860760262512</v>
      </c>
      <c r="P125" s="15">
        <f t="shared" si="4"/>
        <v>0</v>
      </c>
      <c r="Q125" s="40" t="s">
        <v>208</v>
      </c>
      <c r="R125" s="38" t="s">
        <v>209</v>
      </c>
    </row>
    <row r="126" spans="1:18" x14ac:dyDescent="0.2">
      <c r="A126" s="53">
        <v>121</v>
      </c>
      <c r="B126" s="51">
        <v>723</v>
      </c>
      <c r="C126" s="39" t="s">
        <v>216</v>
      </c>
      <c r="D126" s="36">
        <v>41601</v>
      </c>
      <c r="E126" s="30">
        <v>42879</v>
      </c>
      <c r="F126" s="40">
        <f t="shared" si="29"/>
        <v>42.6</v>
      </c>
      <c r="G126" s="14">
        <f t="shared" si="1"/>
        <v>1.6666666666666666E-2</v>
      </c>
      <c r="H126" s="15">
        <v>225850</v>
      </c>
      <c r="I126" s="15">
        <f t="shared" si="25"/>
        <v>65496.5</v>
      </c>
      <c r="J126" s="16">
        <f>INDICES!K49/INDICES!L46</f>
        <v>1.0949402811157236</v>
      </c>
      <c r="K126" s="15">
        <f t="shared" si="26"/>
        <v>71714.756122095991</v>
      </c>
      <c r="L126" s="15">
        <v>135000</v>
      </c>
      <c r="M126" s="15">
        <f t="shared" si="27"/>
        <v>63285.243877904009</v>
      </c>
      <c r="N126" s="15">
        <f>+N1</f>
        <v>87643.8</v>
      </c>
      <c r="O126" s="15">
        <f t="shared" si="28"/>
        <v>-24358.556122095993</v>
      </c>
      <c r="P126" s="15">
        <f t="shared" si="4"/>
        <v>0</v>
      </c>
      <c r="Q126" s="40" t="s">
        <v>45</v>
      </c>
      <c r="R126" s="38"/>
    </row>
    <row r="127" spans="1:18" x14ac:dyDescent="0.2">
      <c r="A127" s="53">
        <v>122</v>
      </c>
      <c r="B127" s="51">
        <v>724</v>
      </c>
      <c r="C127" s="39" t="s">
        <v>217</v>
      </c>
      <c r="D127" s="36">
        <v>42156</v>
      </c>
      <c r="E127" s="30">
        <v>42879</v>
      </c>
      <c r="F127" s="40">
        <f t="shared" si="29"/>
        <v>24.1</v>
      </c>
      <c r="G127" s="14">
        <f t="shared" si="1"/>
        <v>1.6666666666666666E-2</v>
      </c>
      <c r="H127" s="15">
        <v>210900</v>
      </c>
      <c r="I127" s="15">
        <f>H127-(H127*G127*F127)</f>
        <v>126188.5</v>
      </c>
      <c r="J127" s="16">
        <f>INDICES!K49/INDICES!N44</f>
        <v>1.1615242730635147</v>
      </c>
      <c r="K127" s="15">
        <f>+I127*J127</f>
        <v>146571.00573147534</v>
      </c>
      <c r="L127" s="15">
        <v>140000</v>
      </c>
      <c r="M127" s="15">
        <f>+L127-K127</f>
        <v>-6571.0057314753358</v>
      </c>
      <c r="N127" s="15">
        <f>+N1</f>
        <v>87643.8</v>
      </c>
      <c r="O127" s="15">
        <f>+M127-N127</f>
        <v>-94214.805731475339</v>
      </c>
      <c r="P127" s="15">
        <f t="shared" si="4"/>
        <v>0</v>
      </c>
      <c r="Q127" s="40" t="s">
        <v>200</v>
      </c>
      <c r="R127" s="38" t="s">
        <v>218</v>
      </c>
    </row>
    <row r="128" spans="1:18" x14ac:dyDescent="0.2">
      <c r="A128" s="53">
        <v>123</v>
      </c>
      <c r="B128" s="51">
        <v>725</v>
      </c>
      <c r="C128" s="39" t="s">
        <v>219</v>
      </c>
      <c r="D128" s="36">
        <v>41662</v>
      </c>
      <c r="E128" s="30">
        <v>42879</v>
      </c>
      <c r="F128" s="40">
        <f t="shared" si="29"/>
        <v>40.56666666666667</v>
      </c>
      <c r="G128" s="14">
        <f t="shared" si="1"/>
        <v>1.6666666666666666E-2</v>
      </c>
      <c r="H128" s="15">
        <v>174009</v>
      </c>
      <c r="I128" s="15">
        <f t="shared" ref="I128:I139" si="30">H128-(H128*G128*F128)</f>
        <v>56359.581666666651</v>
      </c>
      <c r="J128" s="16">
        <f>INDICES!K49/INDICES!D49</f>
        <v>1.0064599807539434</v>
      </c>
      <c r="K128" s="15">
        <f t="shared" ref="K128:K139" si="31">+I128*J128</f>
        <v>56723.663479533614</v>
      </c>
      <c r="L128" s="15">
        <v>118000</v>
      </c>
      <c r="M128" s="15">
        <f t="shared" ref="M128:M138" si="32">+L128-K128</f>
        <v>61276.336520466386</v>
      </c>
      <c r="N128" s="15">
        <f>+N1</f>
        <v>87643.8</v>
      </c>
      <c r="O128" s="15">
        <f t="shared" ref="O128:O135" si="33">+M128-N128</f>
        <v>-26367.463479533617</v>
      </c>
      <c r="P128" s="15">
        <f t="shared" si="4"/>
        <v>0</v>
      </c>
      <c r="Q128" s="40" t="s">
        <v>45</v>
      </c>
      <c r="R128" s="38"/>
    </row>
    <row r="129" spans="1:18" x14ac:dyDescent="0.2">
      <c r="A129" s="53">
        <v>124</v>
      </c>
      <c r="B129" s="51">
        <v>726</v>
      </c>
      <c r="C129" s="39" t="s">
        <v>220</v>
      </c>
      <c r="D129" s="36">
        <v>41622</v>
      </c>
      <c r="E129" s="30">
        <v>42879</v>
      </c>
      <c r="F129" s="40">
        <f t="shared" ref="F129:F135" si="34">(E129-D129)/30</f>
        <v>41.9</v>
      </c>
      <c r="G129" s="14">
        <f t="shared" si="1"/>
        <v>1.6666666666666666E-2</v>
      </c>
      <c r="H129" s="15">
        <v>121300</v>
      </c>
      <c r="I129" s="15">
        <f t="shared" si="30"/>
        <v>36592.166666666672</v>
      </c>
      <c r="J129" s="16">
        <f>INDICES!K49/INDICES!K47</f>
        <v>1.055626256154609</v>
      </c>
      <c r="K129" s="15">
        <f t="shared" si="31"/>
        <v>38627.65190291882</v>
      </c>
      <c r="L129" s="15">
        <v>69000</v>
      </c>
      <c r="M129" s="15">
        <f t="shared" si="32"/>
        <v>30372.34809708118</v>
      </c>
      <c r="N129" s="15">
        <f>+N1</f>
        <v>87643.8</v>
      </c>
      <c r="O129" s="15">
        <f t="shared" si="33"/>
        <v>-57271.451902918823</v>
      </c>
      <c r="P129" s="15">
        <f t="shared" si="4"/>
        <v>0</v>
      </c>
      <c r="Q129" s="40" t="s">
        <v>90</v>
      </c>
      <c r="R129" s="38"/>
    </row>
    <row r="130" spans="1:18" x14ac:dyDescent="0.2">
      <c r="A130" s="53">
        <v>125</v>
      </c>
      <c r="B130" s="51">
        <v>727</v>
      </c>
      <c r="C130" s="39" t="s">
        <v>221</v>
      </c>
      <c r="D130" s="36">
        <v>42319</v>
      </c>
      <c r="E130" s="30">
        <v>42885</v>
      </c>
      <c r="F130" s="40">
        <f t="shared" si="34"/>
        <v>18.866666666666667</v>
      </c>
      <c r="G130" s="14">
        <f t="shared" ref="G130:G135" si="35">0.2/12</f>
        <v>1.6666666666666666E-2</v>
      </c>
      <c r="H130" s="15">
        <v>234900</v>
      </c>
      <c r="I130" s="15">
        <f t="shared" si="30"/>
        <v>161037</v>
      </c>
      <c r="J130" s="16">
        <f>INDICES!L49/INDICES!L47</f>
        <v>1.0561932110780403</v>
      </c>
      <c r="K130" s="15">
        <f t="shared" si="31"/>
        <v>170086.18613237437</v>
      </c>
      <c r="L130" s="15">
        <v>180000</v>
      </c>
      <c r="M130" s="15">
        <f t="shared" si="32"/>
        <v>9913.8138676256349</v>
      </c>
      <c r="N130" s="15">
        <f>+N1</f>
        <v>87643.8</v>
      </c>
      <c r="O130" s="15">
        <f t="shared" si="33"/>
        <v>-77729.986132374368</v>
      </c>
      <c r="P130" s="15">
        <f t="shared" ref="P130:P136" si="36">IF(O130&gt;1,O130*0.2,0)</f>
        <v>0</v>
      </c>
      <c r="Q130" s="40" t="s">
        <v>54</v>
      </c>
      <c r="R130" s="38"/>
    </row>
    <row r="131" spans="1:18" x14ac:dyDescent="0.2">
      <c r="A131" s="53">
        <v>126</v>
      </c>
      <c r="B131" s="51">
        <v>728</v>
      </c>
      <c r="C131" s="39" t="s">
        <v>222</v>
      </c>
      <c r="D131" s="36">
        <v>42436</v>
      </c>
      <c r="E131" s="30">
        <v>42885</v>
      </c>
      <c r="F131" s="40">
        <f t="shared" si="34"/>
        <v>14.966666666666667</v>
      </c>
      <c r="G131" s="14">
        <f t="shared" si="35"/>
        <v>1.6666666666666666E-2</v>
      </c>
      <c r="H131" s="15">
        <v>126000</v>
      </c>
      <c r="I131" s="15">
        <f t="shared" si="30"/>
        <v>94570</v>
      </c>
      <c r="J131" s="16">
        <f>INDICES!L49/INDICES!E48</f>
        <v>1.0373777293886683</v>
      </c>
      <c r="K131" s="15">
        <f t="shared" si="31"/>
        <v>98104.811868286371</v>
      </c>
      <c r="L131" s="15">
        <v>107000</v>
      </c>
      <c r="M131" s="15">
        <f t="shared" si="32"/>
        <v>8895.1881317136285</v>
      </c>
      <c r="N131" s="15">
        <f>+N1</f>
        <v>87643.8</v>
      </c>
      <c r="O131" s="15">
        <f t="shared" si="33"/>
        <v>-78748.611868286374</v>
      </c>
      <c r="P131" s="15">
        <f t="shared" si="36"/>
        <v>0</v>
      </c>
      <c r="Q131" s="40" t="s">
        <v>204</v>
      </c>
      <c r="R131" s="38"/>
    </row>
    <row r="132" spans="1:18" x14ac:dyDescent="0.2">
      <c r="A132" s="53">
        <v>127</v>
      </c>
      <c r="B132" s="51">
        <v>730</v>
      </c>
      <c r="C132" s="39" t="s">
        <v>223</v>
      </c>
      <c r="D132" s="36">
        <v>41792</v>
      </c>
      <c r="E132" s="30">
        <v>42885</v>
      </c>
      <c r="F132" s="40">
        <f t="shared" si="34"/>
        <v>36.43333333333333</v>
      </c>
      <c r="G132" s="14">
        <f t="shared" si="35"/>
        <v>1.6666666666666666E-2</v>
      </c>
      <c r="H132" s="15">
        <v>271100</v>
      </c>
      <c r="I132" s="15">
        <f t="shared" si="30"/>
        <v>106482.05555555559</v>
      </c>
      <c r="J132" s="16">
        <f>INDICES!L49/INDICES!M46</f>
        <v>1.091411718017173</v>
      </c>
      <c r="K132" s="15">
        <f t="shared" si="31"/>
        <v>116215.76319188898</v>
      </c>
      <c r="L132" s="15">
        <v>172000</v>
      </c>
      <c r="M132" s="15">
        <f t="shared" si="32"/>
        <v>55784.236808111018</v>
      </c>
      <c r="N132" s="15">
        <f>+N6</f>
        <v>87643.8</v>
      </c>
      <c r="O132" s="15">
        <f t="shared" si="33"/>
        <v>-31859.563191888985</v>
      </c>
      <c r="P132" s="15">
        <f t="shared" si="36"/>
        <v>0</v>
      </c>
      <c r="Q132" s="40" t="s">
        <v>65</v>
      </c>
      <c r="R132" s="38"/>
    </row>
    <row r="133" spans="1:18" x14ac:dyDescent="0.2">
      <c r="A133" s="53">
        <v>128</v>
      </c>
      <c r="B133" s="51">
        <v>731</v>
      </c>
      <c r="C133" s="39" t="s">
        <v>224</v>
      </c>
      <c r="D133" s="36">
        <v>41178</v>
      </c>
      <c r="E133" s="30">
        <v>42885</v>
      </c>
      <c r="F133" s="40">
        <f t="shared" si="34"/>
        <v>56.9</v>
      </c>
      <c r="G133" s="14">
        <f t="shared" si="35"/>
        <v>1.6666666666666666E-2</v>
      </c>
      <c r="H133" s="15">
        <v>140900</v>
      </c>
      <c r="I133" s="15">
        <f t="shared" si="30"/>
        <v>7279.8333333333139</v>
      </c>
      <c r="J133" s="16">
        <f>INDICES!L49/INDICES!H49</f>
        <v>1.0177122143632098</v>
      </c>
      <c r="K133" s="15">
        <f t="shared" si="31"/>
        <v>7408.7753018617541</v>
      </c>
      <c r="L133" s="15">
        <v>85000</v>
      </c>
      <c r="M133" s="15">
        <f t="shared" si="32"/>
        <v>77591.224698138249</v>
      </c>
      <c r="N133" s="15">
        <f>+N7</f>
        <v>87643.8</v>
      </c>
      <c r="O133" s="15">
        <f t="shared" si="33"/>
        <v>-10052.575301861754</v>
      </c>
      <c r="P133" s="15">
        <f t="shared" si="36"/>
        <v>0</v>
      </c>
      <c r="Q133" s="40" t="s">
        <v>87</v>
      </c>
      <c r="R133" s="38"/>
    </row>
    <row r="134" spans="1:18" x14ac:dyDescent="0.2">
      <c r="A134" s="53">
        <v>129</v>
      </c>
      <c r="B134" s="51">
        <v>733</v>
      </c>
      <c r="C134" s="39" t="s">
        <v>225</v>
      </c>
      <c r="D134" s="36">
        <v>41718</v>
      </c>
      <c r="E134" s="30">
        <v>42885</v>
      </c>
      <c r="F134" s="40">
        <f t="shared" si="34"/>
        <v>38.9</v>
      </c>
      <c r="G134" s="14">
        <f t="shared" si="35"/>
        <v>1.6666666666666666E-2</v>
      </c>
      <c r="H134" s="15">
        <v>160000</v>
      </c>
      <c r="I134" s="15">
        <f t="shared" si="30"/>
        <v>56266.666666666672</v>
      </c>
      <c r="J134" s="16">
        <f>INDICES!L49/INDICES!E48</f>
        <v>1.0373777293886683</v>
      </c>
      <c r="K134" s="15">
        <f t="shared" si="31"/>
        <v>58369.786906935748</v>
      </c>
      <c r="L134" s="15">
        <v>96000</v>
      </c>
      <c r="M134" s="15">
        <f t="shared" si="32"/>
        <v>37630.213093064252</v>
      </c>
      <c r="N134" s="15">
        <f>+N8</f>
        <v>87643.8</v>
      </c>
      <c r="O134" s="15">
        <f t="shared" si="33"/>
        <v>-50013.58690693575</v>
      </c>
      <c r="P134" s="15">
        <f t="shared" si="36"/>
        <v>0</v>
      </c>
      <c r="Q134" s="40" t="s">
        <v>83</v>
      </c>
      <c r="R134" s="38"/>
    </row>
    <row r="135" spans="1:18" x14ac:dyDescent="0.2">
      <c r="A135" s="53">
        <v>130</v>
      </c>
      <c r="B135" s="51">
        <v>732</v>
      </c>
      <c r="C135" s="39" t="s">
        <v>226</v>
      </c>
      <c r="D135" s="36">
        <v>40961</v>
      </c>
      <c r="E135" s="30">
        <v>42885</v>
      </c>
      <c r="F135" s="40">
        <f t="shared" si="34"/>
        <v>64.13333333333334</v>
      </c>
      <c r="G135" s="14">
        <f t="shared" si="35"/>
        <v>1.6666666666666666E-2</v>
      </c>
      <c r="H135" s="15">
        <v>214000</v>
      </c>
      <c r="I135" s="15">
        <f t="shared" si="30"/>
        <v>-14742.222222222248</v>
      </c>
      <c r="J135" s="16">
        <f>INDICES!L49/INDICES!I47</f>
        <v>1.0705552409937009</v>
      </c>
      <c r="K135" s="15">
        <f t="shared" si="31"/>
        <v>-15782.363263893832</v>
      </c>
      <c r="L135" s="15">
        <v>110000</v>
      </c>
      <c r="M135" s="15">
        <f t="shared" si="32"/>
        <v>125782.36326389383</v>
      </c>
      <c r="N135" s="15">
        <f>+N9</f>
        <v>87643.8</v>
      </c>
      <c r="O135" s="15">
        <f t="shared" si="33"/>
        <v>38138.563263893826</v>
      </c>
      <c r="P135" s="15">
        <f t="shared" si="36"/>
        <v>7627.7126527787659</v>
      </c>
      <c r="Q135" s="40" t="s">
        <v>179</v>
      </c>
      <c r="R135" s="38"/>
    </row>
    <row r="136" spans="1:18" x14ac:dyDescent="0.2">
      <c r="A136" s="53">
        <v>131</v>
      </c>
      <c r="B136" s="51"/>
      <c r="C136" s="39"/>
      <c r="D136" s="36"/>
      <c r="E136" s="30"/>
      <c r="F136" s="40">
        <f t="shared" ref="F136:F161" si="37">(E136-D136)/30</f>
        <v>0</v>
      </c>
      <c r="G136" s="14">
        <f t="shared" ref="G136:G145" si="38">0.2/12</f>
        <v>1.6666666666666666E-2</v>
      </c>
      <c r="H136" s="15">
        <v>155900</v>
      </c>
      <c r="I136" s="15">
        <f t="shared" si="30"/>
        <v>155900</v>
      </c>
      <c r="J136" s="16">
        <f>INDICES!L49/INDICES!G48</f>
        <v>1.0452904184375109</v>
      </c>
      <c r="K136" s="15">
        <f t="shared" si="31"/>
        <v>162960.77623440794</v>
      </c>
      <c r="L136" s="15">
        <v>105000</v>
      </c>
      <c r="M136" s="15">
        <f t="shared" si="32"/>
        <v>-57960.776234407938</v>
      </c>
      <c r="N136" s="15">
        <f>+N1</f>
        <v>87643.8</v>
      </c>
      <c r="O136" s="15">
        <f t="shared" ref="O136:O143" si="39">+M136-N136</f>
        <v>-145604.57623440796</v>
      </c>
      <c r="P136" s="15">
        <f t="shared" si="36"/>
        <v>0</v>
      </c>
      <c r="Q136" s="40"/>
      <c r="R136" s="38"/>
    </row>
    <row r="137" spans="1:18" x14ac:dyDescent="0.2">
      <c r="A137" s="53">
        <v>132</v>
      </c>
      <c r="B137" s="51"/>
      <c r="C137" s="39"/>
      <c r="D137" s="36"/>
      <c r="E137" s="30"/>
      <c r="F137" s="40">
        <f t="shared" si="37"/>
        <v>0</v>
      </c>
      <c r="G137" s="14">
        <f t="shared" si="38"/>
        <v>1.6666666666666666E-2</v>
      </c>
      <c r="H137" s="15">
        <v>219900</v>
      </c>
      <c r="I137" s="15">
        <f t="shared" si="30"/>
        <v>219900</v>
      </c>
      <c r="J137" s="16">
        <f>INDICES!L49/INDICES!I46</f>
        <v>1.1141526024546771</v>
      </c>
      <c r="K137" s="15">
        <f t="shared" si="31"/>
        <v>245002.15727978348</v>
      </c>
      <c r="L137" s="15">
        <v>127000</v>
      </c>
      <c r="M137" s="15">
        <f t="shared" si="32"/>
        <v>-118002.15727978348</v>
      </c>
      <c r="N137" s="15">
        <f>+N1</f>
        <v>87643.8</v>
      </c>
      <c r="O137" s="15">
        <f t="shared" si="39"/>
        <v>-205645.9572797835</v>
      </c>
      <c r="P137" s="15">
        <f t="shared" ref="P137:P142" si="40">IF(O137&gt;1,O137*0.2,0)</f>
        <v>0</v>
      </c>
      <c r="Q137" s="40"/>
      <c r="R137" s="38"/>
    </row>
    <row r="138" spans="1:18" x14ac:dyDescent="0.2">
      <c r="A138" s="53">
        <v>133</v>
      </c>
      <c r="B138" s="51"/>
      <c r="C138" s="39"/>
      <c r="D138" s="36"/>
      <c r="E138" s="30"/>
      <c r="F138" s="40">
        <f t="shared" si="37"/>
        <v>0</v>
      </c>
      <c r="G138" s="14">
        <f t="shared" si="38"/>
        <v>1.6666666666666666E-2</v>
      </c>
      <c r="H138" s="15">
        <v>213000</v>
      </c>
      <c r="I138" s="15">
        <f t="shared" si="30"/>
        <v>213000</v>
      </c>
      <c r="J138" s="16">
        <f>INDICES!L49/INDICES!E47</f>
        <v>1.0699210426263717</v>
      </c>
      <c r="K138" s="15">
        <f t="shared" si="31"/>
        <v>227893.18207941717</v>
      </c>
      <c r="L138" s="15">
        <v>133000</v>
      </c>
      <c r="M138" s="15">
        <f t="shared" si="32"/>
        <v>-94893.182079417165</v>
      </c>
      <c r="N138" s="15">
        <f>+N1</f>
        <v>87643.8</v>
      </c>
      <c r="O138" s="15">
        <f t="shared" si="39"/>
        <v>-182536.98207941715</v>
      </c>
      <c r="P138" s="15">
        <f t="shared" si="40"/>
        <v>0</v>
      </c>
      <c r="Q138" s="40"/>
      <c r="R138" s="38"/>
    </row>
    <row r="139" spans="1:18" x14ac:dyDescent="0.2">
      <c r="A139" s="53">
        <v>134</v>
      </c>
      <c r="B139" s="51"/>
      <c r="C139" s="39"/>
      <c r="D139" s="36"/>
      <c r="E139" s="30"/>
      <c r="F139" s="40">
        <f t="shared" si="37"/>
        <v>0</v>
      </c>
      <c r="G139" s="14">
        <f t="shared" si="38"/>
        <v>1.6666666666666666E-2</v>
      </c>
      <c r="H139" s="15">
        <v>169500</v>
      </c>
      <c r="I139" s="15">
        <f t="shared" si="30"/>
        <v>169500</v>
      </c>
      <c r="J139" s="16">
        <f>INDICES!L49/INDICES!M46</f>
        <v>1.091411718017173</v>
      </c>
      <c r="K139" s="15">
        <f t="shared" si="31"/>
        <v>184994.28620391083</v>
      </c>
      <c r="L139" s="15">
        <v>105000</v>
      </c>
      <c r="M139" s="15">
        <f>+L139-K139</f>
        <v>-79994.286203910829</v>
      </c>
      <c r="N139" s="15">
        <f>+N1</f>
        <v>87643.8</v>
      </c>
      <c r="O139" s="15">
        <f t="shared" si="39"/>
        <v>-167638.08620391082</v>
      </c>
      <c r="P139" s="15">
        <f t="shared" si="40"/>
        <v>0</v>
      </c>
      <c r="Q139" s="40"/>
      <c r="R139" s="38"/>
    </row>
    <row r="140" spans="1:18" x14ac:dyDescent="0.2">
      <c r="A140" s="53">
        <v>135</v>
      </c>
      <c r="B140" s="51"/>
      <c r="C140" s="39"/>
      <c r="D140" s="36"/>
      <c r="E140" s="30"/>
      <c r="F140" s="40">
        <f t="shared" si="37"/>
        <v>0</v>
      </c>
      <c r="G140" s="14">
        <f t="shared" si="38"/>
        <v>1.6666666666666666E-2</v>
      </c>
      <c r="H140" s="15">
        <v>156500</v>
      </c>
      <c r="I140" s="15">
        <f>H140-(H140*G140*F140)</f>
        <v>156500</v>
      </c>
      <c r="J140" s="16">
        <f>INDICES!L49/INDICES!I46</f>
        <v>1.1141526024546771</v>
      </c>
      <c r="K140" s="15">
        <f>+I140*J140</f>
        <v>174364.88228415695</v>
      </c>
      <c r="L140" s="15">
        <v>83000</v>
      </c>
      <c r="M140" s="15">
        <f>+L140-K140</f>
        <v>-91364.882284156949</v>
      </c>
      <c r="N140" s="15">
        <f>+N1</f>
        <v>87643.8</v>
      </c>
      <c r="O140" s="15">
        <f t="shared" si="39"/>
        <v>-179008.68228415697</v>
      </c>
      <c r="P140" s="15">
        <f t="shared" si="40"/>
        <v>0</v>
      </c>
      <c r="Q140" s="40"/>
      <c r="R140" s="38"/>
    </row>
    <row r="141" spans="1:18" x14ac:dyDescent="0.2">
      <c r="A141" s="53">
        <v>136</v>
      </c>
      <c r="B141" s="51"/>
      <c r="C141" s="39"/>
      <c r="D141" s="36"/>
      <c r="E141" s="30"/>
      <c r="F141" s="40">
        <f t="shared" si="37"/>
        <v>0</v>
      </c>
      <c r="G141" s="14">
        <f t="shared" si="38"/>
        <v>1.6666666666666666E-2</v>
      </c>
      <c r="H141" s="15">
        <v>211900</v>
      </c>
      <c r="I141" s="15">
        <f>H141-(H141*G141*F141)</f>
        <v>211900</v>
      </c>
      <c r="J141" s="16">
        <f>INDICES!L49/INDICES!F45</f>
        <v>1.1609836128487547</v>
      </c>
      <c r="K141" s="15">
        <f>+I141*J141</f>
        <v>246012.42756265114</v>
      </c>
      <c r="L141" s="15">
        <v>85000</v>
      </c>
      <c r="M141" s="15">
        <f>+L141-K141</f>
        <v>-161012.42756265114</v>
      </c>
      <c r="N141" s="15">
        <f>+N1</f>
        <v>87643.8</v>
      </c>
      <c r="O141" s="15">
        <f t="shared" si="39"/>
        <v>-248656.22756265115</v>
      </c>
      <c r="P141" s="15">
        <f t="shared" si="40"/>
        <v>0</v>
      </c>
      <c r="Q141" s="40"/>
      <c r="R141" s="38"/>
    </row>
    <row r="142" spans="1:18" x14ac:dyDescent="0.2">
      <c r="A142" s="53">
        <v>137</v>
      </c>
      <c r="B142" s="51"/>
      <c r="C142" s="39"/>
      <c r="D142" s="36"/>
      <c r="E142" s="30"/>
      <c r="F142" s="40">
        <f t="shared" si="37"/>
        <v>0</v>
      </c>
      <c r="G142" s="14">
        <f t="shared" si="38"/>
        <v>1.6666666666666666E-2</v>
      </c>
      <c r="H142" s="15">
        <v>158700</v>
      </c>
      <c r="I142" s="15">
        <f>H142-(H142*G142*F142)</f>
        <v>158700</v>
      </c>
      <c r="J142" s="16">
        <f>+INDICES!J47/INDICES!L44</f>
        <v>1.1164278403275332</v>
      </c>
      <c r="K142" s="15">
        <f>+I142*J142</f>
        <v>177177.09825997951</v>
      </c>
      <c r="L142" s="15">
        <v>77000</v>
      </c>
      <c r="M142" s="15">
        <f>+L142-K142</f>
        <v>-100177.09825997951</v>
      </c>
      <c r="N142" s="15">
        <f>+N1</f>
        <v>87643.8</v>
      </c>
      <c r="O142" s="15">
        <f t="shared" si="39"/>
        <v>-187820.8982599795</v>
      </c>
      <c r="P142" s="15">
        <f t="shared" si="40"/>
        <v>0</v>
      </c>
      <c r="Q142" s="40"/>
      <c r="R142" s="38"/>
    </row>
    <row r="143" spans="1:18" x14ac:dyDescent="0.2">
      <c r="A143" s="53">
        <v>138</v>
      </c>
      <c r="B143" s="51"/>
      <c r="C143" s="39"/>
      <c r="D143" s="36"/>
      <c r="E143" s="30"/>
      <c r="F143" s="40">
        <f t="shared" si="37"/>
        <v>0</v>
      </c>
      <c r="G143" s="14">
        <f t="shared" si="38"/>
        <v>1.6666666666666666E-2</v>
      </c>
      <c r="H143" s="15">
        <v>279700</v>
      </c>
      <c r="I143" s="37">
        <f>H143-(H143*G143*F143)</f>
        <v>279700</v>
      </c>
      <c r="J143" s="16">
        <f>INDICES!L49/INDICES!L46</f>
        <v>1.1015858276891706</v>
      </c>
      <c r="K143" s="15">
        <f>+I143*J143</f>
        <v>308113.55600466102</v>
      </c>
      <c r="L143" s="37">
        <v>160000</v>
      </c>
      <c r="M143" s="15">
        <f>+L143-K143</f>
        <v>-148113.55600466102</v>
      </c>
      <c r="N143" s="15">
        <f>+N1</f>
        <v>87643.8</v>
      </c>
      <c r="O143" s="15">
        <f t="shared" si="39"/>
        <v>-235757.35600466101</v>
      </c>
      <c r="P143" s="37"/>
      <c r="Q143" s="40"/>
      <c r="R143" s="38"/>
    </row>
    <row r="144" spans="1:18" x14ac:dyDescent="0.2">
      <c r="A144" s="53">
        <v>139</v>
      </c>
      <c r="B144" s="51"/>
      <c r="C144" s="39"/>
      <c r="D144" s="36"/>
      <c r="E144" s="30"/>
      <c r="F144" s="40">
        <f t="shared" si="37"/>
        <v>0</v>
      </c>
      <c r="G144" s="14">
        <f t="shared" si="38"/>
        <v>1.6666666666666666E-2</v>
      </c>
      <c r="H144" s="15">
        <v>228500</v>
      </c>
      <c r="I144" s="15">
        <f t="shared" ref="I144:I151" si="41">H144-(H144*G144*F144)</f>
        <v>228500</v>
      </c>
      <c r="J144" s="16">
        <f>INDICES!L49/INDICES!J46</f>
        <v>1.1109917552654289</v>
      </c>
      <c r="K144" s="15">
        <f t="shared" ref="K144:K151" si="42">+I144*J144</f>
        <v>253861.61607815052</v>
      </c>
      <c r="L144" s="15">
        <v>130000</v>
      </c>
      <c r="M144" s="15">
        <f t="shared" ref="M144:M151" si="43">+L144-K144</f>
        <v>-123861.61607815052</v>
      </c>
      <c r="N144" s="15">
        <f>+N1</f>
        <v>87643.8</v>
      </c>
      <c r="O144" s="15">
        <f t="shared" ref="O144:O151" si="44">+M144-N144</f>
        <v>-211505.41607815051</v>
      </c>
      <c r="P144" s="15">
        <f t="shared" ref="P144:P204" si="45">IF(O144&gt;1,O144*0.2,0)</f>
        <v>0</v>
      </c>
      <c r="Q144" s="40"/>
      <c r="R144" s="38"/>
    </row>
    <row r="145" spans="1:18" x14ac:dyDescent="0.2">
      <c r="A145" s="53">
        <v>140</v>
      </c>
      <c r="B145" s="51"/>
      <c r="C145" s="39"/>
      <c r="D145" s="36"/>
      <c r="E145" s="30"/>
      <c r="F145" s="40">
        <f t="shared" si="37"/>
        <v>0</v>
      </c>
      <c r="G145" s="14">
        <f t="shared" si="38"/>
        <v>1.6666666666666666E-2</v>
      </c>
      <c r="H145" s="15">
        <v>160900</v>
      </c>
      <c r="I145" s="15">
        <f t="shared" si="41"/>
        <v>160900</v>
      </c>
      <c r="J145" s="16">
        <f>INDICES!L49/INDICES!L47</f>
        <v>1.0561932110780403</v>
      </c>
      <c r="K145" s="15">
        <f t="shared" si="42"/>
        <v>169941.4876624567</v>
      </c>
      <c r="L145" s="15">
        <v>121000</v>
      </c>
      <c r="M145" s="15">
        <f t="shared" si="43"/>
        <v>-48941.487662456697</v>
      </c>
      <c r="N145" s="15">
        <f>+N1</f>
        <v>87643.8</v>
      </c>
      <c r="O145" s="15">
        <f t="shared" si="44"/>
        <v>-136585.28766245669</v>
      </c>
      <c r="P145" s="15">
        <f t="shared" si="45"/>
        <v>0</v>
      </c>
      <c r="Q145" s="40"/>
      <c r="R145" s="38"/>
    </row>
    <row r="146" spans="1:18" x14ac:dyDescent="0.2">
      <c r="A146" s="53">
        <v>141</v>
      </c>
      <c r="B146" s="51"/>
      <c r="C146" s="39"/>
      <c r="D146" s="36"/>
      <c r="E146" s="30"/>
      <c r="F146" s="40">
        <f t="shared" si="37"/>
        <v>0</v>
      </c>
      <c r="G146" s="14">
        <f t="shared" ref="G146:G204" si="46">0.2/12</f>
        <v>1.6666666666666666E-2</v>
      </c>
      <c r="H146" s="15">
        <v>139900.64000000001</v>
      </c>
      <c r="I146" s="15">
        <f t="shared" si="41"/>
        <v>139900.64000000001</v>
      </c>
      <c r="J146" s="16">
        <f>INDICES!L49/INDICES!L46</f>
        <v>1.1015858276891706</v>
      </c>
      <c r="K146" s="15">
        <f t="shared" si="42"/>
        <v>154112.5623086447</v>
      </c>
      <c r="L146" s="15">
        <v>94200</v>
      </c>
      <c r="M146" s="15">
        <f t="shared" si="43"/>
        <v>-59912.562308644701</v>
      </c>
      <c r="N146" s="15">
        <f>+N1</f>
        <v>87643.8</v>
      </c>
      <c r="O146" s="15">
        <f t="shared" si="44"/>
        <v>-147556.36230864469</v>
      </c>
      <c r="P146" s="15">
        <f t="shared" si="45"/>
        <v>0</v>
      </c>
      <c r="Q146" s="40"/>
      <c r="R146" s="38"/>
    </row>
    <row r="147" spans="1:18" x14ac:dyDescent="0.2">
      <c r="A147" s="53">
        <v>142</v>
      </c>
      <c r="B147" s="51"/>
      <c r="C147" s="39"/>
      <c r="D147" s="36"/>
      <c r="E147" s="30"/>
      <c r="F147" s="40">
        <f t="shared" si="37"/>
        <v>0</v>
      </c>
      <c r="G147" s="14">
        <f t="shared" si="46"/>
        <v>1.6666666666666666E-2</v>
      </c>
      <c r="H147" s="15">
        <v>382000.01</v>
      </c>
      <c r="I147" s="15">
        <f t="shared" si="41"/>
        <v>382000.01</v>
      </c>
      <c r="J147" s="16">
        <f>INDICES!L49/INDICES!F47</f>
        <v>1.0719208418963928</v>
      </c>
      <c r="K147" s="15">
        <f t="shared" si="42"/>
        <v>409473.77232363046</v>
      </c>
      <c r="L147" s="15">
        <v>235000</v>
      </c>
      <c r="M147" s="15">
        <f t="shared" si="43"/>
        <v>-174473.77232363046</v>
      </c>
      <c r="N147" s="15">
        <f>+N1</f>
        <v>87643.8</v>
      </c>
      <c r="O147" s="15">
        <f t="shared" si="44"/>
        <v>-262117.57232363045</v>
      </c>
      <c r="P147" s="15">
        <f t="shared" si="45"/>
        <v>0</v>
      </c>
      <c r="Q147" s="40"/>
      <c r="R147" s="38"/>
    </row>
    <row r="148" spans="1:18" x14ac:dyDescent="0.2">
      <c r="A148" s="53">
        <v>143</v>
      </c>
      <c r="B148" s="51"/>
      <c r="C148" s="39"/>
      <c r="D148" s="36"/>
      <c r="E148" s="30"/>
      <c r="F148" s="40">
        <f t="shared" si="37"/>
        <v>0</v>
      </c>
      <c r="G148" s="14">
        <f t="shared" si="46"/>
        <v>1.6666666666666666E-2</v>
      </c>
      <c r="H148" s="15">
        <v>199000</v>
      </c>
      <c r="I148" s="15">
        <f t="shared" si="41"/>
        <v>199000</v>
      </c>
      <c r="J148" s="16">
        <f>INDICES!L49/INDICES!D47</f>
        <v>1.0728522032095045</v>
      </c>
      <c r="K148" s="15">
        <f t="shared" si="42"/>
        <v>213497.5884386914</v>
      </c>
      <c r="L148" s="15">
        <v>129000</v>
      </c>
      <c r="M148" s="15">
        <f t="shared" si="43"/>
        <v>-84497.588438691397</v>
      </c>
      <c r="N148" s="15">
        <f>+N1</f>
        <v>87643.8</v>
      </c>
      <c r="O148" s="15">
        <f t="shared" si="44"/>
        <v>-172141.38843869139</v>
      </c>
      <c r="P148" s="15">
        <f t="shared" si="45"/>
        <v>0</v>
      </c>
      <c r="Q148" s="40"/>
      <c r="R148" s="38"/>
    </row>
    <row r="149" spans="1:18" x14ac:dyDescent="0.2">
      <c r="A149" s="53">
        <v>144</v>
      </c>
      <c r="B149" s="51"/>
      <c r="C149" s="39"/>
      <c r="D149" s="36"/>
      <c r="E149" s="30"/>
      <c r="F149" s="40">
        <f t="shared" si="37"/>
        <v>0</v>
      </c>
      <c r="G149" s="14">
        <f t="shared" si="46"/>
        <v>1.6666666666666666E-2</v>
      </c>
      <c r="H149" s="15">
        <v>127500</v>
      </c>
      <c r="I149" s="15">
        <f t="shared" si="41"/>
        <v>127500</v>
      </c>
      <c r="J149" s="16">
        <f>INDICES!L49/INDICES!K44</f>
        <v>1.1989556808386259</v>
      </c>
      <c r="K149" s="15">
        <f t="shared" si="42"/>
        <v>152866.84930692479</v>
      </c>
      <c r="L149" s="15">
        <v>58500</v>
      </c>
      <c r="M149" s="15">
        <f t="shared" si="43"/>
        <v>-94366.849306924792</v>
      </c>
      <c r="N149" s="15">
        <f>+N1</f>
        <v>87643.8</v>
      </c>
      <c r="O149" s="15">
        <f t="shared" si="44"/>
        <v>-182010.64930692478</v>
      </c>
      <c r="P149" s="15">
        <f t="shared" si="45"/>
        <v>0</v>
      </c>
      <c r="Q149" s="40"/>
      <c r="R149" s="38"/>
    </row>
    <row r="150" spans="1:18" x14ac:dyDescent="0.2">
      <c r="A150" s="53">
        <v>145</v>
      </c>
      <c r="B150" s="51"/>
      <c r="C150" s="39"/>
      <c r="D150" s="36"/>
      <c r="E150" s="30"/>
      <c r="F150" s="40">
        <f t="shared" si="37"/>
        <v>0</v>
      </c>
      <c r="G150" s="14">
        <f t="shared" si="46"/>
        <v>1.6666666666666666E-2</v>
      </c>
      <c r="H150" s="15">
        <v>216500</v>
      </c>
      <c r="I150" s="15">
        <f t="shared" si="41"/>
        <v>216500</v>
      </c>
      <c r="J150" s="16">
        <f>INDICES!L49/INDICES!N44</f>
        <v>1.1685739394114978</v>
      </c>
      <c r="K150" s="15">
        <f t="shared" si="42"/>
        <v>252996.25788258927</v>
      </c>
      <c r="L150" s="15">
        <v>114000</v>
      </c>
      <c r="M150" s="15">
        <f t="shared" si="43"/>
        <v>-138996.25788258927</v>
      </c>
      <c r="N150" s="15">
        <f>+N1</f>
        <v>87643.8</v>
      </c>
      <c r="O150" s="15">
        <f t="shared" si="44"/>
        <v>-226640.05788258929</v>
      </c>
      <c r="P150" s="15">
        <f t="shared" si="45"/>
        <v>0</v>
      </c>
      <c r="Q150" s="40"/>
      <c r="R150" s="38"/>
    </row>
    <row r="151" spans="1:18" x14ac:dyDescent="0.2">
      <c r="A151" s="53">
        <v>146</v>
      </c>
      <c r="B151" s="51"/>
      <c r="C151" s="39"/>
      <c r="D151" s="36"/>
      <c r="E151" s="30"/>
      <c r="F151" s="40">
        <f t="shared" si="37"/>
        <v>0</v>
      </c>
      <c r="G151" s="14">
        <f t="shared" si="46"/>
        <v>1.6666666666666666E-2</v>
      </c>
      <c r="H151" s="15">
        <v>299300.77</v>
      </c>
      <c r="I151" s="15">
        <f t="shared" si="41"/>
        <v>299300.77</v>
      </c>
      <c r="J151" s="16">
        <f>INDICES!M49/INDICES!M46</f>
        <v>1.0999440796594271</v>
      </c>
      <c r="K151" s="15">
        <f t="shared" si="42"/>
        <v>329214.10999900789</v>
      </c>
      <c r="L151" s="15">
        <v>187300</v>
      </c>
      <c r="M151" s="15">
        <f t="shared" si="43"/>
        <v>-141914.10999900789</v>
      </c>
      <c r="N151" s="15">
        <f>+N1</f>
        <v>87643.8</v>
      </c>
      <c r="O151" s="15">
        <f t="shared" si="44"/>
        <v>-229557.90999900788</v>
      </c>
      <c r="P151" s="15">
        <f t="shared" si="45"/>
        <v>0</v>
      </c>
      <c r="Q151" s="40"/>
      <c r="R151" s="38"/>
    </row>
    <row r="152" spans="1:18" x14ac:dyDescent="0.2">
      <c r="A152" s="53">
        <v>147</v>
      </c>
      <c r="B152" s="51"/>
      <c r="C152" s="39"/>
      <c r="D152" s="36"/>
      <c r="E152" s="30"/>
      <c r="F152" s="40">
        <f t="shared" si="37"/>
        <v>0</v>
      </c>
      <c r="G152" s="14">
        <f t="shared" si="46"/>
        <v>1.6666666666666666E-2</v>
      </c>
      <c r="H152" s="15">
        <v>152000</v>
      </c>
      <c r="I152" s="15">
        <f t="shared" ref="I152:I183" si="47">H152-(H152*G152*F152)</f>
        <v>152000</v>
      </c>
      <c r="J152" s="16">
        <f>INDICES!M49/INDICES!C46</f>
        <v>1.1325711844573636</v>
      </c>
      <c r="K152" s="15">
        <f t="shared" ref="K152:K183" si="48">+I152*J152</f>
        <v>172150.82003751927</v>
      </c>
      <c r="L152" s="15">
        <v>87000</v>
      </c>
      <c r="M152" s="15">
        <f t="shared" ref="M152:M183" si="49">+L152-K152</f>
        <v>-85150.820037519268</v>
      </c>
      <c r="N152" s="15">
        <f>+N1</f>
        <v>87643.8</v>
      </c>
      <c r="O152" s="15">
        <f t="shared" ref="O152:O183" si="50">+M152-N152</f>
        <v>-172794.62003751926</v>
      </c>
      <c r="P152" s="15">
        <f t="shared" si="45"/>
        <v>0</v>
      </c>
      <c r="Q152" s="40"/>
      <c r="R152" s="38"/>
    </row>
    <row r="153" spans="1:18" x14ac:dyDescent="0.2">
      <c r="A153" s="53">
        <v>148</v>
      </c>
      <c r="B153" s="51"/>
      <c r="C153" s="39"/>
      <c r="D153" s="36"/>
      <c r="E153" s="30"/>
      <c r="F153" s="40">
        <f t="shared" si="37"/>
        <v>0</v>
      </c>
      <c r="G153" s="14">
        <f t="shared" si="46"/>
        <v>1.6666666666666666E-2</v>
      </c>
      <c r="H153" s="15">
        <v>221800</v>
      </c>
      <c r="I153" s="15">
        <f t="shared" si="47"/>
        <v>221800</v>
      </c>
      <c r="J153" s="16">
        <f>INDICES!M49/INDICES!E46</f>
        <v>1.1188143336819509</v>
      </c>
      <c r="K153" s="15">
        <f t="shared" si="48"/>
        <v>248153.01921065673</v>
      </c>
      <c r="L153" s="15">
        <v>134000</v>
      </c>
      <c r="M153" s="15">
        <f t="shared" si="49"/>
        <v>-114153.01921065673</v>
      </c>
      <c r="N153" s="15">
        <f>+N1</f>
        <v>87643.8</v>
      </c>
      <c r="O153" s="15">
        <f t="shared" si="50"/>
        <v>-201796.81921065674</v>
      </c>
      <c r="P153" s="15">
        <f t="shared" si="45"/>
        <v>0</v>
      </c>
      <c r="Q153" s="40"/>
      <c r="R153" s="38"/>
    </row>
    <row r="154" spans="1:18" x14ac:dyDescent="0.2">
      <c r="A154" s="53">
        <v>149</v>
      </c>
      <c r="B154" s="51"/>
      <c r="C154" s="39"/>
      <c r="D154" s="36"/>
      <c r="E154" s="30"/>
      <c r="F154" s="40">
        <f t="shared" si="37"/>
        <v>0</v>
      </c>
      <c r="G154" s="14">
        <f t="shared" si="46"/>
        <v>1.6666666666666666E-2</v>
      </c>
      <c r="H154" s="15">
        <v>430546</v>
      </c>
      <c r="I154" s="15">
        <f t="shared" si="47"/>
        <v>430546</v>
      </c>
      <c r="J154" s="16">
        <f>INDICES!M49/INDICES!L45</f>
        <v>1.1474905436684921</v>
      </c>
      <c r="K154" s="15">
        <f t="shared" si="48"/>
        <v>494047.4636142946</v>
      </c>
      <c r="L154" s="15">
        <v>205000</v>
      </c>
      <c r="M154" s="15">
        <f t="shared" si="49"/>
        <v>-289047.4636142946</v>
      </c>
      <c r="N154" s="15">
        <f>+N1</f>
        <v>87643.8</v>
      </c>
      <c r="O154" s="15">
        <f t="shared" si="50"/>
        <v>-376691.26361429458</v>
      </c>
      <c r="P154" s="15">
        <f t="shared" si="45"/>
        <v>0</v>
      </c>
      <c r="Q154" s="40"/>
      <c r="R154" s="38"/>
    </row>
    <row r="155" spans="1:18" x14ac:dyDescent="0.2">
      <c r="A155" s="53">
        <v>150</v>
      </c>
      <c r="B155" s="51"/>
      <c r="C155" s="39"/>
      <c r="D155" s="36"/>
      <c r="E155" s="30"/>
      <c r="F155" s="40">
        <f t="shared" si="37"/>
        <v>0</v>
      </c>
      <c r="G155" s="14">
        <f t="shared" si="46"/>
        <v>1.6666666666666666E-2</v>
      </c>
      <c r="H155" s="15">
        <v>136900</v>
      </c>
      <c r="I155" s="15">
        <f t="shared" si="47"/>
        <v>136900</v>
      </c>
      <c r="J155" s="16">
        <f>INDICES!M49/INDICES!N46</f>
        <v>1.0936704092979876</v>
      </c>
      <c r="K155" s="15">
        <f t="shared" si="48"/>
        <v>149723.47903289451</v>
      </c>
      <c r="L155" s="15">
        <v>74000</v>
      </c>
      <c r="M155" s="15">
        <f t="shared" si="49"/>
        <v>-75723.479032894509</v>
      </c>
      <c r="N155" s="15">
        <f>+N1</f>
        <v>87643.8</v>
      </c>
      <c r="O155" s="15">
        <f t="shared" si="50"/>
        <v>-163367.27903289453</v>
      </c>
      <c r="P155" s="15">
        <f t="shared" si="45"/>
        <v>0</v>
      </c>
      <c r="Q155" s="40"/>
      <c r="R155" s="38"/>
    </row>
    <row r="156" spans="1:18" x14ac:dyDescent="0.2">
      <c r="A156" s="53">
        <v>151</v>
      </c>
      <c r="B156" s="51"/>
      <c r="C156" s="39"/>
      <c r="D156" s="36"/>
      <c r="E156" s="30"/>
      <c r="F156" s="40">
        <f t="shared" si="37"/>
        <v>0</v>
      </c>
      <c r="G156" s="14">
        <f t="shared" si="46"/>
        <v>1.6666666666666666E-2</v>
      </c>
      <c r="H156" s="15">
        <v>198500</v>
      </c>
      <c r="I156" s="15">
        <f t="shared" si="47"/>
        <v>198500</v>
      </c>
      <c r="J156" s="16">
        <f>INDICES!M49/INDICES!C47</f>
        <v>1.0839784898448959</v>
      </c>
      <c r="K156" s="15">
        <f t="shared" si="48"/>
        <v>215169.73023421183</v>
      </c>
      <c r="L156" s="15">
        <v>275000.01</v>
      </c>
      <c r="M156" s="15">
        <v>122000</v>
      </c>
      <c r="N156" s="15">
        <f>+N1</f>
        <v>87643.8</v>
      </c>
      <c r="O156" s="15">
        <f t="shared" si="50"/>
        <v>34356.199999999997</v>
      </c>
      <c r="P156" s="15">
        <f t="shared" si="45"/>
        <v>6871.24</v>
      </c>
      <c r="Q156" s="40"/>
      <c r="R156" s="38"/>
    </row>
    <row r="157" spans="1:18" x14ac:dyDescent="0.2">
      <c r="A157" s="53">
        <v>152</v>
      </c>
      <c r="B157" s="51"/>
      <c r="C157" s="39"/>
      <c r="D157" s="36"/>
      <c r="E157" s="30"/>
      <c r="F157" s="40">
        <f t="shared" si="37"/>
        <v>0</v>
      </c>
      <c r="G157" s="14">
        <f t="shared" si="46"/>
        <v>1.6666666666666666E-2</v>
      </c>
      <c r="H157" s="15">
        <v>153500</v>
      </c>
      <c r="I157" s="15">
        <f t="shared" si="47"/>
        <v>153500</v>
      </c>
      <c r="J157" s="16">
        <f>INDICES!M49/INDICES!J46</f>
        <v>1.1196771883435244</v>
      </c>
      <c r="K157" s="15">
        <f t="shared" si="48"/>
        <v>171870.44841073098</v>
      </c>
      <c r="L157" s="15">
        <v>82000</v>
      </c>
      <c r="M157" s="15">
        <f t="shared" si="49"/>
        <v>-89870.448410730984</v>
      </c>
      <c r="N157" s="15">
        <f>+N1</f>
        <v>87643.8</v>
      </c>
      <c r="O157" s="15">
        <f t="shared" si="50"/>
        <v>-177514.24841073097</v>
      </c>
      <c r="P157" s="15">
        <f t="shared" si="45"/>
        <v>0</v>
      </c>
      <c r="Q157" s="40"/>
      <c r="R157" s="38"/>
    </row>
    <row r="158" spans="1:18" x14ac:dyDescent="0.2">
      <c r="A158" s="53">
        <v>153</v>
      </c>
      <c r="B158" s="51"/>
      <c r="C158" s="39"/>
      <c r="D158" s="36"/>
      <c r="E158" s="30"/>
      <c r="F158" s="40">
        <f t="shared" si="37"/>
        <v>0</v>
      </c>
      <c r="G158" s="14">
        <f t="shared" si="46"/>
        <v>1.6666666666666666E-2</v>
      </c>
      <c r="H158" s="15">
        <v>161900</v>
      </c>
      <c r="I158" s="15">
        <f t="shared" si="47"/>
        <v>161900</v>
      </c>
      <c r="J158" s="16">
        <f>INDICES!M49/INDICES!M45</f>
        <v>1.1397476635514019</v>
      </c>
      <c r="K158" s="15">
        <f t="shared" si="48"/>
        <v>184525.14672897197</v>
      </c>
      <c r="L158" s="15">
        <v>93000</v>
      </c>
      <c r="M158" s="15">
        <f t="shared" si="49"/>
        <v>-91525.146728971973</v>
      </c>
      <c r="N158" s="15">
        <f>+N1</f>
        <v>87643.8</v>
      </c>
      <c r="O158" s="15">
        <f t="shared" si="50"/>
        <v>-179168.94672897196</v>
      </c>
      <c r="P158" s="15">
        <f t="shared" si="45"/>
        <v>0</v>
      </c>
      <c r="Q158" s="40"/>
      <c r="R158" s="38"/>
    </row>
    <row r="159" spans="1:18" x14ac:dyDescent="0.2">
      <c r="A159" s="53">
        <v>154</v>
      </c>
      <c r="B159" s="51"/>
      <c r="C159" s="39"/>
      <c r="D159" s="36"/>
      <c r="E159" s="30"/>
      <c r="F159" s="40">
        <f t="shared" si="37"/>
        <v>0</v>
      </c>
      <c r="G159" s="14">
        <f t="shared" si="46"/>
        <v>1.6666666666666666E-2</v>
      </c>
      <c r="H159" s="15">
        <v>127515</v>
      </c>
      <c r="I159" s="15">
        <f t="shared" si="47"/>
        <v>127515</v>
      </c>
      <c r="J159" s="16">
        <f>INDICES!M49/INDICES!H47</f>
        <v>1.081891733645606</v>
      </c>
      <c r="K159" s="15">
        <f t="shared" si="48"/>
        <v>137957.42441581943</v>
      </c>
      <c r="L159" s="15">
        <v>92000</v>
      </c>
      <c r="M159" s="15">
        <f t="shared" si="49"/>
        <v>-45957.424415819434</v>
      </c>
      <c r="N159" s="15">
        <f>+N1</f>
        <v>87643.8</v>
      </c>
      <c r="O159" s="15">
        <f t="shared" si="50"/>
        <v>-133601.22441581945</v>
      </c>
      <c r="P159" s="15">
        <f t="shared" si="45"/>
        <v>0</v>
      </c>
      <c r="Q159" s="40"/>
      <c r="R159" s="38"/>
    </row>
    <row r="160" spans="1:18" x14ac:dyDescent="0.2">
      <c r="A160" s="53">
        <v>155</v>
      </c>
      <c r="B160" s="51"/>
      <c r="C160" s="39"/>
      <c r="D160" s="36"/>
      <c r="E160" s="30"/>
      <c r="F160" s="40">
        <f t="shared" si="37"/>
        <v>0</v>
      </c>
      <c r="G160" s="14">
        <f t="shared" si="46"/>
        <v>1.6666666666666666E-2</v>
      </c>
      <c r="H160" s="15">
        <v>195900</v>
      </c>
      <c r="I160" s="15">
        <f t="shared" si="47"/>
        <v>195900</v>
      </c>
      <c r="J160" s="16">
        <f>INDICES!M49/INDICES!F48</f>
        <v>1.0482014697666424</v>
      </c>
      <c r="K160" s="15">
        <f t="shared" si="48"/>
        <v>205342.66792728525</v>
      </c>
      <c r="L160" s="15">
        <v>140500</v>
      </c>
      <c r="M160" s="15">
        <f t="shared" si="49"/>
        <v>-64842.667927285249</v>
      </c>
      <c r="N160" s="15">
        <f>+N1</f>
        <v>87643.8</v>
      </c>
      <c r="O160" s="15">
        <f t="shared" si="50"/>
        <v>-152486.46792728524</v>
      </c>
      <c r="P160" s="15">
        <f t="shared" si="45"/>
        <v>0</v>
      </c>
      <c r="Q160" s="40"/>
      <c r="R160" s="38"/>
    </row>
    <row r="161" spans="1:18" x14ac:dyDescent="0.2">
      <c r="A161" s="53">
        <v>156</v>
      </c>
      <c r="B161" s="51"/>
      <c r="C161" s="39"/>
      <c r="D161" s="36"/>
      <c r="E161" s="30"/>
      <c r="F161" s="40">
        <f t="shared" si="37"/>
        <v>0</v>
      </c>
      <c r="G161" s="14">
        <f t="shared" si="46"/>
        <v>1.6666666666666666E-2</v>
      </c>
      <c r="H161" s="15">
        <v>280000</v>
      </c>
      <c r="I161" s="15">
        <f t="shared" si="47"/>
        <v>280000</v>
      </c>
      <c r="J161" s="16">
        <f>INDICES!M49/INDICES!H33</f>
        <v>1.3650130957444429</v>
      </c>
      <c r="K161" s="15">
        <f t="shared" si="48"/>
        <v>382203.66680844402</v>
      </c>
      <c r="L161" s="15">
        <v>10000</v>
      </c>
      <c r="M161" s="15">
        <f t="shared" si="49"/>
        <v>-372203.66680844402</v>
      </c>
      <c r="N161" s="15">
        <f>+N1</f>
        <v>87643.8</v>
      </c>
      <c r="O161" s="15">
        <f t="shared" si="50"/>
        <v>-459847.46680844401</v>
      </c>
      <c r="P161" s="15">
        <f t="shared" si="45"/>
        <v>0</v>
      </c>
      <c r="Q161" s="40"/>
      <c r="R161" s="38"/>
    </row>
    <row r="162" spans="1:18" x14ac:dyDescent="0.2">
      <c r="A162" s="53">
        <v>157</v>
      </c>
      <c r="B162" s="51"/>
      <c r="C162" s="39"/>
      <c r="D162" s="36"/>
      <c r="E162" s="30"/>
      <c r="F162" s="40">
        <f t="shared" ref="F162:F167" si="51">(E162-D162)/30</f>
        <v>0</v>
      </c>
      <c r="G162" s="14">
        <f t="shared" si="46"/>
        <v>1.6666666666666666E-2</v>
      </c>
      <c r="H162" s="15">
        <v>251000</v>
      </c>
      <c r="I162" s="15">
        <f t="shared" si="47"/>
        <v>251000</v>
      </c>
      <c r="J162" s="16">
        <f>INDICES!M49/INDICES!C48</f>
        <v>1.0517360332545667</v>
      </c>
      <c r="K162" s="15">
        <f t="shared" si="48"/>
        <v>263985.74434689624</v>
      </c>
      <c r="L162" s="15">
        <v>178000</v>
      </c>
      <c r="M162" s="15">
        <f t="shared" si="49"/>
        <v>-85985.744346896245</v>
      </c>
      <c r="N162" s="15">
        <f>+N1</f>
        <v>87643.8</v>
      </c>
      <c r="O162" s="15">
        <f t="shared" si="50"/>
        <v>-173629.54434689623</v>
      </c>
      <c r="P162" s="15">
        <f t="shared" si="45"/>
        <v>0</v>
      </c>
      <c r="Q162" s="40"/>
      <c r="R162" s="38"/>
    </row>
    <row r="163" spans="1:18" x14ac:dyDescent="0.2">
      <c r="A163" s="53">
        <v>158</v>
      </c>
      <c r="B163" s="51"/>
      <c r="C163" s="39"/>
      <c r="D163" s="36"/>
      <c r="E163" s="30"/>
      <c r="F163" s="40">
        <f t="shared" si="51"/>
        <v>0</v>
      </c>
      <c r="G163" s="14">
        <f t="shared" si="46"/>
        <v>1.6666666666666666E-2</v>
      </c>
      <c r="H163" s="15">
        <v>198500</v>
      </c>
      <c r="I163" s="15">
        <f t="shared" si="47"/>
        <v>198500</v>
      </c>
      <c r="J163" s="16">
        <f>INDICES!M49/INDICES!M46</f>
        <v>1.0999440796594271</v>
      </c>
      <c r="K163" s="15">
        <f t="shared" si="48"/>
        <v>218338.89981239627</v>
      </c>
      <c r="L163" s="15">
        <v>123000</v>
      </c>
      <c r="M163" s="15">
        <f t="shared" si="49"/>
        <v>-95338.899812396266</v>
      </c>
      <c r="N163" s="15">
        <f>+N1</f>
        <v>87643.8</v>
      </c>
      <c r="O163" s="15">
        <f t="shared" si="50"/>
        <v>-182982.69981239625</v>
      </c>
      <c r="P163" s="15">
        <f t="shared" si="45"/>
        <v>0</v>
      </c>
      <c r="Q163" s="40"/>
      <c r="R163" s="38"/>
    </row>
    <row r="164" spans="1:18" x14ac:dyDescent="0.2">
      <c r="A164" s="53">
        <v>159</v>
      </c>
      <c r="B164" s="51"/>
      <c r="C164" s="39"/>
      <c r="D164" s="36"/>
      <c r="E164" s="30"/>
      <c r="F164" s="40">
        <f t="shared" si="51"/>
        <v>0</v>
      </c>
      <c r="G164" s="14">
        <f t="shared" si="46"/>
        <v>1.6666666666666666E-2</v>
      </c>
      <c r="H164" s="15">
        <v>152000</v>
      </c>
      <c r="I164" s="15">
        <f>H164-(H164*G164*F164)</f>
        <v>152000</v>
      </c>
      <c r="J164" s="16">
        <f>INDICES!M49/INDICES!C46</f>
        <v>1.1325711844573636</v>
      </c>
      <c r="K164" s="15">
        <f t="shared" si="48"/>
        <v>172150.82003751927</v>
      </c>
      <c r="L164" s="15">
        <v>93000</v>
      </c>
      <c r="M164" s="15">
        <f t="shared" si="49"/>
        <v>-79150.820037519268</v>
      </c>
      <c r="N164" s="15">
        <f>+N1</f>
        <v>87643.8</v>
      </c>
      <c r="O164" s="15">
        <f t="shared" si="50"/>
        <v>-166794.62003751926</v>
      </c>
      <c r="P164" s="15">
        <f t="shared" si="45"/>
        <v>0</v>
      </c>
      <c r="Q164" s="40"/>
      <c r="R164" s="38"/>
    </row>
    <row r="165" spans="1:18" x14ac:dyDescent="0.2">
      <c r="A165" s="53">
        <v>160</v>
      </c>
      <c r="B165" s="51"/>
      <c r="C165" s="39"/>
      <c r="D165" s="36"/>
      <c r="E165" s="30"/>
      <c r="F165" s="40">
        <f t="shared" si="51"/>
        <v>0</v>
      </c>
      <c r="G165" s="14">
        <f t="shared" si="46"/>
        <v>1.6666666666666666E-2</v>
      </c>
      <c r="H165" s="15">
        <v>158000</v>
      </c>
      <c r="I165" s="15">
        <f t="shared" si="47"/>
        <v>158000</v>
      </c>
      <c r="J165" s="16">
        <f>INDICES!M49/INDICES!F47</f>
        <v>1.0803008291403868</v>
      </c>
      <c r="K165" s="15">
        <f t="shared" si="48"/>
        <v>170687.53100418113</v>
      </c>
      <c r="L165" s="15">
        <v>105000</v>
      </c>
      <c r="M165" s="15">
        <f t="shared" si="49"/>
        <v>-65687.531004181132</v>
      </c>
      <c r="N165" s="15">
        <f>+N1</f>
        <v>87643.8</v>
      </c>
      <c r="O165" s="15">
        <f t="shared" si="50"/>
        <v>-153331.33100418112</v>
      </c>
      <c r="P165" s="15">
        <f t="shared" si="45"/>
        <v>0</v>
      </c>
      <c r="Q165" s="40"/>
      <c r="R165" s="38"/>
    </row>
    <row r="166" spans="1:18" x14ac:dyDescent="0.2">
      <c r="A166" s="53">
        <v>161</v>
      </c>
      <c r="B166" s="51"/>
      <c r="C166" s="39"/>
      <c r="D166" s="36"/>
      <c r="E166" s="30"/>
      <c r="F166" s="40">
        <f t="shared" si="51"/>
        <v>0</v>
      </c>
      <c r="G166" s="14">
        <f t="shared" si="46"/>
        <v>1.6666666666666666E-2</v>
      </c>
      <c r="H166" s="15">
        <v>144600</v>
      </c>
      <c r="I166" s="15">
        <f t="shared" si="47"/>
        <v>144600</v>
      </c>
      <c r="J166" s="16">
        <f>INDICES!M49/INDICES!D49</f>
        <v>1.0204844985565458</v>
      </c>
      <c r="K166" s="15">
        <f t="shared" si="48"/>
        <v>147562.05849127652</v>
      </c>
      <c r="L166" s="15">
        <v>110000</v>
      </c>
      <c r="M166" s="15">
        <f t="shared" si="49"/>
        <v>-37562.058491276519</v>
      </c>
      <c r="N166" s="15">
        <f>+N1</f>
        <v>87643.8</v>
      </c>
      <c r="O166" s="15">
        <f t="shared" si="50"/>
        <v>-125205.85849127652</v>
      </c>
      <c r="P166" s="15">
        <f t="shared" si="45"/>
        <v>0</v>
      </c>
      <c r="Q166" s="40"/>
      <c r="R166" s="38"/>
    </row>
    <row r="167" spans="1:18" x14ac:dyDescent="0.2">
      <c r="A167" s="53">
        <v>162</v>
      </c>
      <c r="B167" s="51"/>
      <c r="C167" s="39"/>
      <c r="D167" s="36"/>
      <c r="E167" s="30"/>
      <c r="F167" s="40">
        <f t="shared" si="51"/>
        <v>0</v>
      </c>
      <c r="G167" s="14">
        <f t="shared" si="46"/>
        <v>1.6666666666666666E-2</v>
      </c>
      <c r="H167" s="15">
        <v>192500</v>
      </c>
      <c r="I167" s="15">
        <f t="shared" si="47"/>
        <v>192500</v>
      </c>
      <c r="J167" s="16">
        <f>INDICES!M49/INDICES!J48</f>
        <v>1.0479492665824546</v>
      </c>
      <c r="K167" s="15">
        <f t="shared" si="48"/>
        <v>201730.2338171225</v>
      </c>
      <c r="L167" s="15">
        <v>143000</v>
      </c>
      <c r="M167" s="15">
        <f t="shared" si="49"/>
        <v>-58730.233817122498</v>
      </c>
      <c r="N167" s="15">
        <f>+N1</f>
        <v>87643.8</v>
      </c>
      <c r="O167" s="15">
        <f t="shared" si="50"/>
        <v>-146374.03381712252</v>
      </c>
      <c r="P167" s="15">
        <f t="shared" si="45"/>
        <v>0</v>
      </c>
      <c r="Q167" s="40"/>
      <c r="R167" s="38"/>
    </row>
    <row r="168" spans="1:18" x14ac:dyDescent="0.2">
      <c r="A168" s="53">
        <v>163</v>
      </c>
      <c r="B168" s="51"/>
      <c r="C168" s="39"/>
      <c r="D168" s="36"/>
      <c r="E168" s="30"/>
      <c r="F168" s="40">
        <f t="shared" ref="F168:F184" si="52">(E168-D168)/30</f>
        <v>0</v>
      </c>
      <c r="G168" s="14">
        <f t="shared" si="46"/>
        <v>1.6666666666666666E-2</v>
      </c>
      <c r="H168" s="15">
        <v>243900</v>
      </c>
      <c r="I168" s="15">
        <f t="shared" si="47"/>
        <v>243900</v>
      </c>
      <c r="J168" s="16">
        <f>INDICES!M49/INDICES!E46</f>
        <v>1.1188143336819509</v>
      </c>
      <c r="K168" s="15">
        <f t="shared" si="48"/>
        <v>272878.81598502782</v>
      </c>
      <c r="L168" s="15">
        <v>180000</v>
      </c>
      <c r="M168" s="15">
        <f t="shared" si="49"/>
        <v>-92878.815985027817</v>
      </c>
      <c r="N168" s="15">
        <f>+N1</f>
        <v>87643.8</v>
      </c>
      <c r="O168" s="15">
        <f t="shared" si="50"/>
        <v>-180522.61598502781</v>
      </c>
      <c r="P168" s="15">
        <f t="shared" si="45"/>
        <v>0</v>
      </c>
      <c r="Q168" s="40"/>
      <c r="R168" s="38"/>
    </row>
    <row r="169" spans="1:18" x14ac:dyDescent="0.2">
      <c r="A169" s="53">
        <v>164</v>
      </c>
      <c r="B169" s="51"/>
      <c r="C169" s="39"/>
      <c r="D169" s="36"/>
      <c r="E169" s="30"/>
      <c r="F169" s="40">
        <f t="shared" si="52"/>
        <v>0</v>
      </c>
      <c r="G169" s="14">
        <f t="shared" si="46"/>
        <v>1.6666666666666666E-2</v>
      </c>
      <c r="H169" s="15">
        <v>148100</v>
      </c>
      <c r="I169" s="15">
        <f t="shared" si="47"/>
        <v>148100</v>
      </c>
      <c r="J169" s="16">
        <f>INDICES!M49/INDICES!K47</f>
        <v>1.0703358814804413</v>
      </c>
      <c r="K169" s="15">
        <f t="shared" si="48"/>
        <v>158516.74404725336</v>
      </c>
      <c r="L169" s="15">
        <v>100000</v>
      </c>
      <c r="M169" s="15">
        <f t="shared" si="49"/>
        <v>-58516.744047253364</v>
      </c>
      <c r="N169" s="15">
        <f>+N1</f>
        <v>87643.8</v>
      </c>
      <c r="O169" s="15">
        <f t="shared" si="50"/>
        <v>-146160.54404725338</v>
      </c>
      <c r="P169" s="15">
        <f t="shared" si="45"/>
        <v>0</v>
      </c>
      <c r="Q169" s="40"/>
      <c r="R169" s="38"/>
    </row>
    <row r="170" spans="1:18" x14ac:dyDescent="0.2">
      <c r="A170" s="53">
        <v>165</v>
      </c>
      <c r="B170" s="51"/>
      <c r="C170" s="39"/>
      <c r="D170" s="36"/>
      <c r="E170" s="30"/>
      <c r="F170" s="40">
        <f t="shared" si="52"/>
        <v>0</v>
      </c>
      <c r="G170" s="14">
        <f t="shared" si="46"/>
        <v>1.6666666666666666E-2</v>
      </c>
      <c r="H170" s="15">
        <v>165000</v>
      </c>
      <c r="I170" s="15">
        <f t="shared" si="47"/>
        <v>165000</v>
      </c>
      <c r="J170" s="16">
        <f>INDICES!M49/INDICES!E48</f>
        <v>1.0454876679211638</v>
      </c>
      <c r="K170" s="15">
        <f t="shared" si="48"/>
        <v>172505.46520699203</v>
      </c>
      <c r="L170" s="15">
        <v>110000</v>
      </c>
      <c r="M170" s="15">
        <f t="shared" si="49"/>
        <v>-62505.465206992027</v>
      </c>
      <c r="N170" s="15">
        <f>+N1</f>
        <v>87643.8</v>
      </c>
      <c r="O170" s="15">
        <f t="shared" si="50"/>
        <v>-150149.26520699204</v>
      </c>
      <c r="P170" s="15">
        <f t="shared" si="45"/>
        <v>0</v>
      </c>
      <c r="Q170" s="40"/>
      <c r="R170" s="38"/>
    </row>
    <row r="171" spans="1:18" x14ac:dyDescent="0.2">
      <c r="A171" s="53">
        <v>166</v>
      </c>
      <c r="B171" s="51"/>
      <c r="C171" s="39"/>
      <c r="D171" s="36"/>
      <c r="E171" s="30"/>
      <c r="F171" s="40">
        <f t="shared" si="52"/>
        <v>0</v>
      </c>
      <c r="G171" s="14">
        <f t="shared" si="46"/>
        <v>1.6666666666666666E-2</v>
      </c>
      <c r="H171" s="15">
        <v>122500</v>
      </c>
      <c r="I171" s="15">
        <f t="shared" si="47"/>
        <v>122500</v>
      </c>
      <c r="J171" s="16">
        <f>INDICES!M49/INDICES!C49</f>
        <v>1.0249873928391326</v>
      </c>
      <c r="K171" s="15">
        <f t="shared" si="48"/>
        <v>125560.95562279374</v>
      </c>
      <c r="L171" s="15">
        <v>100000</v>
      </c>
      <c r="M171" s="15">
        <f t="shared" si="49"/>
        <v>-25560.955622793743</v>
      </c>
      <c r="N171" s="15">
        <f>+N1</f>
        <v>87643.8</v>
      </c>
      <c r="O171" s="15">
        <f t="shared" si="50"/>
        <v>-113204.75562279375</v>
      </c>
      <c r="P171" s="15">
        <f t="shared" si="45"/>
        <v>0</v>
      </c>
      <c r="Q171" s="40"/>
      <c r="R171" s="38"/>
    </row>
    <row r="172" spans="1:18" x14ac:dyDescent="0.2">
      <c r="A172" s="53">
        <v>167</v>
      </c>
      <c r="B172" s="51"/>
      <c r="C172" s="39"/>
      <c r="D172" s="36"/>
      <c r="E172" s="30"/>
      <c r="F172" s="40">
        <f t="shared" si="52"/>
        <v>0</v>
      </c>
      <c r="G172" s="14">
        <f t="shared" si="46"/>
        <v>1.6666666666666666E-2</v>
      </c>
      <c r="H172" s="15">
        <v>135475</v>
      </c>
      <c r="I172" s="15">
        <f t="shared" si="47"/>
        <v>135475</v>
      </c>
      <c r="J172" s="16">
        <f>INDICES!M49/INDICES!N44</f>
        <v>1.1777095344323087</v>
      </c>
      <c r="K172" s="15">
        <f t="shared" si="48"/>
        <v>159550.19917721703</v>
      </c>
      <c r="L172" s="15">
        <v>80000</v>
      </c>
      <c r="M172" s="15">
        <f t="shared" si="49"/>
        <v>-79550.19917721703</v>
      </c>
      <c r="N172" s="15">
        <f>+N1</f>
        <v>87643.8</v>
      </c>
      <c r="O172" s="15">
        <f t="shared" si="50"/>
        <v>-167193.99917721702</v>
      </c>
      <c r="P172" s="15">
        <f t="shared" si="45"/>
        <v>0</v>
      </c>
      <c r="Q172" s="40"/>
      <c r="R172" s="38"/>
    </row>
    <row r="173" spans="1:18" x14ac:dyDescent="0.2">
      <c r="A173" s="53">
        <v>168</v>
      </c>
      <c r="B173" s="51"/>
      <c r="C173" s="39"/>
      <c r="D173" s="36"/>
      <c r="E173" s="30"/>
      <c r="F173" s="40">
        <f t="shared" si="52"/>
        <v>0</v>
      </c>
      <c r="G173" s="14">
        <f t="shared" si="46"/>
        <v>1.6666666666666666E-2</v>
      </c>
      <c r="H173" s="15">
        <v>179500</v>
      </c>
      <c r="I173" s="15">
        <f t="shared" si="47"/>
        <v>179500</v>
      </c>
      <c r="J173" s="16">
        <f>INDICES!M49/INDICES!N45</f>
        <v>1.1371333196576097</v>
      </c>
      <c r="K173" s="15">
        <f t="shared" si="48"/>
        <v>204115.43087854094</v>
      </c>
      <c r="L173" s="15">
        <v>105000</v>
      </c>
      <c r="M173" s="15">
        <f t="shared" si="49"/>
        <v>-99115.430878540938</v>
      </c>
      <c r="N173" s="15">
        <f>+N1</f>
        <v>87643.8</v>
      </c>
      <c r="O173" s="15">
        <f t="shared" si="50"/>
        <v>-186759.23087854096</v>
      </c>
      <c r="P173" s="15">
        <f t="shared" si="45"/>
        <v>0</v>
      </c>
      <c r="Q173" s="40"/>
      <c r="R173" s="38"/>
    </row>
    <row r="174" spans="1:18" x14ac:dyDescent="0.2">
      <c r="A174" s="53">
        <v>169</v>
      </c>
      <c r="B174" s="51"/>
      <c r="C174" s="39"/>
      <c r="D174" s="36"/>
      <c r="E174" s="30"/>
      <c r="F174" s="40">
        <f t="shared" si="52"/>
        <v>0</v>
      </c>
      <c r="G174" s="14">
        <f t="shared" si="46"/>
        <v>1.6666666666666666E-2</v>
      </c>
      <c r="H174" s="15">
        <v>218900</v>
      </c>
      <c r="I174" s="15">
        <f t="shared" si="47"/>
        <v>218900</v>
      </c>
      <c r="J174" s="16">
        <f>INDICES!M49/INDICES!N46</f>
        <v>1.0936704092979876</v>
      </c>
      <c r="K174" s="15">
        <f t="shared" si="48"/>
        <v>239404.45259532949</v>
      </c>
      <c r="L174" s="15">
        <v>125000</v>
      </c>
      <c r="M174" s="15">
        <f>+L174-K174</f>
        <v>-114404.45259532949</v>
      </c>
      <c r="N174" s="15">
        <f>+N1</f>
        <v>87643.8</v>
      </c>
      <c r="O174" s="15">
        <f t="shared" si="50"/>
        <v>-202048.25259532948</v>
      </c>
      <c r="P174" s="15">
        <f t="shared" si="45"/>
        <v>0</v>
      </c>
      <c r="Q174" s="40"/>
      <c r="R174" s="38"/>
    </row>
    <row r="175" spans="1:18" x14ac:dyDescent="0.2">
      <c r="A175" s="53">
        <v>170</v>
      </c>
      <c r="B175" s="51"/>
      <c r="C175" s="39"/>
      <c r="D175" s="36"/>
      <c r="E175" s="30"/>
      <c r="F175" s="40">
        <f t="shared" si="52"/>
        <v>0</v>
      </c>
      <c r="G175" s="14">
        <f t="shared" si="46"/>
        <v>1.6666666666666666E-2</v>
      </c>
      <c r="H175" s="15">
        <v>259900</v>
      </c>
      <c r="I175" s="15">
        <f t="shared" si="47"/>
        <v>259900</v>
      </c>
      <c r="J175" s="16">
        <f>INDICES!M49/INDICES!L46</f>
        <v>1.1101977277692812</v>
      </c>
      <c r="K175" s="15">
        <f t="shared" si="48"/>
        <v>288540.3894472362</v>
      </c>
      <c r="L175" s="15">
        <v>142000</v>
      </c>
      <c r="M175" s="15">
        <f t="shared" si="49"/>
        <v>-146540.3894472362</v>
      </c>
      <c r="N175" s="15">
        <f>+N1</f>
        <v>87643.8</v>
      </c>
      <c r="O175" s="15">
        <f t="shared" si="50"/>
        <v>-234184.18944723619</v>
      </c>
      <c r="P175" s="15">
        <f t="shared" si="45"/>
        <v>0</v>
      </c>
      <c r="Q175" s="40"/>
      <c r="R175" s="38"/>
    </row>
    <row r="176" spans="1:18" x14ac:dyDescent="0.2">
      <c r="A176" s="53">
        <v>171</v>
      </c>
      <c r="B176" s="51"/>
      <c r="C176" s="39"/>
      <c r="D176" s="36"/>
      <c r="E176" s="30"/>
      <c r="F176" s="40">
        <f t="shared" si="52"/>
        <v>0</v>
      </c>
      <c r="G176" s="14">
        <f t="shared" si="46"/>
        <v>1.6666666666666666E-2</v>
      </c>
      <c r="H176" s="15">
        <v>116300</v>
      </c>
      <c r="I176" s="15">
        <f t="shared" si="47"/>
        <v>116300</v>
      </c>
      <c r="J176" s="16">
        <f>INDICES!M49/INDICES!C47</f>
        <v>1.0839784898448959</v>
      </c>
      <c r="K176" s="15">
        <f t="shared" si="48"/>
        <v>126066.69836896138</v>
      </c>
      <c r="L176" s="15">
        <v>72000</v>
      </c>
      <c r="M176" s="15">
        <f t="shared" si="49"/>
        <v>-54066.698368961384</v>
      </c>
      <c r="N176" s="15">
        <f>+N1</f>
        <v>87643.8</v>
      </c>
      <c r="O176" s="15">
        <f t="shared" si="50"/>
        <v>-141710.49836896139</v>
      </c>
      <c r="P176" s="15">
        <f t="shared" si="45"/>
        <v>0</v>
      </c>
      <c r="Q176" s="40"/>
      <c r="R176" s="38"/>
    </row>
    <row r="177" spans="1:18" x14ac:dyDescent="0.2">
      <c r="A177" s="53">
        <v>172</v>
      </c>
      <c r="B177" s="51"/>
      <c r="C177" s="39"/>
      <c r="D177" s="36"/>
      <c r="E177" s="30"/>
      <c r="F177" s="40">
        <f t="shared" si="52"/>
        <v>0</v>
      </c>
      <c r="G177" s="14">
        <f t="shared" si="46"/>
        <v>1.6666666666666666E-2</v>
      </c>
      <c r="H177" s="15">
        <v>310282</v>
      </c>
      <c r="I177" s="15">
        <f t="shared" si="47"/>
        <v>310282</v>
      </c>
      <c r="J177" s="16">
        <f>INDICES!M49/INDICES!K46</f>
        <v>1.1154781940582468</v>
      </c>
      <c r="K177" s="15">
        <f t="shared" si="48"/>
        <v>346112.80500878091</v>
      </c>
      <c r="L177" s="15">
        <v>160000</v>
      </c>
      <c r="M177" s="15">
        <f t="shared" si="49"/>
        <v>-186112.80500878091</v>
      </c>
      <c r="N177" s="15">
        <f>+N1</f>
        <v>87643.8</v>
      </c>
      <c r="O177" s="15">
        <f t="shared" si="50"/>
        <v>-273756.6050087809</v>
      </c>
      <c r="P177" s="15">
        <f t="shared" si="45"/>
        <v>0</v>
      </c>
      <c r="Q177" s="40"/>
      <c r="R177" s="38"/>
    </row>
    <row r="178" spans="1:18" x14ac:dyDescent="0.2">
      <c r="A178" s="53">
        <v>173</v>
      </c>
      <c r="B178" s="51"/>
      <c r="C178" s="39"/>
      <c r="D178" s="36"/>
      <c r="E178" s="30"/>
      <c r="F178" s="40">
        <f t="shared" si="52"/>
        <v>0</v>
      </c>
      <c r="G178" s="14">
        <f t="shared" si="46"/>
        <v>1.6666666666666666E-2</v>
      </c>
      <c r="H178" s="15">
        <v>166700</v>
      </c>
      <c r="I178" s="15">
        <f t="shared" si="47"/>
        <v>166700</v>
      </c>
      <c r="J178" s="16">
        <f>INDICES!M49/INDICES!M49</f>
        <v>1</v>
      </c>
      <c r="K178" s="15">
        <f t="shared" si="48"/>
        <v>166700</v>
      </c>
      <c r="L178" s="15">
        <v>155000</v>
      </c>
      <c r="M178" s="15">
        <f t="shared" si="49"/>
        <v>-11700</v>
      </c>
      <c r="N178" s="15">
        <f>+N1</f>
        <v>87643.8</v>
      </c>
      <c r="O178" s="15">
        <f t="shared" si="50"/>
        <v>-99343.8</v>
      </c>
      <c r="P178" s="15">
        <f t="shared" si="45"/>
        <v>0</v>
      </c>
      <c r="Q178" s="40"/>
      <c r="R178" s="38"/>
    </row>
    <row r="179" spans="1:18" x14ac:dyDescent="0.2">
      <c r="A179" s="53">
        <v>174</v>
      </c>
      <c r="B179" s="51"/>
      <c r="C179" s="39"/>
      <c r="D179" s="36"/>
      <c r="E179" s="30"/>
      <c r="F179" s="40">
        <f t="shared" si="52"/>
        <v>0</v>
      </c>
      <c r="G179" s="14">
        <f t="shared" si="46"/>
        <v>1.6666666666666666E-2</v>
      </c>
      <c r="H179" s="15">
        <v>169400</v>
      </c>
      <c r="I179" s="15">
        <f t="shared" si="47"/>
        <v>169400</v>
      </c>
      <c r="J179" s="16">
        <f>INDICES!M49/INDICES!L47</f>
        <v>1.0644502439577896</v>
      </c>
      <c r="K179" s="15">
        <f t="shared" si="48"/>
        <v>180317.87132644956</v>
      </c>
      <c r="L179" s="15">
        <v>127000</v>
      </c>
      <c r="M179" s="15">
        <f t="shared" si="49"/>
        <v>-53317.87132644956</v>
      </c>
      <c r="N179" s="15">
        <f>+N1</f>
        <v>87643.8</v>
      </c>
      <c r="O179" s="15">
        <f t="shared" si="50"/>
        <v>-140961.67132644955</v>
      </c>
      <c r="P179" s="15">
        <f t="shared" si="45"/>
        <v>0</v>
      </c>
      <c r="Q179" s="40"/>
      <c r="R179" s="38"/>
    </row>
    <row r="180" spans="1:18" x14ac:dyDescent="0.2">
      <c r="A180" s="53">
        <v>175</v>
      </c>
      <c r="B180" s="51"/>
      <c r="C180" s="39"/>
      <c r="D180" s="36"/>
      <c r="E180" s="30"/>
      <c r="F180" s="40">
        <f t="shared" si="52"/>
        <v>0</v>
      </c>
      <c r="G180" s="14">
        <f t="shared" si="46"/>
        <v>1.6666666666666666E-2</v>
      </c>
      <c r="H180" s="15">
        <v>333500</v>
      </c>
      <c r="I180" s="15">
        <f t="shared" si="47"/>
        <v>333500</v>
      </c>
      <c r="J180" s="16">
        <f>INDICES!M49/INDICES!J44</f>
        <v>1.2112932061978545</v>
      </c>
      <c r="K180" s="15">
        <f t="shared" si="48"/>
        <v>403966.2842669845</v>
      </c>
      <c r="L180" s="15">
        <v>152000</v>
      </c>
      <c r="M180" s="15">
        <f t="shared" si="49"/>
        <v>-251966.2842669845</v>
      </c>
      <c r="N180" s="15">
        <f>+N1</f>
        <v>87643.8</v>
      </c>
      <c r="O180" s="15">
        <f t="shared" si="50"/>
        <v>-339610.08426698449</v>
      </c>
      <c r="P180" s="15">
        <f t="shared" si="45"/>
        <v>0</v>
      </c>
      <c r="Q180" s="40"/>
      <c r="R180" s="38"/>
    </row>
    <row r="181" spans="1:18" x14ac:dyDescent="0.2">
      <c r="A181" s="53">
        <v>176</v>
      </c>
      <c r="B181" s="51"/>
      <c r="C181" s="39"/>
      <c r="D181" s="36"/>
      <c r="E181" s="30"/>
      <c r="F181" s="40">
        <f t="shared" si="52"/>
        <v>0</v>
      </c>
      <c r="G181" s="14">
        <f t="shared" si="46"/>
        <v>1.6666666666666666E-2</v>
      </c>
      <c r="H181" s="15">
        <v>229434</v>
      </c>
      <c r="I181" s="15">
        <f t="shared" si="47"/>
        <v>229434</v>
      </c>
      <c r="J181" s="16">
        <f>INDICES!M49/INDICES!I46</f>
        <v>1.1228627461812557</v>
      </c>
      <c r="K181" s="15">
        <f t="shared" si="48"/>
        <v>257622.89130735022</v>
      </c>
      <c r="L181" s="15">
        <v>142000</v>
      </c>
      <c r="M181" s="15">
        <f t="shared" si="49"/>
        <v>-115622.89130735022</v>
      </c>
      <c r="N181" s="15">
        <f>+N1</f>
        <v>87643.8</v>
      </c>
      <c r="O181" s="15">
        <f t="shared" si="50"/>
        <v>-203266.69130735024</v>
      </c>
      <c r="P181" s="15">
        <f t="shared" si="45"/>
        <v>0</v>
      </c>
      <c r="Q181" s="40"/>
      <c r="R181" s="38"/>
    </row>
    <row r="182" spans="1:18" x14ac:dyDescent="0.2">
      <c r="A182" s="53">
        <v>177</v>
      </c>
      <c r="B182" s="51"/>
      <c r="C182" s="39"/>
      <c r="D182" s="36"/>
      <c r="E182" s="30"/>
      <c r="F182" s="40">
        <f t="shared" si="52"/>
        <v>0</v>
      </c>
      <c r="G182" s="14">
        <f t="shared" si="46"/>
        <v>1.6666666666666666E-2</v>
      </c>
      <c r="H182" s="15">
        <v>160000</v>
      </c>
      <c r="I182" s="15">
        <f t="shared" si="47"/>
        <v>160000</v>
      </c>
      <c r="J182" s="16">
        <f>INDICES!M49/INDICES!N48</f>
        <v>1.0288614045152364</v>
      </c>
      <c r="K182" s="15">
        <f t="shared" si="48"/>
        <v>164617.82472243783</v>
      </c>
      <c r="L182" s="15">
        <v>110000</v>
      </c>
      <c r="M182" s="15">
        <f t="shared" si="49"/>
        <v>-54617.824722437828</v>
      </c>
      <c r="N182" s="15">
        <f>+N1</f>
        <v>87643.8</v>
      </c>
      <c r="O182" s="15">
        <f t="shared" si="50"/>
        <v>-142261.62472243782</v>
      </c>
      <c r="P182" s="15">
        <f t="shared" si="45"/>
        <v>0</v>
      </c>
      <c r="Q182" s="40"/>
      <c r="R182" s="38"/>
    </row>
    <row r="183" spans="1:18" x14ac:dyDescent="0.2">
      <c r="A183" s="53">
        <v>178</v>
      </c>
      <c r="B183" s="51"/>
      <c r="C183" s="39"/>
      <c r="D183" s="36"/>
      <c r="E183" s="30"/>
      <c r="F183" s="40">
        <f t="shared" si="52"/>
        <v>0</v>
      </c>
      <c r="G183" s="14">
        <f t="shared" si="46"/>
        <v>1.6666666666666666E-2</v>
      </c>
      <c r="H183" s="15">
        <v>160500</v>
      </c>
      <c r="I183" s="15">
        <f t="shared" si="47"/>
        <v>160500</v>
      </c>
      <c r="J183" s="16">
        <f>INDICES!M49/INDICES!D47</f>
        <v>1.0812394715843603</v>
      </c>
      <c r="K183" s="15">
        <f t="shared" si="48"/>
        <v>173538.93518928983</v>
      </c>
      <c r="L183" s="15">
        <v>101000</v>
      </c>
      <c r="M183" s="15">
        <f t="shared" si="49"/>
        <v>-72538.935189289827</v>
      </c>
      <c r="N183" s="15">
        <f>+N1</f>
        <v>87643.8</v>
      </c>
      <c r="O183" s="15">
        <f t="shared" si="50"/>
        <v>-160182.73518928984</v>
      </c>
      <c r="P183" s="15">
        <f t="shared" si="45"/>
        <v>0</v>
      </c>
      <c r="Q183" s="40"/>
      <c r="R183" s="38"/>
    </row>
    <row r="184" spans="1:18" x14ac:dyDescent="0.2">
      <c r="A184" s="53">
        <v>179</v>
      </c>
      <c r="B184" s="51"/>
      <c r="C184" s="39"/>
      <c r="D184" s="36"/>
      <c r="E184" s="30"/>
      <c r="F184" s="40">
        <f t="shared" si="52"/>
        <v>0</v>
      </c>
      <c r="G184" s="14">
        <f t="shared" si="46"/>
        <v>1.6666666666666666E-2</v>
      </c>
      <c r="H184" s="15">
        <v>122500</v>
      </c>
      <c r="I184" s="15">
        <f t="shared" ref="I184:I204" si="53">H184-(H184*G184*F184)</f>
        <v>122500</v>
      </c>
      <c r="J184" s="16">
        <f>INDICES!M49/INDICES!N44</f>
        <v>1.1777095344323087</v>
      </c>
      <c r="K184" s="15">
        <f t="shared" ref="K184:K204" si="54">+I184*J184</f>
        <v>144269.41796795782</v>
      </c>
      <c r="L184" s="15">
        <v>68000</v>
      </c>
      <c r="M184" s="15">
        <f t="shared" ref="M184:M204" si="55">+L184-K184</f>
        <v>-76269.417967957823</v>
      </c>
      <c r="N184" s="15">
        <f>+N1</f>
        <v>87643.8</v>
      </c>
      <c r="O184" s="15">
        <f t="shared" ref="O184:O204" si="56">+M184-N184</f>
        <v>-163913.21796795784</v>
      </c>
      <c r="P184" s="15">
        <f t="shared" si="45"/>
        <v>0</v>
      </c>
      <c r="Q184" s="40"/>
      <c r="R184" s="38"/>
    </row>
    <row r="185" spans="1:18" x14ac:dyDescent="0.2">
      <c r="A185" s="53">
        <v>180</v>
      </c>
      <c r="B185" s="51"/>
      <c r="C185" s="39"/>
      <c r="D185" s="36"/>
      <c r="E185" s="30"/>
      <c r="F185" s="40">
        <f t="shared" ref="F185:F204" si="57">(E185-D185)/30</f>
        <v>0</v>
      </c>
      <c r="G185" s="14">
        <f t="shared" si="46"/>
        <v>1.6666666666666666E-2</v>
      </c>
      <c r="H185" s="15">
        <v>302200</v>
      </c>
      <c r="I185" s="15">
        <f t="shared" si="53"/>
        <v>302200</v>
      </c>
      <c r="J185" s="16">
        <f>INDICES!M49/INDICES!K47</f>
        <v>1.0703358814804413</v>
      </c>
      <c r="K185" s="15">
        <f t="shared" si="54"/>
        <v>323455.50338338938</v>
      </c>
      <c r="L185" s="15">
        <v>195000</v>
      </c>
      <c r="M185" s="15">
        <f t="shared" si="55"/>
        <v>-128455.50338338938</v>
      </c>
      <c r="N185" s="15">
        <f>+N1</f>
        <v>87643.8</v>
      </c>
      <c r="O185" s="15">
        <f t="shared" si="56"/>
        <v>-216099.30338338937</v>
      </c>
      <c r="P185" s="15">
        <f t="shared" si="45"/>
        <v>0</v>
      </c>
      <c r="Q185" s="40"/>
      <c r="R185" s="38"/>
    </row>
    <row r="186" spans="1:18" x14ac:dyDescent="0.2">
      <c r="A186" s="53">
        <v>181</v>
      </c>
      <c r="B186" s="51"/>
      <c r="C186" s="39"/>
      <c r="D186" s="36"/>
      <c r="E186" s="30"/>
      <c r="F186" s="40">
        <f t="shared" si="57"/>
        <v>0</v>
      </c>
      <c r="G186" s="14">
        <f t="shared" si="46"/>
        <v>1.6666666666666666E-2</v>
      </c>
      <c r="H186" s="15">
        <v>310200</v>
      </c>
      <c r="I186" s="15">
        <f t="shared" si="53"/>
        <v>310200</v>
      </c>
      <c r="J186" s="16">
        <f>INDICES!M49/INDICES!H47</f>
        <v>1.081891733645606</v>
      </c>
      <c r="K186" s="15">
        <f t="shared" si="54"/>
        <v>335602.81577686698</v>
      </c>
      <c r="L186" s="15">
        <v>210000</v>
      </c>
      <c r="M186" s="15">
        <f t="shared" si="55"/>
        <v>-125602.81577686698</v>
      </c>
      <c r="N186" s="15">
        <f>+N1</f>
        <v>87643.8</v>
      </c>
      <c r="O186" s="15">
        <f t="shared" si="56"/>
        <v>-213246.61577686697</v>
      </c>
      <c r="P186" s="15">
        <f t="shared" si="45"/>
        <v>0</v>
      </c>
      <c r="Q186" s="40"/>
      <c r="R186" s="38"/>
    </row>
    <row r="187" spans="1:18" x14ac:dyDescent="0.2">
      <c r="A187" s="53">
        <v>182</v>
      </c>
      <c r="B187" s="51"/>
      <c r="C187" s="39"/>
      <c r="D187" s="36"/>
      <c r="E187" s="30"/>
      <c r="F187" s="40">
        <f t="shared" si="57"/>
        <v>0</v>
      </c>
      <c r="G187" s="14">
        <f t="shared" si="46"/>
        <v>1.6666666666666666E-2</v>
      </c>
      <c r="H187" s="15">
        <v>152800</v>
      </c>
      <c r="I187" s="15">
        <f t="shared" si="53"/>
        <v>152800</v>
      </c>
      <c r="J187" s="16">
        <f>INDICES!M49/INDICES!D46</f>
        <v>1.1270238799349401</v>
      </c>
      <c r="K187" s="15">
        <f t="shared" si="54"/>
        <v>172209.24885405885</v>
      </c>
      <c r="L187" s="15">
        <v>92000</v>
      </c>
      <c r="M187" s="15">
        <f t="shared" si="55"/>
        <v>-80209.248854058853</v>
      </c>
      <c r="N187" s="15">
        <f>+N1</f>
        <v>87643.8</v>
      </c>
      <c r="O187" s="15">
        <f t="shared" si="56"/>
        <v>-167853.04885405884</v>
      </c>
      <c r="P187" s="15">
        <f t="shared" si="45"/>
        <v>0</v>
      </c>
      <c r="Q187" s="40"/>
      <c r="R187" s="38"/>
    </row>
    <row r="188" spans="1:18" x14ac:dyDescent="0.2">
      <c r="A188" s="53">
        <v>183</v>
      </c>
      <c r="B188" s="51"/>
      <c r="C188" s="39"/>
      <c r="D188" s="36"/>
      <c r="E188" s="30"/>
      <c r="F188" s="40">
        <f t="shared" si="57"/>
        <v>0</v>
      </c>
      <c r="G188" s="14">
        <f t="shared" si="46"/>
        <v>1.6666666666666666E-2</v>
      </c>
      <c r="H188" s="15">
        <v>160900</v>
      </c>
      <c r="I188" s="15">
        <f t="shared" si="53"/>
        <v>160900</v>
      </c>
      <c r="J188" s="16">
        <f>INDICES!M49/INDICES!N47</f>
        <v>1.0507845147726589</v>
      </c>
      <c r="K188" s="15">
        <f t="shared" si="54"/>
        <v>169071.2284269208</v>
      </c>
      <c r="L188" s="15">
        <v>110000</v>
      </c>
      <c r="M188" s="15">
        <f t="shared" si="55"/>
        <v>-59071.228426920803</v>
      </c>
      <c r="N188" s="15">
        <f>+N1</f>
        <v>87643.8</v>
      </c>
      <c r="O188" s="15">
        <f t="shared" si="56"/>
        <v>-146715.02842692082</v>
      </c>
      <c r="P188" s="15">
        <f t="shared" si="45"/>
        <v>0</v>
      </c>
      <c r="Q188" s="40"/>
      <c r="R188" s="38"/>
    </row>
    <row r="189" spans="1:18" x14ac:dyDescent="0.2">
      <c r="A189" s="53">
        <v>184</v>
      </c>
      <c r="B189" s="51"/>
      <c r="C189" s="39"/>
      <c r="D189" s="36"/>
      <c r="E189" s="30"/>
      <c r="F189" s="40">
        <f t="shared" si="57"/>
        <v>0</v>
      </c>
      <c r="G189" s="14">
        <f t="shared" si="46"/>
        <v>1.6666666666666666E-2</v>
      </c>
      <c r="H189" s="15">
        <v>229900</v>
      </c>
      <c r="I189" s="15">
        <f t="shared" si="53"/>
        <v>229900</v>
      </c>
      <c r="J189" s="16">
        <f>INDICES!M49/INDICES!H46</f>
        <v>1.1224906806571864</v>
      </c>
      <c r="K189" s="15">
        <f t="shared" si="54"/>
        <v>258060.60748308714</v>
      </c>
      <c r="L189" s="15">
        <v>145000</v>
      </c>
      <c r="M189" s="15">
        <f t="shared" si="55"/>
        <v>-113060.60748308714</v>
      </c>
      <c r="N189" s="15">
        <f>+N1</f>
        <v>87643.8</v>
      </c>
      <c r="O189" s="15">
        <f t="shared" si="56"/>
        <v>-200704.40748308715</v>
      </c>
      <c r="P189" s="15">
        <f t="shared" si="45"/>
        <v>0</v>
      </c>
      <c r="Q189" s="40"/>
      <c r="R189" s="38"/>
    </row>
    <row r="190" spans="1:18" x14ac:dyDescent="0.2">
      <c r="A190" s="53">
        <v>185</v>
      </c>
      <c r="B190" s="51"/>
      <c r="C190" s="87"/>
      <c r="D190" s="36"/>
      <c r="E190" s="30"/>
      <c r="F190" s="40">
        <f t="shared" si="57"/>
        <v>0</v>
      </c>
      <c r="G190" s="14">
        <f t="shared" si="46"/>
        <v>1.6666666666666666E-2</v>
      </c>
      <c r="H190" s="15">
        <v>144000</v>
      </c>
      <c r="I190" s="15">
        <f t="shared" si="53"/>
        <v>144000</v>
      </c>
      <c r="J190" s="16">
        <f>INDICES!M49/INDICES!D47</f>
        <v>1.0812394715843603</v>
      </c>
      <c r="K190" s="15">
        <f t="shared" si="54"/>
        <v>155698.48390814787</v>
      </c>
      <c r="L190" s="15">
        <v>79000</v>
      </c>
      <c r="M190" s="15">
        <f t="shared" si="55"/>
        <v>-76698.483908147871</v>
      </c>
      <c r="N190" s="15">
        <f>+N1</f>
        <v>87643.8</v>
      </c>
      <c r="O190" s="15">
        <f t="shared" si="56"/>
        <v>-164342.28390814789</v>
      </c>
      <c r="P190" s="15">
        <f t="shared" si="45"/>
        <v>0</v>
      </c>
      <c r="Q190" s="40"/>
      <c r="R190" s="38"/>
    </row>
    <row r="191" spans="1:18" x14ac:dyDescent="0.2">
      <c r="A191" s="53">
        <v>186</v>
      </c>
      <c r="B191" s="51"/>
      <c r="C191" s="39"/>
      <c r="D191" s="36"/>
      <c r="E191" s="30"/>
      <c r="F191" s="40">
        <f t="shared" si="57"/>
        <v>0</v>
      </c>
      <c r="G191" s="14">
        <f t="shared" si="46"/>
        <v>1.6666666666666666E-2</v>
      </c>
      <c r="H191" s="15">
        <v>128800</v>
      </c>
      <c r="I191" s="15">
        <f t="shared" si="53"/>
        <v>128800</v>
      </c>
      <c r="J191" s="16">
        <f>INDICES!M49/INDICES!E49</f>
        <v>1.0189837985979395</v>
      </c>
      <c r="K191" s="15">
        <f t="shared" si="54"/>
        <v>131245.11325941462</v>
      </c>
      <c r="L191" s="15">
        <v>100000</v>
      </c>
      <c r="M191" s="15">
        <f t="shared" si="55"/>
        <v>-31245.113259414618</v>
      </c>
      <c r="N191" s="15">
        <f>+N1</f>
        <v>87643.8</v>
      </c>
      <c r="O191" s="15">
        <f t="shared" si="56"/>
        <v>-118888.91325941462</v>
      </c>
      <c r="P191" s="15">
        <f t="shared" si="45"/>
        <v>0</v>
      </c>
      <c r="Q191" s="40"/>
      <c r="R191" s="38"/>
    </row>
    <row r="192" spans="1:18" x14ac:dyDescent="0.2">
      <c r="A192" s="53">
        <v>187</v>
      </c>
      <c r="B192" s="51"/>
      <c r="C192" s="39"/>
      <c r="D192" s="36"/>
      <c r="E192" s="30"/>
      <c r="F192" s="40">
        <f t="shared" si="57"/>
        <v>0</v>
      </c>
      <c r="G192" s="14">
        <f t="shared" si="46"/>
        <v>1.6666666666666666E-2</v>
      </c>
      <c r="H192" s="15">
        <v>285500</v>
      </c>
      <c r="I192" s="15">
        <f t="shared" si="53"/>
        <v>285500</v>
      </c>
      <c r="J192" s="16">
        <f>INDICES!M49/INDICES!L47</f>
        <v>1.0644502439577896</v>
      </c>
      <c r="K192" s="15">
        <f t="shared" si="54"/>
        <v>303900.54464994895</v>
      </c>
      <c r="L192" s="15">
        <v>212000</v>
      </c>
      <c r="M192" s="15">
        <f t="shared" si="55"/>
        <v>-91900.544649948948</v>
      </c>
      <c r="N192" s="15">
        <f>+N1</f>
        <v>87643.8</v>
      </c>
      <c r="O192" s="15">
        <f t="shared" si="56"/>
        <v>-179544.34464994894</v>
      </c>
      <c r="P192" s="15">
        <f t="shared" si="45"/>
        <v>0</v>
      </c>
      <c r="Q192" s="40"/>
      <c r="R192" s="38"/>
    </row>
    <row r="193" spans="1:18" x14ac:dyDescent="0.2">
      <c r="A193" s="53">
        <v>188</v>
      </c>
      <c r="B193" s="51"/>
      <c r="C193" s="39"/>
      <c r="D193" s="36"/>
      <c r="E193" s="30"/>
      <c r="F193" s="40">
        <f t="shared" si="57"/>
        <v>0</v>
      </c>
      <c r="G193" s="14">
        <f t="shared" si="46"/>
        <v>1.6666666666666666E-2</v>
      </c>
      <c r="H193" s="15">
        <v>137500</v>
      </c>
      <c r="I193" s="15">
        <f t="shared" si="53"/>
        <v>137500</v>
      </c>
      <c r="J193" s="16">
        <f>+INDICES!L47/INDICES!G45</f>
        <v>1.10269588735214</v>
      </c>
      <c r="K193" s="15">
        <f t="shared" si="54"/>
        <v>151620.68451091924</v>
      </c>
      <c r="L193" s="15">
        <v>85000</v>
      </c>
      <c r="M193" s="15">
        <f t="shared" si="55"/>
        <v>-66620.684510919236</v>
      </c>
      <c r="N193" s="15">
        <f>+N1</f>
        <v>87643.8</v>
      </c>
      <c r="O193" s="15">
        <f t="shared" si="56"/>
        <v>-154264.48451091925</v>
      </c>
      <c r="P193" s="15">
        <f t="shared" si="45"/>
        <v>0</v>
      </c>
      <c r="Q193" s="40"/>
      <c r="R193" s="38"/>
    </row>
    <row r="194" spans="1:18" x14ac:dyDescent="0.2">
      <c r="A194" s="53">
        <v>189</v>
      </c>
      <c r="B194" s="51"/>
      <c r="C194" s="39"/>
      <c r="D194" s="36"/>
      <c r="E194" s="30"/>
      <c r="F194" s="40">
        <f t="shared" si="57"/>
        <v>0</v>
      </c>
      <c r="G194" s="14">
        <f t="shared" si="46"/>
        <v>1.6666666666666666E-2</v>
      </c>
      <c r="H194" s="15">
        <v>169500</v>
      </c>
      <c r="I194" s="15">
        <f t="shared" si="53"/>
        <v>169500</v>
      </c>
      <c r="J194" s="16">
        <f>+INDICES!L47/INDICES!J46</f>
        <v>1.0518830679961071</v>
      </c>
      <c r="K194" s="15">
        <f t="shared" si="54"/>
        <v>178294.18002534015</v>
      </c>
      <c r="L194" s="15">
        <v>115000</v>
      </c>
      <c r="M194" s="15">
        <f t="shared" si="55"/>
        <v>-63294.180025340145</v>
      </c>
      <c r="N194" s="15">
        <f>+N1</f>
        <v>87643.8</v>
      </c>
      <c r="O194" s="15">
        <f t="shared" si="56"/>
        <v>-150937.98002534016</v>
      </c>
      <c r="P194" s="15">
        <f t="shared" si="45"/>
        <v>0</v>
      </c>
      <c r="Q194" s="40"/>
      <c r="R194" s="38"/>
    </row>
    <row r="195" spans="1:18" x14ac:dyDescent="0.2">
      <c r="A195" s="53">
        <v>190</v>
      </c>
      <c r="B195" s="51"/>
      <c r="C195" s="39"/>
      <c r="D195" s="36"/>
      <c r="E195" s="30"/>
      <c r="F195" s="40">
        <f t="shared" si="57"/>
        <v>0</v>
      </c>
      <c r="G195" s="14">
        <f t="shared" si="46"/>
        <v>1.6666666666666666E-2</v>
      </c>
      <c r="H195" s="15">
        <v>283229</v>
      </c>
      <c r="I195" s="15">
        <f t="shared" si="53"/>
        <v>283229</v>
      </c>
      <c r="J195" s="16">
        <f>+INDICES!L47/INDICES!F41</f>
        <v>1.3007323685487973</v>
      </c>
      <c r="K195" s="15">
        <f t="shared" si="54"/>
        <v>368405.12801170727</v>
      </c>
      <c r="L195" s="15">
        <v>105000</v>
      </c>
      <c r="M195" s="15">
        <f t="shared" si="55"/>
        <v>-263405.12801170727</v>
      </c>
      <c r="N195" s="15">
        <f>+N1</f>
        <v>87643.8</v>
      </c>
      <c r="O195" s="15">
        <f t="shared" si="56"/>
        <v>-351048.92801170726</v>
      </c>
      <c r="P195" s="15">
        <f t="shared" si="45"/>
        <v>0</v>
      </c>
      <c r="Q195" s="40"/>
      <c r="R195" s="38"/>
    </row>
    <row r="196" spans="1:18" x14ac:dyDescent="0.2">
      <c r="A196" s="53">
        <v>191</v>
      </c>
      <c r="B196" s="51"/>
      <c r="C196" s="39"/>
      <c r="D196" s="36"/>
      <c r="E196" s="30"/>
      <c r="F196" s="40">
        <f t="shared" si="57"/>
        <v>0</v>
      </c>
      <c r="G196" s="14">
        <f t="shared" si="46"/>
        <v>1.6666666666666666E-2</v>
      </c>
      <c r="H196" s="15">
        <v>147200</v>
      </c>
      <c r="I196" s="15">
        <f t="shared" si="53"/>
        <v>147200</v>
      </c>
      <c r="J196" s="16">
        <f>+INDICES!L47/INDICES!N45</f>
        <v>1.0682822669376948</v>
      </c>
      <c r="K196" s="15">
        <f t="shared" si="54"/>
        <v>157251.14969322868</v>
      </c>
      <c r="L196" s="15">
        <v>98000</v>
      </c>
      <c r="M196" s="15">
        <f t="shared" si="55"/>
        <v>-59251.149693228683</v>
      </c>
      <c r="N196" s="15">
        <f>+N1</f>
        <v>87643.8</v>
      </c>
      <c r="O196" s="15">
        <f t="shared" si="56"/>
        <v>-146894.9496932287</v>
      </c>
      <c r="P196" s="15">
        <f t="shared" si="45"/>
        <v>0</v>
      </c>
      <c r="Q196" s="40"/>
      <c r="R196" s="38"/>
    </row>
    <row r="197" spans="1:18" x14ac:dyDescent="0.2">
      <c r="A197" s="53">
        <v>192</v>
      </c>
      <c r="B197" s="51"/>
      <c r="C197" s="39"/>
      <c r="D197" s="36"/>
      <c r="E197" s="30"/>
      <c r="F197" s="40">
        <f t="shared" si="57"/>
        <v>0</v>
      </c>
      <c r="G197" s="14">
        <f t="shared" si="46"/>
        <v>1.6666666666666666E-2</v>
      </c>
      <c r="H197" s="15">
        <v>265100</v>
      </c>
      <c r="I197" s="15">
        <f t="shared" si="53"/>
        <v>265100</v>
      </c>
      <c r="J197" s="16">
        <f>+INDICES!L47/INDICES!N45</f>
        <v>1.0682822669376948</v>
      </c>
      <c r="K197" s="15">
        <f t="shared" si="54"/>
        <v>283201.62896518287</v>
      </c>
      <c r="L197" s="15">
        <v>150000</v>
      </c>
      <c r="M197" s="15">
        <f t="shared" si="55"/>
        <v>-133201.62896518287</v>
      </c>
      <c r="N197" s="15">
        <f>+N1</f>
        <v>87643.8</v>
      </c>
      <c r="O197" s="15">
        <f t="shared" si="56"/>
        <v>-220845.42896518286</v>
      </c>
      <c r="P197" s="15">
        <f t="shared" si="45"/>
        <v>0</v>
      </c>
      <c r="Q197" s="40"/>
      <c r="R197" s="38"/>
    </row>
    <row r="198" spans="1:18" x14ac:dyDescent="0.2">
      <c r="A198" s="53">
        <v>193</v>
      </c>
      <c r="B198" s="51"/>
      <c r="C198" s="39"/>
      <c r="D198" s="36"/>
      <c r="E198" s="30"/>
      <c r="F198" s="40">
        <f t="shared" si="57"/>
        <v>0</v>
      </c>
      <c r="G198" s="14">
        <f t="shared" si="46"/>
        <v>1.6666666666666666E-2</v>
      </c>
      <c r="H198" s="15">
        <v>121500</v>
      </c>
      <c r="I198" s="15">
        <f t="shared" si="53"/>
        <v>121500</v>
      </c>
      <c r="J198" s="16">
        <f>+INDICES!L47/INDICES!K44</f>
        <v>1.1351670018924569</v>
      </c>
      <c r="K198" s="15">
        <f t="shared" si="54"/>
        <v>137922.79072993351</v>
      </c>
      <c r="L198" s="15">
        <v>68000</v>
      </c>
      <c r="M198" s="15">
        <f t="shared" si="55"/>
        <v>-69922.790729933506</v>
      </c>
      <c r="N198" s="15">
        <f>+N1</f>
        <v>87643.8</v>
      </c>
      <c r="O198" s="15">
        <f t="shared" si="56"/>
        <v>-157566.59072993352</v>
      </c>
      <c r="P198" s="15">
        <f t="shared" si="45"/>
        <v>0</v>
      </c>
      <c r="Q198" s="40"/>
      <c r="R198" s="38"/>
    </row>
    <row r="199" spans="1:18" x14ac:dyDescent="0.2">
      <c r="A199" s="53">
        <v>194</v>
      </c>
      <c r="B199" s="51"/>
      <c r="C199" s="39"/>
      <c r="D199" s="36"/>
      <c r="E199" s="30"/>
      <c r="F199" s="40">
        <f t="shared" si="57"/>
        <v>0</v>
      </c>
      <c r="G199" s="14">
        <f t="shared" si="46"/>
        <v>1.6666666666666666E-2</v>
      </c>
      <c r="H199" s="15">
        <v>145000</v>
      </c>
      <c r="I199" s="15">
        <f t="shared" si="53"/>
        <v>145000</v>
      </c>
      <c r="J199" s="16">
        <f>+INDICES!L47/INDICES!D44</f>
        <v>1.1388115780684664</v>
      </c>
      <c r="K199" s="15">
        <f t="shared" si="54"/>
        <v>165127.67881992765</v>
      </c>
      <c r="L199" s="15">
        <v>89000</v>
      </c>
      <c r="M199" s="15">
        <f t="shared" si="55"/>
        <v>-76127.678819927649</v>
      </c>
      <c r="N199" s="15">
        <f>+N1</f>
        <v>87643.8</v>
      </c>
      <c r="O199" s="15">
        <f t="shared" si="56"/>
        <v>-163771.47881992767</v>
      </c>
      <c r="P199" s="15">
        <f t="shared" si="45"/>
        <v>0</v>
      </c>
      <c r="Q199" s="40"/>
      <c r="R199" s="38"/>
    </row>
    <row r="200" spans="1:18" x14ac:dyDescent="0.2">
      <c r="A200" s="53">
        <v>195</v>
      </c>
      <c r="B200" s="51"/>
      <c r="C200" s="39"/>
      <c r="D200" s="36"/>
      <c r="E200" s="30"/>
      <c r="F200" s="40">
        <f t="shared" si="57"/>
        <v>0</v>
      </c>
      <c r="G200" s="14">
        <f t="shared" si="46"/>
        <v>1.6666666666666666E-2</v>
      </c>
      <c r="H200" s="15">
        <v>642200</v>
      </c>
      <c r="I200" s="15">
        <f t="shared" si="53"/>
        <v>642200</v>
      </c>
      <c r="J200" s="16">
        <f>+INDICES!L47/INDICES!M43</f>
        <v>1.1543428148492942</v>
      </c>
      <c r="K200" s="15">
        <f t="shared" si="54"/>
        <v>741318.95569621678</v>
      </c>
      <c r="L200" s="15">
        <v>325000</v>
      </c>
      <c r="M200" s="15">
        <f t="shared" si="55"/>
        <v>-416318.95569621678</v>
      </c>
      <c r="N200" s="15">
        <f>+N1</f>
        <v>87643.8</v>
      </c>
      <c r="O200" s="15">
        <f t="shared" si="56"/>
        <v>-503962.75569621677</v>
      </c>
      <c r="P200" s="15">
        <f t="shared" si="45"/>
        <v>0</v>
      </c>
      <c r="Q200" s="40"/>
      <c r="R200" s="38"/>
    </row>
    <row r="201" spans="1:18" x14ac:dyDescent="0.2">
      <c r="A201" s="53">
        <v>196</v>
      </c>
      <c r="B201" s="51"/>
      <c r="C201" s="39"/>
      <c r="D201" s="36"/>
      <c r="E201" s="30"/>
      <c r="F201" s="40">
        <f t="shared" si="57"/>
        <v>0</v>
      </c>
      <c r="G201" s="14">
        <f t="shared" si="46"/>
        <v>1.6666666666666666E-2</v>
      </c>
      <c r="H201" s="15">
        <v>239869</v>
      </c>
      <c r="I201" s="15">
        <f t="shared" si="53"/>
        <v>239869</v>
      </c>
      <c r="J201" s="16">
        <f>+INDICES!L47/INDICES!G44</f>
        <v>1.1451632249165384</v>
      </c>
      <c r="K201" s="15">
        <f t="shared" si="54"/>
        <v>274689.15759750514</v>
      </c>
      <c r="L201" s="15">
        <v>134000</v>
      </c>
      <c r="M201" s="15">
        <f t="shared" si="55"/>
        <v>-140689.15759750514</v>
      </c>
      <c r="N201" s="15">
        <f>+N1</f>
        <v>87643.8</v>
      </c>
      <c r="O201" s="15">
        <f t="shared" si="56"/>
        <v>-228332.95759750513</v>
      </c>
      <c r="P201" s="15">
        <f t="shared" si="45"/>
        <v>0</v>
      </c>
      <c r="Q201" s="40"/>
      <c r="R201" s="38"/>
    </row>
    <row r="202" spans="1:18" x14ac:dyDescent="0.2">
      <c r="A202" s="53">
        <v>197</v>
      </c>
      <c r="B202" s="51"/>
      <c r="C202" s="39"/>
      <c r="D202" s="36"/>
      <c r="E202" s="30"/>
      <c r="F202" s="40">
        <f t="shared" si="57"/>
        <v>0</v>
      </c>
      <c r="G202" s="14">
        <f t="shared" si="46"/>
        <v>1.6666666666666666E-2</v>
      </c>
      <c r="H202" s="15">
        <v>239869</v>
      </c>
      <c r="I202" s="15">
        <f t="shared" si="53"/>
        <v>239869</v>
      </c>
      <c r="J202" s="16">
        <f>+INDICES!L47/INDICES!G44</f>
        <v>1.1451632249165384</v>
      </c>
      <c r="K202" s="15">
        <f t="shared" si="54"/>
        <v>274689.15759750514</v>
      </c>
      <c r="L202" s="15">
        <v>134000</v>
      </c>
      <c r="M202" s="15">
        <f t="shared" si="55"/>
        <v>-140689.15759750514</v>
      </c>
      <c r="N202" s="15">
        <f>+N1</f>
        <v>87643.8</v>
      </c>
      <c r="O202" s="15">
        <f t="shared" si="56"/>
        <v>-228332.95759750513</v>
      </c>
      <c r="P202" s="15">
        <f t="shared" si="45"/>
        <v>0</v>
      </c>
      <c r="Q202" s="40"/>
      <c r="R202" s="38"/>
    </row>
    <row r="203" spans="1:18" x14ac:dyDescent="0.2">
      <c r="A203" s="53">
        <v>198</v>
      </c>
      <c r="B203" s="51"/>
      <c r="C203" s="39"/>
      <c r="D203" s="36"/>
      <c r="E203" s="30"/>
      <c r="F203" s="40">
        <f t="shared" si="57"/>
        <v>0</v>
      </c>
      <c r="G203" s="14">
        <f t="shared" si="46"/>
        <v>1.6666666666666666E-2</v>
      </c>
      <c r="H203" s="15">
        <v>239000</v>
      </c>
      <c r="I203" s="15">
        <f t="shared" si="53"/>
        <v>239000</v>
      </c>
      <c r="J203" s="16">
        <f>+INDICES!L47/INDICES!N46</f>
        <v>1.0274509452236611</v>
      </c>
      <c r="K203" s="15">
        <f t="shared" si="54"/>
        <v>245560.77590845499</v>
      </c>
      <c r="L203" s="15">
        <v>191800</v>
      </c>
      <c r="M203" s="15">
        <f t="shared" si="55"/>
        <v>-53760.775908454991</v>
      </c>
      <c r="N203" s="15">
        <f>+N1</f>
        <v>87643.8</v>
      </c>
      <c r="O203" s="15">
        <f t="shared" si="56"/>
        <v>-141404.57590845501</v>
      </c>
      <c r="P203" s="15">
        <f t="shared" si="45"/>
        <v>0</v>
      </c>
      <c r="Q203" s="40"/>
      <c r="R203" s="38"/>
    </row>
    <row r="204" spans="1:18" x14ac:dyDescent="0.2">
      <c r="A204" s="53">
        <v>199</v>
      </c>
      <c r="B204" s="51"/>
      <c r="C204" s="39"/>
      <c r="D204" s="36"/>
      <c r="E204" s="30"/>
      <c r="F204" s="40">
        <f t="shared" si="57"/>
        <v>0</v>
      </c>
      <c r="G204" s="14">
        <f t="shared" si="46"/>
        <v>1.6666666666666666E-2</v>
      </c>
      <c r="H204" s="15">
        <v>105000</v>
      </c>
      <c r="I204" s="15">
        <f t="shared" si="53"/>
        <v>105000</v>
      </c>
      <c r="J204" s="16">
        <f>+INDICES!L47/INDICES!I44</f>
        <v>1.1397518926393491</v>
      </c>
      <c r="K204" s="15">
        <f t="shared" si="54"/>
        <v>119673.94872713165</v>
      </c>
      <c r="L204" s="15">
        <v>105000</v>
      </c>
      <c r="M204" s="15">
        <f t="shared" si="55"/>
        <v>-14673.948727131647</v>
      </c>
      <c r="N204" s="15">
        <f>+N1</f>
        <v>87643.8</v>
      </c>
      <c r="O204" s="15">
        <f t="shared" si="56"/>
        <v>-102317.74872713165</v>
      </c>
      <c r="P204" s="15">
        <f t="shared" si="45"/>
        <v>0</v>
      </c>
      <c r="Q204" s="40"/>
      <c r="R204" s="38"/>
    </row>
  </sheetData>
  <mergeCells count="1">
    <mergeCell ref="B5:C5"/>
  </mergeCells>
  <phoneticPr fontId="0" type="noConversion"/>
  <pageMargins left="0.29652777777777778" right="0.26458333333333334" top="0.31388888888888888" bottom="0.98402777777777772" header="0.51180555555555551" footer="0.51180555555555551"/>
  <pageSetup scale="82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6"/>
  <sheetViews>
    <sheetView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G50" sqref="G50"/>
    </sheetView>
  </sheetViews>
  <sheetFormatPr baseColWidth="10" defaultRowHeight="12.75" x14ac:dyDescent="0.2"/>
  <cols>
    <col min="1" max="1" width="6.140625" customWidth="1"/>
    <col min="2" max="2" width="12.7109375" customWidth="1"/>
    <col min="3" max="3" width="10.85546875" customWidth="1"/>
    <col min="4" max="4" width="9.5703125" bestFit="1" customWidth="1"/>
    <col min="5" max="5" width="11.7109375" bestFit="1" customWidth="1"/>
    <col min="6" max="6" width="11" bestFit="1" customWidth="1"/>
    <col min="7" max="7" width="9.5703125" bestFit="1" customWidth="1"/>
    <col min="8" max="8" width="10.5703125" customWidth="1"/>
    <col min="9" max="9" width="12" bestFit="1" customWidth="1"/>
    <col min="10" max="10" width="8.5703125" customWidth="1"/>
    <col min="11" max="11" width="9.28515625" customWidth="1"/>
    <col min="12" max="13" width="8.5703125" customWidth="1"/>
    <col min="14" max="14" width="11.5703125" bestFit="1" customWidth="1"/>
    <col min="16" max="16" width="12.42578125" bestFit="1" customWidth="1"/>
  </cols>
  <sheetData>
    <row r="1" spans="1:14" x14ac:dyDescent="0.2">
      <c r="A1" s="1"/>
      <c r="B1" s="56" t="s">
        <v>13</v>
      </c>
      <c r="C1" s="56" t="s">
        <v>14</v>
      </c>
      <c r="D1" s="56" t="s">
        <v>15</v>
      </c>
      <c r="E1" s="56" t="s">
        <v>16</v>
      </c>
      <c r="F1" s="56" t="s">
        <v>17</v>
      </c>
      <c r="G1" s="56" t="s">
        <v>18</v>
      </c>
      <c r="H1" s="56" t="s">
        <v>19</v>
      </c>
      <c r="I1" s="56" t="s">
        <v>20</v>
      </c>
      <c r="J1" s="56" t="s">
        <v>21</v>
      </c>
      <c r="K1" s="56" t="s">
        <v>22</v>
      </c>
      <c r="L1" s="56" t="s">
        <v>23</v>
      </c>
      <c r="M1" s="56" t="s">
        <v>24</v>
      </c>
      <c r="N1" s="56" t="s">
        <v>13</v>
      </c>
    </row>
    <row r="2" spans="1:14" x14ac:dyDescent="0.2">
      <c r="A2" s="56">
        <v>1969</v>
      </c>
      <c r="B2" s="2"/>
      <c r="C2" s="3">
        <v>2.2381000000000002E-2</v>
      </c>
      <c r="D2" s="2">
        <v>2.2461999999999999E-2</v>
      </c>
      <c r="E2" s="2">
        <v>2.2484000000000001E-2</v>
      </c>
      <c r="F2" s="2">
        <v>2.2544999999999999E-2</v>
      </c>
      <c r="G2" s="2">
        <v>2.2544999999999999E-2</v>
      </c>
      <c r="H2" s="4">
        <v>2.2624999999999999E-2</v>
      </c>
      <c r="I2" s="2">
        <v>2.2710999999999999E-2</v>
      </c>
      <c r="J2" s="2">
        <v>2.2735999999999999E-2</v>
      </c>
      <c r="K2" s="2">
        <v>2.2949000000000001E-2</v>
      </c>
      <c r="L2" s="2">
        <v>2.3189999999999999E-2</v>
      </c>
      <c r="M2" s="2">
        <v>2.3189999999999999E-2</v>
      </c>
      <c r="N2" s="2" t="s">
        <v>25</v>
      </c>
    </row>
    <row r="3" spans="1:14" x14ac:dyDescent="0.2">
      <c r="A3" s="56">
        <v>1970</v>
      </c>
      <c r="B3" s="2"/>
      <c r="C3" s="2">
        <v>2.3545E-2</v>
      </c>
      <c r="D3" s="2">
        <v>2.3542E-2</v>
      </c>
      <c r="E3" s="2">
        <v>2.3612000000000001E-2</v>
      </c>
      <c r="F3" s="2">
        <v>2.3642E-2</v>
      </c>
      <c r="G3" s="2">
        <v>2.3692000000000001E-2</v>
      </c>
      <c r="H3" s="4">
        <v>2.3836E-2</v>
      </c>
      <c r="I3" s="2">
        <v>2.3952000000000001E-2</v>
      </c>
      <c r="J3" s="2">
        <v>2.4063000000000001E-2</v>
      </c>
      <c r="K3" s="2">
        <v>2.4121E-2</v>
      </c>
      <c r="L3" s="2">
        <v>2.4129999999999999E-2</v>
      </c>
      <c r="M3" s="2"/>
      <c r="N3" s="2"/>
    </row>
    <row r="4" spans="1:14" x14ac:dyDescent="0.2">
      <c r="A4" s="56">
        <v>1971</v>
      </c>
      <c r="B4" s="2"/>
      <c r="C4" s="2">
        <v>2.4705999999999999E-2</v>
      </c>
      <c r="D4" s="2">
        <v>2.4806000000000002E-2</v>
      </c>
      <c r="E4" s="2">
        <v>2.4902000000000001E-2</v>
      </c>
      <c r="F4" s="2">
        <v>2.503E-2</v>
      </c>
      <c r="G4" s="2">
        <v>2.5083000000000001E-2</v>
      </c>
      <c r="H4" s="4">
        <v>2.5196E-2</v>
      </c>
      <c r="I4" s="2">
        <v>2.5177000000000001E-2</v>
      </c>
      <c r="J4" s="2">
        <v>2.5406999999999999E-2</v>
      </c>
      <c r="K4" s="2">
        <v>2.5489999999999999E-2</v>
      </c>
      <c r="L4" s="2">
        <v>2.5514999999999999E-2</v>
      </c>
      <c r="M4" s="2"/>
      <c r="N4" s="2"/>
    </row>
    <row r="5" spans="1:14" x14ac:dyDescent="0.2">
      <c r="A5" s="56">
        <v>1972</v>
      </c>
      <c r="B5" s="2"/>
      <c r="C5" s="2">
        <v>2.5791999999999999E-2</v>
      </c>
      <c r="D5" s="2">
        <v>2.5871999999999999E-2</v>
      </c>
      <c r="E5" s="2">
        <v>2.6013000000000001E-2</v>
      </c>
      <c r="F5" s="2">
        <v>2.6176999999999999E-2</v>
      </c>
      <c r="G5" s="2">
        <v>2.6228999999999999E-2</v>
      </c>
      <c r="H5" s="4">
        <v>2.6422999999999999E-2</v>
      </c>
      <c r="I5" s="2">
        <v>2.6523000000000001E-2</v>
      </c>
      <c r="J5" s="2">
        <v>2.6698E-2</v>
      </c>
      <c r="K5" s="2">
        <v>2.682E-2</v>
      </c>
      <c r="L5" s="2">
        <v>2.6838999999999998E-2</v>
      </c>
      <c r="M5" s="2"/>
      <c r="N5" s="2"/>
    </row>
    <row r="6" spans="1:14" x14ac:dyDescent="0.2">
      <c r="A6" s="56">
        <v>1973</v>
      </c>
      <c r="B6" s="2"/>
      <c r="C6" s="2">
        <v>2.7498000000000002E-2</v>
      </c>
      <c r="D6" s="2">
        <v>2.7725E-2</v>
      </c>
      <c r="E6" s="2">
        <v>2.7969000000000001E-2</v>
      </c>
      <c r="F6" s="2">
        <v>2.8412E-2</v>
      </c>
      <c r="G6" s="2">
        <v>2.8714E-2</v>
      </c>
      <c r="H6" s="4">
        <v>2.895E-2</v>
      </c>
      <c r="I6" s="2">
        <v>2.9692E-2</v>
      </c>
      <c r="J6" s="2">
        <v>3.0169000000000001E-2</v>
      </c>
      <c r="K6" s="2">
        <v>3.0886E-2</v>
      </c>
      <c r="L6" s="2">
        <v>3.1282999999999998E-2</v>
      </c>
      <c r="M6" s="2"/>
      <c r="N6" s="2"/>
    </row>
    <row r="7" spans="1:14" x14ac:dyDescent="0.2">
      <c r="A7" s="56">
        <v>1974</v>
      </c>
      <c r="B7" s="2"/>
      <c r="C7" s="2">
        <v>3.4075000000000001E-2</v>
      </c>
      <c r="D7" s="2">
        <v>3.4845000000000001E-2</v>
      </c>
      <c r="E7" s="2">
        <v>3.5113999999999999E-2</v>
      </c>
      <c r="F7" s="2">
        <v>3.5589999999999997E-2</v>
      </c>
      <c r="G7" s="2">
        <v>3.5869999999999999E-2</v>
      </c>
      <c r="H7" s="4">
        <v>3.6225E-2</v>
      </c>
      <c r="I7" s="2">
        <v>3.6748000000000003E-2</v>
      </c>
      <c r="J7" s="2">
        <v>3.7136000000000002E-2</v>
      </c>
      <c r="K7" s="2">
        <v>3.7557E-2</v>
      </c>
      <c r="L7" s="2">
        <v>3.8302999999999997E-2</v>
      </c>
      <c r="M7" s="2"/>
      <c r="N7" s="2"/>
    </row>
    <row r="8" spans="1:14" x14ac:dyDescent="0.2">
      <c r="A8" s="56">
        <v>1975</v>
      </c>
      <c r="B8" s="2"/>
      <c r="C8" s="2">
        <v>4.0181000000000001E-2</v>
      </c>
      <c r="D8" s="2">
        <v>4.0402E-2</v>
      </c>
      <c r="E8" s="2">
        <v>4.0656999999999999E-2</v>
      </c>
      <c r="F8" s="2">
        <v>4.1001000000000003E-2</v>
      </c>
      <c r="G8" s="2">
        <v>4.1549000000000003E-2</v>
      </c>
      <c r="H8" s="4">
        <v>4.2256000000000002E-2</v>
      </c>
      <c r="I8" s="2">
        <v>4.2594E-2</v>
      </c>
      <c r="J8" s="2">
        <v>4.2962E-2</v>
      </c>
      <c r="K8" s="2">
        <v>4.3275000000000001E-2</v>
      </c>
      <c r="L8" s="2">
        <v>4.3497000000000001E-2</v>
      </c>
      <c r="M8" s="2"/>
      <c r="N8" s="2"/>
    </row>
    <row r="9" spans="1:14" x14ac:dyDescent="0.2">
      <c r="A9" s="56">
        <v>1976</v>
      </c>
      <c r="B9" s="2"/>
      <c r="C9" s="2">
        <v>4.5012000000000003E-2</v>
      </c>
      <c r="D9" s="2">
        <v>4.5853999999999999E-2</v>
      </c>
      <c r="E9" s="2">
        <v>4.6302999999999997E-2</v>
      </c>
      <c r="F9" s="2">
        <v>4.6627000000000002E-2</v>
      </c>
      <c r="G9" s="2">
        <v>4.6954000000000003E-2</v>
      </c>
      <c r="H9" s="4">
        <v>4.7142999999999997E-2</v>
      </c>
      <c r="I9" s="2">
        <v>4.7542000000000001E-2</v>
      </c>
      <c r="J9" s="2">
        <v>4.7995999999999997E-2</v>
      </c>
      <c r="K9" s="2">
        <v>4.9632999999999997E-2</v>
      </c>
      <c r="L9" s="2">
        <v>5.2428000000000002E-2</v>
      </c>
      <c r="M9" s="2"/>
      <c r="N9" s="2"/>
    </row>
    <row r="10" spans="1:14" x14ac:dyDescent="0.2">
      <c r="A10" s="56">
        <v>1977</v>
      </c>
      <c r="B10" s="2"/>
      <c r="C10" s="2">
        <v>5.7960999999999999E-2</v>
      </c>
      <c r="D10" s="2">
        <v>5.9241000000000002E-2</v>
      </c>
      <c r="E10" s="2">
        <v>6.0274000000000001E-2</v>
      </c>
      <c r="F10" s="2">
        <v>6.1185000000000003E-2</v>
      </c>
      <c r="G10" s="2">
        <v>6.1723E-2</v>
      </c>
      <c r="H10" s="4">
        <v>6.2479E-2</v>
      </c>
      <c r="I10" s="2">
        <v>6.3186000000000006E-2</v>
      </c>
      <c r="J10" s="2">
        <v>6.4481999999999998E-2</v>
      </c>
      <c r="K10" s="2">
        <v>6.5626000000000004E-2</v>
      </c>
      <c r="L10" s="2">
        <v>6.6128000000000006E-2</v>
      </c>
      <c r="M10" s="2"/>
      <c r="N10" s="2"/>
    </row>
    <row r="11" spans="1:14" x14ac:dyDescent="0.2">
      <c r="A11" s="56">
        <v>1978</v>
      </c>
      <c r="B11" s="2"/>
      <c r="C11" s="2">
        <v>6.9282999999999997E-2</v>
      </c>
      <c r="D11" s="2">
        <v>7.0277999999999993E-2</v>
      </c>
      <c r="E11" s="2">
        <v>7.1009000000000003E-2</v>
      </c>
      <c r="F11" s="2">
        <v>7.1799000000000002E-2</v>
      </c>
      <c r="G11" s="2">
        <v>7.2501999999999997E-2</v>
      </c>
      <c r="H11" s="4">
        <v>7.3499999999999996E-2</v>
      </c>
      <c r="I11" s="2">
        <v>7.4746000000000007E-2</v>
      </c>
      <c r="J11" s="2">
        <v>7.5491000000000003E-2</v>
      </c>
      <c r="K11" s="2">
        <v>7.6353000000000004E-2</v>
      </c>
      <c r="L11" s="2">
        <v>7.7277999999999999E-2</v>
      </c>
      <c r="M11" s="2"/>
      <c r="N11" s="2"/>
    </row>
    <row r="12" spans="1:14" x14ac:dyDescent="0.2">
      <c r="A12" s="56">
        <v>1979</v>
      </c>
      <c r="B12" s="2"/>
      <c r="C12" s="2">
        <v>8.1531000000000006E-2</v>
      </c>
      <c r="D12" s="2">
        <v>8.2702999999999999E-2</v>
      </c>
      <c r="E12" s="2">
        <v>8.3824999999999997E-2</v>
      </c>
      <c r="F12" s="2">
        <v>8.4574999999999997E-2</v>
      </c>
      <c r="G12" s="2">
        <v>8.5683999999999996E-2</v>
      </c>
      <c r="H12" s="4">
        <v>8.6634000000000003E-2</v>
      </c>
      <c r="I12" s="2">
        <v>8.7683999999999998E-2</v>
      </c>
      <c r="J12" s="2">
        <v>8.9011000000000007E-2</v>
      </c>
      <c r="K12" s="2">
        <v>9.0102000000000002E-2</v>
      </c>
      <c r="L12" s="2">
        <v>9.1675999999999994E-2</v>
      </c>
      <c r="M12" s="2"/>
      <c r="N12" s="2">
        <f>0.03411*27.7032/100</f>
        <v>9.4495615200000001E-3</v>
      </c>
    </row>
    <row r="13" spans="1:14" x14ac:dyDescent="0.2">
      <c r="A13" s="56">
        <v>1980</v>
      </c>
      <c r="B13" s="2">
        <f t="shared" ref="B13:B25" si="0">+N12</f>
        <v>9.4495615200000001E-3</v>
      </c>
      <c r="C13" s="2">
        <v>9.9106E-2</v>
      </c>
      <c r="D13" s="2">
        <v>1.014E-2</v>
      </c>
      <c r="E13" s="2">
        <v>0.10348</v>
      </c>
      <c r="F13" s="2">
        <v>0.10528999999999999</v>
      </c>
      <c r="G13" s="2">
        <v>0.10700999999999999</v>
      </c>
      <c r="H13" s="4">
        <v>0.10913</v>
      </c>
      <c r="I13" s="2">
        <v>0.11218</v>
      </c>
      <c r="J13" s="2">
        <v>0.1145</v>
      </c>
      <c r="K13" s="2">
        <v>0.11577</v>
      </c>
      <c r="L13" s="2">
        <v>0.11753</v>
      </c>
      <c r="M13" s="2">
        <f>0.04242*27.7032/100</f>
        <v>1.175169744E-2</v>
      </c>
      <c r="N13" s="2">
        <f>0.4429*27.7032/100</f>
        <v>0.12269747280000001</v>
      </c>
    </row>
    <row r="14" spans="1:14" x14ac:dyDescent="0.2">
      <c r="A14" s="56">
        <v>1981</v>
      </c>
      <c r="B14" s="2">
        <f t="shared" si="0"/>
        <v>0.12269747280000001</v>
      </c>
      <c r="C14" s="2">
        <v>0.12665999999999999</v>
      </c>
      <c r="D14" s="2">
        <v>0.12977</v>
      </c>
      <c r="E14" s="2">
        <v>0.13253999999999999</v>
      </c>
      <c r="F14" s="2">
        <v>0.13553000000000001</v>
      </c>
      <c r="G14" s="2">
        <v>0.13758000000000001</v>
      </c>
      <c r="H14" s="4">
        <v>0.13951</v>
      </c>
      <c r="I14" s="2">
        <v>0.14196</v>
      </c>
      <c r="J14" s="2">
        <v>0.14488999999999999</v>
      </c>
      <c r="K14" s="2">
        <v>0.14757999999999999</v>
      </c>
      <c r="L14" s="2">
        <v>0.15085999999999999</v>
      </c>
      <c r="M14" s="2">
        <f>0.555*27.7032/100</f>
        <v>0.15375276000000002</v>
      </c>
      <c r="N14" s="2">
        <f>0.57*27.7032/100</f>
        <v>0.15790823999999998</v>
      </c>
    </row>
    <row r="15" spans="1:14" x14ac:dyDescent="0.2">
      <c r="A15" s="56">
        <v>1982</v>
      </c>
      <c r="B15" s="2">
        <f t="shared" si="0"/>
        <v>0.15790823999999998</v>
      </c>
      <c r="C15" s="2">
        <v>0.16575000000000001</v>
      </c>
      <c r="D15" s="2">
        <v>0.17226</v>
      </c>
      <c r="E15" s="2">
        <v>0.17854999999999999</v>
      </c>
      <c r="F15" s="2">
        <v>0.18823000000000001</v>
      </c>
      <c r="G15" s="2">
        <v>0.19880999999999999</v>
      </c>
      <c r="H15" s="4">
        <v>0.20838000000000001</v>
      </c>
      <c r="I15" s="2">
        <v>0.21912000000000001</v>
      </c>
      <c r="J15" s="2">
        <v>0.24371000000000001</v>
      </c>
      <c r="K15" s="2">
        <v>0.25672</v>
      </c>
      <c r="L15" s="2">
        <v>0.27002999999999999</v>
      </c>
      <c r="M15" s="2">
        <f>1.024*27.7032/100</f>
        <v>0.28368076800000003</v>
      </c>
      <c r="N15" s="2">
        <f>1.1334*27.7032/100</f>
        <v>0.31398806879999996</v>
      </c>
    </row>
    <row r="16" spans="1:14" x14ac:dyDescent="0.2">
      <c r="A16" s="56">
        <v>1983</v>
      </c>
      <c r="B16" s="2">
        <f t="shared" si="0"/>
        <v>0.31398806879999996</v>
      </c>
      <c r="C16" s="2">
        <v>0.34814000000000001</v>
      </c>
      <c r="D16" s="2">
        <v>0.36681999999999998</v>
      </c>
      <c r="E16" s="2">
        <v>0.38457999999999998</v>
      </c>
      <c r="F16" s="2">
        <v>0.40893000000000002</v>
      </c>
      <c r="G16" s="2">
        <v>0.42665999999999998</v>
      </c>
      <c r="H16" s="4">
        <v>0.44281999999999999</v>
      </c>
      <c r="I16" s="2">
        <v>0.46471000000000001</v>
      </c>
      <c r="J16" s="2">
        <v>0.48275000000000001</v>
      </c>
      <c r="K16" s="2">
        <v>0.49761</v>
      </c>
      <c r="L16" s="2">
        <v>0.51412000000000002</v>
      </c>
      <c r="M16" s="2">
        <f>1.9648*27.7032/100</f>
        <v>0.54431247360000001</v>
      </c>
      <c r="N16" s="2">
        <f>2.0488*27.7032/100</f>
        <v>0.5675831616</v>
      </c>
    </row>
    <row r="17" spans="1:15" x14ac:dyDescent="0.2">
      <c r="A17" s="56">
        <v>1984</v>
      </c>
      <c r="B17" s="60">
        <f t="shared" si="0"/>
        <v>0.5675831616</v>
      </c>
      <c r="C17" s="60">
        <v>0.60365999999999997</v>
      </c>
      <c r="D17" s="60">
        <v>0.63551999999999997</v>
      </c>
      <c r="E17" s="60">
        <v>0.66268000000000005</v>
      </c>
      <c r="F17" s="60">
        <v>0.69135000000000002</v>
      </c>
      <c r="G17" s="60">
        <v>0.71426999999999996</v>
      </c>
      <c r="H17" s="61">
        <v>0.74012</v>
      </c>
      <c r="I17" s="60">
        <v>0.76437999999999995</v>
      </c>
      <c r="J17" s="60">
        <v>0.78610999999999998</v>
      </c>
      <c r="K17" s="60">
        <v>0.80952999999999997</v>
      </c>
      <c r="L17" s="60">
        <v>0.83781000000000005</v>
      </c>
      <c r="M17" s="60">
        <f>3.128*27.7032/100</f>
        <v>0.86655609600000005</v>
      </c>
      <c r="N17" s="60">
        <f>3.2609*27.7032/100</f>
        <v>0.90337364879999993</v>
      </c>
    </row>
    <row r="18" spans="1:15" x14ac:dyDescent="0.2">
      <c r="A18" s="56">
        <v>1985</v>
      </c>
      <c r="B18" s="60">
        <f t="shared" si="0"/>
        <v>0.90337364879999993</v>
      </c>
      <c r="C18" s="60">
        <v>0.97038000000000002</v>
      </c>
      <c r="D18" s="60">
        <v>1.0106999999999999</v>
      </c>
      <c r="E18" s="60">
        <v>1.0499000000000001</v>
      </c>
      <c r="F18" s="60">
        <v>1.0822000000000001</v>
      </c>
      <c r="G18" s="60">
        <v>1.1077999999999999</v>
      </c>
      <c r="H18" s="61">
        <v>1.1355</v>
      </c>
      <c r="I18" s="60">
        <v>1.1751</v>
      </c>
      <c r="J18" s="60">
        <v>1.2264999999999999</v>
      </c>
      <c r="K18" s="60">
        <v>1.2754000000000001</v>
      </c>
      <c r="L18" s="60">
        <v>1.3239000000000001</v>
      </c>
      <c r="M18" s="60">
        <f>4.9993*27.7032/100</f>
        <v>1.3849660775999999</v>
      </c>
      <c r="N18" s="60">
        <f>5.3397*27.7032/100</f>
        <v>1.4792677703999999</v>
      </c>
    </row>
    <row r="19" spans="1:15" x14ac:dyDescent="0.2">
      <c r="A19" s="56">
        <v>1986</v>
      </c>
      <c r="B19" s="60">
        <f t="shared" si="0"/>
        <v>1.4792677703999999</v>
      </c>
      <c r="C19" s="60">
        <v>1.61</v>
      </c>
      <c r="D19" s="60">
        <v>1.6816</v>
      </c>
      <c r="E19" s="60">
        <v>1.7598</v>
      </c>
      <c r="F19" s="60">
        <v>1.8516999999999999</v>
      </c>
      <c r="G19" s="60">
        <v>1.9545999999999999</v>
      </c>
      <c r="H19" s="61">
        <v>2.08</v>
      </c>
      <c r="I19" s="60">
        <v>2.1838000000000002</v>
      </c>
      <c r="J19" s="60">
        <v>2.3578999999999999</v>
      </c>
      <c r="K19" s="60">
        <v>2.4994000000000001</v>
      </c>
      <c r="L19" s="60">
        <v>2.6421999999999999</v>
      </c>
      <c r="M19" s="60">
        <f>10.1823*27.7032/100</f>
        <v>2.8208229336000001</v>
      </c>
      <c r="N19" s="60">
        <f>10.9862*27.7032/100</f>
        <v>3.0435289583999996</v>
      </c>
    </row>
    <row r="20" spans="1:15" x14ac:dyDescent="0.2">
      <c r="A20" s="56">
        <v>1987</v>
      </c>
      <c r="B20" s="60">
        <f t="shared" si="0"/>
        <v>3.0435289583999996</v>
      </c>
      <c r="C20" s="60">
        <v>3.29</v>
      </c>
      <c r="D20" s="60">
        <v>3.5274000000000001</v>
      </c>
      <c r="E20" s="60">
        <v>3.7605</v>
      </c>
      <c r="F20" s="60">
        <v>4.0895000000000001</v>
      </c>
      <c r="G20" s="60">
        <v>4.3978000000000002</v>
      </c>
      <c r="H20" s="61">
        <v>4.7160000000000002</v>
      </c>
      <c r="I20" s="60">
        <v>5.0979999999999999</v>
      </c>
      <c r="J20" s="60">
        <v>5.5145999999999997</v>
      </c>
      <c r="K20" s="60">
        <v>5.8779000000000003</v>
      </c>
      <c r="L20" s="60">
        <v>6.3677999999999999</v>
      </c>
      <c r="M20" s="60">
        <f>24.8087*27.7032/100</f>
        <v>6.8728037784000007</v>
      </c>
      <c r="N20" s="60">
        <f>28.4729*27.7032/100</f>
        <v>7.8879044328000001</v>
      </c>
    </row>
    <row r="21" spans="1:15" x14ac:dyDescent="0.2">
      <c r="A21" s="56">
        <v>1988</v>
      </c>
      <c r="B21" s="60">
        <f t="shared" si="0"/>
        <v>7.8879044328000001</v>
      </c>
      <c r="C21" s="60">
        <v>9.1075999999999997</v>
      </c>
      <c r="D21" s="60">
        <v>9.8673000000000002</v>
      </c>
      <c r="E21" s="60">
        <v>10.372999999999999</v>
      </c>
      <c r="F21" s="60">
        <v>10.692</v>
      </c>
      <c r="G21" s="60">
        <v>10.898999999999999</v>
      </c>
      <c r="H21" s="61">
        <v>11.121</v>
      </c>
      <c r="I21" s="60">
        <v>11.307</v>
      </c>
      <c r="J21" s="60">
        <v>11.411</v>
      </c>
      <c r="K21" s="60">
        <v>11.476000000000001</v>
      </c>
      <c r="L21" s="60">
        <v>11.563000000000001</v>
      </c>
      <c r="M21" s="60">
        <f>42.2989*27.7032/100</f>
        <v>11.7181488648</v>
      </c>
      <c r="N21" s="60">
        <f>43.1814*27.7032/100</f>
        <v>11.9626296048</v>
      </c>
    </row>
    <row r="22" spans="1:15" x14ac:dyDescent="0.2">
      <c r="A22" s="56">
        <v>1989</v>
      </c>
      <c r="B22" s="60">
        <f t="shared" si="0"/>
        <v>11.9626296048</v>
      </c>
      <c r="C22" s="60">
        <v>12.256</v>
      </c>
      <c r="D22" s="60">
        <v>12.422000000000001</v>
      </c>
      <c r="E22" s="60">
        <v>12.555999999999999</v>
      </c>
      <c r="F22" s="60">
        <v>12.744</v>
      </c>
      <c r="G22" s="60">
        <v>12.92</v>
      </c>
      <c r="H22" s="61">
        <v>13.077</v>
      </c>
      <c r="I22" s="60">
        <v>13.207000000000001</v>
      </c>
      <c r="J22" s="60">
        <v>13.333</v>
      </c>
      <c r="K22" s="60">
        <v>13.461</v>
      </c>
      <c r="L22" s="60">
        <v>13.66</v>
      </c>
      <c r="M22" s="60">
        <f>49.9996*27.7032/100</f>
        <v>13.8514891872</v>
      </c>
      <c r="N22" s="60">
        <f>51.687*27.7032/100</f>
        <v>14.318952983999997</v>
      </c>
    </row>
    <row r="23" spans="1:15" x14ac:dyDescent="0.2">
      <c r="A23" s="56">
        <v>1990</v>
      </c>
      <c r="B23" s="60">
        <f t="shared" si="0"/>
        <v>14.318952983999997</v>
      </c>
      <c r="C23" s="60">
        <v>15.01</v>
      </c>
      <c r="D23" s="60">
        <v>15.35</v>
      </c>
      <c r="E23" s="60">
        <v>15.621</v>
      </c>
      <c r="F23" s="60">
        <v>15.858000000000001</v>
      </c>
      <c r="G23" s="60">
        <v>16.135000000000002</v>
      </c>
      <c r="H23" s="61">
        <v>16.489999999999998</v>
      </c>
      <c r="I23" s="60">
        <v>16.791</v>
      </c>
      <c r="J23" s="60">
        <v>17.077000000000002</v>
      </c>
      <c r="K23" s="60">
        <v>17.321000000000002</v>
      </c>
      <c r="L23" s="60">
        <v>17.57</v>
      </c>
      <c r="M23" s="60">
        <f>65.1049*27.7032/100</f>
        <v>18.036140656799997</v>
      </c>
      <c r="N23" s="60">
        <f>67.1568*27.7032/100</f>
        <v>18.604582617600002</v>
      </c>
    </row>
    <row r="24" spans="1:15" x14ac:dyDescent="0.2">
      <c r="A24" s="56">
        <v>1991</v>
      </c>
      <c r="B24" s="60">
        <f t="shared" si="0"/>
        <v>18.604582617600002</v>
      </c>
      <c r="C24" s="60">
        <v>19.079000000000001</v>
      </c>
      <c r="D24" s="60">
        <v>19.411999999999999</v>
      </c>
      <c r="E24" s="60">
        <v>19.689</v>
      </c>
      <c r="F24" s="60">
        <v>19.895</v>
      </c>
      <c r="G24" s="60">
        <v>20.088999999999999</v>
      </c>
      <c r="H24" s="61">
        <v>20.3</v>
      </c>
      <c r="I24" s="60">
        <v>20.48</v>
      </c>
      <c r="J24" s="60">
        <v>20.622</v>
      </c>
      <c r="K24" s="60">
        <v>20.827999999999999</v>
      </c>
      <c r="L24" s="60">
        <v>21.07</v>
      </c>
      <c r="M24" s="60">
        <f>77.9438*27.7032/100</f>
        <v>21.592926801599997</v>
      </c>
      <c r="N24" s="60">
        <f>79.7786*27.7032/100</f>
        <v>22.101225115199998</v>
      </c>
    </row>
    <row r="25" spans="1:15" x14ac:dyDescent="0.2">
      <c r="A25" s="56">
        <v>1992</v>
      </c>
      <c r="B25" s="60">
        <f t="shared" si="0"/>
        <v>22.101225115199998</v>
      </c>
      <c r="C25" s="60">
        <v>22.503</v>
      </c>
      <c r="D25" s="60">
        <v>22.77</v>
      </c>
      <c r="E25" s="60">
        <v>23.001000000000001</v>
      </c>
      <c r="F25" s="60">
        <v>23.206</v>
      </c>
      <c r="G25" s="60">
        <v>23.359000000000002</v>
      </c>
      <c r="H25" s="61">
        <v>23.516999999999999</v>
      </c>
      <c r="I25" s="60">
        <v>23.666</v>
      </c>
      <c r="J25" s="60">
        <v>23.811</v>
      </c>
      <c r="K25" s="60">
        <v>24.018000000000001</v>
      </c>
      <c r="L25" s="60">
        <v>24.190999999999999</v>
      </c>
      <c r="M25" s="60">
        <v>24.391999999999999</v>
      </c>
      <c r="N25" s="60">
        <v>24.74</v>
      </c>
    </row>
    <row r="26" spans="1:15" x14ac:dyDescent="0.2">
      <c r="A26" s="56">
        <v>1993</v>
      </c>
      <c r="B26" s="60">
        <f>+N25</f>
        <v>24.74</v>
      </c>
      <c r="C26" s="60">
        <v>25.05</v>
      </c>
      <c r="D26" s="60">
        <v>25.254999999999999</v>
      </c>
      <c r="E26" s="60">
        <v>25.402000000000001</v>
      </c>
      <c r="F26" s="60">
        <v>25.547999999999998</v>
      </c>
      <c r="G26" s="60">
        <v>25.693999999999999</v>
      </c>
      <c r="H26" s="61">
        <v>25.838999999999999</v>
      </c>
      <c r="I26" s="60">
        <v>25.963000000000001</v>
      </c>
      <c r="J26" s="60">
        <v>26.102</v>
      </c>
      <c r="K26" s="60">
        <v>26.295000000000002</v>
      </c>
      <c r="L26" s="60">
        <v>26.402999999999999</v>
      </c>
      <c r="M26" s="60">
        <v>26.518999999999998</v>
      </c>
      <c r="N26" s="60">
        <v>26.721</v>
      </c>
    </row>
    <row r="27" spans="1:15" x14ac:dyDescent="0.2">
      <c r="A27" s="56">
        <v>1994</v>
      </c>
      <c r="B27" s="60">
        <f t="shared" ref="B27:B35" si="1">+N26</f>
        <v>26.721</v>
      </c>
      <c r="C27" s="60">
        <v>26.928000000000001</v>
      </c>
      <c r="D27" s="60">
        <v>27.067</v>
      </c>
      <c r="E27" s="60">
        <v>27.206</v>
      </c>
      <c r="F27" s="60">
        <v>27.338999999999999</v>
      </c>
      <c r="G27" s="60">
        <v>27.471</v>
      </c>
      <c r="H27" s="61">
        <v>27.609000000000002</v>
      </c>
      <c r="I27" s="60">
        <v>27.731000000000002</v>
      </c>
      <c r="J27" s="60">
        <v>27.861000000000001</v>
      </c>
      <c r="K27" s="60">
        <v>28.059000000000001</v>
      </c>
      <c r="L27" s="60">
        <v>28.206</v>
      </c>
      <c r="M27" s="60">
        <v>28.356999999999999</v>
      </c>
      <c r="N27" s="60">
        <v>28.606000000000002</v>
      </c>
    </row>
    <row r="28" spans="1:15" x14ac:dyDescent="0.2">
      <c r="A28" s="57">
        <v>1995</v>
      </c>
      <c r="B28" s="60">
        <f t="shared" si="1"/>
        <v>28.606000000000002</v>
      </c>
      <c r="C28" s="62">
        <v>29.681999999999999</v>
      </c>
      <c r="D28" s="62">
        <v>30.94</v>
      </c>
      <c r="E28" s="62">
        <v>32.764000000000003</v>
      </c>
      <c r="F28" s="62">
        <v>35.375</v>
      </c>
      <c r="G28" s="62">
        <v>36.853000000000002</v>
      </c>
      <c r="H28" s="63">
        <v>38.023000000000003</v>
      </c>
      <c r="I28" s="62">
        <v>37.798000000000002</v>
      </c>
      <c r="J28" s="62">
        <v>39.442</v>
      </c>
      <c r="K28" s="62">
        <v>40.258000000000003</v>
      </c>
      <c r="L28" s="62">
        <v>41.085999999999999</v>
      </c>
      <c r="M28" s="62">
        <v>42.098999999999997</v>
      </c>
      <c r="N28" s="62">
        <v>43.470999999999997</v>
      </c>
    </row>
    <row r="29" spans="1:15" x14ac:dyDescent="0.2">
      <c r="A29" s="56">
        <v>1996</v>
      </c>
      <c r="B29" s="60">
        <f t="shared" si="1"/>
        <v>43.470999999999997</v>
      </c>
      <c r="C29" s="60">
        <v>45.033000000000001</v>
      </c>
      <c r="D29" s="60">
        <v>46.084000000000003</v>
      </c>
      <c r="E29" s="60">
        <v>47.098999999999997</v>
      </c>
      <c r="F29" s="60">
        <v>48.438000000000002</v>
      </c>
      <c r="G29" s="60">
        <v>49.320999999999998</v>
      </c>
      <c r="H29" s="61">
        <v>50.124000000000002</v>
      </c>
      <c r="I29" s="60">
        <v>50.835999999999999</v>
      </c>
      <c r="J29" s="60">
        <v>51.512</v>
      </c>
      <c r="K29" s="60">
        <v>52.335999999999999</v>
      </c>
      <c r="L29" s="60">
        <v>52.988999999999997</v>
      </c>
      <c r="M29" s="60">
        <v>53.792000000000002</v>
      </c>
      <c r="N29" s="60">
        <v>55.514000000000003</v>
      </c>
    </row>
    <row r="30" spans="1:15" x14ac:dyDescent="0.2">
      <c r="A30" s="56">
        <v>1997</v>
      </c>
      <c r="B30" s="60">
        <f t="shared" si="1"/>
        <v>55.514000000000003</v>
      </c>
      <c r="C30" s="60">
        <v>56.942</v>
      </c>
      <c r="D30" s="60">
        <v>57.898000000000003</v>
      </c>
      <c r="E30" s="60">
        <v>58.619</v>
      </c>
      <c r="F30" s="60">
        <v>59.252000000000002</v>
      </c>
      <c r="G30" s="60">
        <v>59.792999999999999</v>
      </c>
      <c r="H30" s="61">
        <v>60.323999999999998</v>
      </c>
      <c r="I30" s="60">
        <v>60.848999999999997</v>
      </c>
      <c r="J30" s="60">
        <v>61.39</v>
      </c>
      <c r="K30" s="60">
        <v>62.155000000000001</v>
      </c>
      <c r="L30" s="60">
        <v>62.652000000000001</v>
      </c>
      <c r="M30" s="60">
        <v>63.351999999999997</v>
      </c>
      <c r="N30" s="60">
        <v>64.239999999999995</v>
      </c>
      <c r="O30" s="5"/>
    </row>
    <row r="31" spans="1:15" x14ac:dyDescent="0.2">
      <c r="A31" s="56">
        <v>1998</v>
      </c>
      <c r="B31" s="60">
        <f t="shared" si="1"/>
        <v>64.239999999999995</v>
      </c>
      <c r="C31" s="60">
        <v>65.638000000000005</v>
      </c>
      <c r="D31" s="60">
        <v>66.787000000000006</v>
      </c>
      <c r="E31" s="60">
        <v>67.569000000000003</v>
      </c>
      <c r="F31" s="60">
        <v>68.200999999999993</v>
      </c>
      <c r="G31" s="60">
        <v>68.745000000000005</v>
      </c>
      <c r="H31" s="61">
        <v>69.557000000000002</v>
      </c>
      <c r="I31" s="60">
        <v>70.227999999999994</v>
      </c>
      <c r="J31" s="60">
        <v>70.903000000000006</v>
      </c>
      <c r="K31" s="60">
        <v>72.052999999999997</v>
      </c>
      <c r="L31" s="60">
        <v>73.084999999999994</v>
      </c>
      <c r="M31" s="60">
        <v>74.38</v>
      </c>
      <c r="N31" s="60">
        <v>76.194000000000003</v>
      </c>
    </row>
    <row r="32" spans="1:15" x14ac:dyDescent="0.2">
      <c r="A32" s="56">
        <v>1999</v>
      </c>
      <c r="B32" s="60">
        <f t="shared" si="1"/>
        <v>76.194000000000003</v>
      </c>
      <c r="C32" s="60">
        <v>78.119</v>
      </c>
      <c r="D32" s="60">
        <v>79.168999999999997</v>
      </c>
      <c r="E32" s="60">
        <v>79.903999999999996</v>
      </c>
      <c r="F32" s="60">
        <v>80.637</v>
      </c>
      <c r="G32" s="60">
        <v>81.122</v>
      </c>
      <c r="H32" s="61">
        <v>81.655000000000001</v>
      </c>
      <c r="I32" s="60">
        <v>82.194999999999993</v>
      </c>
      <c r="J32" s="60">
        <v>82.658000000000001</v>
      </c>
      <c r="K32" s="60">
        <v>83.456000000000003</v>
      </c>
      <c r="L32" s="60">
        <v>83.984999999999999</v>
      </c>
      <c r="M32" s="60">
        <v>84.731999999999999</v>
      </c>
      <c r="N32" s="60">
        <v>85.581000000000003</v>
      </c>
    </row>
    <row r="33" spans="1:17" x14ac:dyDescent="0.2">
      <c r="A33" s="56">
        <v>2000</v>
      </c>
      <c r="B33" s="60">
        <f t="shared" si="1"/>
        <v>85.581000000000003</v>
      </c>
      <c r="C33" s="60">
        <v>86.73</v>
      </c>
      <c r="D33" s="60">
        <v>87.498999999999995</v>
      </c>
      <c r="E33" s="60">
        <v>87.983999999999995</v>
      </c>
      <c r="F33" s="60">
        <v>88.484999999999999</v>
      </c>
      <c r="G33" s="60">
        <v>88.816000000000003</v>
      </c>
      <c r="H33" s="61">
        <v>89.341999999999999</v>
      </c>
      <c r="I33" s="60">
        <v>89.69</v>
      </c>
      <c r="J33" s="60">
        <v>90.183000000000007</v>
      </c>
      <c r="K33" s="60">
        <v>90.841999999999999</v>
      </c>
      <c r="L33" s="60">
        <v>91.466999999999999</v>
      </c>
      <c r="M33" s="60">
        <v>92.248999999999995</v>
      </c>
      <c r="N33" s="60">
        <v>93.248000000000005</v>
      </c>
    </row>
    <row r="34" spans="1:17" x14ac:dyDescent="0.2">
      <c r="A34" s="56">
        <v>2001</v>
      </c>
      <c r="B34" s="60">
        <f t="shared" si="1"/>
        <v>93.248000000000005</v>
      </c>
      <c r="C34" s="60">
        <v>93.765000000000001</v>
      </c>
      <c r="D34" s="60">
        <v>93.703000000000003</v>
      </c>
      <c r="E34" s="60">
        <v>94.296999999999997</v>
      </c>
      <c r="F34" s="60">
        <v>94.772000000000006</v>
      </c>
      <c r="G34" s="60">
        <v>94.99</v>
      </c>
      <c r="H34" s="61">
        <v>95.215000000000003</v>
      </c>
      <c r="I34" s="60">
        <v>94.966999999999999</v>
      </c>
      <c r="J34" s="60">
        <v>95.53</v>
      </c>
      <c r="K34" s="60">
        <v>96.418999999999997</v>
      </c>
      <c r="L34" s="60">
        <v>96.855000000000004</v>
      </c>
      <c r="M34" s="60">
        <v>97.22</v>
      </c>
      <c r="N34" s="60">
        <v>97.353999999999999</v>
      </c>
    </row>
    <row r="35" spans="1:17" x14ac:dyDescent="0.2">
      <c r="A35" s="56">
        <v>2002</v>
      </c>
      <c r="B35" s="60">
        <f t="shared" si="1"/>
        <v>97.353999999999999</v>
      </c>
      <c r="C35" s="60">
        <v>98.253</v>
      </c>
      <c r="D35" s="60">
        <v>98.19</v>
      </c>
      <c r="E35" s="60">
        <v>98.691999999999993</v>
      </c>
      <c r="F35" s="60">
        <v>99.230999999999995</v>
      </c>
      <c r="G35" s="60">
        <v>99.432000000000002</v>
      </c>
      <c r="H35" s="61">
        <v>99.917000000000002</v>
      </c>
      <c r="I35" s="60">
        <v>100.20399999999999</v>
      </c>
      <c r="J35" s="60">
        <v>100.58499999999999</v>
      </c>
      <c r="K35" s="60">
        <v>101.19</v>
      </c>
      <c r="L35" s="60">
        <v>101.636</v>
      </c>
      <c r="M35" s="60">
        <v>102.458</v>
      </c>
      <c r="N35" s="60">
        <v>102.904</v>
      </c>
    </row>
    <row r="36" spans="1:17" x14ac:dyDescent="0.2">
      <c r="A36" s="56">
        <v>2003</v>
      </c>
      <c r="B36" s="60">
        <f>+N35</f>
        <v>102.904</v>
      </c>
      <c r="C36" s="64">
        <v>103.32</v>
      </c>
      <c r="D36" s="64">
        <v>103.607</v>
      </c>
      <c r="E36" s="64">
        <v>104.261</v>
      </c>
      <c r="F36" s="64">
        <v>104.43899999999999</v>
      </c>
      <c r="G36" s="64">
        <v>104.102</v>
      </c>
      <c r="H36" s="65">
        <v>104.188</v>
      </c>
      <c r="I36" s="64">
        <v>104.339</v>
      </c>
      <c r="J36" s="64">
        <v>104.652</v>
      </c>
      <c r="K36" s="64">
        <v>105.27500000000001</v>
      </c>
      <c r="L36" s="64">
        <v>105.661</v>
      </c>
      <c r="M36" s="64">
        <v>106.538</v>
      </c>
      <c r="N36" s="64">
        <v>106.996</v>
      </c>
      <c r="O36">
        <f>TRUNC(N36/N35,4)</f>
        <v>1.0397000000000001</v>
      </c>
      <c r="P36" s="6">
        <f t="shared" ref="P36:P46" si="2">+O36-1</f>
        <v>3.9700000000000069E-2</v>
      </c>
    </row>
    <row r="37" spans="1:17" s="7" customFormat="1" x14ac:dyDescent="0.2">
      <c r="A37" s="56">
        <v>2004</v>
      </c>
      <c r="B37" s="66">
        <v>73.783729734575999</v>
      </c>
      <c r="C37" s="66">
        <v>74.2423093102</v>
      </c>
      <c r="D37" s="66">
        <v>74.686407425541006</v>
      </c>
      <c r="E37" s="66">
        <v>74.939488183818</v>
      </c>
      <c r="F37" s="66">
        <v>75.052581492694003</v>
      </c>
      <c r="G37" s="66">
        <v>74.864322509016006</v>
      </c>
      <c r="H37" s="61">
        <v>74.984311751359996</v>
      </c>
      <c r="I37" s="66">
        <v>75.180845855198996</v>
      </c>
      <c r="J37" s="66">
        <v>75.644942177597997</v>
      </c>
      <c r="K37" s="66">
        <v>76.270403343148999</v>
      </c>
      <c r="L37" s="66">
        <v>76.798631846800006</v>
      </c>
      <c r="M37" s="66">
        <v>77.453745526263006</v>
      </c>
      <c r="N37" s="66">
        <v>77.613731182722006</v>
      </c>
      <c r="O37" s="7">
        <f t="shared" ref="O37:O42" si="3">TRUNC(N37/N36,4)</f>
        <v>0.72529999999999994</v>
      </c>
      <c r="P37" s="8">
        <f t="shared" si="2"/>
        <v>-0.27470000000000006</v>
      </c>
      <c r="Q37" s="7" t="s">
        <v>26</v>
      </c>
    </row>
    <row r="38" spans="1:17" x14ac:dyDescent="0.2">
      <c r="A38" s="56">
        <v>2005</v>
      </c>
      <c r="B38" s="60">
        <v>77.613731182722006</v>
      </c>
      <c r="C38" s="60">
        <v>77.616489556109002</v>
      </c>
      <c r="D38" s="60">
        <v>77.875087061160002</v>
      </c>
      <c r="E38" s="60">
        <v>78.226090074683</v>
      </c>
      <c r="F38" s="60">
        <v>78.504685786791995</v>
      </c>
      <c r="G38" s="60">
        <v>78.307462089606005</v>
      </c>
      <c r="H38" s="61">
        <v>78.232296414803997</v>
      </c>
      <c r="I38" s="60">
        <v>78.538475860784999</v>
      </c>
      <c r="J38" s="60">
        <v>78.632260555949998</v>
      </c>
      <c r="K38" s="60">
        <v>78.947404715439006</v>
      </c>
      <c r="L38" s="60">
        <v>79.141180445890996</v>
      </c>
      <c r="M38" s="60">
        <v>79.710784550350994</v>
      </c>
      <c r="N38" s="67">
        <v>80.200395826581001</v>
      </c>
      <c r="O38">
        <f t="shared" si="3"/>
        <v>1.0333000000000001</v>
      </c>
      <c r="P38" s="6">
        <f t="shared" si="2"/>
        <v>3.3300000000000107E-2</v>
      </c>
    </row>
    <row r="39" spans="1:17" x14ac:dyDescent="0.2">
      <c r="A39" s="56">
        <v>2006</v>
      </c>
      <c r="B39" s="67">
        <v>80.200395826581001</v>
      </c>
      <c r="C39" s="60">
        <v>80.670698489100999</v>
      </c>
      <c r="D39" s="60">
        <v>80.794135698179005</v>
      </c>
      <c r="E39" s="60">
        <v>80.895505920158996</v>
      </c>
      <c r="F39" s="60">
        <v>81.014115975809005</v>
      </c>
      <c r="G39" s="60">
        <v>80.653458655430995</v>
      </c>
      <c r="H39" s="61">
        <v>80.723107583458003</v>
      </c>
      <c r="I39" s="60">
        <v>80.944467047781998</v>
      </c>
      <c r="J39" s="60">
        <v>81.357533462516997</v>
      </c>
      <c r="K39" s="60">
        <v>82.178839138559994</v>
      </c>
      <c r="L39" s="60">
        <v>82.538117272245003</v>
      </c>
      <c r="M39" s="60">
        <v>82.971181894037002</v>
      </c>
      <c r="N39" s="60">
        <v>83.451138863411998</v>
      </c>
      <c r="O39">
        <f t="shared" si="3"/>
        <v>1.0405</v>
      </c>
      <c r="P39" s="6">
        <f t="shared" si="2"/>
        <v>4.049999999999998E-2</v>
      </c>
    </row>
    <row r="40" spans="1:17" x14ac:dyDescent="0.2">
      <c r="A40" s="56">
        <v>2007</v>
      </c>
      <c r="B40" s="67">
        <v>83.451138863411998</v>
      </c>
      <c r="C40" s="60">
        <v>83.882134705164006</v>
      </c>
      <c r="D40" s="60">
        <v>84.116596443077995</v>
      </c>
      <c r="E40" s="60">
        <v>84.298649086634001</v>
      </c>
      <c r="F40" s="60">
        <v>84.248308772317003</v>
      </c>
      <c r="G40" s="60">
        <v>83.837311137621995</v>
      </c>
      <c r="H40" s="61">
        <v>83.937991766254996</v>
      </c>
      <c r="I40" s="60">
        <v>84.294511526552995</v>
      </c>
      <c r="J40" s="60">
        <v>84.637929013261001</v>
      </c>
      <c r="K40" s="60">
        <v>85.295111472765001</v>
      </c>
      <c r="L40" s="60">
        <v>85.627495465924</v>
      </c>
      <c r="M40" s="60">
        <v>86.231579237724006</v>
      </c>
      <c r="N40" s="60">
        <v>86.588098998020996</v>
      </c>
      <c r="O40">
        <f t="shared" si="3"/>
        <v>1.0375000000000001</v>
      </c>
      <c r="P40" s="6">
        <f t="shared" si="2"/>
        <v>3.7500000000000089E-2</v>
      </c>
      <c r="Q40" s="1"/>
    </row>
    <row r="41" spans="1:17" x14ac:dyDescent="0.2">
      <c r="A41" s="56">
        <v>2008</v>
      </c>
      <c r="B41" s="67">
        <v>86.588098998020996</v>
      </c>
      <c r="C41" s="60">
        <v>86.989442325859997</v>
      </c>
      <c r="D41" s="60">
        <v>87.248039830912006</v>
      </c>
      <c r="E41" s="60">
        <v>87.880396929930001</v>
      </c>
      <c r="F41" s="60">
        <v>88.080379000503001</v>
      </c>
      <c r="G41" s="60">
        <v>87.985215118645002</v>
      </c>
      <c r="H41" s="61">
        <v>88.349320405756998</v>
      </c>
      <c r="I41" s="60">
        <v>88.841690055374002</v>
      </c>
      <c r="J41" s="60">
        <v>89.354747505396006</v>
      </c>
      <c r="K41" s="60">
        <v>89.963658430622999</v>
      </c>
      <c r="L41" s="60">
        <v>90.576706915931993</v>
      </c>
      <c r="M41" s="60">
        <v>91.606269782709006</v>
      </c>
      <c r="N41" s="60">
        <v>92.240695661768001</v>
      </c>
      <c r="O41">
        <f t="shared" si="3"/>
        <v>1.0651999999999999</v>
      </c>
      <c r="P41" s="6">
        <f t="shared" si="2"/>
        <v>6.5199999999999925E-2</v>
      </c>
      <c r="Q41" s="2"/>
    </row>
    <row r="42" spans="1:17" x14ac:dyDescent="0.2">
      <c r="A42" s="56">
        <v>2009</v>
      </c>
      <c r="B42" s="67">
        <v>92.240695661768001</v>
      </c>
      <c r="C42" s="60">
        <v>92.454469599277004</v>
      </c>
      <c r="D42" s="60">
        <v>92.658589229930996</v>
      </c>
      <c r="E42" s="60">
        <v>93.19164488701</v>
      </c>
      <c r="F42" s="60">
        <v>93.517822540048002</v>
      </c>
      <c r="G42" s="60">
        <v>93.245433168060998</v>
      </c>
      <c r="H42" s="61">
        <v>93.417141911415001</v>
      </c>
      <c r="I42" s="60">
        <v>93.671601856384996</v>
      </c>
      <c r="J42" s="60">
        <v>93.895719694096002</v>
      </c>
      <c r="K42" s="60">
        <v>94.366711949963005</v>
      </c>
      <c r="L42" s="60">
        <v>94.652203595540001</v>
      </c>
      <c r="M42" s="60">
        <v>95.143194058464005</v>
      </c>
      <c r="N42" s="60">
        <v>95.536951859487999</v>
      </c>
      <c r="O42">
        <f t="shared" si="3"/>
        <v>1.0357000000000001</v>
      </c>
      <c r="P42" s="6">
        <f t="shared" si="2"/>
        <v>3.5700000000000065E-2</v>
      </c>
      <c r="Q42" s="2"/>
    </row>
    <row r="43" spans="1:17" s="9" customFormat="1" x14ac:dyDescent="0.2">
      <c r="A43" s="56">
        <v>2010</v>
      </c>
      <c r="B43" s="68">
        <f>+N42</f>
        <v>95.536951859487999</v>
      </c>
      <c r="C43" s="68">
        <v>96.575479439774</v>
      </c>
      <c r="D43" s="68">
        <v>97.134050050685005</v>
      </c>
      <c r="E43" s="68">
        <v>97.823643397488993</v>
      </c>
      <c r="F43" s="68">
        <v>97.511947204733005</v>
      </c>
      <c r="G43" s="68">
        <v>96.897519532732005</v>
      </c>
      <c r="H43" s="69">
        <v>96.867177425471994</v>
      </c>
      <c r="I43" s="68">
        <v>97.077503396246996</v>
      </c>
      <c r="J43" s="68">
        <v>97.347134394847004</v>
      </c>
      <c r="K43" s="68">
        <v>97.857433470000004</v>
      </c>
      <c r="L43" s="68">
        <v>98.461517243282003</v>
      </c>
      <c r="M43" s="68">
        <v>99.250412032024997</v>
      </c>
      <c r="N43" s="68">
        <v>99.742092088296005</v>
      </c>
      <c r="O43" s="10">
        <f>TRUNC(N43/N42,4)</f>
        <v>1.044</v>
      </c>
      <c r="P43" s="10">
        <f t="shared" si="2"/>
        <v>4.4000000000000039E-2</v>
      </c>
      <c r="Q43" s="2"/>
    </row>
    <row r="44" spans="1:17" x14ac:dyDescent="0.2">
      <c r="A44" s="56">
        <v>2011</v>
      </c>
      <c r="B44" s="67">
        <f>+N42</f>
        <v>95.536951859487999</v>
      </c>
      <c r="C44" s="67">
        <v>100.22799999999999</v>
      </c>
      <c r="D44" s="67">
        <v>100.604</v>
      </c>
      <c r="E44" s="67">
        <v>100.797</v>
      </c>
      <c r="F44" s="67">
        <v>100.789</v>
      </c>
      <c r="G44" s="67">
        <v>100.04600000000001</v>
      </c>
      <c r="H44" s="70">
        <v>100.041</v>
      </c>
      <c r="I44" s="67">
        <v>100.521</v>
      </c>
      <c r="J44" s="67">
        <v>100.68</v>
      </c>
      <c r="K44" s="67">
        <v>100.92700000000001</v>
      </c>
      <c r="L44" s="67">
        <v>101.608</v>
      </c>
      <c r="M44" s="67">
        <v>102.70699999999999</v>
      </c>
      <c r="N44" s="67">
        <v>103.551</v>
      </c>
      <c r="O44" s="6">
        <f>TRUNC(N44/N42,4)</f>
        <v>1.0838000000000001</v>
      </c>
      <c r="P44" s="11">
        <f t="shared" si="2"/>
        <v>8.3800000000000097E-2</v>
      </c>
      <c r="Q44" s="2"/>
    </row>
    <row r="45" spans="1:17" x14ac:dyDescent="0.2">
      <c r="A45" s="56">
        <v>2012</v>
      </c>
      <c r="B45" s="67">
        <f>+N44</f>
        <v>103.551</v>
      </c>
      <c r="C45" s="67">
        <v>104.28400000000001</v>
      </c>
      <c r="D45" s="67">
        <v>104.496</v>
      </c>
      <c r="E45" s="67">
        <v>104.556</v>
      </c>
      <c r="F45" s="67">
        <v>104.22799999999999</v>
      </c>
      <c r="G45" s="67">
        <v>103.899</v>
      </c>
      <c r="H45" s="70">
        <v>104.378</v>
      </c>
      <c r="I45" s="67">
        <v>104.964</v>
      </c>
      <c r="J45" s="67">
        <v>105.279</v>
      </c>
      <c r="K45" s="67">
        <v>105.74299999999999</v>
      </c>
      <c r="L45" s="67">
        <v>106.27800000000001</v>
      </c>
      <c r="M45" s="60">
        <v>107</v>
      </c>
      <c r="N45" s="60">
        <v>107.246</v>
      </c>
      <c r="O45" s="6">
        <f>TRUNC(N45/N44,4)</f>
        <v>1.0356000000000001</v>
      </c>
      <c r="P45" s="11">
        <f t="shared" si="2"/>
        <v>3.5600000000000076E-2</v>
      </c>
      <c r="Q45" s="2"/>
    </row>
    <row r="46" spans="1:17" x14ac:dyDescent="0.2">
      <c r="A46" s="56">
        <v>2013</v>
      </c>
      <c r="B46" s="68">
        <f>+N45</f>
        <v>107.246</v>
      </c>
      <c r="C46" s="55">
        <v>107.678</v>
      </c>
      <c r="D46" s="68">
        <v>108.208</v>
      </c>
      <c r="E46" s="68">
        <v>109.002</v>
      </c>
      <c r="F46" s="55">
        <v>109.074</v>
      </c>
      <c r="G46" s="68">
        <v>108.711</v>
      </c>
      <c r="H46" s="69">
        <v>108.645</v>
      </c>
      <c r="I46" s="68">
        <v>108.60899999999999</v>
      </c>
      <c r="J46" s="68">
        <v>108.91800000000001</v>
      </c>
      <c r="K46" s="68">
        <v>109.328</v>
      </c>
      <c r="L46" s="68">
        <v>109.848</v>
      </c>
      <c r="M46" s="68">
        <v>110.872</v>
      </c>
      <c r="N46" s="68">
        <v>111.508</v>
      </c>
      <c r="O46" s="6">
        <f>TRUNC(J46/N45,4)</f>
        <v>1.0155000000000001</v>
      </c>
      <c r="P46" s="11">
        <f t="shared" si="2"/>
        <v>1.5500000000000069E-2</v>
      </c>
      <c r="Q46" s="2"/>
    </row>
    <row r="47" spans="1:17" x14ac:dyDescent="0.2">
      <c r="A47" s="56">
        <v>2014</v>
      </c>
      <c r="B47" s="67">
        <f>+N46</f>
        <v>111.508</v>
      </c>
      <c r="C47" s="67">
        <v>112.505</v>
      </c>
      <c r="D47" s="67">
        <v>112.79</v>
      </c>
      <c r="E47" s="67">
        <v>113.099</v>
      </c>
      <c r="F47" s="67">
        <v>112.88800000000001</v>
      </c>
      <c r="G47" s="67">
        <v>112.527</v>
      </c>
      <c r="H47" s="70">
        <v>112.72199999999999</v>
      </c>
      <c r="I47" s="67">
        <v>113.032</v>
      </c>
      <c r="J47" s="68">
        <v>113.438</v>
      </c>
      <c r="K47" s="68">
        <v>113.93899999999999</v>
      </c>
      <c r="L47" s="68">
        <v>114.569</v>
      </c>
      <c r="M47" s="68">
        <v>115.49299999999999</v>
      </c>
      <c r="N47" s="68">
        <v>116.059</v>
      </c>
      <c r="O47" s="2"/>
      <c r="P47" s="2"/>
      <c r="Q47" s="2"/>
    </row>
    <row r="48" spans="1:17" x14ac:dyDescent="0.2">
      <c r="A48" s="56">
        <v>2015</v>
      </c>
      <c r="B48" s="67">
        <v>116.059</v>
      </c>
      <c r="C48" s="67">
        <v>115.95399999999999</v>
      </c>
      <c r="D48" s="67">
        <v>116.17400000000001</v>
      </c>
      <c r="E48" s="67">
        <v>116.64700000000001</v>
      </c>
      <c r="F48" s="67">
        <v>116.345</v>
      </c>
      <c r="G48" s="67">
        <v>115.764</v>
      </c>
      <c r="H48" s="70">
        <v>115.958</v>
      </c>
      <c r="I48" s="67">
        <v>116.128</v>
      </c>
      <c r="J48" s="68">
        <v>116.373</v>
      </c>
      <c r="K48" s="68">
        <v>116.809</v>
      </c>
      <c r="L48" s="68">
        <v>117.41</v>
      </c>
      <c r="M48" s="68">
        <v>118.051</v>
      </c>
      <c r="N48" s="68">
        <v>118.532</v>
      </c>
      <c r="O48" s="2"/>
      <c r="P48" s="2"/>
      <c r="Q48" s="2"/>
    </row>
    <row r="49" spans="1:17" x14ac:dyDescent="0.2">
      <c r="A49" s="56">
        <v>2016</v>
      </c>
      <c r="B49" s="67">
        <v>118.532</v>
      </c>
      <c r="C49" s="67">
        <v>118.98</v>
      </c>
      <c r="D49" s="67">
        <v>119.505</v>
      </c>
      <c r="E49" s="67">
        <v>119.681</v>
      </c>
      <c r="F49" s="67">
        <v>119.30200000000001</v>
      </c>
      <c r="G49" s="67">
        <v>118.77</v>
      </c>
      <c r="H49" s="70">
        <v>118.901</v>
      </c>
      <c r="I49" s="67">
        <v>119.211</v>
      </c>
      <c r="J49" s="68">
        <v>119.547</v>
      </c>
      <c r="K49" s="68">
        <v>120.277</v>
      </c>
      <c r="L49" s="68">
        <v>121.00700000000001</v>
      </c>
      <c r="M49" s="68">
        <v>121.953</v>
      </c>
      <c r="N49" s="68">
        <v>122.515</v>
      </c>
      <c r="O49" s="2"/>
      <c r="P49" s="2"/>
      <c r="Q49" s="2"/>
    </row>
    <row r="50" spans="1:17" x14ac:dyDescent="0.2">
      <c r="A50" s="56">
        <v>2017</v>
      </c>
      <c r="B50" s="68">
        <v>122.515</v>
      </c>
      <c r="C50" s="67">
        <v>124.598</v>
      </c>
      <c r="D50" s="67">
        <v>125.318</v>
      </c>
      <c r="E50">
        <v>126.087</v>
      </c>
      <c r="F50" s="67">
        <v>126.242</v>
      </c>
      <c r="G50" s="67"/>
      <c r="H50" s="70"/>
      <c r="I50" s="67"/>
      <c r="J50" s="68"/>
      <c r="K50" s="68"/>
      <c r="L50" s="68"/>
      <c r="M50" s="68"/>
      <c r="N50" s="68"/>
      <c r="O50" s="2"/>
      <c r="P50" s="2"/>
      <c r="Q50" s="2"/>
    </row>
    <row r="51" spans="1:17" x14ac:dyDescent="0.2">
      <c r="D51" s="86"/>
      <c r="H51" s="70"/>
      <c r="J51" s="85"/>
      <c r="L51" s="86"/>
      <c r="N51" s="85"/>
      <c r="O51" s="2"/>
      <c r="P51" s="2"/>
      <c r="Q51" s="2"/>
    </row>
    <row r="52" spans="1:17" x14ac:dyDescent="0.2">
      <c r="H52" s="70"/>
      <c r="O52" s="2"/>
      <c r="P52" s="2"/>
      <c r="Q52" s="2"/>
    </row>
    <row r="53" spans="1:17" x14ac:dyDescent="0.2">
      <c r="H53" s="70"/>
    </row>
    <row r="54" spans="1:17" x14ac:dyDescent="0.2">
      <c r="H54" s="70"/>
    </row>
    <row r="55" spans="1:17" x14ac:dyDescent="0.2">
      <c r="H55" s="70"/>
    </row>
    <row r="56" spans="1:17" x14ac:dyDescent="0.2">
      <c r="H56" s="70"/>
    </row>
    <row r="57" spans="1:17" x14ac:dyDescent="0.2">
      <c r="H57" s="70"/>
    </row>
    <row r="58" spans="1:17" x14ac:dyDescent="0.2">
      <c r="H58" s="70"/>
    </row>
    <row r="63" spans="1:17" x14ac:dyDescent="0.2">
      <c r="M63" t="s">
        <v>25</v>
      </c>
    </row>
    <row r="64" spans="1:17" x14ac:dyDescent="0.2">
      <c r="M64" t="s">
        <v>25</v>
      </c>
    </row>
    <row r="65" spans="13:16" x14ac:dyDescent="0.2">
      <c r="M65" t="s">
        <v>25</v>
      </c>
    </row>
    <row r="66" spans="13:16" x14ac:dyDescent="0.2">
      <c r="M66" t="s">
        <v>25</v>
      </c>
    </row>
    <row r="67" spans="13:16" x14ac:dyDescent="0.2">
      <c r="M67" t="s">
        <v>25</v>
      </c>
    </row>
    <row r="68" spans="13:16" x14ac:dyDescent="0.2">
      <c r="M68" t="s">
        <v>25</v>
      </c>
    </row>
    <row r="69" spans="13:16" x14ac:dyDescent="0.2">
      <c r="M69" t="s">
        <v>25</v>
      </c>
    </row>
    <row r="70" spans="13:16" x14ac:dyDescent="0.2">
      <c r="M70" t="s">
        <v>25</v>
      </c>
    </row>
    <row r="71" spans="13:16" x14ac:dyDescent="0.2">
      <c r="M71" t="s">
        <v>25</v>
      </c>
    </row>
    <row r="72" spans="13:16" x14ac:dyDescent="0.2">
      <c r="M72" t="s">
        <v>25</v>
      </c>
    </row>
    <row r="73" spans="13:16" x14ac:dyDescent="0.2">
      <c r="M73" t="s">
        <v>25</v>
      </c>
      <c r="P73" t="s">
        <v>25</v>
      </c>
    </row>
    <row r="188" spans="10:10" x14ac:dyDescent="0.2">
      <c r="J188">
        <f>INDICES!M497</f>
        <v>0</v>
      </c>
    </row>
    <row r="346" spans="5:5" x14ac:dyDescent="0.2">
      <c r="E346" s="12">
        <f>[1]BalGen!D17+[1]BalGen!D18</f>
        <v>3457562.95</v>
      </c>
    </row>
  </sheetData>
  <phoneticPr fontId="0" type="noConversion"/>
  <pageMargins left="0.29652777777777778" right="0.26458333333333334" top="0.31388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29652777777777778" right="0.26458333333333334" top="0.31388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</vt:lpstr>
      <vt:lpstr>INDICES</vt:lpstr>
      <vt:lpstr>Hoja3</vt:lpstr>
      <vt:lpstr>REPORTE!Área_de_impresión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qm</dc:creator>
  <cp:lastModifiedBy>ljimenez</cp:lastModifiedBy>
  <cp:lastPrinted>2014-10-30T19:00:09Z</cp:lastPrinted>
  <dcterms:created xsi:type="dcterms:W3CDTF">2014-04-01T16:50:44Z</dcterms:created>
  <dcterms:modified xsi:type="dcterms:W3CDTF">2017-06-02T22:38:36Z</dcterms:modified>
</cp:coreProperties>
</file>