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30" windowHeight="7260" activeTab="2"/>
  </bookViews>
  <sheets>
    <sheet name="JULIO" sheetId="1" r:id="rId1"/>
    <sheet name="AGOSTO" sheetId="3" r:id="rId2"/>
    <sheet name="SEPTIEMBRE" sheetId="5" r:id="rId3"/>
  </sheets>
  <calcPr calcId="114210"/>
</workbook>
</file>

<file path=xl/calcChain.xml><?xml version="1.0" encoding="utf-8"?>
<calcChain xmlns="http://schemas.openxmlformats.org/spreadsheetml/2006/main">
  <c r="N121" i="5"/>
  <c r="N120"/>
  <c r="N85"/>
  <c r="N83"/>
  <c r="N71"/>
  <c r="N14"/>
  <c r="N10"/>
  <c r="N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9"/>
  <c r="G9"/>
  <c r="H9"/>
  <c r="I9"/>
  <c r="J9"/>
  <c r="K9"/>
  <c r="L9"/>
  <c r="G10"/>
  <c r="H10"/>
  <c r="I10"/>
  <c r="J10"/>
  <c r="K10"/>
  <c r="L10"/>
  <c r="G11"/>
  <c r="H11"/>
  <c r="I11"/>
  <c r="J11"/>
  <c r="K11"/>
  <c r="L11"/>
  <c r="G12"/>
  <c r="H12"/>
  <c r="I12"/>
  <c r="J12"/>
  <c r="K12"/>
  <c r="L12"/>
  <c r="G13"/>
  <c r="H13"/>
  <c r="I13"/>
  <c r="J13"/>
  <c r="K13"/>
  <c r="L13"/>
  <c r="G14"/>
  <c r="H14"/>
  <c r="I14"/>
  <c r="J14"/>
  <c r="K14"/>
  <c r="L14"/>
  <c r="G15"/>
  <c r="H15"/>
  <c r="I15"/>
  <c r="J15"/>
  <c r="K15"/>
  <c r="L15"/>
  <c r="G16"/>
  <c r="H16"/>
  <c r="I16"/>
  <c r="J16"/>
  <c r="K16"/>
  <c r="L16"/>
  <c r="G17"/>
  <c r="H17"/>
  <c r="I17"/>
  <c r="J17"/>
  <c r="K17"/>
  <c r="L17"/>
  <c r="G18"/>
  <c r="H18"/>
  <c r="I18"/>
  <c r="J18"/>
  <c r="K18"/>
  <c r="L18"/>
  <c r="G19"/>
  <c r="H19"/>
  <c r="I19"/>
  <c r="J19"/>
  <c r="K19"/>
  <c r="L19"/>
  <c r="G20"/>
  <c r="H20"/>
  <c r="I20"/>
  <c r="J20"/>
  <c r="K20"/>
  <c r="L20"/>
  <c r="G21"/>
  <c r="H21"/>
  <c r="I21"/>
  <c r="J21"/>
  <c r="K21"/>
  <c r="L21"/>
  <c r="G22"/>
  <c r="H22"/>
  <c r="I22"/>
  <c r="J22"/>
  <c r="K22"/>
  <c r="L22"/>
  <c r="G23"/>
  <c r="H23"/>
  <c r="I23"/>
  <c r="J23"/>
  <c r="K23"/>
  <c r="L23"/>
  <c r="G24"/>
  <c r="H24"/>
  <c r="I24"/>
  <c r="J24"/>
  <c r="K24"/>
  <c r="L24"/>
  <c r="G25"/>
  <c r="H25"/>
  <c r="I25"/>
  <c r="J25"/>
  <c r="K25"/>
  <c r="L25"/>
  <c r="G26"/>
  <c r="H26"/>
  <c r="I26"/>
  <c r="J26"/>
  <c r="K26"/>
  <c r="L26"/>
  <c r="G27"/>
  <c r="H27"/>
  <c r="I27"/>
  <c r="J27"/>
  <c r="K27"/>
  <c r="L27"/>
  <c r="G28"/>
  <c r="H28"/>
  <c r="I28"/>
  <c r="J28"/>
  <c r="K28"/>
  <c r="L28"/>
  <c r="G29"/>
  <c r="H29"/>
  <c r="I29"/>
  <c r="J29"/>
  <c r="K29"/>
  <c r="L29"/>
  <c r="G30"/>
  <c r="H30"/>
  <c r="I30"/>
  <c r="J30"/>
  <c r="K30"/>
  <c r="L30"/>
  <c r="G31"/>
  <c r="H31"/>
  <c r="I31"/>
  <c r="J31"/>
  <c r="K31"/>
  <c r="L31"/>
  <c r="G32"/>
  <c r="H32"/>
  <c r="I32"/>
  <c r="J32"/>
  <c r="K32"/>
  <c r="L32"/>
  <c r="G33"/>
  <c r="H33"/>
  <c r="I33"/>
  <c r="J33"/>
  <c r="K33"/>
  <c r="L33"/>
  <c r="G34"/>
  <c r="H34"/>
  <c r="I34"/>
  <c r="J34"/>
  <c r="K34"/>
  <c r="L34"/>
  <c r="G35"/>
  <c r="H35"/>
  <c r="I35"/>
  <c r="J35"/>
  <c r="K35"/>
  <c r="L35"/>
  <c r="G36"/>
  <c r="H36"/>
  <c r="I36"/>
  <c r="J36"/>
  <c r="K36"/>
  <c r="L36"/>
  <c r="G37"/>
  <c r="H37"/>
  <c r="I37"/>
  <c r="J37"/>
  <c r="K37"/>
  <c r="L37"/>
  <c r="G38"/>
  <c r="H38"/>
  <c r="I38"/>
  <c r="J38"/>
  <c r="K38"/>
  <c r="L38"/>
  <c r="G39"/>
  <c r="H39"/>
  <c r="I39"/>
  <c r="J39"/>
  <c r="K39"/>
  <c r="L39"/>
  <c r="G40"/>
  <c r="H40"/>
  <c r="I40"/>
  <c r="J40"/>
  <c r="K40"/>
  <c r="L40"/>
  <c r="G41"/>
  <c r="H41"/>
  <c r="I41"/>
  <c r="J41"/>
  <c r="K41"/>
  <c r="L41"/>
  <c r="G42"/>
  <c r="H42"/>
  <c r="I42"/>
  <c r="J42"/>
  <c r="K42"/>
  <c r="L42"/>
  <c r="G43"/>
  <c r="H43"/>
  <c r="I43"/>
  <c r="J43"/>
  <c r="K43"/>
  <c r="L43"/>
  <c r="G44"/>
  <c r="H44"/>
  <c r="I44"/>
  <c r="J44"/>
  <c r="K44"/>
  <c r="L44"/>
  <c r="G45"/>
  <c r="H45"/>
  <c r="I45"/>
  <c r="J45"/>
  <c r="K45"/>
  <c r="L45"/>
  <c r="G46"/>
  <c r="H46"/>
  <c r="I46"/>
  <c r="J46"/>
  <c r="K46"/>
  <c r="L46"/>
  <c r="G47"/>
  <c r="H47"/>
  <c r="I47"/>
  <c r="J47"/>
  <c r="K47"/>
  <c r="L47"/>
  <c r="G48"/>
  <c r="H48"/>
  <c r="I48"/>
  <c r="J48"/>
  <c r="K48"/>
  <c r="L48"/>
  <c r="G49"/>
  <c r="H49"/>
  <c r="I49"/>
  <c r="J49"/>
  <c r="K49"/>
  <c r="L49"/>
  <c r="G50"/>
  <c r="H50"/>
  <c r="I50"/>
  <c r="J50"/>
  <c r="K50"/>
  <c r="L50"/>
  <c r="G51"/>
  <c r="H51"/>
  <c r="I51"/>
  <c r="J51"/>
  <c r="K51"/>
  <c r="L51"/>
  <c r="G52"/>
  <c r="H52"/>
  <c r="I52"/>
  <c r="J52"/>
  <c r="K52"/>
  <c r="L52"/>
  <c r="G53"/>
  <c r="H53"/>
  <c r="I53"/>
  <c r="J53"/>
  <c r="K53"/>
  <c r="L53"/>
  <c r="G54"/>
  <c r="H54"/>
  <c r="I54"/>
  <c r="J54"/>
  <c r="K54"/>
  <c r="L54"/>
  <c r="G55"/>
  <c r="H55"/>
  <c r="I55"/>
  <c r="J55"/>
  <c r="K55"/>
  <c r="L55"/>
  <c r="G56"/>
  <c r="H56"/>
  <c r="I56"/>
  <c r="J56"/>
  <c r="K56"/>
  <c r="L56"/>
  <c r="G57"/>
  <c r="H57"/>
  <c r="I57"/>
  <c r="J57"/>
  <c r="K57"/>
  <c r="L57"/>
  <c r="G58"/>
  <c r="H58"/>
  <c r="I58"/>
  <c r="J58"/>
  <c r="K58"/>
  <c r="L58"/>
  <c r="G59"/>
  <c r="H59"/>
  <c r="I59"/>
  <c r="J59"/>
  <c r="K59"/>
  <c r="L59"/>
  <c r="G60"/>
  <c r="H60"/>
  <c r="I60"/>
  <c r="J60"/>
  <c r="K60"/>
  <c r="L60"/>
  <c r="G61"/>
  <c r="H61"/>
  <c r="I61"/>
  <c r="J61"/>
  <c r="K61"/>
  <c r="L61"/>
  <c r="G62"/>
  <c r="H62"/>
  <c r="I62"/>
  <c r="J62"/>
  <c r="K62"/>
  <c r="L62"/>
  <c r="G63"/>
  <c r="H63"/>
  <c r="I63"/>
  <c r="J63"/>
  <c r="K63"/>
  <c r="L63"/>
  <c r="G64"/>
  <c r="H64"/>
  <c r="I64"/>
  <c r="J64"/>
  <c r="K64"/>
  <c r="L64"/>
  <c r="G65"/>
  <c r="H65"/>
  <c r="I65"/>
  <c r="J65"/>
  <c r="K65"/>
  <c r="L65"/>
  <c r="G66"/>
  <c r="H66"/>
  <c r="I66"/>
  <c r="J66"/>
  <c r="K66"/>
  <c r="L66"/>
  <c r="G67"/>
  <c r="H67"/>
  <c r="I67"/>
  <c r="J67"/>
  <c r="K67"/>
  <c r="L67"/>
  <c r="G68"/>
  <c r="H68"/>
  <c r="I68"/>
  <c r="J68"/>
  <c r="K68"/>
  <c r="L68"/>
  <c r="G69"/>
  <c r="H69"/>
  <c r="I69"/>
  <c r="J69"/>
  <c r="K69"/>
  <c r="L69"/>
  <c r="G70"/>
  <c r="H70"/>
  <c r="I70"/>
  <c r="J70"/>
  <c r="K70"/>
  <c r="L70"/>
  <c r="G71"/>
  <c r="H71"/>
  <c r="I71"/>
  <c r="J71"/>
  <c r="K71"/>
  <c r="L71"/>
  <c r="G72"/>
  <c r="H72"/>
  <c r="I72"/>
  <c r="J72"/>
  <c r="K72"/>
  <c r="L72"/>
  <c r="G73"/>
  <c r="H73"/>
  <c r="I73"/>
  <c r="J73"/>
  <c r="K73"/>
  <c r="L73"/>
  <c r="G74"/>
  <c r="H74"/>
  <c r="I74"/>
  <c r="J74"/>
  <c r="K74"/>
  <c r="L74"/>
  <c r="G75"/>
  <c r="H75"/>
  <c r="I75"/>
  <c r="J75"/>
  <c r="K75"/>
  <c r="L75"/>
  <c r="G76"/>
  <c r="H76"/>
  <c r="I76"/>
  <c r="J76"/>
  <c r="K76"/>
  <c r="L76"/>
  <c r="G77"/>
  <c r="H77"/>
  <c r="I77"/>
  <c r="J77"/>
  <c r="K77"/>
  <c r="L77"/>
  <c r="G78"/>
  <c r="H78"/>
  <c r="I78"/>
  <c r="J78"/>
  <c r="K78"/>
  <c r="L78"/>
  <c r="G79"/>
  <c r="H79"/>
  <c r="I79"/>
  <c r="J79"/>
  <c r="K79"/>
  <c r="L79"/>
  <c r="G80"/>
  <c r="H80"/>
  <c r="I80"/>
  <c r="J80"/>
  <c r="K80"/>
  <c r="L80"/>
  <c r="G81"/>
  <c r="H81"/>
  <c r="I81"/>
  <c r="J81"/>
  <c r="K81"/>
  <c r="L81"/>
  <c r="G82"/>
  <c r="H82"/>
  <c r="I82"/>
  <c r="J82"/>
  <c r="K82"/>
  <c r="L82"/>
  <c r="G83"/>
  <c r="H83"/>
  <c r="I83"/>
  <c r="J83"/>
  <c r="K83"/>
  <c r="L83"/>
  <c r="G84"/>
  <c r="H84"/>
  <c r="I84"/>
  <c r="J84"/>
  <c r="K84"/>
  <c r="L84"/>
  <c r="G85"/>
  <c r="H85"/>
  <c r="I85"/>
  <c r="J85"/>
  <c r="K85"/>
  <c r="L85"/>
  <c r="G86"/>
  <c r="H86"/>
  <c r="I86"/>
  <c r="J86"/>
  <c r="K86"/>
  <c r="L86"/>
  <c r="G87"/>
  <c r="H87"/>
  <c r="I87"/>
  <c r="J87"/>
  <c r="K87"/>
  <c r="L87"/>
  <c r="G88"/>
  <c r="H88"/>
  <c r="I88"/>
  <c r="J88"/>
  <c r="K88"/>
  <c r="L88"/>
  <c r="G89"/>
  <c r="H89"/>
  <c r="I89"/>
  <c r="J89"/>
  <c r="K89"/>
  <c r="L89"/>
  <c r="G90"/>
  <c r="H90"/>
  <c r="I90"/>
  <c r="J90"/>
  <c r="K90"/>
  <c r="L90"/>
  <c r="G91"/>
  <c r="H91"/>
  <c r="I91"/>
  <c r="J91"/>
  <c r="K91"/>
  <c r="L91"/>
  <c r="G92"/>
  <c r="H92"/>
  <c r="I92"/>
  <c r="J92"/>
  <c r="K92"/>
  <c r="L92"/>
  <c r="G93"/>
  <c r="H93"/>
  <c r="I93"/>
  <c r="J93"/>
  <c r="K93"/>
  <c r="L93"/>
  <c r="G94"/>
  <c r="H94"/>
  <c r="I94"/>
  <c r="J94"/>
  <c r="K94"/>
  <c r="L94"/>
  <c r="G95"/>
  <c r="H95"/>
  <c r="I95"/>
  <c r="J95"/>
  <c r="K95"/>
  <c r="L95"/>
  <c r="G96"/>
  <c r="H96"/>
  <c r="I96"/>
  <c r="J96"/>
  <c r="K96"/>
  <c r="L96"/>
  <c r="G97"/>
  <c r="H97"/>
  <c r="I97"/>
  <c r="J97"/>
  <c r="K97"/>
  <c r="L97"/>
  <c r="G98"/>
  <c r="H98"/>
  <c r="I98"/>
  <c r="J98"/>
  <c r="K98"/>
  <c r="L98"/>
  <c r="G99"/>
  <c r="H99"/>
  <c r="I99"/>
  <c r="J99"/>
  <c r="K99"/>
  <c r="L99"/>
  <c r="G100"/>
  <c r="H100"/>
  <c r="I100"/>
  <c r="J100"/>
  <c r="K100"/>
  <c r="L100"/>
  <c r="G101"/>
  <c r="H101"/>
  <c r="I101"/>
  <c r="J101"/>
  <c r="K101"/>
  <c r="L101"/>
  <c r="G102"/>
  <c r="H102"/>
  <c r="I102"/>
  <c r="J102"/>
  <c r="K102"/>
  <c r="L102"/>
  <c r="G103"/>
  <c r="H103"/>
  <c r="I103"/>
  <c r="J103"/>
  <c r="K103"/>
  <c r="L103"/>
  <c r="G104"/>
  <c r="H104"/>
  <c r="I104"/>
  <c r="J104"/>
  <c r="K104"/>
  <c r="L104"/>
  <c r="G105"/>
  <c r="H105"/>
  <c r="I105"/>
  <c r="J105"/>
  <c r="K105"/>
  <c r="L105"/>
  <c r="G106"/>
  <c r="H106"/>
  <c r="I106"/>
  <c r="J106"/>
  <c r="K106"/>
  <c r="L106"/>
  <c r="G107"/>
  <c r="H107"/>
  <c r="I107"/>
  <c r="J107"/>
  <c r="K107"/>
  <c r="L107"/>
  <c r="G108"/>
  <c r="H108"/>
  <c r="I108"/>
  <c r="J108"/>
  <c r="K108"/>
  <c r="L108"/>
  <c r="G109"/>
  <c r="H109"/>
  <c r="I109"/>
  <c r="J109"/>
  <c r="K109"/>
  <c r="L109"/>
  <c r="G110"/>
  <c r="H110"/>
  <c r="I110"/>
  <c r="J110"/>
  <c r="K110"/>
  <c r="L110"/>
  <c r="G111"/>
  <c r="H111"/>
  <c r="I111"/>
  <c r="J111"/>
  <c r="K111"/>
  <c r="L111"/>
  <c r="G112"/>
  <c r="H112"/>
  <c r="I112"/>
  <c r="J112"/>
  <c r="K112"/>
  <c r="L112"/>
  <c r="G113"/>
  <c r="H113"/>
  <c r="I113"/>
  <c r="J113"/>
  <c r="K113"/>
  <c r="L113"/>
  <c r="G114"/>
  <c r="H114"/>
  <c r="I114"/>
  <c r="J114"/>
  <c r="K114"/>
  <c r="L114"/>
  <c r="G115"/>
  <c r="H115"/>
  <c r="I115"/>
  <c r="J115"/>
  <c r="K115"/>
  <c r="L115"/>
  <c r="G116"/>
  <c r="H116"/>
  <c r="I116"/>
  <c r="J116"/>
  <c r="K116"/>
  <c r="L116"/>
  <c r="G117"/>
  <c r="H117"/>
  <c r="I117"/>
  <c r="J117"/>
  <c r="K117"/>
  <c r="L117"/>
  <c r="G118"/>
  <c r="H118"/>
  <c r="I118"/>
  <c r="J118"/>
  <c r="K118"/>
  <c r="L118"/>
  <c r="G119"/>
  <c r="H119"/>
  <c r="I119"/>
  <c r="J119"/>
  <c r="K119"/>
  <c r="L119"/>
  <c r="G120"/>
  <c r="H120"/>
  <c r="I120"/>
  <c r="J120"/>
  <c r="K120"/>
  <c r="L120"/>
  <c r="G121"/>
  <c r="H121"/>
  <c r="I121"/>
  <c r="J121"/>
  <c r="K121"/>
  <c r="L121"/>
  <c r="G122"/>
  <c r="H122"/>
  <c r="I122"/>
  <c r="J122"/>
  <c r="K122"/>
  <c r="L122"/>
  <c r="G123"/>
  <c r="H123"/>
  <c r="I123"/>
  <c r="J123"/>
  <c r="K123"/>
  <c r="L123"/>
  <c r="G124"/>
  <c r="H124"/>
  <c r="I124"/>
  <c r="J124"/>
  <c r="K124"/>
  <c r="L124"/>
  <c r="G125"/>
  <c r="H125"/>
  <c r="I125"/>
  <c r="J125"/>
  <c r="K125"/>
  <c r="L125"/>
  <c r="G126"/>
  <c r="H126"/>
  <c r="I126"/>
  <c r="J126"/>
  <c r="K126"/>
  <c r="L126"/>
  <c r="G127"/>
  <c r="H127"/>
  <c r="I127"/>
  <c r="J127"/>
  <c r="K127"/>
  <c r="L127"/>
  <c r="G128"/>
  <c r="H128"/>
  <c r="I128"/>
  <c r="J128"/>
  <c r="K128"/>
  <c r="L128"/>
  <c r="G129"/>
  <c r="H129"/>
  <c r="I129"/>
  <c r="J129"/>
  <c r="K129"/>
  <c r="L129"/>
  <c r="G130"/>
  <c r="H130"/>
  <c r="I130"/>
  <c r="J130"/>
  <c r="K130"/>
  <c r="L130"/>
  <c r="G131"/>
  <c r="H131"/>
  <c r="I131"/>
  <c r="J131"/>
  <c r="K131"/>
  <c r="L131"/>
  <c r="G132"/>
  <c r="H132"/>
  <c r="I132"/>
  <c r="J132"/>
  <c r="K132"/>
  <c r="L132"/>
  <c r="G133"/>
  <c r="H133"/>
  <c r="I133"/>
  <c r="J133"/>
  <c r="K133"/>
  <c r="L133"/>
  <c r="G134"/>
  <c r="H134"/>
  <c r="I134"/>
  <c r="J134"/>
  <c r="K134"/>
  <c r="L134"/>
  <c r="G135"/>
  <c r="H135"/>
  <c r="I135"/>
  <c r="J135"/>
  <c r="K135"/>
  <c r="L135"/>
  <c r="G136"/>
  <c r="H136"/>
  <c r="I136"/>
  <c r="J136"/>
  <c r="K136"/>
  <c r="L136"/>
  <c r="G137"/>
  <c r="H137"/>
  <c r="I137"/>
  <c r="J137"/>
  <c r="K137"/>
  <c r="L137"/>
  <c r="G138"/>
  <c r="H138"/>
  <c r="I138"/>
  <c r="J138"/>
  <c r="K138"/>
  <c r="L138"/>
  <c r="G139"/>
  <c r="H139"/>
  <c r="I139"/>
  <c r="J139"/>
  <c r="K139"/>
  <c r="L139"/>
  <c r="G140"/>
  <c r="H140"/>
  <c r="I140"/>
  <c r="J140"/>
  <c r="K140"/>
  <c r="L140"/>
  <c r="G141"/>
  <c r="H141"/>
  <c r="I141"/>
  <c r="J141"/>
  <c r="K141"/>
  <c r="L141"/>
  <c r="G142"/>
  <c r="H142"/>
  <c r="I142"/>
  <c r="J142"/>
  <c r="K142"/>
  <c r="L142"/>
  <c r="G143"/>
  <c r="H143"/>
  <c r="I143"/>
  <c r="J143"/>
  <c r="K143"/>
  <c r="L143"/>
  <c r="G144"/>
  <c r="H144"/>
  <c r="I144"/>
  <c r="J144"/>
  <c r="K144"/>
  <c r="L144"/>
  <c r="G145"/>
  <c r="H145"/>
  <c r="I145"/>
  <c r="J145"/>
  <c r="K145"/>
  <c r="L145"/>
  <c r="G146"/>
  <c r="H146"/>
  <c r="I146"/>
  <c r="J146"/>
  <c r="K146"/>
  <c r="L146"/>
  <c r="G147"/>
  <c r="H147"/>
  <c r="I147"/>
  <c r="J147"/>
  <c r="K147"/>
  <c r="L147"/>
  <c r="G148"/>
  <c r="H148"/>
  <c r="I148"/>
  <c r="J148"/>
  <c r="K148"/>
  <c r="L148"/>
  <c r="G149"/>
  <c r="H149"/>
  <c r="I149"/>
  <c r="J149"/>
  <c r="K149"/>
  <c r="L149"/>
  <c r="G150"/>
  <c r="H150"/>
  <c r="I150"/>
  <c r="J150"/>
  <c r="K150"/>
  <c r="L150"/>
  <c r="G151"/>
  <c r="H151"/>
  <c r="I151"/>
  <c r="J151"/>
  <c r="K151"/>
  <c r="L151"/>
  <c r="G152"/>
  <c r="H152"/>
  <c r="I152"/>
  <c r="J152"/>
  <c r="K152"/>
  <c r="L152"/>
  <c r="G153"/>
  <c r="H153"/>
  <c r="I153"/>
  <c r="J153"/>
  <c r="K153"/>
  <c r="L153"/>
  <c r="G154"/>
  <c r="H154"/>
  <c r="I154"/>
  <c r="J154"/>
  <c r="K154"/>
  <c r="L154"/>
  <c r="G155"/>
  <c r="H155"/>
  <c r="I155"/>
  <c r="J155"/>
  <c r="K155"/>
  <c r="L155"/>
  <c r="G156"/>
  <c r="H156"/>
  <c r="I156"/>
  <c r="J156"/>
  <c r="K156"/>
  <c r="L156"/>
  <c r="L163"/>
  <c r="O142" i="3"/>
  <c r="O138"/>
  <c r="O68"/>
  <c r="O65"/>
  <c r="O48"/>
  <c r="O34"/>
  <c r="O33"/>
  <c r="O32"/>
  <c r="O26"/>
  <c r="O22"/>
  <c r="O21"/>
  <c r="O20"/>
  <c r="O19"/>
  <c r="O18"/>
  <c r="O17"/>
  <c r="O16"/>
  <c r="O15"/>
  <c r="O14"/>
  <c r="O13"/>
  <c r="O12"/>
  <c r="O11"/>
  <c r="O10"/>
  <c r="O9"/>
  <c r="G9"/>
  <c r="H9"/>
  <c r="I9"/>
  <c r="J9"/>
  <c r="K9"/>
  <c r="L9"/>
  <c r="M9"/>
  <c r="G10"/>
  <c r="H10"/>
  <c r="I10"/>
  <c r="J10"/>
  <c r="K10"/>
  <c r="L10"/>
  <c r="M10"/>
  <c r="G11"/>
  <c r="H11"/>
  <c r="I11"/>
  <c r="J11"/>
  <c r="K11"/>
  <c r="L11"/>
  <c r="M11"/>
  <c r="G12"/>
  <c r="H12"/>
  <c r="I12"/>
  <c r="J12"/>
  <c r="K12"/>
  <c r="L12"/>
  <c r="M12"/>
  <c r="G13"/>
  <c r="H13"/>
  <c r="I13"/>
  <c r="J13"/>
  <c r="K13"/>
  <c r="L13"/>
  <c r="M13"/>
  <c r="G14"/>
  <c r="H14"/>
  <c r="I14"/>
  <c r="J14"/>
  <c r="K14"/>
  <c r="L14"/>
  <c r="M14"/>
  <c r="G15"/>
  <c r="H15"/>
  <c r="I15"/>
  <c r="J15"/>
  <c r="K15"/>
  <c r="L15"/>
  <c r="M15"/>
  <c r="G16"/>
  <c r="H16"/>
  <c r="I16"/>
  <c r="J16"/>
  <c r="K16"/>
  <c r="L16"/>
  <c r="M16"/>
  <c r="G17"/>
  <c r="H17"/>
  <c r="I17"/>
  <c r="J17"/>
  <c r="K17"/>
  <c r="L17"/>
  <c r="M17"/>
  <c r="G18"/>
  <c r="H18"/>
  <c r="I18"/>
  <c r="J18"/>
  <c r="K18"/>
  <c r="L18"/>
  <c r="M18"/>
  <c r="G19"/>
  <c r="H19"/>
  <c r="I19"/>
  <c r="J19"/>
  <c r="K19"/>
  <c r="L19"/>
  <c r="M19"/>
  <c r="G20"/>
  <c r="H20"/>
  <c r="I20"/>
  <c r="J20"/>
  <c r="K20"/>
  <c r="L20"/>
  <c r="M20"/>
  <c r="G21"/>
  <c r="H21"/>
  <c r="I21"/>
  <c r="J21"/>
  <c r="K21"/>
  <c r="L21"/>
  <c r="M21"/>
  <c r="G22"/>
  <c r="H22"/>
  <c r="I22"/>
  <c r="J22"/>
  <c r="K22"/>
  <c r="L22"/>
  <c r="M22"/>
  <c r="G23"/>
  <c r="H23"/>
  <c r="I23"/>
  <c r="J23"/>
  <c r="K23"/>
  <c r="L23"/>
  <c r="M23"/>
  <c r="G24"/>
  <c r="H24"/>
  <c r="I24"/>
  <c r="J24"/>
  <c r="K24"/>
  <c r="L24"/>
  <c r="M24"/>
  <c r="G25"/>
  <c r="H25"/>
  <c r="I25"/>
  <c r="J25"/>
  <c r="K25"/>
  <c r="L25"/>
  <c r="M25"/>
  <c r="G26"/>
  <c r="H26"/>
  <c r="I26"/>
  <c r="J26"/>
  <c r="K26"/>
  <c r="L26"/>
  <c r="M26"/>
  <c r="G27"/>
  <c r="H27"/>
  <c r="I27"/>
  <c r="J27"/>
  <c r="K27"/>
  <c r="L27"/>
  <c r="M27"/>
  <c r="G28"/>
  <c r="H28"/>
  <c r="I28"/>
  <c r="J28"/>
  <c r="K28"/>
  <c r="L28"/>
  <c r="M28"/>
  <c r="G29"/>
  <c r="H29"/>
  <c r="I29"/>
  <c r="J29"/>
  <c r="K29"/>
  <c r="L29"/>
  <c r="M29"/>
  <c r="G30"/>
  <c r="H30"/>
  <c r="I30"/>
  <c r="J30"/>
  <c r="K30"/>
  <c r="L30"/>
  <c r="M30"/>
  <c r="G31"/>
  <c r="H31"/>
  <c r="I31"/>
  <c r="J31"/>
  <c r="K31"/>
  <c r="L31"/>
  <c r="M31"/>
  <c r="G32"/>
  <c r="H32"/>
  <c r="I32"/>
  <c r="J32"/>
  <c r="K32"/>
  <c r="L32"/>
  <c r="M32"/>
  <c r="G33"/>
  <c r="H33"/>
  <c r="I33"/>
  <c r="J33"/>
  <c r="K33"/>
  <c r="L33"/>
  <c r="M33"/>
  <c r="G34"/>
  <c r="H34"/>
  <c r="I34"/>
  <c r="J34"/>
  <c r="K34"/>
  <c r="L34"/>
  <c r="M34"/>
  <c r="G35"/>
  <c r="H35"/>
  <c r="I35"/>
  <c r="J35"/>
  <c r="K35"/>
  <c r="L35"/>
  <c r="M35"/>
  <c r="G36"/>
  <c r="H36"/>
  <c r="I36"/>
  <c r="J36"/>
  <c r="K36"/>
  <c r="L36"/>
  <c r="M36"/>
  <c r="G37"/>
  <c r="H37"/>
  <c r="I37"/>
  <c r="J37"/>
  <c r="K37"/>
  <c r="L37"/>
  <c r="M37"/>
  <c r="G38"/>
  <c r="H38"/>
  <c r="I38"/>
  <c r="J38"/>
  <c r="K38"/>
  <c r="L38"/>
  <c r="M38"/>
  <c r="G39"/>
  <c r="H39"/>
  <c r="I39"/>
  <c r="J39"/>
  <c r="K39"/>
  <c r="L39"/>
  <c r="M39"/>
  <c r="G40"/>
  <c r="H40"/>
  <c r="I40"/>
  <c r="J40"/>
  <c r="K40"/>
  <c r="L40"/>
  <c r="M40"/>
  <c r="G41"/>
  <c r="H41"/>
  <c r="I41"/>
  <c r="J41"/>
  <c r="K41"/>
  <c r="L41"/>
  <c r="M41"/>
  <c r="G42"/>
  <c r="H42"/>
  <c r="I42"/>
  <c r="J42"/>
  <c r="K42"/>
  <c r="L42"/>
  <c r="M42"/>
  <c r="G43"/>
  <c r="H43"/>
  <c r="I43"/>
  <c r="J43"/>
  <c r="K43"/>
  <c r="L43"/>
  <c r="M43"/>
  <c r="G44"/>
  <c r="H44"/>
  <c r="I44"/>
  <c r="J44"/>
  <c r="K44"/>
  <c r="L44"/>
  <c r="M44"/>
  <c r="G45"/>
  <c r="H45"/>
  <c r="I45"/>
  <c r="J45"/>
  <c r="K45"/>
  <c r="L45"/>
  <c r="M45"/>
  <c r="G46"/>
  <c r="H46"/>
  <c r="I46"/>
  <c r="J46"/>
  <c r="K46"/>
  <c r="L46"/>
  <c r="M46"/>
  <c r="G47"/>
  <c r="H47"/>
  <c r="I47"/>
  <c r="J47"/>
  <c r="K47"/>
  <c r="L47"/>
  <c r="M47"/>
  <c r="G48"/>
  <c r="H48"/>
  <c r="I48"/>
  <c r="J48"/>
  <c r="K48"/>
  <c r="L48"/>
  <c r="M48"/>
  <c r="G49"/>
  <c r="H49"/>
  <c r="I49"/>
  <c r="J49"/>
  <c r="K49"/>
  <c r="L49"/>
  <c r="M49"/>
  <c r="G50"/>
  <c r="H50"/>
  <c r="I50"/>
  <c r="J50"/>
  <c r="K50"/>
  <c r="L50"/>
  <c r="M50"/>
  <c r="G51"/>
  <c r="H51"/>
  <c r="I51"/>
  <c r="J51"/>
  <c r="K51"/>
  <c r="L51"/>
  <c r="M51"/>
  <c r="G52"/>
  <c r="H52"/>
  <c r="I52"/>
  <c r="J52"/>
  <c r="K52"/>
  <c r="L52"/>
  <c r="M52"/>
  <c r="G53"/>
  <c r="H53"/>
  <c r="I53"/>
  <c r="J53"/>
  <c r="K53"/>
  <c r="L53"/>
  <c r="M53"/>
  <c r="G54"/>
  <c r="H54"/>
  <c r="I54"/>
  <c r="J54"/>
  <c r="K54"/>
  <c r="L54"/>
  <c r="M54"/>
  <c r="G55"/>
  <c r="H55"/>
  <c r="I55"/>
  <c r="J55"/>
  <c r="K55"/>
  <c r="L55"/>
  <c r="M55"/>
  <c r="G56"/>
  <c r="H56"/>
  <c r="I56"/>
  <c r="J56"/>
  <c r="K56"/>
  <c r="L56"/>
  <c r="M56"/>
  <c r="G57"/>
  <c r="H57"/>
  <c r="I57"/>
  <c r="J57"/>
  <c r="K57"/>
  <c r="L57"/>
  <c r="M57"/>
  <c r="G58"/>
  <c r="H58"/>
  <c r="I58"/>
  <c r="J58"/>
  <c r="K58"/>
  <c r="L58"/>
  <c r="M58"/>
  <c r="G59"/>
  <c r="H59"/>
  <c r="I59"/>
  <c r="J59"/>
  <c r="K59"/>
  <c r="L59"/>
  <c r="M59"/>
  <c r="G60"/>
  <c r="H60"/>
  <c r="I60"/>
  <c r="J60"/>
  <c r="K60"/>
  <c r="L60"/>
  <c r="M60"/>
  <c r="G61"/>
  <c r="H61"/>
  <c r="I61"/>
  <c r="J61"/>
  <c r="K61"/>
  <c r="L61"/>
  <c r="M61"/>
  <c r="G62"/>
  <c r="H62"/>
  <c r="I62"/>
  <c r="J62"/>
  <c r="K62"/>
  <c r="L62"/>
  <c r="M62"/>
  <c r="G63"/>
  <c r="H63"/>
  <c r="I63"/>
  <c r="J63"/>
  <c r="K63"/>
  <c r="L63"/>
  <c r="M63"/>
  <c r="G64"/>
  <c r="H64"/>
  <c r="I64"/>
  <c r="J64"/>
  <c r="K64"/>
  <c r="L64"/>
  <c r="M64"/>
  <c r="G65"/>
  <c r="H65"/>
  <c r="I65"/>
  <c r="J65"/>
  <c r="K65"/>
  <c r="L65"/>
  <c r="M65"/>
  <c r="G66"/>
  <c r="H66"/>
  <c r="I66"/>
  <c r="J66"/>
  <c r="K66"/>
  <c r="L66"/>
  <c r="M66"/>
  <c r="G67"/>
  <c r="H67"/>
  <c r="I67"/>
  <c r="J67"/>
  <c r="K67"/>
  <c r="L67"/>
  <c r="M67"/>
  <c r="G68"/>
  <c r="H68"/>
  <c r="I68"/>
  <c r="J68"/>
  <c r="K68"/>
  <c r="L68"/>
  <c r="M68"/>
  <c r="G69"/>
  <c r="H69"/>
  <c r="I69"/>
  <c r="J69"/>
  <c r="K69"/>
  <c r="L69"/>
  <c r="M69"/>
  <c r="G70"/>
  <c r="H70"/>
  <c r="I70"/>
  <c r="J70"/>
  <c r="K70"/>
  <c r="L70"/>
  <c r="M70"/>
  <c r="G71"/>
  <c r="H71"/>
  <c r="I71"/>
  <c r="J71"/>
  <c r="K71"/>
  <c r="L71"/>
  <c r="M71"/>
  <c r="G72"/>
  <c r="H72"/>
  <c r="I72"/>
  <c r="J72"/>
  <c r="K72"/>
  <c r="L72"/>
  <c r="M72"/>
  <c r="G73"/>
  <c r="H73"/>
  <c r="I73"/>
  <c r="J73"/>
  <c r="K73"/>
  <c r="L73"/>
  <c r="M73"/>
  <c r="G74"/>
  <c r="H74"/>
  <c r="I74"/>
  <c r="J74"/>
  <c r="K74"/>
  <c r="L74"/>
  <c r="M74"/>
  <c r="G75"/>
  <c r="H75"/>
  <c r="I75"/>
  <c r="J75"/>
  <c r="K75"/>
  <c r="L75"/>
  <c r="M75"/>
  <c r="G76"/>
  <c r="H76"/>
  <c r="I76"/>
  <c r="J76"/>
  <c r="K76"/>
  <c r="L76"/>
  <c r="M76"/>
  <c r="G77"/>
  <c r="H77"/>
  <c r="I77"/>
  <c r="J77"/>
  <c r="K77"/>
  <c r="L77"/>
  <c r="M77"/>
  <c r="G78"/>
  <c r="H78"/>
  <c r="I78"/>
  <c r="J78"/>
  <c r="K78"/>
  <c r="L78"/>
  <c r="M78"/>
  <c r="G79"/>
  <c r="H79"/>
  <c r="I79"/>
  <c r="J79"/>
  <c r="K79"/>
  <c r="L79"/>
  <c r="M79"/>
  <c r="G80"/>
  <c r="H80"/>
  <c r="I80"/>
  <c r="J80"/>
  <c r="K80"/>
  <c r="L80"/>
  <c r="M80"/>
  <c r="G81"/>
  <c r="H81"/>
  <c r="I81"/>
  <c r="J81"/>
  <c r="K81"/>
  <c r="L81"/>
  <c r="M81"/>
  <c r="G82"/>
  <c r="H82"/>
  <c r="I82"/>
  <c r="J82"/>
  <c r="K82"/>
  <c r="L82"/>
  <c r="M82"/>
  <c r="G83"/>
  <c r="H83"/>
  <c r="I83"/>
  <c r="J83"/>
  <c r="K83"/>
  <c r="L83"/>
  <c r="M83"/>
  <c r="G84"/>
  <c r="H84"/>
  <c r="I84"/>
  <c r="J84"/>
  <c r="K84"/>
  <c r="L84"/>
  <c r="M84"/>
  <c r="G85"/>
  <c r="H85"/>
  <c r="I85"/>
  <c r="J85"/>
  <c r="K85"/>
  <c r="L85"/>
  <c r="M85"/>
  <c r="G86"/>
  <c r="H86"/>
  <c r="I86"/>
  <c r="J86"/>
  <c r="K86"/>
  <c r="L86"/>
  <c r="M86"/>
  <c r="G87"/>
  <c r="H87"/>
  <c r="I87"/>
  <c r="J87"/>
  <c r="K87"/>
  <c r="L87"/>
  <c r="M87"/>
  <c r="G88"/>
  <c r="H88"/>
  <c r="I88"/>
  <c r="J88"/>
  <c r="K88"/>
  <c r="L88"/>
  <c r="M88"/>
  <c r="G89"/>
  <c r="H89"/>
  <c r="I89"/>
  <c r="J89"/>
  <c r="K89"/>
  <c r="L89"/>
  <c r="M89"/>
  <c r="G90"/>
  <c r="H90"/>
  <c r="I90"/>
  <c r="J90"/>
  <c r="K90"/>
  <c r="L90"/>
  <c r="M90"/>
  <c r="G91"/>
  <c r="H91"/>
  <c r="I91"/>
  <c r="J91"/>
  <c r="K91"/>
  <c r="L91"/>
  <c r="M91"/>
  <c r="G92"/>
  <c r="H92"/>
  <c r="I92"/>
  <c r="J92"/>
  <c r="K92"/>
  <c r="L92"/>
  <c r="M92"/>
  <c r="G93"/>
  <c r="H93"/>
  <c r="I93"/>
  <c r="J93"/>
  <c r="K93"/>
  <c r="L93"/>
  <c r="M93"/>
  <c r="G94"/>
  <c r="H94"/>
  <c r="I94"/>
  <c r="J94"/>
  <c r="K94"/>
  <c r="L94"/>
  <c r="M94"/>
  <c r="G95"/>
  <c r="H95"/>
  <c r="I95"/>
  <c r="J95"/>
  <c r="K95"/>
  <c r="L95"/>
  <c r="M95"/>
  <c r="G96"/>
  <c r="H96"/>
  <c r="I96"/>
  <c r="J96"/>
  <c r="K96"/>
  <c r="L96"/>
  <c r="M96"/>
  <c r="G97"/>
  <c r="H97"/>
  <c r="I97"/>
  <c r="J97"/>
  <c r="K97"/>
  <c r="L97"/>
  <c r="M97"/>
  <c r="G98"/>
  <c r="H98"/>
  <c r="I98"/>
  <c r="J98"/>
  <c r="K98"/>
  <c r="L98"/>
  <c r="M98"/>
  <c r="G99"/>
  <c r="H99"/>
  <c r="I99"/>
  <c r="J99"/>
  <c r="K99"/>
  <c r="L99"/>
  <c r="M99"/>
  <c r="G100"/>
  <c r="H100"/>
  <c r="I100"/>
  <c r="J100"/>
  <c r="K100"/>
  <c r="L100"/>
  <c r="M100"/>
  <c r="G101"/>
  <c r="H101"/>
  <c r="I101"/>
  <c r="J101"/>
  <c r="K101"/>
  <c r="L101"/>
  <c r="M101"/>
  <c r="G102"/>
  <c r="H102"/>
  <c r="I102"/>
  <c r="J102"/>
  <c r="K102"/>
  <c r="L102"/>
  <c r="M102"/>
  <c r="G103"/>
  <c r="H103"/>
  <c r="I103"/>
  <c r="J103"/>
  <c r="K103"/>
  <c r="L103"/>
  <c r="M103"/>
  <c r="G104"/>
  <c r="H104"/>
  <c r="I104"/>
  <c r="J104"/>
  <c r="K104"/>
  <c r="L104"/>
  <c r="M104"/>
  <c r="G105"/>
  <c r="H105"/>
  <c r="I105"/>
  <c r="J105"/>
  <c r="K105"/>
  <c r="L105"/>
  <c r="M105"/>
  <c r="G106"/>
  <c r="H106"/>
  <c r="I106"/>
  <c r="J106"/>
  <c r="K106"/>
  <c r="L106"/>
  <c r="M106"/>
  <c r="G107"/>
  <c r="H107"/>
  <c r="I107"/>
  <c r="J107"/>
  <c r="K107"/>
  <c r="L107"/>
  <c r="M107"/>
  <c r="G108"/>
  <c r="H108"/>
  <c r="I108"/>
  <c r="J108"/>
  <c r="K108"/>
  <c r="L108"/>
  <c r="M108"/>
  <c r="G109"/>
  <c r="H109"/>
  <c r="I109"/>
  <c r="J109"/>
  <c r="K109"/>
  <c r="L109"/>
  <c r="M109"/>
  <c r="G110"/>
  <c r="H110"/>
  <c r="I110"/>
  <c r="J110"/>
  <c r="K110"/>
  <c r="L110"/>
  <c r="M110"/>
  <c r="G111"/>
  <c r="H111"/>
  <c r="I111"/>
  <c r="J111"/>
  <c r="K111"/>
  <c r="L111"/>
  <c r="M111"/>
  <c r="G112"/>
  <c r="H112"/>
  <c r="I112"/>
  <c r="J112"/>
  <c r="K112"/>
  <c r="L112"/>
  <c r="M112"/>
  <c r="G113"/>
  <c r="H113"/>
  <c r="I113"/>
  <c r="J113"/>
  <c r="K113"/>
  <c r="L113"/>
  <c r="M113"/>
  <c r="G114"/>
  <c r="H114"/>
  <c r="I114"/>
  <c r="J114"/>
  <c r="K114"/>
  <c r="L114"/>
  <c r="M114"/>
  <c r="G115"/>
  <c r="H115"/>
  <c r="I115"/>
  <c r="J115"/>
  <c r="K115"/>
  <c r="L115"/>
  <c r="M115"/>
  <c r="G116"/>
  <c r="H116"/>
  <c r="I116"/>
  <c r="J116"/>
  <c r="K116"/>
  <c r="L116"/>
  <c r="M116"/>
  <c r="G117"/>
  <c r="H117"/>
  <c r="I117"/>
  <c r="J117"/>
  <c r="K117"/>
  <c r="L117"/>
  <c r="M117"/>
  <c r="G118"/>
  <c r="H118"/>
  <c r="I118"/>
  <c r="J118"/>
  <c r="K118"/>
  <c r="L118"/>
  <c r="M118"/>
  <c r="G119"/>
  <c r="H119"/>
  <c r="I119"/>
  <c r="J119"/>
  <c r="K119"/>
  <c r="L119"/>
  <c r="M119"/>
  <c r="G120"/>
  <c r="H120"/>
  <c r="I120"/>
  <c r="J120"/>
  <c r="K120"/>
  <c r="L120"/>
  <c r="M120"/>
  <c r="G121"/>
  <c r="H121"/>
  <c r="I121"/>
  <c r="J121"/>
  <c r="K121"/>
  <c r="L121"/>
  <c r="M121"/>
  <c r="G122"/>
  <c r="H122"/>
  <c r="I122"/>
  <c r="J122"/>
  <c r="K122"/>
  <c r="L122"/>
  <c r="M122"/>
  <c r="G123"/>
  <c r="H123"/>
  <c r="I123"/>
  <c r="J123"/>
  <c r="K123"/>
  <c r="L123"/>
  <c r="M123"/>
  <c r="G124"/>
  <c r="H124"/>
  <c r="I124"/>
  <c r="J124"/>
  <c r="K124"/>
  <c r="L124"/>
  <c r="M124"/>
  <c r="G125"/>
  <c r="H125"/>
  <c r="I125"/>
  <c r="J125"/>
  <c r="K125"/>
  <c r="L125"/>
  <c r="M125"/>
  <c r="G126"/>
  <c r="H126"/>
  <c r="I126"/>
  <c r="J126"/>
  <c r="K126"/>
  <c r="L126"/>
  <c r="M126"/>
  <c r="G127"/>
  <c r="H127"/>
  <c r="I127"/>
  <c r="J127"/>
  <c r="K127"/>
  <c r="L127"/>
  <c r="M127"/>
  <c r="G128"/>
  <c r="H128"/>
  <c r="I128"/>
  <c r="J128"/>
  <c r="K128"/>
  <c r="L128"/>
  <c r="M128"/>
  <c r="G129"/>
  <c r="H129"/>
  <c r="I129"/>
  <c r="J129"/>
  <c r="K129"/>
  <c r="L129"/>
  <c r="M129"/>
  <c r="G130"/>
  <c r="H130"/>
  <c r="I130"/>
  <c r="J130"/>
  <c r="K130"/>
  <c r="L130"/>
  <c r="M130"/>
  <c r="G131"/>
  <c r="H131"/>
  <c r="I131"/>
  <c r="J131"/>
  <c r="K131"/>
  <c r="L131"/>
  <c r="M131"/>
  <c r="G132"/>
  <c r="H132"/>
  <c r="I132"/>
  <c r="J132"/>
  <c r="K132"/>
  <c r="L132"/>
  <c r="M132"/>
  <c r="G133"/>
  <c r="H133"/>
  <c r="I133"/>
  <c r="J133"/>
  <c r="K133"/>
  <c r="L133"/>
  <c r="M133"/>
  <c r="G134"/>
  <c r="H134"/>
  <c r="I134"/>
  <c r="J134"/>
  <c r="K134"/>
  <c r="L134"/>
  <c r="M134"/>
  <c r="G135"/>
  <c r="H135"/>
  <c r="I135"/>
  <c r="J135"/>
  <c r="K135"/>
  <c r="L135"/>
  <c r="M135"/>
  <c r="G136"/>
  <c r="H136"/>
  <c r="I136"/>
  <c r="J136"/>
  <c r="K136"/>
  <c r="L136"/>
  <c r="M136"/>
  <c r="G137"/>
  <c r="H137"/>
  <c r="I137"/>
  <c r="J137"/>
  <c r="K137"/>
  <c r="L137"/>
  <c r="M137"/>
  <c r="G138"/>
  <c r="H138"/>
  <c r="I138"/>
  <c r="J138"/>
  <c r="K138"/>
  <c r="L138"/>
  <c r="M138"/>
  <c r="G139"/>
  <c r="H139"/>
  <c r="I139"/>
  <c r="J139"/>
  <c r="K139"/>
  <c r="L139"/>
  <c r="M139"/>
  <c r="G140"/>
  <c r="H140"/>
  <c r="I140"/>
  <c r="J140"/>
  <c r="K140"/>
  <c r="L140"/>
  <c r="M140"/>
  <c r="G141"/>
  <c r="H141"/>
  <c r="I141"/>
  <c r="J141"/>
  <c r="K141"/>
  <c r="L141"/>
  <c r="M141"/>
  <c r="G142"/>
  <c r="H142"/>
  <c r="I142"/>
  <c r="J142"/>
  <c r="K142"/>
  <c r="L142"/>
  <c r="M142"/>
  <c r="G143"/>
  <c r="H143"/>
  <c r="I143"/>
  <c r="J143"/>
  <c r="K143"/>
  <c r="L143"/>
  <c r="M143"/>
  <c r="G144"/>
  <c r="H144"/>
  <c r="I144"/>
  <c r="J144"/>
  <c r="K144"/>
  <c r="L144"/>
  <c r="M144"/>
  <c r="G145"/>
  <c r="H145"/>
  <c r="I145"/>
  <c r="J145"/>
  <c r="K145"/>
  <c r="L145"/>
  <c r="M145"/>
  <c r="G146"/>
  <c r="H146"/>
  <c r="I146"/>
  <c r="J146"/>
  <c r="K146"/>
  <c r="L146"/>
  <c r="M146"/>
  <c r="G147"/>
  <c r="H147"/>
  <c r="I147"/>
  <c r="J147"/>
  <c r="K147"/>
  <c r="L147"/>
  <c r="M147"/>
  <c r="G148"/>
  <c r="H148"/>
  <c r="I148"/>
  <c r="J148"/>
  <c r="K148"/>
  <c r="L148"/>
  <c r="M148"/>
  <c r="G149"/>
  <c r="H149"/>
  <c r="I149"/>
  <c r="J149"/>
  <c r="K149"/>
  <c r="L149"/>
  <c r="M149"/>
  <c r="G150"/>
  <c r="H150"/>
  <c r="I150"/>
  <c r="J150"/>
  <c r="K150"/>
  <c r="L150"/>
  <c r="M150"/>
  <c r="G151"/>
  <c r="H151"/>
  <c r="I151"/>
  <c r="J151"/>
  <c r="K151"/>
  <c r="L151"/>
  <c r="M151"/>
  <c r="G152"/>
  <c r="H152"/>
  <c r="I152"/>
  <c r="J152"/>
  <c r="K152"/>
  <c r="L152"/>
  <c r="M152"/>
  <c r="G153"/>
  <c r="H153"/>
  <c r="I153"/>
  <c r="J153"/>
  <c r="K153"/>
  <c r="L153"/>
  <c r="M153"/>
  <c r="G154"/>
  <c r="H154"/>
  <c r="I154"/>
  <c r="J154"/>
  <c r="K154"/>
  <c r="L154"/>
  <c r="M154"/>
  <c r="G155"/>
  <c r="H155"/>
  <c r="I155"/>
  <c r="J155"/>
  <c r="K155"/>
  <c r="L155"/>
  <c r="M155"/>
  <c r="G156"/>
  <c r="H156"/>
  <c r="I156"/>
  <c r="J156"/>
  <c r="K156"/>
  <c r="L156"/>
  <c r="M156"/>
  <c r="L163"/>
  <c r="J10" i="1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K41"/>
  <c r="L41"/>
  <c r="I42"/>
  <c r="I43"/>
  <c r="K43"/>
  <c r="L43"/>
  <c r="I44"/>
  <c r="I45"/>
  <c r="K45"/>
  <c r="L45"/>
  <c r="I46"/>
  <c r="I47"/>
  <c r="I48"/>
  <c r="I49"/>
  <c r="I50"/>
  <c r="I51"/>
  <c r="K51"/>
  <c r="L51"/>
  <c r="I52"/>
  <c r="I53"/>
  <c r="K53"/>
  <c r="L53"/>
  <c r="I54"/>
  <c r="I55"/>
  <c r="I56"/>
  <c r="I57"/>
  <c r="I58"/>
  <c r="I59"/>
  <c r="K59"/>
  <c r="L59"/>
  <c r="I60"/>
  <c r="I61"/>
  <c r="K61"/>
  <c r="L61"/>
  <c r="I62"/>
  <c r="I63"/>
  <c r="I64"/>
  <c r="I65"/>
  <c r="I66"/>
  <c r="I67"/>
  <c r="K67"/>
  <c r="L67"/>
  <c r="I68"/>
  <c r="I69"/>
  <c r="K69"/>
  <c r="L69"/>
  <c r="I70"/>
  <c r="I71"/>
  <c r="I72"/>
  <c r="I73"/>
  <c r="K73"/>
  <c r="L73"/>
  <c r="I74"/>
  <c r="I75"/>
  <c r="K75"/>
  <c r="L75"/>
  <c r="I76"/>
  <c r="I77"/>
  <c r="I78"/>
  <c r="I79"/>
  <c r="I80"/>
  <c r="I81"/>
  <c r="K81"/>
  <c r="L81"/>
  <c r="I82"/>
  <c r="I83"/>
  <c r="K83"/>
  <c r="L83"/>
  <c r="I84"/>
  <c r="I85"/>
  <c r="I86"/>
  <c r="I87"/>
  <c r="I88"/>
  <c r="I89"/>
  <c r="K89"/>
  <c r="L89"/>
  <c r="I90"/>
  <c r="I91"/>
  <c r="K91"/>
  <c r="L91"/>
  <c r="I92"/>
  <c r="I93"/>
  <c r="I94"/>
  <c r="I95"/>
  <c r="I96"/>
  <c r="I97"/>
  <c r="K97"/>
  <c r="L97"/>
  <c r="I98"/>
  <c r="I99"/>
  <c r="I100"/>
  <c r="I101"/>
  <c r="K101"/>
  <c r="L101"/>
  <c r="I102"/>
  <c r="I103"/>
  <c r="K103"/>
  <c r="L103"/>
  <c r="I104"/>
  <c r="I105"/>
  <c r="I106"/>
  <c r="I107"/>
  <c r="I108"/>
  <c r="I109"/>
  <c r="K109"/>
  <c r="L109"/>
  <c r="I110"/>
  <c r="I111"/>
  <c r="K111"/>
  <c r="L111"/>
  <c r="I112"/>
  <c r="I113"/>
  <c r="I114"/>
  <c r="I115"/>
  <c r="I116"/>
  <c r="I117"/>
  <c r="K117"/>
  <c r="L117"/>
  <c r="I118"/>
  <c r="I119"/>
  <c r="K119"/>
  <c r="L119"/>
  <c r="I120"/>
  <c r="I121"/>
  <c r="I122"/>
  <c r="I123"/>
  <c r="I124"/>
  <c r="I125"/>
  <c r="K125"/>
  <c r="L125"/>
  <c r="I126"/>
  <c r="I127"/>
  <c r="K127"/>
  <c r="L127"/>
  <c r="I128"/>
  <c r="I129"/>
  <c r="I130"/>
  <c r="I131"/>
  <c r="I132"/>
  <c r="I133"/>
  <c r="K133"/>
  <c r="L133"/>
  <c r="I134"/>
  <c r="I135"/>
  <c r="K135"/>
  <c r="L135"/>
  <c r="I136"/>
  <c r="I137"/>
  <c r="I138"/>
  <c r="I139"/>
  <c r="I140"/>
  <c r="I141"/>
  <c r="K141"/>
  <c r="L141"/>
  <c r="I142"/>
  <c r="I143"/>
  <c r="K143"/>
  <c r="L143"/>
  <c r="I144"/>
  <c r="I145"/>
  <c r="I146"/>
  <c r="I147"/>
  <c r="I148"/>
  <c r="I149"/>
  <c r="K149"/>
  <c r="L149"/>
  <c r="I150"/>
  <c r="I151"/>
  <c r="I152"/>
  <c r="I153"/>
  <c r="I154"/>
  <c r="I155"/>
  <c r="I156"/>
  <c r="I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9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O101"/>
  <c r="M101"/>
  <c r="O50"/>
  <c r="M50"/>
  <c r="O156"/>
  <c r="O155"/>
  <c r="O154"/>
  <c r="O153"/>
  <c r="M153"/>
  <c r="O152"/>
  <c r="M152"/>
  <c r="O151"/>
  <c r="O150"/>
  <c r="O149"/>
  <c r="M149"/>
  <c r="O148"/>
  <c r="M148"/>
  <c r="O147"/>
  <c r="O146"/>
  <c r="O145"/>
  <c r="M145"/>
  <c r="O144"/>
  <c r="M144"/>
  <c r="O143"/>
  <c r="O142"/>
  <c r="O141"/>
  <c r="M141"/>
  <c r="O140"/>
  <c r="O139"/>
  <c r="O138"/>
  <c r="O137"/>
  <c r="M137"/>
  <c r="O136"/>
  <c r="M136"/>
  <c r="O135"/>
  <c r="O134"/>
  <c r="O133"/>
  <c r="M133"/>
  <c r="O132"/>
  <c r="M132"/>
  <c r="O131"/>
  <c r="O130"/>
  <c r="O129"/>
  <c r="M129"/>
  <c r="O128"/>
  <c r="M128"/>
  <c r="O127"/>
  <c r="O126"/>
  <c r="O125"/>
  <c r="M125"/>
  <c r="O124"/>
  <c r="O123"/>
  <c r="O122"/>
  <c r="O121"/>
  <c r="M121"/>
  <c r="O120"/>
  <c r="M120"/>
  <c r="O119"/>
  <c r="O118"/>
  <c r="O117"/>
  <c r="M117"/>
  <c r="O116"/>
  <c r="M116"/>
  <c r="O115"/>
  <c r="O114"/>
  <c r="O113"/>
  <c r="M113"/>
  <c r="O112"/>
  <c r="M112"/>
  <c r="O111"/>
  <c r="O110"/>
  <c r="O109"/>
  <c r="M109"/>
  <c r="O108"/>
  <c r="O107"/>
  <c r="O106"/>
  <c r="O105"/>
  <c r="M105"/>
  <c r="O104"/>
  <c r="M104"/>
  <c r="O103"/>
  <c r="O102"/>
  <c r="O100"/>
  <c r="M100"/>
  <c r="O99"/>
  <c r="M99"/>
  <c r="O98"/>
  <c r="M98"/>
  <c r="O97"/>
  <c r="O96"/>
  <c r="M96"/>
  <c r="O95"/>
  <c r="O94"/>
  <c r="M94"/>
  <c r="O93"/>
  <c r="M93"/>
  <c r="O92"/>
  <c r="M92"/>
  <c r="O91"/>
  <c r="M91"/>
  <c r="O90"/>
  <c r="M90"/>
  <c r="O89"/>
  <c r="O88"/>
  <c r="M88"/>
  <c r="O87"/>
  <c r="M87"/>
  <c r="O86"/>
  <c r="M86"/>
  <c r="O85"/>
  <c r="M85"/>
  <c r="O84"/>
  <c r="M84"/>
  <c r="O83"/>
  <c r="O82"/>
  <c r="M82"/>
  <c r="O81"/>
  <c r="O80"/>
  <c r="M80"/>
  <c r="O79"/>
  <c r="M79"/>
  <c r="O78"/>
  <c r="M78"/>
  <c r="O77"/>
  <c r="M77"/>
  <c r="O76"/>
  <c r="M76"/>
  <c r="O75"/>
  <c r="M75"/>
  <c r="O74"/>
  <c r="M74"/>
  <c r="O73"/>
  <c r="O72"/>
  <c r="M72"/>
  <c r="O71"/>
  <c r="M71"/>
  <c r="O70"/>
  <c r="M70"/>
  <c r="O69"/>
  <c r="M69"/>
  <c r="O68"/>
  <c r="M68"/>
  <c r="O67"/>
  <c r="O66"/>
  <c r="M66"/>
  <c r="O65"/>
  <c r="O64"/>
  <c r="M64"/>
  <c r="O63"/>
  <c r="M63"/>
  <c r="O62"/>
  <c r="M62"/>
  <c r="O61"/>
  <c r="M61"/>
  <c r="O60"/>
  <c r="M60"/>
  <c r="O59"/>
  <c r="M59"/>
  <c r="O58"/>
  <c r="M58"/>
  <c r="O57"/>
  <c r="O56"/>
  <c r="M56"/>
  <c r="O55"/>
  <c r="M55"/>
  <c r="O54"/>
  <c r="M54"/>
  <c r="O53"/>
  <c r="M53"/>
  <c r="O52"/>
  <c r="M52"/>
  <c r="O51"/>
  <c r="O49"/>
  <c r="O48"/>
  <c r="O47"/>
  <c r="M47"/>
  <c r="O46"/>
  <c r="M46"/>
  <c r="O45"/>
  <c r="O44"/>
  <c r="O43"/>
  <c r="M43"/>
  <c r="O42"/>
  <c r="M42"/>
  <c r="O41"/>
  <c r="O40"/>
  <c r="O39"/>
  <c r="M39"/>
  <c r="O38"/>
  <c r="M38"/>
  <c r="O37"/>
  <c r="O36"/>
  <c r="M36"/>
  <c r="O35"/>
  <c r="O34"/>
  <c r="M34"/>
  <c r="O33"/>
  <c r="O32"/>
  <c r="O31"/>
  <c r="M31"/>
  <c r="O30"/>
  <c r="M30"/>
  <c r="O29"/>
  <c r="O28"/>
  <c r="O27"/>
  <c r="M27"/>
  <c r="O26"/>
  <c r="M26"/>
  <c r="O25"/>
  <c r="O24"/>
  <c r="O23"/>
  <c r="O22"/>
  <c r="M22"/>
  <c r="O21"/>
  <c r="O20"/>
  <c r="M20"/>
  <c r="O19"/>
  <c r="O18"/>
  <c r="M18"/>
  <c r="O17"/>
  <c r="O16"/>
  <c r="O15"/>
  <c r="M15"/>
  <c r="O14"/>
  <c r="M14"/>
  <c r="O13"/>
  <c r="O12"/>
  <c r="O11"/>
  <c r="M11"/>
  <c r="O10"/>
  <c r="M10"/>
  <c r="O9"/>
  <c r="M12"/>
  <c r="M13"/>
  <c r="M16"/>
  <c r="M17"/>
  <c r="M19"/>
  <c r="M21"/>
  <c r="M23"/>
  <c r="M24"/>
  <c r="M25"/>
  <c r="M28"/>
  <c r="M29"/>
  <c r="M32"/>
  <c r="M33"/>
  <c r="M35"/>
  <c r="M37"/>
  <c r="M40"/>
  <c r="M41"/>
  <c r="M44"/>
  <c r="M45"/>
  <c r="M48"/>
  <c r="M49"/>
  <c r="M51"/>
  <c r="M57"/>
  <c r="M65"/>
  <c r="M67"/>
  <c r="M73"/>
  <c r="M81"/>
  <c r="M83"/>
  <c r="M89"/>
  <c r="M95"/>
  <c r="M97"/>
  <c r="M102"/>
  <c r="M103"/>
  <c r="M106"/>
  <c r="M107"/>
  <c r="M108"/>
  <c r="M110"/>
  <c r="M111"/>
  <c r="M114"/>
  <c r="M115"/>
  <c r="M118"/>
  <c r="M119"/>
  <c r="M122"/>
  <c r="M123"/>
  <c r="M124"/>
  <c r="M126"/>
  <c r="M127"/>
  <c r="M130"/>
  <c r="M131"/>
  <c r="M134"/>
  <c r="M135"/>
  <c r="M138"/>
  <c r="M139"/>
  <c r="M140"/>
  <c r="M142"/>
  <c r="M143"/>
  <c r="M146"/>
  <c r="M147"/>
  <c r="M150"/>
  <c r="M151"/>
  <c r="M154"/>
  <c r="M155"/>
  <c r="M156"/>
  <c r="M9"/>
  <c r="K99"/>
  <c r="L99"/>
  <c r="K151"/>
  <c r="L151"/>
  <c r="K152"/>
  <c r="L152"/>
  <c r="K153"/>
  <c r="L153"/>
  <c r="K154"/>
  <c r="L154"/>
  <c r="K155"/>
  <c r="L155"/>
  <c r="K156"/>
  <c r="L156"/>
  <c r="L163"/>
  <c r="K74"/>
  <c r="L74"/>
  <c r="K76"/>
  <c r="L76"/>
  <c r="K77"/>
  <c r="L77"/>
  <c r="K78"/>
  <c r="L78"/>
  <c r="K79"/>
  <c r="L79"/>
  <c r="K80"/>
  <c r="L80"/>
  <c r="K82"/>
  <c r="L82"/>
  <c r="K84"/>
  <c r="L84"/>
  <c r="K85"/>
  <c r="L85"/>
  <c r="K86"/>
  <c r="L86"/>
  <c r="K87"/>
  <c r="L87"/>
  <c r="K88"/>
  <c r="L88"/>
  <c r="K90"/>
  <c r="L90"/>
  <c r="K92"/>
  <c r="L92"/>
  <c r="K93"/>
  <c r="L93"/>
  <c r="K94"/>
  <c r="L94"/>
  <c r="K95"/>
  <c r="L95"/>
  <c r="K96"/>
  <c r="L96"/>
  <c r="K98"/>
  <c r="L98"/>
  <c r="K100"/>
  <c r="L100"/>
  <c r="K102"/>
  <c r="L102"/>
  <c r="K104"/>
  <c r="L104"/>
  <c r="K105"/>
  <c r="L105"/>
  <c r="K106"/>
  <c r="L106"/>
  <c r="K107"/>
  <c r="L107"/>
  <c r="K108"/>
  <c r="L108"/>
  <c r="K110"/>
  <c r="L110"/>
  <c r="K112"/>
  <c r="L112"/>
  <c r="K113"/>
  <c r="L113"/>
  <c r="K114"/>
  <c r="L114"/>
  <c r="K115"/>
  <c r="L115"/>
  <c r="K116"/>
  <c r="L116"/>
  <c r="K118"/>
  <c r="L118"/>
  <c r="K120"/>
  <c r="L120"/>
  <c r="K121"/>
  <c r="L121"/>
  <c r="K122"/>
  <c r="L122"/>
  <c r="K123"/>
  <c r="L123"/>
  <c r="K124"/>
  <c r="L124"/>
  <c r="K126"/>
  <c r="L126"/>
  <c r="K128"/>
  <c r="L128"/>
  <c r="K129"/>
  <c r="L129"/>
  <c r="K130"/>
  <c r="L130"/>
  <c r="K131"/>
  <c r="L131"/>
  <c r="K132"/>
  <c r="L132"/>
  <c r="K134"/>
  <c r="L134"/>
  <c r="K136"/>
  <c r="L136"/>
  <c r="K137"/>
  <c r="L137"/>
  <c r="K138"/>
  <c r="L138"/>
  <c r="K139"/>
  <c r="L139"/>
  <c r="K140"/>
  <c r="L140"/>
  <c r="K142"/>
  <c r="L142"/>
  <c r="K144"/>
  <c r="L144"/>
  <c r="K145"/>
  <c r="L145"/>
  <c r="K146"/>
  <c r="L146"/>
  <c r="K147"/>
  <c r="L147"/>
  <c r="K148"/>
  <c r="L148"/>
  <c r="K150"/>
  <c r="L150"/>
  <c r="K46"/>
  <c r="L46"/>
  <c r="K47"/>
  <c r="L47"/>
  <c r="K48"/>
  <c r="L48"/>
  <c r="K49"/>
  <c r="L49"/>
  <c r="K50"/>
  <c r="L50"/>
  <c r="K52"/>
  <c r="L52"/>
  <c r="K54"/>
  <c r="L54"/>
  <c r="K55"/>
  <c r="L55"/>
  <c r="K56"/>
  <c r="L56"/>
  <c r="K57"/>
  <c r="L57"/>
  <c r="K58"/>
  <c r="L58"/>
  <c r="K60"/>
  <c r="L60"/>
  <c r="K62"/>
  <c r="L62"/>
  <c r="K63"/>
  <c r="L63"/>
  <c r="K64"/>
  <c r="L64"/>
  <c r="K65"/>
  <c r="L65"/>
  <c r="K66"/>
  <c r="L66"/>
  <c r="K68"/>
  <c r="L68"/>
  <c r="K70"/>
  <c r="L70"/>
  <c r="K71"/>
  <c r="L71"/>
  <c r="K72"/>
  <c r="L72"/>
  <c r="K40"/>
  <c r="L40"/>
  <c r="K42"/>
  <c r="L42"/>
  <c r="K44"/>
  <c r="L44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9"/>
  <c r="L9"/>
</calcChain>
</file>

<file path=xl/comments1.xml><?xml version="1.0" encoding="utf-8"?>
<comments xmlns="http://schemas.openxmlformats.org/spreadsheetml/2006/main">
  <authors>
    <author>ljimenez</author>
  </authors>
  <commentList>
    <comment ref="L8" authorId="0">
      <text>
        <r>
          <rPr>
            <b/>
            <sz val="9"/>
            <color indexed="81"/>
            <rFont val="Tahoma"/>
            <family val="2"/>
          </rPr>
          <t>Ludivina Jimenez:</t>
        </r>
        <r>
          <rPr>
            <sz val="9"/>
            <color indexed="81"/>
            <rFont val="Tahoma"/>
            <family val="2"/>
          </rPr>
          <t xml:space="preserve">
ESTE PORCENTAJE DEPENDE DE LA PENETRACION PROMEDIO DE 3 MESES A TRAS Y A JUNIO HEMOS CUMPLIDO ARRIBA DEL 65% POR LO TANTO ES AL 3.5%</t>
        </r>
      </text>
    </comment>
  </commentList>
</comments>
</file>

<file path=xl/comments2.xml><?xml version="1.0" encoding="utf-8"?>
<comments xmlns="http://schemas.openxmlformats.org/spreadsheetml/2006/main">
  <authors>
    <author>ljimenez</author>
  </authors>
  <commentList>
    <comment ref="L8" authorId="0">
      <text>
        <r>
          <rPr>
            <b/>
            <sz val="9"/>
            <color indexed="81"/>
            <rFont val="Tahoma"/>
            <family val="2"/>
          </rPr>
          <t>Ludivina Jimenez:</t>
        </r>
        <r>
          <rPr>
            <sz val="9"/>
            <color indexed="81"/>
            <rFont val="Tahoma"/>
            <family val="2"/>
          </rPr>
          <t xml:space="preserve">
ESTE PORCENTAJE DEPENDE DE LA PENETRACION PROMEDIO DE 3 MESES A TRAS Y A JUNIO HEMOS CUMPLIDO ARRIBA DEL 65% POR LO TANTO ES AL 3.5%</t>
        </r>
      </text>
    </comment>
  </commentList>
</comments>
</file>

<file path=xl/comments3.xml><?xml version="1.0" encoding="utf-8"?>
<comments xmlns="http://schemas.openxmlformats.org/spreadsheetml/2006/main">
  <authors>
    <author>ljimenez</author>
  </authors>
  <commentList>
    <comment ref="L8" authorId="0">
      <text>
        <r>
          <rPr>
            <b/>
            <sz val="9"/>
            <color indexed="81"/>
            <rFont val="Tahoma"/>
            <family val="2"/>
          </rPr>
          <t>Ludivina Jimenez:</t>
        </r>
        <r>
          <rPr>
            <sz val="9"/>
            <color indexed="81"/>
            <rFont val="Tahoma"/>
            <family val="2"/>
          </rPr>
          <t xml:space="preserve">
ESTE PORCENTAJE DEPENDE DE LA PENETRACION PROMEDIO DE 3 MESES A TRAS Y A JUNIO HEMOS CUMPLIDO ARRIBA DEL 65% POR LO TANTO ES AL 3.5%</t>
        </r>
      </text>
    </comment>
  </commentList>
</comments>
</file>

<file path=xl/sharedStrings.xml><?xml version="1.0" encoding="utf-8"?>
<sst xmlns="http://schemas.openxmlformats.org/spreadsheetml/2006/main" count="851" uniqueCount="434">
  <si>
    <t>TOTAL</t>
  </si>
  <si>
    <t>NO DE INVENTARIO</t>
  </si>
  <si>
    <t>MODELO</t>
  </si>
  <si>
    <t>FECHA DE CONTRATO</t>
  </si>
  <si>
    <t xml:space="preserve">Q U E R É T A R O   M O T O R S   S A </t>
  </si>
  <si>
    <t>CALCULO DE UTILIDADES POR VENTA DE CONTRATOS</t>
  </si>
  <si>
    <t>IMPORTE DE FINANCIAMIENTO</t>
  </si>
  <si>
    <t>IMPORTE DE GARANTIA EXTENDIDA</t>
  </si>
  <si>
    <t xml:space="preserve">IMPORTE DE SEGURO </t>
  </si>
  <si>
    <t>JULIO.2016</t>
  </si>
  <si>
    <t>3002-QMN16</t>
  </si>
  <si>
    <t>SPARK</t>
  </si>
  <si>
    <t>2404-QMN16</t>
  </si>
  <si>
    <t>AVEO</t>
  </si>
  <si>
    <t>2748-QMN16</t>
  </si>
  <si>
    <t>3183-QMN16</t>
  </si>
  <si>
    <t>2769-QMN16</t>
  </si>
  <si>
    <t>SONIC</t>
  </si>
  <si>
    <t>3256-QMN16</t>
  </si>
  <si>
    <t>MALUBU</t>
  </si>
  <si>
    <t>3092-QMN16</t>
  </si>
  <si>
    <t>2381-QMN16</t>
  </si>
  <si>
    <t>TRAX</t>
  </si>
  <si>
    <t>2216-QMN16</t>
  </si>
  <si>
    <t>3140-QMN16</t>
  </si>
  <si>
    <t>3243-QMN16</t>
  </si>
  <si>
    <t>3319-QMN16</t>
  </si>
  <si>
    <t>3274-QMN16</t>
  </si>
  <si>
    <t>3325-QMN16</t>
  </si>
  <si>
    <t>2881-QMN16</t>
  </si>
  <si>
    <t>3086-QMN16</t>
  </si>
  <si>
    <t>3145-QMN16</t>
  </si>
  <si>
    <t>3285-QMN16</t>
  </si>
  <si>
    <t>2984-QMN16</t>
  </si>
  <si>
    <t>3093-QMN16</t>
  </si>
  <si>
    <t>3226-QMN16</t>
  </si>
  <si>
    <t>2688-QMN16</t>
  </si>
  <si>
    <t>3276-QMN16</t>
  </si>
  <si>
    <t>2675-QMN16</t>
  </si>
  <si>
    <t>3050-QMN16</t>
  </si>
  <si>
    <t>CHEYENNE</t>
  </si>
  <si>
    <t>3202-QMN16</t>
  </si>
  <si>
    <t>3199-QMN16</t>
  </si>
  <si>
    <t>EQUINOX</t>
  </si>
  <si>
    <t>3195-QMN16</t>
  </si>
  <si>
    <t>3297-QMN16</t>
  </si>
  <si>
    <t>3363-QMN16</t>
  </si>
  <si>
    <t>2648-QMN16</t>
  </si>
  <si>
    <t>3187-QMN16</t>
  </si>
  <si>
    <t>2908-QMN16</t>
  </si>
  <si>
    <t>1880-QMN16</t>
  </si>
  <si>
    <t>2650-QMN16</t>
  </si>
  <si>
    <t>CRUZE</t>
  </si>
  <si>
    <t>2483-QMN16</t>
  </si>
  <si>
    <t>2509-QMN16</t>
  </si>
  <si>
    <t>2129-QMN16</t>
  </si>
  <si>
    <t>3194-QMN16</t>
  </si>
  <si>
    <t>2962-QMN16</t>
  </si>
  <si>
    <t>3197-QMN16</t>
  </si>
  <si>
    <t>1607-QMN16</t>
  </si>
  <si>
    <t>3153-QMN16</t>
  </si>
  <si>
    <t>3220-QMN16</t>
  </si>
  <si>
    <t>3087-QMN16</t>
  </si>
  <si>
    <t>3133-QMN16</t>
  </si>
  <si>
    <t>3240-QMN16</t>
  </si>
  <si>
    <t>3257-QMN16</t>
  </si>
  <si>
    <t>TRAVERSE</t>
  </si>
  <si>
    <t>3242-QMN16</t>
  </si>
  <si>
    <t>3390-QMN16</t>
  </si>
  <si>
    <t>3412-QMN16</t>
  </si>
  <si>
    <t>2770-QMN16</t>
  </si>
  <si>
    <t>3091-QMN16</t>
  </si>
  <si>
    <t>3290-QMN16</t>
  </si>
  <si>
    <t>2905-QMN16</t>
  </si>
  <si>
    <t>2983-QMN16</t>
  </si>
  <si>
    <t>0100-QMU16</t>
  </si>
  <si>
    <t>3225-QMN16</t>
  </si>
  <si>
    <t>2665-QMN16</t>
  </si>
  <si>
    <t>2226-QMN16</t>
  </si>
  <si>
    <t>2760-QMN16</t>
  </si>
  <si>
    <t>2018-QMN16</t>
  </si>
  <si>
    <t>3410-QMN16</t>
  </si>
  <si>
    <t>3280-QMN16</t>
  </si>
  <si>
    <t>3095-QMN16</t>
  </si>
  <si>
    <t>2589-QMN16</t>
  </si>
  <si>
    <t>3125-QMN16</t>
  </si>
  <si>
    <t>3012-QMN16</t>
  </si>
  <si>
    <t>2897-QMN16</t>
  </si>
  <si>
    <t>2772-QMN16</t>
  </si>
  <si>
    <t>3361-QMN16</t>
  </si>
  <si>
    <t>3318-QMN16</t>
  </si>
  <si>
    <t>3296-QMN16</t>
  </si>
  <si>
    <t>2985-QMN16</t>
  </si>
  <si>
    <t>3413-QMN16</t>
  </si>
  <si>
    <t>2335-QMN16</t>
  </si>
  <si>
    <t>3154-QMN16</t>
  </si>
  <si>
    <t>3370-QMN16</t>
  </si>
  <si>
    <t>3221-QMN16</t>
  </si>
  <si>
    <t>3244-QMN16</t>
  </si>
  <si>
    <t>3247-QMN16</t>
  </si>
  <si>
    <t>2374-QMN16</t>
  </si>
  <si>
    <t>1814-QMN16</t>
  </si>
  <si>
    <t>2510-QMN16</t>
  </si>
  <si>
    <t>3253-QMN16</t>
  </si>
  <si>
    <t>2329-QMN16</t>
  </si>
  <si>
    <t>3452-QMN16</t>
  </si>
  <si>
    <t>3252-QMN16</t>
  </si>
  <si>
    <t>3380-QMN16</t>
  </si>
  <si>
    <t>3381-QMN16</t>
  </si>
  <si>
    <t>3090-QMN16</t>
  </si>
  <si>
    <t>3208-QMN16</t>
  </si>
  <si>
    <t>2928-QMN16</t>
  </si>
  <si>
    <t>1765-QMN16</t>
  </si>
  <si>
    <t>2774-QMN16</t>
  </si>
  <si>
    <t>2359-QMN16</t>
  </si>
  <si>
    <t>3332-QMN16</t>
  </si>
  <si>
    <t>3478-QMBN16</t>
  </si>
  <si>
    <t>3371-QMN16</t>
  </si>
  <si>
    <t>3365-QMN16</t>
  </si>
  <si>
    <t>3333-QMN16</t>
  </si>
  <si>
    <t>3007-QMN16</t>
  </si>
  <si>
    <t>3224-QMN16</t>
  </si>
  <si>
    <t>2879-QMN16</t>
  </si>
  <si>
    <t>3448-QMN16</t>
  </si>
  <si>
    <t>3222-QMN16</t>
  </si>
  <si>
    <t>3392-QMN16</t>
  </si>
  <si>
    <t>3541-QMN16</t>
  </si>
  <si>
    <t>3291-QMN16</t>
  </si>
  <si>
    <t>3338-QMN16</t>
  </si>
  <si>
    <t>2355-QMN16</t>
  </si>
  <si>
    <t>2558-QMN16</t>
  </si>
  <si>
    <t>3016-QMN16</t>
  </si>
  <si>
    <t>1776-QMN16</t>
  </si>
  <si>
    <t>1644-QMN16</t>
  </si>
  <si>
    <t>1792-QMN16</t>
  </si>
  <si>
    <t>3062-QMN16</t>
  </si>
  <si>
    <t>2803-QMN16</t>
  </si>
  <si>
    <t>3019-QMN16</t>
  </si>
  <si>
    <t>TORNADO</t>
  </si>
  <si>
    <t>3422-QMN16</t>
  </si>
  <si>
    <t>3536-QMN16</t>
  </si>
  <si>
    <t>2512-QMN16</t>
  </si>
  <si>
    <t>3009-QMN16</t>
  </si>
  <si>
    <t>3286-QMN16</t>
  </si>
  <si>
    <t>3450-QMN16</t>
  </si>
  <si>
    <t>3409-QMN16</t>
  </si>
  <si>
    <t>3449-QMN16</t>
  </si>
  <si>
    <t>3454-QMN16</t>
  </si>
  <si>
    <t>3366-QMN16</t>
  </si>
  <si>
    <t>0137-QMU16</t>
  </si>
  <si>
    <t>3203-QMN16</t>
  </si>
  <si>
    <t>3495-QMN16</t>
  </si>
  <si>
    <t>3411-QMN16</t>
  </si>
  <si>
    <t>3569-QMN16</t>
  </si>
  <si>
    <t>0122-QMU16</t>
  </si>
  <si>
    <t>3560-QMN16</t>
  </si>
  <si>
    <t>3456-QMN16</t>
  </si>
  <si>
    <t>3373-QMN16</t>
  </si>
  <si>
    <t>3570-QMN16</t>
  </si>
  <si>
    <t>3275-QMN16</t>
  </si>
  <si>
    <t>3425-QMN16</t>
  </si>
  <si>
    <t>3511-QMN16</t>
  </si>
  <si>
    <t>0132-QMU16</t>
  </si>
  <si>
    <t>VW VENTO</t>
  </si>
  <si>
    <t>2638-QMN16</t>
  </si>
  <si>
    <t>3567-QMN16</t>
  </si>
  <si>
    <t>AGOSTO.2016</t>
  </si>
  <si>
    <t>2696-QMN16</t>
  </si>
  <si>
    <t>3565-QMN16</t>
  </si>
  <si>
    <t>2128-QMN16</t>
  </si>
  <si>
    <t>3540-QMN16</t>
  </si>
  <si>
    <t>3640-QMN16</t>
  </si>
  <si>
    <t>3650-QMN16</t>
  </si>
  <si>
    <t>3475-QMN16</t>
  </si>
  <si>
    <t>3512-QMN16</t>
  </si>
  <si>
    <t>3657-QMN16</t>
  </si>
  <si>
    <t>1439-QMN16</t>
  </si>
  <si>
    <t>3172-QMN16</t>
  </si>
  <si>
    <t>3185-QMN16</t>
  </si>
  <si>
    <t>3655-QMN16</t>
  </si>
  <si>
    <t>3126-QMN16</t>
  </si>
  <si>
    <t>3426-QMN16</t>
  </si>
  <si>
    <t>UTILIDAD</t>
  </si>
  <si>
    <t>C</t>
  </si>
  <si>
    <t>V</t>
  </si>
  <si>
    <t>248-QMN16</t>
  </si>
  <si>
    <t>2970-QMN15</t>
  </si>
  <si>
    <t>UTILIDAD G.E.</t>
  </si>
  <si>
    <t>UTILIDAD SEGURO</t>
  </si>
  <si>
    <t>UTILIDAD FINANCIAMIENTO</t>
  </si>
  <si>
    <t>TOTAL UTILIDAD</t>
  </si>
  <si>
    <t>3694-qmn16</t>
  </si>
  <si>
    <t>2131-QMN16</t>
  </si>
  <si>
    <t>3641-QMN16</t>
  </si>
  <si>
    <t>2777-QMN16</t>
  </si>
  <si>
    <t>3656-QMN16</t>
  </si>
  <si>
    <t>3431-QMN16</t>
  </si>
  <si>
    <t>3248-QMN16</t>
  </si>
  <si>
    <t>0143-QMU16</t>
  </si>
  <si>
    <t>3654-QMN16</t>
  </si>
  <si>
    <t>SILVERADO</t>
  </si>
  <si>
    <t>3728-QMN16</t>
  </si>
  <si>
    <t>3568-QMN16</t>
  </si>
  <si>
    <t>3578-QMN16</t>
  </si>
  <si>
    <t>3741-QMN16</t>
  </si>
  <si>
    <t>3639-QMN16</t>
  </si>
  <si>
    <t>3753-QMN16</t>
  </si>
  <si>
    <t>2986-QMN16</t>
  </si>
  <si>
    <t>3017-QMN16</t>
  </si>
  <si>
    <t>3780-QMN16</t>
  </si>
  <si>
    <t>3772-QMN16</t>
  </si>
  <si>
    <t>3765-QMN16</t>
  </si>
  <si>
    <t>3337-QMN16</t>
  </si>
  <si>
    <t>0141-QMU16</t>
  </si>
  <si>
    <t>0319-QMN15</t>
  </si>
  <si>
    <t>ESCAPE</t>
  </si>
  <si>
    <t>3295-QMN16</t>
  </si>
  <si>
    <t>3585-QMN16</t>
  </si>
  <si>
    <t>3652-QMN16</t>
  </si>
  <si>
    <t>3756-QMN16</t>
  </si>
  <si>
    <t>3329-QMN16</t>
  </si>
  <si>
    <t>3720-QMN16</t>
  </si>
  <si>
    <t>3675-QMN16</t>
  </si>
  <si>
    <t>3673-QMN16</t>
  </si>
  <si>
    <t>3743-Qqmn16</t>
  </si>
  <si>
    <t>3664-QMN16</t>
  </si>
  <si>
    <t>3459-QMN16</t>
  </si>
  <si>
    <t>3759-QMN16</t>
  </si>
  <si>
    <t>3679-QMN16</t>
  </si>
  <si>
    <t>3515-QMN16</t>
  </si>
  <si>
    <t>3730-QMN16</t>
  </si>
  <si>
    <t>3601-QMN16</t>
  </si>
  <si>
    <t>3482-QMN16</t>
  </si>
  <si>
    <t>2788-QMN16</t>
  </si>
  <si>
    <t>2780-QMN16</t>
  </si>
  <si>
    <t>3781-QMN16</t>
  </si>
  <si>
    <t>3647-QMN16</t>
  </si>
  <si>
    <t>CAMARO</t>
  </si>
  <si>
    <t>2799-QMN16</t>
  </si>
  <si>
    <t>3821-QMN16</t>
  </si>
  <si>
    <t>3691-QMN16</t>
  </si>
  <si>
    <t>3681-QMN16</t>
  </si>
  <si>
    <t>3600-QMN16</t>
  </si>
  <si>
    <t>3845-QMN16</t>
  </si>
  <si>
    <t>MALIBU</t>
  </si>
  <si>
    <t>3755-QMN16</t>
  </si>
  <si>
    <t>3846-QMN16</t>
  </si>
  <si>
    <t>2568-QMN16</t>
  </si>
  <si>
    <t>2039-QMN16</t>
  </si>
  <si>
    <t>2793-QMN16</t>
  </si>
  <si>
    <t>3586-QMN16</t>
  </si>
  <si>
    <t>3844-QMN16</t>
  </si>
  <si>
    <t>2802-QMN16</t>
  </si>
  <si>
    <t>3610-QMN16</t>
  </si>
  <si>
    <t>3851-QMN16</t>
  </si>
  <si>
    <t>3835-QMN16</t>
  </si>
  <si>
    <t>3867-QMN16</t>
  </si>
  <si>
    <t>3752-QMN16</t>
  </si>
  <si>
    <t>3508-QMN16</t>
  </si>
  <si>
    <t>3598-QMN16</t>
  </si>
  <si>
    <t>0050-QMN17</t>
  </si>
  <si>
    <t>3388-QMN16</t>
  </si>
  <si>
    <t>3334-QMN16</t>
  </si>
  <si>
    <t>3786-QMN16</t>
  </si>
  <si>
    <t>3860-QMN16</t>
  </si>
  <si>
    <t>3602-QMN16</t>
  </si>
  <si>
    <t>3892-QMN16</t>
  </si>
  <si>
    <t>0040-QMN17</t>
  </si>
  <si>
    <t>0154-QMU16</t>
  </si>
  <si>
    <t>3797-QMN16</t>
  </si>
  <si>
    <t>2644-QMN16</t>
  </si>
  <si>
    <t>3067-QMN16</t>
  </si>
  <si>
    <t>3836-QMN16</t>
  </si>
  <si>
    <t>1375-QMN16</t>
  </si>
  <si>
    <t>3833-QMN16</t>
  </si>
  <si>
    <t>3834-QMN16</t>
  </si>
  <si>
    <t>3500-QMN16</t>
  </si>
  <si>
    <t>3692-QMN16</t>
  </si>
  <si>
    <t>3328-QMN16</t>
  </si>
  <si>
    <t>0146-QMU16</t>
  </si>
  <si>
    <t>3801-QMN16</t>
  </si>
  <si>
    <t>3802-QMN16</t>
  </si>
  <si>
    <t>2695-QMN16</t>
  </si>
  <si>
    <t>2797-QMN16</t>
  </si>
  <si>
    <t>3950-QMN16</t>
  </si>
  <si>
    <t>3837-QMN16</t>
  </si>
  <si>
    <t>3094-QMN16</t>
  </si>
  <si>
    <t>3516-QMN16</t>
  </si>
  <si>
    <t>2133-QMN16</t>
  </si>
  <si>
    <t>3189-QMN16</t>
  </si>
  <si>
    <t>3330-QMN16</t>
  </si>
  <si>
    <t>0907-QMN16</t>
  </si>
  <si>
    <t>3968-QMN16</t>
  </si>
  <si>
    <t>3876-QMN16</t>
  </si>
  <si>
    <t>3819-QMN16</t>
  </si>
  <si>
    <t>3547-QMN16</t>
  </si>
  <si>
    <t>2787-QMN16</t>
  </si>
  <si>
    <t>3379-QMN16</t>
  </si>
  <si>
    <t>3218-QMN16</t>
  </si>
  <si>
    <t>3852-QMN16</t>
  </si>
  <si>
    <t>3374-QMN16</t>
  </si>
  <si>
    <t>4013-QMN16</t>
  </si>
  <si>
    <t>0115-QMU16</t>
  </si>
  <si>
    <t>JETTA</t>
  </si>
  <si>
    <t>3858-QMN16</t>
  </si>
  <si>
    <t>3754-QMN16</t>
  </si>
  <si>
    <t>3992-QMN16</t>
  </si>
  <si>
    <t>3734-QMN16</t>
  </si>
  <si>
    <t>3606-QMN16</t>
  </si>
  <si>
    <t>3356-QMN16</t>
  </si>
  <si>
    <t>0061-QMN17</t>
  </si>
  <si>
    <t>3884-QMN16</t>
  </si>
  <si>
    <t>0013-QMN17</t>
  </si>
  <si>
    <t>2681-QMN16</t>
  </si>
  <si>
    <t>3893-QMN16</t>
  </si>
  <si>
    <t>3877-QMN16</t>
  </si>
  <si>
    <t>COMPRA</t>
  </si>
  <si>
    <t>3660-QMN15</t>
  </si>
  <si>
    <t>3811-QMN16</t>
  </si>
  <si>
    <t>3971-QMN16</t>
  </si>
  <si>
    <t>3762-QMN16</t>
  </si>
  <si>
    <t>3900-QMN16</t>
  </si>
  <si>
    <t>3517-QMN16</t>
  </si>
  <si>
    <t>3899-QMN16</t>
  </si>
  <si>
    <t>0069-QMN17</t>
  </si>
  <si>
    <t>3678-QMN16</t>
  </si>
  <si>
    <t>3258-QMN16</t>
  </si>
  <si>
    <t>3969-QMN16</t>
  </si>
  <si>
    <t>2273-QMN16</t>
  </si>
  <si>
    <t>3737-QMN16</t>
  </si>
  <si>
    <t>0045-QMN17</t>
  </si>
  <si>
    <t>3993-QMN16</t>
  </si>
  <si>
    <t>3502-QMN16</t>
  </si>
  <si>
    <t>4119-QMN16</t>
  </si>
  <si>
    <t>3693-QMN16</t>
  </si>
  <si>
    <t>3812-QMN16</t>
  </si>
  <si>
    <t>4092-QMN16</t>
  </si>
  <si>
    <t>3544-QMN16</t>
  </si>
  <si>
    <t>3972-QMN16</t>
  </si>
  <si>
    <t>3973-QMN16</t>
  </si>
  <si>
    <t>3805-QMN16</t>
  </si>
  <si>
    <t>4038-QMN16</t>
  </si>
  <si>
    <t>4034-QMN16</t>
  </si>
  <si>
    <t>4118-QMN16</t>
  </si>
  <si>
    <t>4124-QMN16</t>
  </si>
  <si>
    <t>4089-QMN16</t>
  </si>
  <si>
    <t>4047-QMN16</t>
  </si>
  <si>
    <t>0118-QMN17</t>
  </si>
  <si>
    <t>3783-QMN16</t>
  </si>
  <si>
    <t>4062-QMN16</t>
  </si>
  <si>
    <t>4042-QMN16</t>
  </si>
  <si>
    <t>4030-QMN16</t>
  </si>
  <si>
    <t>3505-QMN16</t>
  </si>
  <si>
    <t>4043-QMN16</t>
  </si>
  <si>
    <t>3418-QMN16</t>
  </si>
  <si>
    <t>3771-QMN16</t>
  </si>
  <si>
    <t>3760-QMN16</t>
  </si>
  <si>
    <t>3688-QMN16</t>
  </si>
  <si>
    <t>1884-QMN16</t>
  </si>
  <si>
    <t>3966-QMN16</t>
  </si>
  <si>
    <t>3807-QMN16</t>
  </si>
  <si>
    <t>3375-QMN16</t>
  </si>
  <si>
    <t>3810-QMN16</t>
  </si>
  <si>
    <t>3378-QMN16</t>
  </si>
  <si>
    <t>3677-QMN16</t>
  </si>
  <si>
    <t>1605-QMN16</t>
  </si>
  <si>
    <t>4064-QMN16</t>
  </si>
  <si>
    <t>2256-QMN16</t>
  </si>
  <si>
    <t>4168-QMN16</t>
  </si>
  <si>
    <t>3542-QMN16</t>
  </si>
  <si>
    <t>0211-QMN17</t>
  </si>
  <si>
    <t>4200-QMN16</t>
  </si>
  <si>
    <t>4067-QMN16</t>
  </si>
  <si>
    <t>3676-QMN16</t>
  </si>
  <si>
    <t>3725-QMN16</t>
  </si>
  <si>
    <t>4066-QMN16</t>
  </si>
  <si>
    <t>3970-QMN16</t>
  </si>
  <si>
    <t>3934-QMN16</t>
  </si>
  <si>
    <t>4173-QMN16</t>
  </si>
  <si>
    <t>4045-QMN16</t>
  </si>
  <si>
    <t>4093-qmn16</t>
  </si>
  <si>
    <t>2761-QMN16</t>
  </si>
  <si>
    <t>4219-QMN16</t>
  </si>
  <si>
    <t>3506-QMN16</t>
  </si>
  <si>
    <t>4076-QMN16</t>
  </si>
  <si>
    <t>0148-QMU16</t>
  </si>
  <si>
    <t>FORD IKON</t>
  </si>
  <si>
    <t>4131-QMN16</t>
  </si>
  <si>
    <t>3829-QMN16</t>
  </si>
  <si>
    <t>4129-QMN16</t>
  </si>
  <si>
    <t>4212-QMN16</t>
  </si>
  <si>
    <t>4046-QMN16</t>
  </si>
  <si>
    <t>2421-QMN16</t>
  </si>
  <si>
    <t>3809-QMN16</t>
  </si>
  <si>
    <t>4178-QMN16</t>
  </si>
  <si>
    <t>3803-QMN16</t>
  </si>
  <si>
    <t>3935-QMN16</t>
  </si>
  <si>
    <t>4193-QMN16</t>
  </si>
  <si>
    <t>4144-QMN16</t>
  </si>
  <si>
    <t>4163-QMN16</t>
  </si>
  <si>
    <t>4050-QMN16</t>
  </si>
  <si>
    <t>4225-QMN16</t>
  </si>
  <si>
    <t>4194-QMN16</t>
  </si>
  <si>
    <t>4031-QMN16</t>
  </si>
  <si>
    <t>4174-QMN16</t>
  </si>
  <si>
    <t>0260-QMN17</t>
  </si>
  <si>
    <t>0169-QMU16</t>
  </si>
  <si>
    <t>MATIZ</t>
  </si>
  <si>
    <t>4201-QMN16</t>
  </si>
  <si>
    <t>0104-QMN17</t>
  </si>
  <si>
    <t>0007-QMN17</t>
  </si>
  <si>
    <t>4172-QMN16</t>
  </si>
  <si>
    <t>0108-QMN17</t>
  </si>
  <si>
    <t>4203-QMN16</t>
  </si>
  <si>
    <t>4097-QMN16</t>
  </si>
  <si>
    <t>3611-QMN16</t>
  </si>
  <si>
    <t>3282-QMN16</t>
  </si>
  <si>
    <t>3682-QMN16</t>
  </si>
  <si>
    <t>4122-QMN16</t>
  </si>
  <si>
    <t>3386-QMN16</t>
  </si>
  <si>
    <t>3683-QMN16</t>
  </si>
  <si>
    <t>0213-QMN17</t>
  </si>
  <si>
    <t>4094-QMN16</t>
  </si>
  <si>
    <t>0093-QMN17</t>
  </si>
  <si>
    <t>4215-QMN16</t>
  </si>
  <si>
    <t>3740-QMN16</t>
  </si>
  <si>
    <t>3804-QMN16</t>
  </si>
  <si>
    <t>0294-QMN17</t>
  </si>
  <si>
    <t>4147-QMN16</t>
  </si>
  <si>
    <t>4199-QMN16</t>
  </si>
  <si>
    <t>0107-QMN17</t>
  </si>
  <si>
    <t>3609-QMN16</t>
  </si>
  <si>
    <t>VANTA</t>
  </si>
  <si>
    <t>SEPTIEMBRE.2016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</si>
</sst>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10" fontId="5" fillId="2" borderId="0" xfId="0" applyNumberFormat="1" applyFont="1" applyFill="1" applyAlignment="1">
      <alignment horizontal="center" vertical="center" wrapText="1"/>
    </xf>
    <xf numFmtId="14" fontId="0" fillId="0" borderId="0" xfId="0" applyNumberFormat="1"/>
    <xf numFmtId="43" fontId="0" fillId="0" borderId="0" xfId="2" applyFont="1"/>
    <xf numFmtId="0" fontId="0" fillId="0" borderId="0" xfId="0" applyFill="1"/>
    <xf numFmtId="12" fontId="0" fillId="0" borderId="0" xfId="2" applyNumberFormat="1" applyFont="1"/>
    <xf numFmtId="14" fontId="0" fillId="0" borderId="0" xfId="0" applyNumberFormat="1" applyFill="1"/>
    <xf numFmtId="43" fontId="0" fillId="0" borderId="0" xfId="2" applyFont="1" applyFill="1"/>
    <xf numFmtId="43" fontId="0" fillId="0" borderId="0" xfId="0" applyNumberFormat="1"/>
    <xf numFmtId="43" fontId="3" fillId="0" borderId="0" xfId="0" applyNumberFormat="1" applyFont="1" applyFill="1"/>
    <xf numFmtId="43" fontId="2" fillId="0" borderId="0" xfId="2" applyFont="1"/>
    <xf numFmtId="12" fontId="2" fillId="0" borderId="0" xfId="2" applyNumberFormat="1" applyFont="1"/>
    <xf numFmtId="0" fontId="0" fillId="3" borderId="0" xfId="0" applyFill="1"/>
    <xf numFmtId="0" fontId="7" fillId="0" borderId="0" xfId="1" applyFont="1" applyAlignment="1">
      <alignment horizontal="center" wrapText="1"/>
    </xf>
    <xf numFmtId="17" fontId="7" fillId="0" borderId="0" xfId="1" applyNumberFormat="1" applyFont="1" applyBorder="1" applyAlignment="1">
      <alignment horizontal="center" wrapText="1"/>
    </xf>
    <xf numFmtId="43" fontId="1" fillId="0" borderId="0" xfId="2" applyFont="1"/>
    <xf numFmtId="0" fontId="7" fillId="0" borderId="0" xfId="1" applyFont="1" applyAlignment="1">
      <alignment horizontal="center" wrapText="1"/>
    </xf>
    <xf numFmtId="17" fontId="7" fillId="0" borderId="0" xfId="1" applyNumberFormat="1" applyFont="1" applyBorder="1" applyAlignment="1">
      <alignment horizontal="center" wrapText="1"/>
    </xf>
  </cellXfs>
  <cellStyles count="3">
    <cellStyle name="Excel Built-in Normal" xfId="1"/>
    <cellStyle name="Millares" xfId="2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381000</xdr:colOff>
      <xdr:row>3</xdr:row>
      <xdr:rowOff>0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5"/>
          <a:ext cx="13239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381000</xdr:colOff>
      <xdr:row>3</xdr:row>
      <xdr:rowOff>0</xdr:rowOff>
    </xdr:to>
    <xdr:pic>
      <xdr:nvPicPr>
        <xdr:cNvPr id="3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5"/>
          <a:ext cx="13239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381000</xdr:colOff>
      <xdr:row>3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5"/>
          <a:ext cx="13239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63"/>
  <sheetViews>
    <sheetView workbookViewId="0">
      <pane ySplit="8" topLeftCell="A9" activePane="bottomLeft" state="frozen"/>
      <selection pane="bottomLeft" activeCell="G10" sqref="G10"/>
    </sheetView>
  </sheetViews>
  <sheetFormatPr baseColWidth="10" defaultRowHeight="15"/>
  <cols>
    <col min="1" max="1" width="15.140625" customWidth="1"/>
    <col min="2" max="2" width="10.42578125" customWidth="1"/>
    <col min="3" max="3" width="18.42578125" customWidth="1"/>
    <col min="4" max="4" width="17" customWidth="1"/>
    <col min="5" max="5" width="20.85546875" customWidth="1"/>
    <col min="6" max="8" width="18.42578125" customWidth="1"/>
    <col min="9" max="10" width="18.140625" customWidth="1"/>
    <col min="11" max="11" width="14.42578125" customWidth="1"/>
    <col min="14" max="14" width="13.140625" bestFit="1" customWidth="1"/>
    <col min="15" max="15" width="11.5703125" bestFit="1" customWidth="1"/>
  </cols>
  <sheetData>
    <row r="2" spans="1:15" ht="15.75" customHeight="1">
      <c r="A2" s="17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5" ht="15.75" customHeight="1">
      <c r="A3" s="17" t="s">
        <v>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5" ht="15.75">
      <c r="A4" s="18" t="s">
        <v>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8" spans="1:15" ht="45">
      <c r="A8" s="1" t="s">
        <v>1</v>
      </c>
      <c r="B8" s="1" t="s">
        <v>2</v>
      </c>
      <c r="C8" s="1" t="s">
        <v>3</v>
      </c>
      <c r="D8" s="1" t="s">
        <v>6</v>
      </c>
      <c r="E8" s="1" t="s">
        <v>7</v>
      </c>
      <c r="F8" s="1" t="s">
        <v>8</v>
      </c>
      <c r="G8" s="1" t="s">
        <v>187</v>
      </c>
      <c r="H8" s="1" t="s">
        <v>188</v>
      </c>
      <c r="I8" s="1" t="s">
        <v>189</v>
      </c>
      <c r="J8" s="1" t="s">
        <v>190</v>
      </c>
      <c r="K8" s="1" t="s">
        <v>0</v>
      </c>
      <c r="L8" s="2">
        <v>3.5000000000000003E-2</v>
      </c>
      <c r="M8" s="1" t="s">
        <v>182</v>
      </c>
      <c r="N8" s="1" t="s">
        <v>183</v>
      </c>
      <c r="O8" s="1" t="s">
        <v>184</v>
      </c>
    </row>
    <row r="9" spans="1:15">
      <c r="A9" t="s">
        <v>10</v>
      </c>
      <c r="B9" t="s">
        <v>11</v>
      </c>
      <c r="C9" s="3">
        <v>42551</v>
      </c>
      <c r="D9" s="4">
        <v>152880</v>
      </c>
      <c r="E9" s="4">
        <v>7500</v>
      </c>
      <c r="F9" s="4">
        <v>25708.48</v>
      </c>
      <c r="G9" s="4">
        <f t="shared" ref="G9:G40" si="0">(E9/1.16)*0.5</f>
        <v>3232.7586206896553</v>
      </c>
      <c r="H9" s="4">
        <f>(F9/1.16)*0.13</f>
        <v>2881.1227586206901</v>
      </c>
      <c r="I9" s="4">
        <f>D9*3.5%</f>
        <v>5350.8</v>
      </c>
      <c r="J9" s="4">
        <f>+G9+I9</f>
        <v>8583.5586206896551</v>
      </c>
      <c r="K9" s="4">
        <f t="shared" ref="K9:K40" si="1">SUM(+D9+E9-F9-I9)</f>
        <v>129320.71999999999</v>
      </c>
      <c r="L9" s="4">
        <f>K9*$L$8</f>
        <v>4526.2251999999999</v>
      </c>
      <c r="M9" s="9">
        <f>O9-N9</f>
        <v>10975.640000000014</v>
      </c>
      <c r="N9" s="9">
        <v>134024.35999999999</v>
      </c>
      <c r="O9" s="9">
        <f>168200/1.16</f>
        <v>145000</v>
      </c>
    </row>
    <row r="10" spans="1:15">
      <c r="A10" t="s">
        <v>12</v>
      </c>
      <c r="B10" t="s">
        <v>13</v>
      </c>
      <c r="C10" s="3">
        <v>42555</v>
      </c>
      <c r="D10" s="4">
        <v>97760</v>
      </c>
      <c r="E10" s="4"/>
      <c r="F10" s="4">
        <v>5909.03</v>
      </c>
      <c r="G10" s="4">
        <f t="shared" si="0"/>
        <v>0</v>
      </c>
      <c r="H10" s="4">
        <f t="shared" ref="H10:H73" si="2">(F10/1.16)*0.13</f>
        <v>662.21887931034485</v>
      </c>
      <c r="I10" s="4">
        <f t="shared" ref="I10:I73" si="3">D10*3.5%</f>
        <v>3421.6000000000004</v>
      </c>
      <c r="J10" s="4">
        <f t="shared" ref="J10:J73" si="4">+G10+I10</f>
        <v>3421.6000000000004</v>
      </c>
      <c r="K10" s="4">
        <f t="shared" si="1"/>
        <v>88429.37</v>
      </c>
      <c r="L10" s="4">
        <f t="shared" ref="L10:L73" si="5">K10*$L$8</f>
        <v>3095.0279500000001</v>
      </c>
      <c r="M10" s="9">
        <f t="shared" ref="M10:M73" si="6">O10-N10</f>
        <v>-2799.1775862068898</v>
      </c>
      <c r="N10" s="9">
        <v>132454.35</v>
      </c>
      <c r="O10" s="9">
        <f>150400/1.16</f>
        <v>129655.17241379312</v>
      </c>
    </row>
    <row r="11" spans="1:15">
      <c r="A11" t="s">
        <v>14</v>
      </c>
      <c r="B11" t="s">
        <v>13</v>
      </c>
      <c r="C11" s="3">
        <v>42552</v>
      </c>
      <c r="D11" s="4">
        <v>175650</v>
      </c>
      <c r="E11" s="4">
        <v>8500</v>
      </c>
      <c r="F11" s="4">
        <v>20473.62</v>
      </c>
      <c r="G11" s="4">
        <f t="shared" si="0"/>
        <v>3663.7931034482763</v>
      </c>
      <c r="H11" s="4">
        <f t="shared" si="2"/>
        <v>2294.4574137931036</v>
      </c>
      <c r="I11" s="4">
        <f t="shared" si="3"/>
        <v>6147.7500000000009</v>
      </c>
      <c r="J11" s="4">
        <f t="shared" si="4"/>
        <v>9811.5431034482772</v>
      </c>
      <c r="K11" s="4">
        <f t="shared" si="1"/>
        <v>157528.63</v>
      </c>
      <c r="L11" s="4">
        <f t="shared" si="5"/>
        <v>5513.502050000001</v>
      </c>
      <c r="M11" s="9">
        <f t="shared" si="6"/>
        <v>3283.1848275862285</v>
      </c>
      <c r="N11" s="9">
        <v>163527.16</v>
      </c>
      <c r="O11" s="9">
        <f>193500/1.16</f>
        <v>166810.34482758623</v>
      </c>
    </row>
    <row r="12" spans="1:15">
      <c r="A12" t="s">
        <v>15</v>
      </c>
      <c r="B12" t="s">
        <v>11</v>
      </c>
      <c r="C12" s="3">
        <v>42555</v>
      </c>
      <c r="D12" s="4">
        <v>114270</v>
      </c>
      <c r="E12" s="4">
        <v>8500</v>
      </c>
      <c r="F12" s="4">
        <v>22512.12</v>
      </c>
      <c r="G12" s="4">
        <f t="shared" si="0"/>
        <v>3663.7931034482763</v>
      </c>
      <c r="H12" s="4">
        <f t="shared" si="2"/>
        <v>2522.9100000000003</v>
      </c>
      <c r="I12" s="4">
        <f t="shared" si="3"/>
        <v>3999.4500000000003</v>
      </c>
      <c r="J12" s="4">
        <f t="shared" si="4"/>
        <v>7663.2431034482761</v>
      </c>
      <c r="K12" s="4">
        <f t="shared" si="1"/>
        <v>96258.430000000008</v>
      </c>
      <c r="L12" s="4">
        <f t="shared" si="5"/>
        <v>3369.0450500000006</v>
      </c>
      <c r="M12" s="9">
        <f t="shared" si="6"/>
        <v>2097.3713793103525</v>
      </c>
      <c r="N12" s="9">
        <v>105919.87</v>
      </c>
      <c r="O12" s="9">
        <f>125300/1.16</f>
        <v>108017.24137931035</v>
      </c>
    </row>
    <row r="13" spans="1:15">
      <c r="A13" t="s">
        <v>16</v>
      </c>
      <c r="B13" t="s">
        <v>17</v>
      </c>
      <c r="C13" s="3">
        <v>40716</v>
      </c>
      <c r="D13" s="4">
        <v>122900</v>
      </c>
      <c r="E13" s="4"/>
      <c r="F13" s="4">
        <v>12219.61</v>
      </c>
      <c r="G13" s="4">
        <f t="shared" si="0"/>
        <v>0</v>
      </c>
      <c r="H13" s="4">
        <f t="shared" si="2"/>
        <v>1369.4390517241382</v>
      </c>
      <c r="I13" s="4">
        <f t="shared" si="3"/>
        <v>4301.5</v>
      </c>
      <c r="J13" s="4">
        <f t="shared" si="4"/>
        <v>4301.5</v>
      </c>
      <c r="K13" s="4">
        <f t="shared" si="1"/>
        <v>106378.89</v>
      </c>
      <c r="L13" s="4">
        <f t="shared" si="5"/>
        <v>3723.2611500000003</v>
      </c>
      <c r="M13" s="9">
        <f t="shared" si="6"/>
        <v>-885.53482758620521</v>
      </c>
      <c r="N13" s="9">
        <v>174075.19</v>
      </c>
      <c r="O13" s="9">
        <f>200900/1.16</f>
        <v>173189.6551724138</v>
      </c>
    </row>
    <row r="14" spans="1:15">
      <c r="A14" t="s">
        <v>18</v>
      </c>
      <c r="B14" t="s">
        <v>19</v>
      </c>
      <c r="C14" s="3">
        <v>42551</v>
      </c>
      <c r="D14" s="4">
        <v>278600</v>
      </c>
      <c r="E14" s="4"/>
      <c r="F14" s="4">
        <v>17046.86</v>
      </c>
      <c r="G14" s="4">
        <f t="shared" si="0"/>
        <v>0</v>
      </c>
      <c r="H14" s="4">
        <f t="shared" si="2"/>
        <v>1910.4239655172416</v>
      </c>
      <c r="I14" s="4">
        <f t="shared" si="3"/>
        <v>9751.0000000000018</v>
      </c>
      <c r="J14" s="4">
        <f t="shared" si="4"/>
        <v>9751.0000000000018</v>
      </c>
      <c r="K14" s="4">
        <f t="shared" si="1"/>
        <v>251802.14</v>
      </c>
      <c r="L14" s="4">
        <f t="shared" si="5"/>
        <v>8813.0749000000014</v>
      </c>
      <c r="M14" s="9">
        <f t="shared" si="6"/>
        <v>64402.206896551768</v>
      </c>
      <c r="N14" s="9">
        <v>348184</v>
      </c>
      <c r="O14" s="9">
        <f>478600/1.16</f>
        <v>412586.20689655177</v>
      </c>
    </row>
    <row r="15" spans="1:15">
      <c r="A15" t="s">
        <v>20</v>
      </c>
      <c r="B15" t="s">
        <v>11</v>
      </c>
      <c r="C15" s="3">
        <v>42555</v>
      </c>
      <c r="D15" s="4">
        <v>78100</v>
      </c>
      <c r="E15" s="4"/>
      <c r="F15" s="4">
        <v>7294.95</v>
      </c>
      <c r="G15" s="4">
        <f t="shared" si="0"/>
        <v>0</v>
      </c>
      <c r="H15" s="4">
        <f t="shared" si="2"/>
        <v>817.53750000000002</v>
      </c>
      <c r="I15" s="4">
        <f t="shared" si="3"/>
        <v>2733.5000000000005</v>
      </c>
      <c r="J15" s="4">
        <f t="shared" si="4"/>
        <v>2733.5000000000005</v>
      </c>
      <c r="K15" s="4">
        <f t="shared" si="1"/>
        <v>68071.55</v>
      </c>
      <c r="L15" s="4">
        <f t="shared" si="5"/>
        <v>2382.5042500000004</v>
      </c>
      <c r="M15" s="9">
        <f t="shared" si="6"/>
        <v>12641.682068965543</v>
      </c>
      <c r="N15" s="9">
        <v>158134.18</v>
      </c>
      <c r="O15" s="9">
        <f>198100/1.16</f>
        <v>170775.86206896554</v>
      </c>
    </row>
    <row r="16" spans="1:15">
      <c r="A16" t="s">
        <v>21</v>
      </c>
      <c r="B16" t="s">
        <v>22</v>
      </c>
      <c r="C16" s="3">
        <v>42556</v>
      </c>
      <c r="D16" s="4">
        <v>218100</v>
      </c>
      <c r="E16" s="4"/>
      <c r="F16" s="4">
        <v>20737.68</v>
      </c>
      <c r="G16" s="4">
        <f t="shared" si="0"/>
        <v>0</v>
      </c>
      <c r="H16" s="4">
        <f t="shared" si="2"/>
        <v>2324.0503448275863</v>
      </c>
      <c r="I16" s="4">
        <f t="shared" si="3"/>
        <v>7633.5000000000009</v>
      </c>
      <c r="J16" s="4">
        <f t="shared" si="4"/>
        <v>7633.5000000000009</v>
      </c>
      <c r="K16" s="4">
        <f t="shared" si="1"/>
        <v>189728.82</v>
      </c>
      <c r="L16" s="4">
        <f t="shared" si="5"/>
        <v>6640.5087000000012</v>
      </c>
      <c r="M16" s="9">
        <f t="shared" si="6"/>
        <v>3456.1389655172534</v>
      </c>
      <c r="N16" s="9">
        <v>244905.93</v>
      </c>
      <c r="O16" s="9">
        <f>288100/1.16</f>
        <v>248362.06896551725</v>
      </c>
    </row>
    <row r="17" spans="1:15">
      <c r="A17" t="s">
        <v>23</v>
      </c>
      <c r="B17" t="s">
        <v>17</v>
      </c>
      <c r="C17" s="3">
        <v>42556</v>
      </c>
      <c r="D17" s="4">
        <v>130099.99</v>
      </c>
      <c r="E17" s="4">
        <v>12500</v>
      </c>
      <c r="F17" s="4">
        <v>24873.63</v>
      </c>
      <c r="G17" s="4">
        <f t="shared" si="0"/>
        <v>5387.9310344827591</v>
      </c>
      <c r="H17" s="4">
        <f t="shared" si="2"/>
        <v>2787.5619827586211</v>
      </c>
      <c r="I17" s="4">
        <f t="shared" si="3"/>
        <v>4553.4996500000007</v>
      </c>
      <c r="J17" s="4">
        <f t="shared" si="4"/>
        <v>9941.4306844827588</v>
      </c>
      <c r="K17" s="4">
        <f t="shared" si="1"/>
        <v>113172.86034999999</v>
      </c>
      <c r="L17" s="4">
        <f t="shared" si="5"/>
        <v>3961.05011225</v>
      </c>
      <c r="M17" s="9">
        <f t="shared" si="6"/>
        <v>7769.780689655192</v>
      </c>
      <c r="N17" s="9">
        <v>194988.84</v>
      </c>
      <c r="O17" s="9">
        <f>235200/1.16</f>
        <v>202758.62068965519</v>
      </c>
    </row>
    <row r="18" spans="1:15">
      <c r="A18" t="s">
        <v>14</v>
      </c>
      <c r="B18" t="s">
        <v>13</v>
      </c>
      <c r="C18" s="3">
        <v>42552</v>
      </c>
      <c r="D18" s="4">
        <v>175650</v>
      </c>
      <c r="E18" s="4">
        <v>8500</v>
      </c>
      <c r="F18" s="4">
        <v>20473.62</v>
      </c>
      <c r="G18" s="4">
        <f t="shared" si="0"/>
        <v>3663.7931034482763</v>
      </c>
      <c r="H18" s="4">
        <f t="shared" si="2"/>
        <v>2294.4574137931036</v>
      </c>
      <c r="I18" s="4">
        <f t="shared" si="3"/>
        <v>6147.7500000000009</v>
      </c>
      <c r="J18" s="4">
        <f t="shared" si="4"/>
        <v>9811.5431034482772</v>
      </c>
      <c r="K18" s="4">
        <f t="shared" si="1"/>
        <v>157528.63</v>
      </c>
      <c r="L18" s="4">
        <f t="shared" si="5"/>
        <v>5513.502050000001</v>
      </c>
      <c r="M18" s="9">
        <f t="shared" si="6"/>
        <v>3283.1848275862285</v>
      </c>
      <c r="N18" s="9">
        <v>163527.16</v>
      </c>
      <c r="O18" s="9">
        <f>193500/1.16</f>
        <v>166810.34482758623</v>
      </c>
    </row>
    <row r="19" spans="1:15">
      <c r="A19" t="s">
        <v>24</v>
      </c>
      <c r="B19" t="s">
        <v>11</v>
      </c>
      <c r="C19" s="3">
        <v>42556</v>
      </c>
      <c r="D19" s="4">
        <v>100783.07</v>
      </c>
      <c r="E19" s="4">
        <v>8500</v>
      </c>
      <c r="F19" s="4">
        <v>22363.68</v>
      </c>
      <c r="G19" s="4">
        <f t="shared" si="0"/>
        <v>3663.7931034482763</v>
      </c>
      <c r="H19" s="4">
        <f t="shared" si="2"/>
        <v>2506.2744827586212</v>
      </c>
      <c r="I19" s="4">
        <f t="shared" si="3"/>
        <v>3527.4074500000006</v>
      </c>
      <c r="J19" s="4">
        <f t="shared" si="4"/>
        <v>7191.2005534482769</v>
      </c>
      <c r="K19" s="4">
        <f t="shared" si="1"/>
        <v>83391.982550000015</v>
      </c>
      <c r="L19" s="4">
        <f t="shared" si="5"/>
        <v>2918.7193892500009</v>
      </c>
      <c r="M19" s="9">
        <f t="shared" si="6"/>
        <v>157.81837931035261</v>
      </c>
      <c r="N19" s="9">
        <v>107859.423</v>
      </c>
      <c r="O19" s="9">
        <f>125300/1.16</f>
        <v>108017.24137931035</v>
      </c>
    </row>
    <row r="20" spans="1:15">
      <c r="A20" t="s">
        <v>25</v>
      </c>
      <c r="B20" t="s">
        <v>17</v>
      </c>
      <c r="C20" s="3">
        <v>42555</v>
      </c>
      <c r="D20" s="4">
        <v>162900</v>
      </c>
      <c r="E20" s="4">
        <v>8500</v>
      </c>
      <c r="F20" s="4">
        <v>19742.97</v>
      </c>
      <c r="G20" s="4">
        <f t="shared" si="0"/>
        <v>3663.7931034482763</v>
      </c>
      <c r="H20" s="4">
        <f t="shared" si="2"/>
        <v>2212.5742241379317</v>
      </c>
      <c r="I20" s="4">
        <f t="shared" si="3"/>
        <v>5701.5000000000009</v>
      </c>
      <c r="J20" s="4">
        <f t="shared" si="4"/>
        <v>9365.2931034482772</v>
      </c>
      <c r="K20" s="4">
        <f t="shared" si="1"/>
        <v>145955.53</v>
      </c>
      <c r="L20" s="4">
        <f t="shared" si="5"/>
        <v>5108.4435500000009</v>
      </c>
      <c r="M20" s="9">
        <f t="shared" si="6"/>
        <v>-931.30482758619473</v>
      </c>
      <c r="N20" s="9">
        <v>174120.95999999999</v>
      </c>
      <c r="O20" s="9">
        <f>200900/1.16</f>
        <v>173189.6551724138</v>
      </c>
    </row>
    <row r="21" spans="1:15">
      <c r="A21" t="s">
        <v>26</v>
      </c>
      <c r="B21" t="s">
        <v>11</v>
      </c>
      <c r="C21" s="3">
        <v>42556</v>
      </c>
      <c r="D21" s="4">
        <v>53818.13</v>
      </c>
      <c r="E21" s="4"/>
      <c r="F21" s="4">
        <v>8975.34</v>
      </c>
      <c r="G21" s="4">
        <f t="shared" si="0"/>
        <v>0</v>
      </c>
      <c r="H21" s="4">
        <f t="shared" si="2"/>
        <v>1005.8570689655174</v>
      </c>
      <c r="I21" s="4">
        <f t="shared" si="3"/>
        <v>1883.63455</v>
      </c>
      <c r="J21" s="4">
        <f t="shared" si="4"/>
        <v>1883.63455</v>
      </c>
      <c r="K21" s="4">
        <f t="shared" si="1"/>
        <v>42959.155449999991</v>
      </c>
      <c r="L21" s="4">
        <f t="shared" si="5"/>
        <v>1503.5704407499998</v>
      </c>
      <c r="M21" s="9">
        <f t="shared" si="6"/>
        <v>-1912.180689655157</v>
      </c>
      <c r="N21" s="9">
        <v>119153.56</v>
      </c>
      <c r="O21" s="9">
        <f>136000/1.16</f>
        <v>117241.37931034484</v>
      </c>
    </row>
    <row r="22" spans="1:15">
      <c r="A22" t="s">
        <v>27</v>
      </c>
      <c r="B22" t="s">
        <v>17</v>
      </c>
      <c r="C22" s="3">
        <v>42557</v>
      </c>
      <c r="D22" s="4">
        <v>162220</v>
      </c>
      <c r="E22" s="4"/>
      <c r="F22" s="4">
        <v>18249.52</v>
      </c>
      <c r="G22" s="4">
        <f t="shared" si="0"/>
        <v>0</v>
      </c>
      <c r="H22" s="4">
        <f t="shared" si="2"/>
        <v>2045.2048275862071</v>
      </c>
      <c r="I22" s="4">
        <f t="shared" si="3"/>
        <v>5677.7000000000007</v>
      </c>
      <c r="J22" s="4">
        <f t="shared" si="4"/>
        <v>5677.7000000000007</v>
      </c>
      <c r="K22" s="4">
        <f t="shared" si="1"/>
        <v>138292.78</v>
      </c>
      <c r="L22" s="4">
        <f t="shared" si="5"/>
        <v>4840.2473</v>
      </c>
      <c r="M22" s="9">
        <f t="shared" si="6"/>
        <v>-931.30482758619473</v>
      </c>
      <c r="N22" s="9">
        <v>174120.95999999999</v>
      </c>
      <c r="O22" s="9">
        <f>200900/1.16</f>
        <v>173189.6551724138</v>
      </c>
    </row>
    <row r="23" spans="1:15">
      <c r="A23" t="s">
        <v>28</v>
      </c>
      <c r="B23" t="s">
        <v>17</v>
      </c>
      <c r="C23" s="3">
        <v>42557</v>
      </c>
      <c r="D23" s="4">
        <v>180810</v>
      </c>
      <c r="E23" s="4">
        <v>8500</v>
      </c>
      <c r="F23" s="4">
        <v>17756.060000000001</v>
      </c>
      <c r="G23" s="4">
        <f t="shared" si="0"/>
        <v>3663.7931034482763</v>
      </c>
      <c r="H23" s="4">
        <f t="shared" si="2"/>
        <v>1989.9032758620692</v>
      </c>
      <c r="I23" s="4">
        <f t="shared" si="3"/>
        <v>6328.35</v>
      </c>
      <c r="J23" s="4">
        <f t="shared" si="4"/>
        <v>9992.1431034482775</v>
      </c>
      <c r="K23" s="4">
        <f t="shared" si="1"/>
        <v>165225.59</v>
      </c>
      <c r="L23" s="4">
        <f t="shared" si="5"/>
        <v>5782.8956500000004</v>
      </c>
      <c r="M23" s="9">
        <f t="shared" si="6"/>
        <v>-1440.7148275861982</v>
      </c>
      <c r="N23" s="9">
        <v>174630.37</v>
      </c>
      <c r="O23" s="9">
        <f>200900/1.16</f>
        <v>173189.6551724138</v>
      </c>
    </row>
    <row r="24" spans="1:15">
      <c r="A24" t="s">
        <v>29</v>
      </c>
      <c r="B24" t="s">
        <v>11</v>
      </c>
      <c r="C24" s="3">
        <v>42557</v>
      </c>
      <c r="D24" s="4">
        <v>137785</v>
      </c>
      <c r="E24" s="4">
        <v>10600</v>
      </c>
      <c r="F24" s="4">
        <v>23926.560000000001</v>
      </c>
      <c r="G24" s="4">
        <f t="shared" si="0"/>
        <v>4568.9655172413795</v>
      </c>
      <c r="H24" s="4">
        <f t="shared" si="2"/>
        <v>2681.4248275862074</v>
      </c>
      <c r="I24" s="4">
        <f t="shared" si="3"/>
        <v>4822.4750000000004</v>
      </c>
      <c r="J24" s="4">
        <f t="shared" si="4"/>
        <v>9391.440517241379</v>
      </c>
      <c r="K24" s="4">
        <f t="shared" si="1"/>
        <v>119635.965</v>
      </c>
      <c r="L24" s="4">
        <f t="shared" si="5"/>
        <v>4187.2587750000002</v>
      </c>
      <c r="M24" s="9">
        <f t="shared" si="6"/>
        <v>1277.1558620689757</v>
      </c>
      <c r="N24" s="9">
        <v>119671.12</v>
      </c>
      <c r="O24" s="9">
        <f>140300/1.16</f>
        <v>120948.27586206897</v>
      </c>
    </row>
    <row r="25" spans="1:15">
      <c r="A25" t="s">
        <v>30</v>
      </c>
      <c r="B25" t="s">
        <v>13</v>
      </c>
      <c r="C25" s="3">
        <v>42555</v>
      </c>
      <c r="D25" s="4">
        <v>106523.23</v>
      </c>
      <c r="E25" s="4"/>
      <c r="F25" s="4">
        <v>6969.96</v>
      </c>
      <c r="G25" s="4">
        <f t="shared" si="0"/>
        <v>0</v>
      </c>
      <c r="H25" s="4">
        <f t="shared" si="2"/>
        <v>781.11620689655183</v>
      </c>
      <c r="I25" s="4">
        <f t="shared" si="3"/>
        <v>3728.3130500000002</v>
      </c>
      <c r="J25" s="4">
        <f t="shared" si="4"/>
        <v>3728.3130500000002</v>
      </c>
      <c r="K25" s="4">
        <f t="shared" si="1"/>
        <v>95824.956949999993</v>
      </c>
      <c r="L25" s="4">
        <f t="shared" si="5"/>
        <v>3353.8734932500001</v>
      </c>
      <c r="M25" s="9">
        <f t="shared" si="6"/>
        <v>1416.3386206896394</v>
      </c>
      <c r="N25" s="9">
        <v>145566.42000000001</v>
      </c>
      <c r="O25" s="9">
        <f>170500/1.16</f>
        <v>146982.75862068965</v>
      </c>
    </row>
    <row r="26" spans="1:15">
      <c r="A26" t="s">
        <v>31</v>
      </c>
      <c r="B26" t="s">
        <v>17</v>
      </c>
      <c r="C26" s="3">
        <v>42556</v>
      </c>
      <c r="D26" s="4">
        <v>130585</v>
      </c>
      <c r="E26" s="4"/>
      <c r="F26" s="4">
        <v>6228.02</v>
      </c>
      <c r="G26" s="4">
        <f t="shared" si="0"/>
        <v>0</v>
      </c>
      <c r="H26" s="4">
        <f t="shared" si="2"/>
        <v>697.96775862068978</v>
      </c>
      <c r="I26" s="4">
        <f t="shared" si="3"/>
        <v>4570.4750000000004</v>
      </c>
      <c r="J26" s="4">
        <f t="shared" si="4"/>
        <v>4570.4750000000004</v>
      </c>
      <c r="K26" s="4">
        <f t="shared" si="1"/>
        <v>119786.50499999999</v>
      </c>
      <c r="L26" s="4">
        <f t="shared" si="5"/>
        <v>4192.5276750000003</v>
      </c>
      <c r="M26" s="9">
        <f t="shared" si="6"/>
        <v>-377.78482758620521</v>
      </c>
      <c r="N26" s="9">
        <v>173567.44</v>
      </c>
      <c r="O26" s="9">
        <f>200900/1.16</f>
        <v>173189.6551724138</v>
      </c>
    </row>
    <row r="27" spans="1:15">
      <c r="A27" t="s">
        <v>32</v>
      </c>
      <c r="B27" t="s">
        <v>22</v>
      </c>
      <c r="C27" s="3">
        <v>42557</v>
      </c>
      <c r="D27" s="4">
        <v>138100</v>
      </c>
      <c r="E27" s="4"/>
      <c r="F27" s="4">
        <v>5806.09</v>
      </c>
      <c r="G27" s="4">
        <f t="shared" si="0"/>
        <v>0</v>
      </c>
      <c r="H27" s="4">
        <f t="shared" si="2"/>
        <v>650.68250000000012</v>
      </c>
      <c r="I27" s="4">
        <f t="shared" si="3"/>
        <v>4833.5000000000009</v>
      </c>
      <c r="J27" s="4">
        <f t="shared" si="4"/>
        <v>4833.5000000000009</v>
      </c>
      <c r="K27" s="4">
        <f t="shared" si="1"/>
        <v>127460.41</v>
      </c>
      <c r="L27" s="4">
        <f t="shared" si="5"/>
        <v>4461.1143500000007</v>
      </c>
      <c r="M27" s="9">
        <f t="shared" si="6"/>
        <v>-2631.8710344827559</v>
      </c>
      <c r="N27" s="9">
        <v>250993.94</v>
      </c>
      <c r="O27" s="9">
        <f>288100/1.16</f>
        <v>248362.06896551725</v>
      </c>
    </row>
    <row r="28" spans="1:15">
      <c r="A28" t="s">
        <v>33</v>
      </c>
      <c r="B28" t="s">
        <v>17</v>
      </c>
      <c r="C28" s="3">
        <v>42557</v>
      </c>
      <c r="D28" s="4">
        <v>155900</v>
      </c>
      <c r="E28" s="4">
        <v>15800</v>
      </c>
      <c r="F28" s="4">
        <v>22005.119999999999</v>
      </c>
      <c r="G28" s="4">
        <f t="shared" si="0"/>
        <v>6810.3448275862074</v>
      </c>
      <c r="H28" s="4">
        <f t="shared" si="2"/>
        <v>2466.0910344827585</v>
      </c>
      <c r="I28" s="4">
        <f t="shared" si="3"/>
        <v>5456.5000000000009</v>
      </c>
      <c r="J28" s="4">
        <f t="shared" si="4"/>
        <v>12266.844827586208</v>
      </c>
      <c r="K28" s="4">
        <f t="shared" si="1"/>
        <v>144238.38</v>
      </c>
      <c r="L28" s="4">
        <f t="shared" si="5"/>
        <v>5048.3433000000005</v>
      </c>
      <c r="M28" s="9">
        <f t="shared" si="6"/>
        <v>-3930.6041379310191</v>
      </c>
      <c r="N28" s="9">
        <v>159878.88</v>
      </c>
      <c r="O28" s="9">
        <f>180900/1.16</f>
        <v>155948.27586206899</v>
      </c>
    </row>
    <row r="29" spans="1:15">
      <c r="A29" t="s">
        <v>34</v>
      </c>
      <c r="B29" t="s">
        <v>11</v>
      </c>
      <c r="C29" s="3">
        <v>42556</v>
      </c>
      <c r="D29" s="4">
        <v>178100</v>
      </c>
      <c r="E29" s="4">
        <v>6000</v>
      </c>
      <c r="F29" s="4">
        <v>27787.8</v>
      </c>
      <c r="G29" s="4">
        <f t="shared" si="0"/>
        <v>2586.2068965517242</v>
      </c>
      <c r="H29" s="4">
        <f t="shared" si="2"/>
        <v>3114.15</v>
      </c>
      <c r="I29" s="4">
        <f t="shared" si="3"/>
        <v>6233.5000000000009</v>
      </c>
      <c r="J29" s="4">
        <f t="shared" si="4"/>
        <v>8819.7068965517246</v>
      </c>
      <c r="K29" s="4">
        <f t="shared" si="1"/>
        <v>150078.70000000001</v>
      </c>
      <c r="L29" s="4">
        <f t="shared" si="5"/>
        <v>5252.7545000000009</v>
      </c>
      <c r="M29" s="9">
        <f t="shared" si="6"/>
        <v>12641.682068965543</v>
      </c>
      <c r="N29" s="9">
        <v>158134.18</v>
      </c>
      <c r="O29" s="9">
        <f>198100/1.16</f>
        <v>170775.86206896554</v>
      </c>
    </row>
    <row r="30" spans="1:15">
      <c r="A30" t="s">
        <v>35</v>
      </c>
      <c r="B30" t="s">
        <v>22</v>
      </c>
      <c r="C30" s="3">
        <v>42557</v>
      </c>
      <c r="D30" s="4">
        <v>184200</v>
      </c>
      <c r="E30" s="4"/>
      <c r="F30" s="4">
        <v>20284.64</v>
      </c>
      <c r="G30" s="4">
        <f t="shared" si="0"/>
        <v>0</v>
      </c>
      <c r="H30" s="4">
        <f t="shared" si="2"/>
        <v>2273.2786206896553</v>
      </c>
      <c r="I30" s="4">
        <f t="shared" si="3"/>
        <v>6447.0000000000009</v>
      </c>
      <c r="J30" s="4">
        <f t="shared" si="4"/>
        <v>6447.0000000000009</v>
      </c>
      <c r="K30" s="4">
        <f t="shared" si="1"/>
        <v>157468.35999999999</v>
      </c>
      <c r="L30" s="4">
        <f t="shared" si="5"/>
        <v>5511.3926000000001</v>
      </c>
      <c r="M30" s="9">
        <f t="shared" si="6"/>
        <v>-9511.1637931034202</v>
      </c>
      <c r="N30" s="9">
        <v>224338.75</v>
      </c>
      <c r="O30" s="9">
        <f>249200/1.16</f>
        <v>214827.58620689658</v>
      </c>
    </row>
    <row r="31" spans="1:15">
      <c r="A31" t="s">
        <v>36</v>
      </c>
      <c r="B31" t="s">
        <v>11</v>
      </c>
      <c r="C31" s="3">
        <v>42556</v>
      </c>
      <c r="D31" s="4">
        <v>112240</v>
      </c>
      <c r="E31" s="4">
        <v>10000</v>
      </c>
      <c r="F31" s="4">
        <v>23481.279999999999</v>
      </c>
      <c r="G31" s="4">
        <f t="shared" si="0"/>
        <v>4310.3448275862074</v>
      </c>
      <c r="H31" s="4">
        <f t="shared" si="2"/>
        <v>2631.5227586206897</v>
      </c>
      <c r="I31" s="4">
        <f t="shared" si="3"/>
        <v>3928.4000000000005</v>
      </c>
      <c r="J31" s="4">
        <f t="shared" si="4"/>
        <v>8238.744827586208</v>
      </c>
      <c r="K31" s="4">
        <f t="shared" si="1"/>
        <v>94830.32</v>
      </c>
      <c r="L31" s="4">
        <f t="shared" si="5"/>
        <v>3319.0612000000006</v>
      </c>
      <c r="M31" s="9">
        <f t="shared" si="6"/>
        <v>5029.4758620689681</v>
      </c>
      <c r="N31" s="9">
        <v>115918.8</v>
      </c>
      <c r="O31" s="9">
        <f>140300/1.16</f>
        <v>120948.27586206897</v>
      </c>
    </row>
    <row r="32" spans="1:15">
      <c r="A32" s="5" t="s">
        <v>37</v>
      </c>
      <c r="B32" t="s">
        <v>11</v>
      </c>
      <c r="C32" s="3">
        <v>42558</v>
      </c>
      <c r="D32" s="4">
        <v>83945</v>
      </c>
      <c r="E32" s="4">
        <v>7500</v>
      </c>
      <c r="F32" s="4">
        <v>22611.06</v>
      </c>
      <c r="G32" s="4">
        <f t="shared" si="0"/>
        <v>3232.7586206896553</v>
      </c>
      <c r="H32" s="4">
        <f t="shared" si="2"/>
        <v>2533.9981034482762</v>
      </c>
      <c r="I32" s="4">
        <f t="shared" si="3"/>
        <v>2938.0750000000003</v>
      </c>
      <c r="J32" s="4">
        <f t="shared" si="4"/>
        <v>6170.8336206896556</v>
      </c>
      <c r="K32" s="4">
        <f t="shared" si="1"/>
        <v>65895.865000000005</v>
      </c>
      <c r="L32" s="4">
        <f t="shared" si="5"/>
        <v>2306.3552750000003</v>
      </c>
      <c r="M32" s="9">
        <f t="shared" si="6"/>
        <v>-158.45862068964925</v>
      </c>
      <c r="N32" s="9">
        <v>108175.7</v>
      </c>
      <c r="O32" s="9">
        <f>125300/1.16</f>
        <v>108017.24137931035</v>
      </c>
    </row>
    <row r="33" spans="1:15">
      <c r="A33" t="s">
        <v>38</v>
      </c>
      <c r="B33" t="s">
        <v>17</v>
      </c>
      <c r="C33" s="3">
        <v>42543</v>
      </c>
      <c r="D33" s="4">
        <v>130585.02</v>
      </c>
      <c r="E33" s="4"/>
      <c r="F33" s="4">
        <v>6228.02</v>
      </c>
      <c r="G33" s="4">
        <f t="shared" si="0"/>
        <v>0</v>
      </c>
      <c r="H33" s="4">
        <f t="shared" si="2"/>
        <v>697.96775862068978</v>
      </c>
      <c r="I33" s="4">
        <f t="shared" si="3"/>
        <v>4570.4757000000009</v>
      </c>
      <c r="J33" s="4">
        <f t="shared" si="4"/>
        <v>4570.4757000000009</v>
      </c>
      <c r="K33" s="4">
        <f t="shared" si="1"/>
        <v>119786.5243</v>
      </c>
      <c r="L33" s="4">
        <f t="shared" si="5"/>
        <v>4192.5283505000007</v>
      </c>
      <c r="M33" s="9">
        <f t="shared" si="6"/>
        <v>2795.6451724137878</v>
      </c>
      <c r="N33" s="9">
        <v>170394.01</v>
      </c>
      <c r="O33" s="9">
        <f>200900/1.16</f>
        <v>173189.6551724138</v>
      </c>
    </row>
    <row r="34" spans="1:15">
      <c r="A34" t="s">
        <v>39</v>
      </c>
      <c r="B34" t="s">
        <v>40</v>
      </c>
      <c r="C34" s="3">
        <v>42558</v>
      </c>
      <c r="D34" s="4">
        <v>707100</v>
      </c>
      <c r="E34" s="4">
        <v>14700</v>
      </c>
      <c r="F34" s="4">
        <v>108036.85</v>
      </c>
      <c r="G34" s="4">
        <f t="shared" si="0"/>
        <v>6336.2068965517246</v>
      </c>
      <c r="H34" s="4">
        <f t="shared" si="2"/>
        <v>12107.578017241382</v>
      </c>
      <c r="I34" s="4">
        <f t="shared" si="3"/>
        <v>24748.500000000004</v>
      </c>
      <c r="J34" s="4">
        <f t="shared" si="4"/>
        <v>31084.706896551728</v>
      </c>
      <c r="K34" s="4">
        <f t="shared" si="1"/>
        <v>589014.65</v>
      </c>
      <c r="L34" s="4">
        <f t="shared" si="5"/>
        <v>20615.512750000002</v>
      </c>
      <c r="M34" s="9">
        <f t="shared" si="6"/>
        <v>94602.396206896636</v>
      </c>
      <c r="N34" s="9">
        <v>622725.18999999994</v>
      </c>
      <c r="O34" s="9">
        <f>832100/1.16</f>
        <v>717327.58620689658</v>
      </c>
    </row>
    <row r="35" spans="1:15">
      <c r="A35" t="s">
        <v>41</v>
      </c>
      <c r="B35" t="s">
        <v>17</v>
      </c>
      <c r="C35" s="3">
        <v>42558</v>
      </c>
      <c r="D35" s="4">
        <v>180810</v>
      </c>
      <c r="E35" s="4"/>
      <c r="F35" s="4">
        <v>23520.080000000002</v>
      </c>
      <c r="G35" s="4">
        <f t="shared" si="0"/>
        <v>0</v>
      </c>
      <c r="H35" s="4">
        <f t="shared" si="2"/>
        <v>2635.8710344827591</v>
      </c>
      <c r="I35" s="4">
        <f t="shared" si="3"/>
        <v>6328.35</v>
      </c>
      <c r="J35" s="4">
        <f t="shared" si="4"/>
        <v>6328.35</v>
      </c>
      <c r="K35" s="4">
        <f t="shared" si="1"/>
        <v>150961.56999999998</v>
      </c>
      <c r="L35" s="4">
        <f t="shared" si="5"/>
        <v>5283.6549500000001</v>
      </c>
      <c r="M35" s="9">
        <f t="shared" si="6"/>
        <v>-377.78482758620521</v>
      </c>
      <c r="N35" s="9">
        <v>173567.44</v>
      </c>
      <c r="O35" s="9">
        <f>200900/1.16</f>
        <v>173189.6551724138</v>
      </c>
    </row>
    <row r="36" spans="1:15">
      <c r="A36" t="s">
        <v>42</v>
      </c>
      <c r="B36" t="s">
        <v>43</v>
      </c>
      <c r="C36" s="3">
        <v>42552</v>
      </c>
      <c r="D36" s="4">
        <v>138099.99</v>
      </c>
      <c r="E36" s="4"/>
      <c r="F36" s="4">
        <v>22416.21</v>
      </c>
      <c r="G36" s="4">
        <f t="shared" si="0"/>
        <v>0</v>
      </c>
      <c r="H36" s="4">
        <f t="shared" si="2"/>
        <v>2512.1614655172416</v>
      </c>
      <c r="I36" s="4">
        <f t="shared" si="3"/>
        <v>4833.4996499999997</v>
      </c>
      <c r="J36" s="4">
        <f t="shared" si="4"/>
        <v>4833.4996499999997</v>
      </c>
      <c r="K36" s="4">
        <f t="shared" si="1"/>
        <v>110850.28035</v>
      </c>
      <c r="L36" s="4">
        <f t="shared" si="5"/>
        <v>3879.7598122500003</v>
      </c>
      <c r="M36" s="9">
        <f t="shared" si="6"/>
        <v>8465.007241379295</v>
      </c>
      <c r="N36" s="9">
        <v>283000.51</v>
      </c>
      <c r="O36" s="9">
        <f>338100/1.16</f>
        <v>291465.5172413793</v>
      </c>
    </row>
    <row r="37" spans="1:15">
      <c r="A37" t="s">
        <v>44</v>
      </c>
      <c r="B37" t="s">
        <v>17</v>
      </c>
      <c r="C37" s="3">
        <v>42559</v>
      </c>
      <c r="D37" s="4">
        <v>170900</v>
      </c>
      <c r="E37" s="4">
        <v>7500</v>
      </c>
      <c r="F37" s="4">
        <v>23520.080000000002</v>
      </c>
      <c r="G37" s="4">
        <f t="shared" si="0"/>
        <v>3232.7586206896553</v>
      </c>
      <c r="H37" s="4">
        <f t="shared" si="2"/>
        <v>2635.8710344827591</v>
      </c>
      <c r="I37" s="4">
        <f t="shared" si="3"/>
        <v>5981.5000000000009</v>
      </c>
      <c r="J37" s="4">
        <f t="shared" si="4"/>
        <v>9214.2586206896558</v>
      </c>
      <c r="K37" s="4">
        <f t="shared" si="1"/>
        <v>148898.41999999998</v>
      </c>
      <c r="L37" s="4">
        <f t="shared" si="5"/>
        <v>5211.4447</v>
      </c>
      <c r="M37" s="9">
        <f t="shared" si="6"/>
        <v>-1440.7148275861982</v>
      </c>
      <c r="N37" s="9">
        <v>174630.37</v>
      </c>
      <c r="O37" s="9">
        <f>200900/1.16</f>
        <v>173189.6551724138</v>
      </c>
    </row>
    <row r="38" spans="1:15">
      <c r="A38" t="s">
        <v>45</v>
      </c>
      <c r="B38" t="s">
        <v>11</v>
      </c>
      <c r="C38" s="3">
        <v>42559</v>
      </c>
      <c r="D38" s="4">
        <v>147360</v>
      </c>
      <c r="E38" s="4">
        <v>7400</v>
      </c>
      <c r="F38" s="4">
        <v>26752.16</v>
      </c>
      <c r="G38" s="4">
        <f t="shared" si="0"/>
        <v>3189.6551724137935</v>
      </c>
      <c r="H38" s="4">
        <f t="shared" si="2"/>
        <v>2998.0868965517243</v>
      </c>
      <c r="I38" s="4">
        <f t="shared" si="3"/>
        <v>5157.6000000000004</v>
      </c>
      <c r="J38" s="4">
        <f t="shared" si="4"/>
        <v>8347.2551724137938</v>
      </c>
      <c r="K38" s="4">
        <f t="shared" si="1"/>
        <v>122850.23999999999</v>
      </c>
      <c r="L38" s="4">
        <f t="shared" si="5"/>
        <v>4299.7583999999997</v>
      </c>
      <c r="M38" s="9">
        <f t="shared" si="6"/>
        <v>12584.823448275885</v>
      </c>
      <c r="N38" s="9">
        <v>146208.28</v>
      </c>
      <c r="O38" s="9">
        <f>184200/1.16</f>
        <v>158793.10344827588</v>
      </c>
    </row>
    <row r="39" spans="1:15">
      <c r="A39" t="s">
        <v>46</v>
      </c>
      <c r="B39" t="s">
        <v>11</v>
      </c>
      <c r="C39" s="3">
        <v>42558</v>
      </c>
      <c r="D39" s="4">
        <v>82300</v>
      </c>
      <c r="E39" s="4"/>
      <c r="F39" s="4">
        <v>27838.6</v>
      </c>
      <c r="G39" s="4">
        <f t="shared" si="0"/>
        <v>0</v>
      </c>
      <c r="H39" s="4">
        <f t="shared" si="2"/>
        <v>3119.843103448276</v>
      </c>
      <c r="I39" s="4">
        <f t="shared" si="3"/>
        <v>2880.5000000000005</v>
      </c>
      <c r="J39" s="4">
        <f t="shared" si="4"/>
        <v>2880.5000000000005</v>
      </c>
      <c r="K39" s="4">
        <f t="shared" si="1"/>
        <v>51580.9</v>
      </c>
      <c r="L39" s="4">
        <f t="shared" si="5"/>
        <v>1805.3315000000002</v>
      </c>
      <c r="M39" s="9">
        <f t="shared" si="6"/>
        <v>-158.45862068964925</v>
      </c>
      <c r="N39" s="9">
        <v>108175.7</v>
      </c>
      <c r="O39" s="9">
        <f>125300/1.16</f>
        <v>108017.24137931035</v>
      </c>
    </row>
    <row r="40" spans="1:15">
      <c r="A40" t="s">
        <v>47</v>
      </c>
      <c r="B40" t="s">
        <v>22</v>
      </c>
      <c r="C40" s="3">
        <v>42558</v>
      </c>
      <c r="D40" s="4">
        <v>297180</v>
      </c>
      <c r="E40" s="4">
        <v>13200</v>
      </c>
      <c r="F40" s="4">
        <v>17746.580000000002</v>
      </c>
      <c r="G40" s="4">
        <f t="shared" si="0"/>
        <v>5689.6551724137935</v>
      </c>
      <c r="H40" s="4">
        <f t="shared" si="2"/>
        <v>1988.8408620689659</v>
      </c>
      <c r="I40" s="4">
        <f t="shared" si="3"/>
        <v>10401.300000000001</v>
      </c>
      <c r="J40" s="4">
        <f t="shared" si="4"/>
        <v>16090.955172413795</v>
      </c>
      <c r="K40" s="4">
        <f t="shared" si="1"/>
        <v>282232.12</v>
      </c>
      <c r="L40" s="4">
        <f t="shared" si="5"/>
        <v>9878.1242000000002</v>
      </c>
      <c r="M40" s="9">
        <f t="shared" si="6"/>
        <v>11379.362413793104</v>
      </c>
      <c r="N40" s="9">
        <v>273275.81</v>
      </c>
      <c r="O40" s="9">
        <f>330200/1.16</f>
        <v>284655.1724137931</v>
      </c>
    </row>
    <row r="41" spans="1:15">
      <c r="A41" t="s">
        <v>48</v>
      </c>
      <c r="B41" t="s">
        <v>13</v>
      </c>
      <c r="C41" s="3">
        <v>42559</v>
      </c>
      <c r="D41" s="4">
        <v>145380</v>
      </c>
      <c r="E41" s="4">
        <v>8000</v>
      </c>
      <c r="F41" s="4">
        <v>17946.95</v>
      </c>
      <c r="G41" s="4">
        <f t="shared" ref="G41:G72" si="7">(E41/1.16)*0.5</f>
        <v>3448.2758620689656</v>
      </c>
      <c r="H41" s="4">
        <f t="shared" si="2"/>
        <v>2011.2961206896555</v>
      </c>
      <c r="I41" s="4">
        <f t="shared" si="3"/>
        <v>5088.3</v>
      </c>
      <c r="J41" s="4">
        <f t="shared" si="4"/>
        <v>8536.5758620689667</v>
      </c>
      <c r="K41" s="4">
        <f t="shared" ref="K41:K72" si="8">SUM(+D41+E41-F41-I41)</f>
        <v>130344.74999999999</v>
      </c>
      <c r="L41" s="4">
        <f t="shared" si="5"/>
        <v>4562.0662499999999</v>
      </c>
      <c r="M41" s="9">
        <f t="shared" si="6"/>
        <v>-5246.5375862068759</v>
      </c>
      <c r="N41" s="9">
        <v>134901.71</v>
      </c>
      <c r="O41" s="9">
        <f>150400/1.16</f>
        <v>129655.17241379312</v>
      </c>
    </row>
    <row r="42" spans="1:15">
      <c r="A42" t="s">
        <v>49</v>
      </c>
      <c r="B42" t="s">
        <v>11</v>
      </c>
      <c r="C42" s="3">
        <v>42559</v>
      </c>
      <c r="D42" s="4">
        <v>126270</v>
      </c>
      <c r="E42" s="4">
        <v>15300</v>
      </c>
      <c r="F42" s="4">
        <v>23481.279999999999</v>
      </c>
      <c r="G42" s="4">
        <f t="shared" si="7"/>
        <v>6594.8275862068967</v>
      </c>
      <c r="H42" s="4">
        <f t="shared" si="2"/>
        <v>2631.5227586206897</v>
      </c>
      <c r="I42" s="4">
        <f t="shared" si="3"/>
        <v>4419.4500000000007</v>
      </c>
      <c r="J42" s="4">
        <f t="shared" si="4"/>
        <v>11014.277586206897</v>
      </c>
      <c r="K42" s="4">
        <f t="shared" si="8"/>
        <v>113669.27</v>
      </c>
      <c r="L42" s="4">
        <f t="shared" si="5"/>
        <v>3978.4244500000004</v>
      </c>
      <c r="M42" s="9">
        <f t="shared" si="6"/>
        <v>1277.1558620689757</v>
      </c>
      <c r="N42" s="9">
        <v>119671.12</v>
      </c>
      <c r="O42" s="9">
        <f>140300/1.16</f>
        <v>120948.27586206897</v>
      </c>
    </row>
    <row r="43" spans="1:15">
      <c r="A43" t="s">
        <v>50</v>
      </c>
      <c r="B43" t="s">
        <v>11</v>
      </c>
      <c r="C43" s="3">
        <v>42559</v>
      </c>
      <c r="D43" s="4">
        <v>60400</v>
      </c>
      <c r="E43" s="4"/>
      <c r="F43" s="4">
        <v>9657.08</v>
      </c>
      <c r="G43" s="4">
        <f t="shared" si="7"/>
        <v>0</v>
      </c>
      <c r="H43" s="4">
        <f t="shared" si="2"/>
        <v>1082.2589655172417</v>
      </c>
      <c r="I43" s="4">
        <f t="shared" si="3"/>
        <v>2114</v>
      </c>
      <c r="J43" s="4">
        <f t="shared" si="4"/>
        <v>2114</v>
      </c>
      <c r="K43" s="4">
        <f t="shared" si="8"/>
        <v>48628.92</v>
      </c>
      <c r="L43" s="4">
        <f t="shared" si="5"/>
        <v>1702.0122000000001</v>
      </c>
      <c r="M43" s="9">
        <f t="shared" si="6"/>
        <v>3252.7520689655503</v>
      </c>
      <c r="N43" s="9">
        <v>135023.10999999999</v>
      </c>
      <c r="O43" s="9">
        <f>160400/1.16</f>
        <v>138275.86206896554</v>
      </c>
    </row>
    <row r="44" spans="1:15">
      <c r="A44" t="s">
        <v>51</v>
      </c>
      <c r="B44" t="s">
        <v>52</v>
      </c>
      <c r="C44" s="3">
        <v>42558</v>
      </c>
      <c r="D44" s="4">
        <v>181376.21</v>
      </c>
      <c r="E44" s="4"/>
      <c r="F44" s="4">
        <v>12366.4</v>
      </c>
      <c r="G44" s="4">
        <f t="shared" si="7"/>
        <v>0</v>
      </c>
      <c r="H44" s="4">
        <f t="shared" si="2"/>
        <v>1385.889655172414</v>
      </c>
      <c r="I44" s="4">
        <f t="shared" si="3"/>
        <v>6348.1673500000006</v>
      </c>
      <c r="J44" s="4">
        <f t="shared" si="4"/>
        <v>6348.1673500000006</v>
      </c>
      <c r="K44" s="4">
        <f t="shared" si="8"/>
        <v>162661.64264999999</v>
      </c>
      <c r="L44" s="4">
        <f t="shared" si="5"/>
        <v>5693.1574927500005</v>
      </c>
      <c r="M44" s="9">
        <f t="shared" si="6"/>
        <v>24161.827586206899</v>
      </c>
      <c r="N44" s="9">
        <v>276183</v>
      </c>
      <c r="O44" s="9">
        <f>348400/1.16</f>
        <v>300344.8275862069</v>
      </c>
    </row>
    <row r="45" spans="1:15">
      <c r="A45" t="s">
        <v>53</v>
      </c>
      <c r="B45" t="s">
        <v>43</v>
      </c>
      <c r="C45" s="3">
        <v>42559</v>
      </c>
      <c r="D45" s="4">
        <v>219400</v>
      </c>
      <c r="E45" s="4">
        <v>16200</v>
      </c>
      <c r="F45" s="4">
        <v>23873.38</v>
      </c>
      <c r="G45" s="4">
        <f t="shared" si="7"/>
        <v>6982.7586206896558</v>
      </c>
      <c r="H45" s="4">
        <f t="shared" si="2"/>
        <v>2675.4650000000006</v>
      </c>
      <c r="I45" s="4">
        <f t="shared" si="3"/>
        <v>7679.0000000000009</v>
      </c>
      <c r="J45" s="4">
        <f t="shared" si="4"/>
        <v>14661.758620689656</v>
      </c>
      <c r="K45" s="4">
        <f t="shared" si="8"/>
        <v>204047.62</v>
      </c>
      <c r="L45" s="4">
        <f t="shared" si="5"/>
        <v>7141.6667000000007</v>
      </c>
      <c r="M45" s="9">
        <f t="shared" si="6"/>
        <v>18581.565862068965</v>
      </c>
      <c r="N45" s="9">
        <v>299866.71000000002</v>
      </c>
      <c r="O45" s="9">
        <f>369400/1.16</f>
        <v>318448.27586206899</v>
      </c>
    </row>
    <row r="46" spans="1:15">
      <c r="A46" t="s">
        <v>54</v>
      </c>
      <c r="B46" t="s">
        <v>11</v>
      </c>
      <c r="C46" s="3">
        <v>42562</v>
      </c>
      <c r="D46" s="4">
        <v>126270</v>
      </c>
      <c r="E46" s="4">
        <v>8500</v>
      </c>
      <c r="F46" s="4">
        <v>23481.279999999999</v>
      </c>
      <c r="G46" s="4">
        <f t="shared" si="7"/>
        <v>3663.7931034482763</v>
      </c>
      <c r="H46" s="4">
        <f t="shared" si="2"/>
        <v>2631.5227586206897</v>
      </c>
      <c r="I46" s="4">
        <f t="shared" si="3"/>
        <v>4419.4500000000007</v>
      </c>
      <c r="J46" s="4">
        <f t="shared" si="4"/>
        <v>8083.243103448277</v>
      </c>
      <c r="K46" s="4">
        <f t="shared" si="8"/>
        <v>106869.27</v>
      </c>
      <c r="L46" s="4">
        <f t="shared" si="5"/>
        <v>3740.4244500000004</v>
      </c>
      <c r="M46" s="9">
        <f t="shared" si="6"/>
        <v>5029.4758620689681</v>
      </c>
      <c r="N46" s="9">
        <v>115918.8</v>
      </c>
      <c r="O46" s="9">
        <f>140300/1.16</f>
        <v>120948.27586206897</v>
      </c>
    </row>
    <row r="47" spans="1:15">
      <c r="A47" t="s">
        <v>55</v>
      </c>
      <c r="B47" t="s">
        <v>13</v>
      </c>
      <c r="C47" s="3">
        <v>42558</v>
      </c>
      <c r="D47" s="4">
        <v>46504.15</v>
      </c>
      <c r="E47" s="4"/>
      <c r="F47" s="4">
        <v>7134.98</v>
      </c>
      <c r="G47" s="4">
        <f t="shared" si="7"/>
        <v>0</v>
      </c>
      <c r="H47" s="4">
        <f t="shared" si="2"/>
        <v>799.60982758620685</v>
      </c>
      <c r="I47" s="4">
        <f t="shared" si="3"/>
        <v>1627.6452500000003</v>
      </c>
      <c r="J47" s="4">
        <f t="shared" si="4"/>
        <v>1627.6452500000003</v>
      </c>
      <c r="K47" s="4">
        <f t="shared" si="8"/>
        <v>37741.524749999997</v>
      </c>
      <c r="L47" s="4">
        <f t="shared" si="5"/>
        <v>1320.95336625</v>
      </c>
      <c r="M47" s="9">
        <f t="shared" si="6"/>
        <v>-5911.2475862069114</v>
      </c>
      <c r="N47" s="9">
        <v>145566.42000000001</v>
      </c>
      <c r="O47" s="9">
        <f>162000/1.16</f>
        <v>139655.1724137931</v>
      </c>
    </row>
    <row r="48" spans="1:15">
      <c r="A48" t="s">
        <v>56</v>
      </c>
      <c r="B48" t="s">
        <v>22</v>
      </c>
      <c r="C48" s="3">
        <v>42562</v>
      </c>
      <c r="D48" s="4">
        <v>173199.99</v>
      </c>
      <c r="E48" s="4">
        <v>9500</v>
      </c>
      <c r="F48" s="4">
        <v>23228.92</v>
      </c>
      <c r="G48" s="4">
        <f t="shared" si="7"/>
        <v>4094.8275862068967</v>
      </c>
      <c r="H48" s="4">
        <f t="shared" si="2"/>
        <v>2603.2410344827586</v>
      </c>
      <c r="I48" s="4">
        <f t="shared" si="3"/>
        <v>6061.9996500000007</v>
      </c>
      <c r="J48" s="4">
        <f t="shared" si="4"/>
        <v>10156.827236206896</v>
      </c>
      <c r="K48" s="4">
        <f t="shared" si="8"/>
        <v>153409.07034999999</v>
      </c>
      <c r="L48" s="4">
        <f t="shared" si="5"/>
        <v>5369.3174622500001</v>
      </c>
      <c r="M48" s="9">
        <f t="shared" si="6"/>
        <v>-1392.2903448275756</v>
      </c>
      <c r="N48" s="9">
        <v>280012.98</v>
      </c>
      <c r="O48" s="9">
        <f>323200/1.16</f>
        <v>278620.68965517241</v>
      </c>
    </row>
    <row r="49" spans="1:15">
      <c r="A49" t="s">
        <v>57</v>
      </c>
      <c r="B49" t="s">
        <v>17</v>
      </c>
      <c r="C49" s="3">
        <v>42559</v>
      </c>
      <c r="D49" s="4">
        <v>152880</v>
      </c>
      <c r="E49" s="4"/>
      <c r="F49" s="4">
        <v>6877.54</v>
      </c>
      <c r="G49" s="4">
        <f t="shared" si="7"/>
        <v>0</v>
      </c>
      <c r="H49" s="4">
        <f t="shared" si="2"/>
        <v>770.75879310344828</v>
      </c>
      <c r="I49" s="4">
        <f t="shared" si="3"/>
        <v>5350.8</v>
      </c>
      <c r="J49" s="4">
        <f t="shared" si="4"/>
        <v>5350.8</v>
      </c>
      <c r="K49" s="4">
        <f t="shared" si="8"/>
        <v>140651.66</v>
      </c>
      <c r="L49" s="4">
        <f t="shared" si="5"/>
        <v>4922.8081000000002</v>
      </c>
      <c r="M49" s="9">
        <f t="shared" si="6"/>
        <v>1559.8706896551885</v>
      </c>
      <c r="N49" s="9">
        <v>201198.75</v>
      </c>
      <c r="O49" s="9">
        <f>235200/1.16</f>
        <v>202758.62068965519</v>
      </c>
    </row>
    <row r="50" spans="1:15">
      <c r="A50" s="5" t="s">
        <v>58</v>
      </c>
      <c r="B50" t="s">
        <v>17</v>
      </c>
      <c r="C50" s="3">
        <v>42562</v>
      </c>
      <c r="D50" s="4">
        <v>120917.48</v>
      </c>
      <c r="E50" s="4"/>
      <c r="F50" s="4">
        <v>5765.89</v>
      </c>
      <c r="G50" s="4">
        <f t="shared" si="7"/>
        <v>0</v>
      </c>
      <c r="H50" s="4">
        <f t="shared" si="2"/>
        <v>646.17732758620696</v>
      </c>
      <c r="I50" s="4">
        <f t="shared" si="3"/>
        <v>4232.1118000000006</v>
      </c>
      <c r="J50" s="4">
        <f t="shared" si="4"/>
        <v>4232.1118000000006</v>
      </c>
      <c r="K50" s="4">
        <f t="shared" si="8"/>
        <v>110919.4782</v>
      </c>
      <c r="L50" s="4">
        <f t="shared" si="5"/>
        <v>3882.1817370000003</v>
      </c>
      <c r="M50" s="9">
        <f t="shared" si="6"/>
        <v>3873.2358620689774</v>
      </c>
      <c r="N50" s="9">
        <v>164575.04000000001</v>
      </c>
      <c r="O50" s="9">
        <f>195400/1.16</f>
        <v>168448.27586206899</v>
      </c>
    </row>
    <row r="51" spans="1:15">
      <c r="A51" t="s">
        <v>59</v>
      </c>
      <c r="B51" t="s">
        <v>52</v>
      </c>
      <c r="C51" s="3">
        <v>42562</v>
      </c>
      <c r="D51" s="4">
        <v>211900</v>
      </c>
      <c r="E51" s="4">
        <v>7500</v>
      </c>
      <c r="F51" s="4">
        <v>41547.519999999997</v>
      </c>
      <c r="G51" s="4">
        <f t="shared" si="7"/>
        <v>3232.7586206896553</v>
      </c>
      <c r="H51" s="4">
        <f t="shared" si="2"/>
        <v>4656.1875862068973</v>
      </c>
      <c r="I51" s="4">
        <f t="shared" si="3"/>
        <v>7416.5000000000009</v>
      </c>
      <c r="J51" s="4">
        <f t="shared" si="4"/>
        <v>10649.258620689656</v>
      </c>
      <c r="K51" s="4">
        <f t="shared" si="8"/>
        <v>170435.98</v>
      </c>
      <c r="L51" s="4">
        <f t="shared" si="5"/>
        <v>5965.2593000000006</v>
      </c>
      <c r="M51" s="9">
        <f t="shared" si="6"/>
        <v>-11262.851379310305</v>
      </c>
      <c r="N51" s="9">
        <v>248245.61</v>
      </c>
      <c r="O51" s="9">
        <f>274900/1.16</f>
        <v>236982.75862068968</v>
      </c>
    </row>
    <row r="52" spans="1:15">
      <c r="A52" t="s">
        <v>60</v>
      </c>
      <c r="B52" t="s">
        <v>17</v>
      </c>
      <c r="C52" s="3">
        <v>42562</v>
      </c>
      <c r="D52" s="4">
        <v>90900</v>
      </c>
      <c r="E52" s="4">
        <v>8500</v>
      </c>
      <c r="F52" s="4">
        <v>23520.080000000002</v>
      </c>
      <c r="G52" s="4">
        <f t="shared" si="7"/>
        <v>3663.7931034482763</v>
      </c>
      <c r="H52" s="4">
        <f t="shared" si="2"/>
        <v>2635.8710344827591</v>
      </c>
      <c r="I52" s="4">
        <f t="shared" si="3"/>
        <v>3181.5000000000005</v>
      </c>
      <c r="J52" s="4">
        <f t="shared" si="4"/>
        <v>6845.2931034482772</v>
      </c>
      <c r="K52" s="4">
        <f t="shared" si="8"/>
        <v>72698.42</v>
      </c>
      <c r="L52" s="4">
        <f t="shared" si="5"/>
        <v>2544.4447</v>
      </c>
      <c r="M52" s="9">
        <f t="shared" si="6"/>
        <v>-931.30482758619473</v>
      </c>
      <c r="N52" s="9">
        <v>174120.95999999999</v>
      </c>
      <c r="O52" s="9">
        <f>200900/1.16</f>
        <v>173189.6551724138</v>
      </c>
    </row>
    <row r="53" spans="1:15">
      <c r="A53" t="s">
        <v>61</v>
      </c>
      <c r="B53" t="s">
        <v>22</v>
      </c>
      <c r="C53" s="3">
        <v>42562</v>
      </c>
      <c r="D53" s="4">
        <v>213100</v>
      </c>
      <c r="E53" s="4">
        <v>8500</v>
      </c>
      <c r="F53" s="4">
        <v>20737.68</v>
      </c>
      <c r="G53" s="4">
        <f t="shared" si="7"/>
        <v>3663.7931034482763</v>
      </c>
      <c r="H53" s="4">
        <f t="shared" si="2"/>
        <v>2324.0503448275863</v>
      </c>
      <c r="I53" s="4">
        <f t="shared" si="3"/>
        <v>7458.5000000000009</v>
      </c>
      <c r="J53" s="4">
        <f t="shared" si="4"/>
        <v>11122.293103448277</v>
      </c>
      <c r="K53" s="4">
        <f t="shared" si="8"/>
        <v>193403.82</v>
      </c>
      <c r="L53" s="4">
        <f t="shared" si="5"/>
        <v>6769.1337000000012</v>
      </c>
      <c r="M53" s="9">
        <f t="shared" si="6"/>
        <v>-2631.8710344827559</v>
      </c>
      <c r="N53" s="9">
        <v>250993.94</v>
      </c>
      <c r="O53" s="9">
        <f>288100/1.16</f>
        <v>248362.06896551725</v>
      </c>
    </row>
    <row r="54" spans="1:15">
      <c r="A54" t="s">
        <v>62</v>
      </c>
      <c r="B54" t="s">
        <v>13</v>
      </c>
      <c r="C54" s="3">
        <v>42562</v>
      </c>
      <c r="D54" s="4">
        <v>95843.9</v>
      </c>
      <c r="E54" s="4"/>
      <c r="F54" s="4">
        <v>6863.06</v>
      </c>
      <c r="G54" s="4">
        <f t="shared" si="7"/>
        <v>0</v>
      </c>
      <c r="H54" s="4">
        <f t="shared" si="2"/>
        <v>769.13603448275876</v>
      </c>
      <c r="I54" s="4">
        <f t="shared" si="3"/>
        <v>3354.5365000000002</v>
      </c>
      <c r="J54" s="4">
        <f t="shared" si="4"/>
        <v>3354.5365000000002</v>
      </c>
      <c r="K54" s="4">
        <f t="shared" si="8"/>
        <v>85626.303499999995</v>
      </c>
      <c r="L54" s="4">
        <f t="shared" si="5"/>
        <v>2996.9206225000003</v>
      </c>
      <c r="M54" s="9">
        <f t="shared" si="6"/>
        <v>-2799.1775862068898</v>
      </c>
      <c r="N54" s="9">
        <v>132454.35</v>
      </c>
      <c r="O54" s="9">
        <f>150400/1.16</f>
        <v>129655.17241379312</v>
      </c>
    </row>
    <row r="55" spans="1:15">
      <c r="A55" t="s">
        <v>63</v>
      </c>
      <c r="B55" t="s">
        <v>11</v>
      </c>
      <c r="C55" s="3">
        <v>42551</v>
      </c>
      <c r="D55" s="4">
        <v>144200</v>
      </c>
      <c r="E55" s="4">
        <v>15200</v>
      </c>
      <c r="F55" s="4">
        <v>34058.6</v>
      </c>
      <c r="G55" s="4">
        <f t="shared" si="7"/>
        <v>6551.7241379310353</v>
      </c>
      <c r="H55" s="4">
        <f t="shared" si="2"/>
        <v>3816.9120689655174</v>
      </c>
      <c r="I55" s="4">
        <f t="shared" si="3"/>
        <v>5047.0000000000009</v>
      </c>
      <c r="J55" s="4">
        <f t="shared" si="4"/>
        <v>11598.724137931036</v>
      </c>
      <c r="K55" s="4">
        <f t="shared" si="8"/>
        <v>120294.39999999999</v>
      </c>
      <c r="L55" s="4">
        <f t="shared" si="5"/>
        <v>4210.3040000000001</v>
      </c>
      <c r="M55" s="9">
        <f t="shared" si="6"/>
        <v>12584.223448275879</v>
      </c>
      <c r="N55" s="9">
        <v>146208.88</v>
      </c>
      <c r="O55" s="9">
        <f>184200/1.16</f>
        <v>158793.10344827588</v>
      </c>
    </row>
    <row r="56" spans="1:15">
      <c r="A56" t="s">
        <v>64</v>
      </c>
      <c r="B56" t="s">
        <v>19</v>
      </c>
      <c r="C56" s="3">
        <v>42552</v>
      </c>
      <c r="D56" s="4">
        <v>297919.99</v>
      </c>
      <c r="E56" s="4"/>
      <c r="F56" s="4">
        <v>12407.17</v>
      </c>
      <c r="G56" s="4">
        <f t="shared" si="7"/>
        <v>0</v>
      </c>
      <c r="H56" s="4">
        <f t="shared" si="2"/>
        <v>1390.4587068965518</v>
      </c>
      <c r="I56" s="4">
        <f t="shared" si="3"/>
        <v>10427.19965</v>
      </c>
      <c r="J56" s="4">
        <f t="shared" si="4"/>
        <v>10427.19965</v>
      </c>
      <c r="K56" s="4">
        <f t="shared" si="8"/>
        <v>275085.62034999998</v>
      </c>
      <c r="L56" s="4">
        <f t="shared" si="5"/>
        <v>9627.9967122500002</v>
      </c>
      <c r="M56" s="9">
        <f t="shared" si="6"/>
        <v>40166.541724137962</v>
      </c>
      <c r="N56" s="9">
        <v>326730.01</v>
      </c>
      <c r="O56" s="9">
        <f>425600/1.16</f>
        <v>366896.55172413797</v>
      </c>
    </row>
    <row r="57" spans="1:15">
      <c r="A57" t="s">
        <v>65</v>
      </c>
      <c r="B57" t="s">
        <v>66</v>
      </c>
      <c r="C57" s="3">
        <v>42552</v>
      </c>
      <c r="D57" s="4">
        <v>459825</v>
      </c>
      <c r="E57" s="4">
        <v>25350</v>
      </c>
      <c r="F57" s="4">
        <v>55666.32</v>
      </c>
      <c r="G57" s="4">
        <f t="shared" si="7"/>
        <v>10926.724137931034</v>
      </c>
      <c r="H57" s="4">
        <f t="shared" si="2"/>
        <v>6238.4668965517249</v>
      </c>
      <c r="I57" s="4">
        <f t="shared" si="3"/>
        <v>16093.875000000002</v>
      </c>
      <c r="J57" s="4">
        <f t="shared" si="4"/>
        <v>27020.599137931036</v>
      </c>
      <c r="K57" s="4">
        <f t="shared" si="8"/>
        <v>413414.80499999999</v>
      </c>
      <c r="L57" s="4">
        <f t="shared" si="5"/>
        <v>14469.518175000001</v>
      </c>
      <c r="M57" s="9">
        <f t="shared" si="6"/>
        <v>57526.832758620731</v>
      </c>
      <c r="N57" s="9">
        <v>471007.65</v>
      </c>
      <c r="O57" s="9">
        <f>613100/1.16</f>
        <v>528534.48275862075</v>
      </c>
    </row>
    <row r="58" spans="1:15">
      <c r="A58" t="s">
        <v>67</v>
      </c>
      <c r="B58" t="s">
        <v>13</v>
      </c>
      <c r="C58" s="3">
        <v>42552</v>
      </c>
      <c r="D58" s="4">
        <v>174150</v>
      </c>
      <c r="E58" s="4">
        <v>8500</v>
      </c>
      <c r="F58" s="4">
        <v>20222.32</v>
      </c>
      <c r="G58" s="4">
        <f t="shared" si="7"/>
        <v>3663.7931034482763</v>
      </c>
      <c r="H58" s="4">
        <f t="shared" si="2"/>
        <v>2266.2944827586211</v>
      </c>
      <c r="I58" s="4">
        <f t="shared" si="3"/>
        <v>6095.2500000000009</v>
      </c>
      <c r="J58" s="4">
        <f t="shared" si="4"/>
        <v>9759.0431034482772</v>
      </c>
      <c r="K58" s="4">
        <f t="shared" si="8"/>
        <v>156332.43</v>
      </c>
      <c r="L58" s="4">
        <f t="shared" si="5"/>
        <v>5471.6350499999999</v>
      </c>
      <c r="M58" s="9">
        <f t="shared" si="6"/>
        <v>1703.4948275862262</v>
      </c>
      <c r="N58" s="9">
        <v>165106.85</v>
      </c>
      <c r="O58" s="9">
        <f>193500/1.16</f>
        <v>166810.34482758623</v>
      </c>
    </row>
    <row r="59" spans="1:15">
      <c r="A59" t="s">
        <v>68</v>
      </c>
      <c r="B59" t="s">
        <v>43</v>
      </c>
      <c r="C59" s="3">
        <v>42562</v>
      </c>
      <c r="D59" s="4">
        <v>309399.99</v>
      </c>
      <c r="E59" s="4">
        <v>10500</v>
      </c>
      <c r="F59" s="4">
        <v>48404.51</v>
      </c>
      <c r="G59" s="4">
        <f t="shared" si="7"/>
        <v>4525.8620689655172</v>
      </c>
      <c r="H59" s="4">
        <f t="shared" si="2"/>
        <v>5424.6433620689668</v>
      </c>
      <c r="I59" s="4">
        <f t="shared" si="3"/>
        <v>10828.999650000002</v>
      </c>
      <c r="J59" s="4">
        <f t="shared" si="4"/>
        <v>15354.86171896552</v>
      </c>
      <c r="K59" s="4">
        <f t="shared" si="8"/>
        <v>260666.48034999997</v>
      </c>
      <c r="L59" s="4">
        <f t="shared" si="5"/>
        <v>9123.3268122499994</v>
      </c>
      <c r="M59" s="9">
        <f t="shared" si="6"/>
        <v>12517.165862069</v>
      </c>
      <c r="N59" s="9">
        <v>305931.11</v>
      </c>
      <c r="O59" s="9">
        <f>369400/1.16</f>
        <v>318448.27586206899</v>
      </c>
    </row>
    <row r="60" spans="1:15">
      <c r="A60" t="s">
        <v>69</v>
      </c>
      <c r="B60" t="s">
        <v>13</v>
      </c>
      <c r="C60" s="3">
        <v>42562</v>
      </c>
      <c r="D60" s="4">
        <v>97760</v>
      </c>
      <c r="E60" s="4"/>
      <c r="F60" s="4">
        <v>6863.06</v>
      </c>
      <c r="G60" s="4">
        <f t="shared" si="7"/>
        <v>0</v>
      </c>
      <c r="H60" s="4">
        <f t="shared" si="2"/>
        <v>769.13603448275876</v>
      </c>
      <c r="I60" s="4">
        <f t="shared" si="3"/>
        <v>3421.6000000000004</v>
      </c>
      <c r="J60" s="4">
        <f t="shared" si="4"/>
        <v>3421.6000000000004</v>
      </c>
      <c r="K60" s="4">
        <f t="shared" si="8"/>
        <v>87475.34</v>
      </c>
      <c r="L60" s="4">
        <f t="shared" si="5"/>
        <v>3061.6369</v>
      </c>
      <c r="M60" s="9">
        <f t="shared" si="6"/>
        <v>-2799.1775862068898</v>
      </c>
      <c r="N60" s="9">
        <v>132454.35</v>
      </c>
      <c r="O60" s="9">
        <f>150400/1.16</f>
        <v>129655.17241379312</v>
      </c>
    </row>
    <row r="61" spans="1:15">
      <c r="A61" t="s">
        <v>70</v>
      </c>
      <c r="B61" t="s">
        <v>17</v>
      </c>
      <c r="C61" s="3">
        <v>42562</v>
      </c>
      <c r="D61" s="4">
        <v>180180</v>
      </c>
      <c r="E61" s="4"/>
      <c r="F61" s="4">
        <v>23520.080000000002</v>
      </c>
      <c r="G61" s="4">
        <f t="shared" si="7"/>
        <v>0</v>
      </c>
      <c r="H61" s="4">
        <f t="shared" si="2"/>
        <v>2635.8710344827591</v>
      </c>
      <c r="I61" s="4">
        <f t="shared" si="3"/>
        <v>6306.3</v>
      </c>
      <c r="J61" s="4">
        <f t="shared" si="4"/>
        <v>6306.3</v>
      </c>
      <c r="K61" s="4">
        <f t="shared" si="8"/>
        <v>150353.62</v>
      </c>
      <c r="L61" s="4">
        <f t="shared" si="5"/>
        <v>5262.3767000000007</v>
      </c>
      <c r="M61" s="9">
        <f t="shared" si="6"/>
        <v>-885.53482758620521</v>
      </c>
      <c r="N61" s="9">
        <v>174075.19</v>
      </c>
      <c r="O61" s="9">
        <f>200900/1.16</f>
        <v>173189.6551724138</v>
      </c>
    </row>
    <row r="62" spans="1:15">
      <c r="A62" t="s">
        <v>71</v>
      </c>
      <c r="B62" t="s">
        <v>11</v>
      </c>
      <c r="C62" s="3">
        <v>42562</v>
      </c>
      <c r="D62" s="4">
        <v>143200</v>
      </c>
      <c r="E62" s="4"/>
      <c r="F62" s="4">
        <v>19286.03</v>
      </c>
      <c r="G62" s="4">
        <f t="shared" si="7"/>
        <v>0</v>
      </c>
      <c r="H62" s="4">
        <f t="shared" si="2"/>
        <v>2161.3654310344828</v>
      </c>
      <c r="I62" s="4">
        <f t="shared" si="3"/>
        <v>5012.0000000000009</v>
      </c>
      <c r="J62" s="4">
        <f t="shared" si="4"/>
        <v>5012.0000000000009</v>
      </c>
      <c r="K62" s="4">
        <f t="shared" si="8"/>
        <v>118901.97</v>
      </c>
      <c r="L62" s="4">
        <f t="shared" si="5"/>
        <v>4161.5689500000008</v>
      </c>
      <c r="M62" s="9">
        <f t="shared" si="6"/>
        <v>10579.100000000006</v>
      </c>
      <c r="N62" s="9">
        <v>134420.9</v>
      </c>
      <c r="O62" s="9">
        <f>168200/1.16</f>
        <v>145000</v>
      </c>
    </row>
    <row r="63" spans="1:15">
      <c r="A63" s="5" t="s">
        <v>72</v>
      </c>
      <c r="B63" t="s">
        <v>17</v>
      </c>
      <c r="C63" s="3">
        <v>42563</v>
      </c>
      <c r="D63" s="4">
        <v>130585</v>
      </c>
      <c r="E63" s="4"/>
      <c r="F63" s="4">
        <v>5861.77</v>
      </c>
      <c r="G63" s="4">
        <f t="shared" si="7"/>
        <v>0</v>
      </c>
      <c r="H63" s="4">
        <f t="shared" si="2"/>
        <v>656.92250000000013</v>
      </c>
      <c r="I63" s="4">
        <f t="shared" si="3"/>
        <v>4570.4750000000004</v>
      </c>
      <c r="J63" s="4">
        <f t="shared" si="4"/>
        <v>4570.4750000000004</v>
      </c>
      <c r="K63" s="4">
        <f t="shared" si="8"/>
        <v>120152.75499999999</v>
      </c>
      <c r="L63" s="4">
        <f t="shared" si="5"/>
        <v>4205.3464249999997</v>
      </c>
      <c r="M63" s="9">
        <f t="shared" si="6"/>
        <v>-1440.7148275861982</v>
      </c>
      <c r="N63" s="9">
        <v>174630.37</v>
      </c>
      <c r="O63" s="9">
        <f>200900/1.16</f>
        <v>173189.6551724138</v>
      </c>
    </row>
    <row r="64" spans="1:15">
      <c r="A64" t="s">
        <v>73</v>
      </c>
      <c r="B64" t="s">
        <v>17</v>
      </c>
      <c r="C64" s="3">
        <v>42564</v>
      </c>
      <c r="D64" s="4">
        <v>162810</v>
      </c>
      <c r="E64" s="4">
        <v>15000</v>
      </c>
      <c r="F64" s="4">
        <v>22005.119999999999</v>
      </c>
      <c r="G64" s="4">
        <f t="shared" si="7"/>
        <v>6465.5172413793107</v>
      </c>
      <c r="H64" s="4">
        <f t="shared" si="2"/>
        <v>2466.0910344827585</v>
      </c>
      <c r="I64" s="4">
        <f t="shared" si="3"/>
        <v>5698.35</v>
      </c>
      <c r="J64" s="4">
        <f t="shared" si="4"/>
        <v>12163.86724137931</v>
      </c>
      <c r="K64" s="4">
        <f t="shared" si="8"/>
        <v>150106.53</v>
      </c>
      <c r="L64" s="4">
        <f t="shared" si="5"/>
        <v>5253.7285500000007</v>
      </c>
      <c r="M64" s="9">
        <f t="shared" si="6"/>
        <v>-3930.6041379310191</v>
      </c>
      <c r="N64" s="9">
        <v>159878.88</v>
      </c>
      <c r="O64" s="9">
        <f>180900/1.16</f>
        <v>155948.27586206899</v>
      </c>
    </row>
    <row r="65" spans="1:15">
      <c r="A65" t="s">
        <v>74</v>
      </c>
      <c r="B65" t="s">
        <v>17</v>
      </c>
      <c r="C65" s="3">
        <v>42563</v>
      </c>
      <c r="D65" s="4">
        <v>117585</v>
      </c>
      <c r="E65" s="4"/>
      <c r="F65" s="4">
        <v>5513.11</v>
      </c>
      <c r="G65" s="4">
        <f t="shared" si="7"/>
        <v>0</v>
      </c>
      <c r="H65" s="4">
        <f t="shared" si="2"/>
        <v>617.84853448275874</v>
      </c>
      <c r="I65" s="4">
        <f t="shared" si="3"/>
        <v>4115.4750000000004</v>
      </c>
      <c r="J65" s="4">
        <f t="shared" si="4"/>
        <v>4115.4750000000004</v>
      </c>
      <c r="K65" s="4">
        <f t="shared" si="8"/>
        <v>107956.41499999999</v>
      </c>
      <c r="L65" s="4">
        <f t="shared" si="5"/>
        <v>3778.4745250000001</v>
      </c>
      <c r="M65" s="9">
        <f t="shared" si="6"/>
        <v>-3930.6041379310191</v>
      </c>
      <c r="N65" s="9">
        <v>159878.88</v>
      </c>
      <c r="O65" s="9">
        <f>180900/1.16</f>
        <v>155948.27586206899</v>
      </c>
    </row>
    <row r="66" spans="1:15">
      <c r="A66" t="s">
        <v>75</v>
      </c>
      <c r="B66" t="s">
        <v>11</v>
      </c>
      <c r="C66" s="3">
        <v>42563</v>
      </c>
      <c r="D66" s="4">
        <v>72710</v>
      </c>
      <c r="E66" s="4"/>
      <c r="F66" s="4">
        <v>24688.03</v>
      </c>
      <c r="G66" s="4">
        <f t="shared" si="7"/>
        <v>0</v>
      </c>
      <c r="H66" s="4">
        <f t="shared" si="2"/>
        <v>2766.7619827586204</v>
      </c>
      <c r="I66" s="4">
        <f t="shared" si="3"/>
        <v>2544.8500000000004</v>
      </c>
      <c r="J66" s="4">
        <f t="shared" si="4"/>
        <v>2544.8500000000004</v>
      </c>
      <c r="K66" s="4">
        <f t="shared" si="8"/>
        <v>45477.120000000003</v>
      </c>
      <c r="L66" s="4">
        <f t="shared" si="5"/>
        <v>1591.6992000000002</v>
      </c>
      <c r="M66" s="9">
        <f t="shared" si="6"/>
        <v>-18482.758620689652</v>
      </c>
      <c r="N66" s="9">
        <v>115000</v>
      </c>
      <c r="O66" s="9">
        <f>111960/1.16</f>
        <v>96517.241379310348</v>
      </c>
    </row>
    <row r="67" spans="1:15">
      <c r="A67" t="s">
        <v>76</v>
      </c>
      <c r="B67" t="s">
        <v>11</v>
      </c>
      <c r="C67" s="3">
        <v>42564</v>
      </c>
      <c r="D67" s="4">
        <v>97700</v>
      </c>
      <c r="E67" s="6">
        <v>10600</v>
      </c>
      <c r="F67" s="4">
        <v>22169.96</v>
      </c>
      <c r="G67" s="4">
        <f t="shared" si="7"/>
        <v>4568.9655172413795</v>
      </c>
      <c r="H67" s="4">
        <f t="shared" si="2"/>
        <v>2484.5644827586207</v>
      </c>
      <c r="I67" s="4">
        <f t="shared" si="3"/>
        <v>3419.5000000000005</v>
      </c>
      <c r="J67" s="4">
        <f t="shared" si="4"/>
        <v>7988.4655172413804</v>
      </c>
      <c r="K67" s="4">
        <f t="shared" si="8"/>
        <v>82710.540000000008</v>
      </c>
      <c r="L67" s="4">
        <f t="shared" si="5"/>
        <v>2894.8689000000004</v>
      </c>
      <c r="M67" s="9">
        <f t="shared" si="6"/>
        <v>-2083.5579310344765</v>
      </c>
      <c r="N67" s="9">
        <v>107859.42</v>
      </c>
      <c r="O67" s="9">
        <f>122700/1.16</f>
        <v>105775.86206896552</v>
      </c>
    </row>
    <row r="68" spans="1:15">
      <c r="A68" t="s">
        <v>77</v>
      </c>
      <c r="B68" t="s">
        <v>17</v>
      </c>
      <c r="C68" s="3">
        <v>42544</v>
      </c>
      <c r="D68" s="4">
        <v>130585</v>
      </c>
      <c r="E68" s="4"/>
      <c r="F68" s="4">
        <v>6228.02</v>
      </c>
      <c r="G68" s="4">
        <f t="shared" si="7"/>
        <v>0</v>
      </c>
      <c r="H68" s="4">
        <f t="shared" si="2"/>
        <v>697.96775862068978</v>
      </c>
      <c r="I68" s="4">
        <f t="shared" si="3"/>
        <v>4570.4750000000004</v>
      </c>
      <c r="J68" s="4">
        <f t="shared" si="4"/>
        <v>4570.4750000000004</v>
      </c>
      <c r="K68" s="4">
        <f t="shared" si="8"/>
        <v>119786.50499999999</v>
      </c>
      <c r="L68" s="4">
        <f t="shared" si="5"/>
        <v>4192.5276750000003</v>
      </c>
      <c r="M68" s="9">
        <f t="shared" si="6"/>
        <v>2795.6451724137878</v>
      </c>
      <c r="N68" s="9">
        <v>170394.01</v>
      </c>
      <c r="O68" s="9">
        <f>200900/1.16</f>
        <v>173189.6551724138</v>
      </c>
    </row>
    <row r="69" spans="1:15">
      <c r="A69" t="s">
        <v>78</v>
      </c>
      <c r="B69" t="s">
        <v>13</v>
      </c>
      <c r="C69" s="3">
        <v>42563</v>
      </c>
      <c r="D69" s="4">
        <v>95843.89</v>
      </c>
      <c r="E69" s="4"/>
      <c r="F69" s="4">
        <v>6863.06</v>
      </c>
      <c r="G69" s="4">
        <f t="shared" si="7"/>
        <v>0</v>
      </c>
      <c r="H69" s="4">
        <f t="shared" si="2"/>
        <v>769.13603448275876</v>
      </c>
      <c r="I69" s="4">
        <f t="shared" si="3"/>
        <v>3354.5361500000004</v>
      </c>
      <c r="J69" s="4">
        <f t="shared" si="4"/>
        <v>3354.5361500000004</v>
      </c>
      <c r="K69" s="4">
        <f t="shared" si="8"/>
        <v>85626.293850000002</v>
      </c>
      <c r="L69" s="4">
        <f t="shared" si="5"/>
        <v>2996.9202847500005</v>
      </c>
      <c r="M69" s="9">
        <f t="shared" si="6"/>
        <v>-1480.717586206898</v>
      </c>
      <c r="N69" s="9">
        <v>131135.89000000001</v>
      </c>
      <c r="O69" s="9">
        <f>150400/1.16</f>
        <v>129655.17241379312</v>
      </c>
    </row>
    <row r="70" spans="1:15">
      <c r="A70" t="s">
        <v>79</v>
      </c>
      <c r="B70" t="s">
        <v>17</v>
      </c>
      <c r="C70" s="3">
        <v>42564</v>
      </c>
      <c r="D70" s="4">
        <v>85900</v>
      </c>
      <c r="E70" s="4">
        <v>8500</v>
      </c>
      <c r="F70" s="4">
        <v>11753.66</v>
      </c>
      <c r="G70" s="4">
        <f t="shared" si="7"/>
        <v>3663.7931034482763</v>
      </c>
      <c r="H70" s="4">
        <f t="shared" si="2"/>
        <v>1317.2205172413794</v>
      </c>
      <c r="I70" s="4">
        <f t="shared" si="3"/>
        <v>3006.5000000000005</v>
      </c>
      <c r="J70" s="4">
        <f t="shared" si="4"/>
        <v>6670.2931034482772</v>
      </c>
      <c r="K70" s="4">
        <f t="shared" si="8"/>
        <v>79639.839999999997</v>
      </c>
      <c r="L70" s="4">
        <f t="shared" si="5"/>
        <v>2787.3944000000001</v>
      </c>
      <c r="M70" s="9">
        <f t="shared" si="6"/>
        <v>-885.53482758620521</v>
      </c>
      <c r="N70" s="9">
        <v>174075.19</v>
      </c>
      <c r="O70" s="9">
        <f>200900/1.16</f>
        <v>173189.6551724138</v>
      </c>
    </row>
    <row r="71" spans="1:15">
      <c r="A71" t="s">
        <v>80</v>
      </c>
      <c r="B71" t="s">
        <v>13</v>
      </c>
      <c r="C71" s="3">
        <v>42563</v>
      </c>
      <c r="D71" s="4">
        <v>154950</v>
      </c>
      <c r="E71" s="4">
        <v>8500</v>
      </c>
      <c r="F71" s="4">
        <v>18064.5</v>
      </c>
      <c r="G71" s="4">
        <f t="shared" si="7"/>
        <v>3663.7931034482763</v>
      </c>
      <c r="H71" s="4">
        <f t="shared" si="2"/>
        <v>2024.4698275862072</v>
      </c>
      <c r="I71" s="4">
        <f t="shared" si="3"/>
        <v>5423.2500000000009</v>
      </c>
      <c r="J71" s="4">
        <f t="shared" si="4"/>
        <v>9087.0431034482772</v>
      </c>
      <c r="K71" s="4">
        <f t="shared" si="8"/>
        <v>139962.25</v>
      </c>
      <c r="L71" s="4">
        <f t="shared" si="5"/>
        <v>4898.67875</v>
      </c>
      <c r="M71" s="9">
        <f t="shared" si="6"/>
        <v>1416.3386206896394</v>
      </c>
      <c r="N71" s="9">
        <v>145566.42000000001</v>
      </c>
      <c r="O71" s="9">
        <f>170500/1.16</f>
        <v>146982.75862068965</v>
      </c>
    </row>
    <row r="72" spans="1:15">
      <c r="A72" t="s">
        <v>81</v>
      </c>
      <c r="B72" t="s">
        <v>11</v>
      </c>
      <c r="C72" s="3">
        <v>42563</v>
      </c>
      <c r="D72" s="4">
        <v>151379.99</v>
      </c>
      <c r="E72" s="4">
        <v>15000</v>
      </c>
      <c r="F72" s="4">
        <v>25560.04</v>
      </c>
      <c r="G72" s="4">
        <f t="shared" si="7"/>
        <v>6465.5172413793107</v>
      </c>
      <c r="H72" s="4">
        <f t="shared" si="2"/>
        <v>2864.4872413793105</v>
      </c>
      <c r="I72" s="4">
        <f t="shared" si="3"/>
        <v>5298.2996499999999</v>
      </c>
      <c r="J72" s="4">
        <f t="shared" si="4"/>
        <v>11763.816891379311</v>
      </c>
      <c r="K72" s="4">
        <f t="shared" si="8"/>
        <v>135521.65034999998</v>
      </c>
      <c r="L72" s="4">
        <f t="shared" si="5"/>
        <v>4743.2577622499994</v>
      </c>
      <c r="M72" s="9">
        <f t="shared" si="6"/>
        <v>10968.059999999998</v>
      </c>
      <c r="N72" s="9">
        <v>134031.94</v>
      </c>
      <c r="O72" s="9">
        <f>168200/1.16</f>
        <v>145000</v>
      </c>
    </row>
    <row r="73" spans="1:15">
      <c r="A73" t="s">
        <v>82</v>
      </c>
      <c r="B73" t="s">
        <v>17</v>
      </c>
      <c r="C73" s="3">
        <v>42564</v>
      </c>
      <c r="D73" s="4">
        <v>162810</v>
      </c>
      <c r="E73" s="4">
        <v>14500</v>
      </c>
      <c r="F73" s="4">
        <v>20660.439999999999</v>
      </c>
      <c r="G73" s="4">
        <f t="shared" ref="G73:G104" si="9">(E73/1.16)*0.5</f>
        <v>6250</v>
      </c>
      <c r="H73" s="4">
        <f t="shared" si="2"/>
        <v>2315.3941379310349</v>
      </c>
      <c r="I73" s="4">
        <f t="shared" si="3"/>
        <v>5698.35</v>
      </c>
      <c r="J73" s="4">
        <f t="shared" si="4"/>
        <v>11948.35</v>
      </c>
      <c r="K73" s="4">
        <f t="shared" ref="K73:K104" si="10">SUM(+D73+E73-F73-I73)</f>
        <v>150951.21</v>
      </c>
      <c r="L73" s="4">
        <f t="shared" si="5"/>
        <v>5283.2923500000006</v>
      </c>
      <c r="M73" s="9">
        <f t="shared" si="6"/>
        <v>-3922.6441379310272</v>
      </c>
      <c r="N73" s="9">
        <v>159870.92000000001</v>
      </c>
      <c r="O73" s="9">
        <f>180900/1.16</f>
        <v>155948.27586206899</v>
      </c>
    </row>
    <row r="74" spans="1:15">
      <c r="A74" t="s">
        <v>83</v>
      </c>
      <c r="B74" t="s">
        <v>11</v>
      </c>
      <c r="C74" s="3">
        <v>42563</v>
      </c>
      <c r="D74" s="4">
        <v>125151.56</v>
      </c>
      <c r="E74" s="4"/>
      <c r="F74" s="4">
        <v>7294.95</v>
      </c>
      <c r="G74" s="4">
        <f t="shared" si="9"/>
        <v>0</v>
      </c>
      <c r="H74" s="4">
        <f t="shared" ref="H74:H137" si="11">(F74/1.16)*0.13</f>
        <v>817.53750000000002</v>
      </c>
      <c r="I74" s="4">
        <f t="shared" ref="I74:I137" si="12">D74*3.5%</f>
        <v>4380.3046000000004</v>
      </c>
      <c r="J74" s="4">
        <f t="shared" ref="J74:J137" si="13">+G74+I74</f>
        <v>4380.3046000000004</v>
      </c>
      <c r="K74" s="4">
        <f t="shared" si="10"/>
        <v>113476.3054</v>
      </c>
      <c r="L74" s="4">
        <f t="shared" ref="L74:L137" si="14">K74*$L$8</f>
        <v>3971.6706890000005</v>
      </c>
      <c r="M74" s="9">
        <f t="shared" ref="M74:M137" si="15">O74-N74</f>
        <v>12641.682068965543</v>
      </c>
      <c r="N74" s="9">
        <v>158134.18</v>
      </c>
      <c r="O74" s="9">
        <f>198100/1.16</f>
        <v>170775.86206896554</v>
      </c>
    </row>
    <row r="75" spans="1:15">
      <c r="A75" t="s">
        <v>84</v>
      </c>
      <c r="B75" t="s">
        <v>11</v>
      </c>
      <c r="C75" s="3">
        <v>42564</v>
      </c>
      <c r="D75" s="4">
        <v>130400</v>
      </c>
      <c r="E75" s="4">
        <v>15900</v>
      </c>
      <c r="F75" s="4">
        <v>24978.880000000001</v>
      </c>
      <c r="G75" s="4">
        <f t="shared" si="9"/>
        <v>6853.4482758620697</v>
      </c>
      <c r="H75" s="4">
        <f t="shared" si="11"/>
        <v>2799.3572413793104</v>
      </c>
      <c r="I75" s="4">
        <f t="shared" si="12"/>
        <v>4564</v>
      </c>
      <c r="J75" s="4">
        <f t="shared" si="13"/>
        <v>11417.448275862069</v>
      </c>
      <c r="K75" s="4">
        <f t="shared" si="10"/>
        <v>116757.12</v>
      </c>
      <c r="L75" s="4">
        <f t="shared" si="14"/>
        <v>4086.4992000000002</v>
      </c>
      <c r="M75" s="9">
        <f t="shared" si="15"/>
        <v>1564.8220689655282</v>
      </c>
      <c r="N75" s="10">
        <v>136711.04000000001</v>
      </c>
      <c r="O75" s="9">
        <f>160400/1.16</f>
        <v>138275.86206896554</v>
      </c>
    </row>
    <row r="76" spans="1:15">
      <c r="A76" t="s">
        <v>85</v>
      </c>
      <c r="B76" t="s">
        <v>22</v>
      </c>
      <c r="C76" s="3">
        <v>42564</v>
      </c>
      <c r="D76" s="4">
        <v>184394.23</v>
      </c>
      <c r="E76" s="4"/>
      <c r="F76" s="4">
        <v>5806.09</v>
      </c>
      <c r="G76" s="4">
        <f t="shared" si="9"/>
        <v>0</v>
      </c>
      <c r="H76" s="4">
        <f t="shared" si="11"/>
        <v>650.68250000000012</v>
      </c>
      <c r="I76" s="4">
        <f t="shared" si="12"/>
        <v>6453.7980500000012</v>
      </c>
      <c r="J76" s="4">
        <f t="shared" si="13"/>
        <v>6453.7980500000012</v>
      </c>
      <c r="K76" s="4">
        <f t="shared" si="10"/>
        <v>172134.34195</v>
      </c>
      <c r="L76" s="4">
        <f t="shared" si="14"/>
        <v>6024.7019682500004</v>
      </c>
      <c r="M76" s="9">
        <f t="shared" si="15"/>
        <v>-1.0344827605877072E-3</v>
      </c>
      <c r="N76" s="9">
        <v>248362.07</v>
      </c>
      <c r="O76" s="9">
        <f>288100/1.16</f>
        <v>248362.06896551725</v>
      </c>
    </row>
    <row r="77" spans="1:15">
      <c r="A77" t="s">
        <v>86</v>
      </c>
      <c r="B77" t="s">
        <v>11</v>
      </c>
      <c r="C77" s="3">
        <v>42564</v>
      </c>
      <c r="D77" s="4">
        <v>89407.58</v>
      </c>
      <c r="E77" s="4"/>
      <c r="F77" s="4">
        <v>9095.48</v>
      </c>
      <c r="G77" s="4">
        <f t="shared" si="9"/>
        <v>0</v>
      </c>
      <c r="H77" s="4">
        <f t="shared" si="11"/>
        <v>1019.3210344827587</v>
      </c>
      <c r="I77" s="4">
        <f t="shared" si="12"/>
        <v>3129.2653000000005</v>
      </c>
      <c r="J77" s="4">
        <f t="shared" si="13"/>
        <v>3129.2653000000005</v>
      </c>
      <c r="K77" s="4">
        <f t="shared" si="10"/>
        <v>77182.834700000007</v>
      </c>
      <c r="L77" s="4">
        <f t="shared" si="14"/>
        <v>2701.3992145000007</v>
      </c>
      <c r="M77" s="9">
        <f t="shared" si="15"/>
        <v>-13517.534137931027</v>
      </c>
      <c r="N77" s="9">
        <v>134465.81</v>
      </c>
      <c r="O77" s="9">
        <f>140300/1.16</f>
        <v>120948.27586206897</v>
      </c>
    </row>
    <row r="78" spans="1:15">
      <c r="A78" t="s">
        <v>87</v>
      </c>
      <c r="B78" t="s">
        <v>11</v>
      </c>
      <c r="C78" s="3">
        <v>42564</v>
      </c>
      <c r="D78" s="4">
        <v>102216.51</v>
      </c>
      <c r="E78" s="4"/>
      <c r="F78" s="4">
        <v>9657.08</v>
      </c>
      <c r="G78" s="4">
        <f t="shared" si="9"/>
        <v>0</v>
      </c>
      <c r="H78" s="4">
        <f t="shared" si="11"/>
        <v>1082.2589655172417</v>
      </c>
      <c r="I78" s="4">
        <f t="shared" si="12"/>
        <v>3577.5778500000001</v>
      </c>
      <c r="J78" s="4">
        <f t="shared" si="13"/>
        <v>3577.5778500000001</v>
      </c>
      <c r="K78" s="4">
        <f t="shared" si="10"/>
        <v>88981.852149999992</v>
      </c>
      <c r="L78" s="4">
        <f t="shared" si="14"/>
        <v>3114.3648252500002</v>
      </c>
      <c r="M78" s="9">
        <f t="shared" si="15"/>
        <v>-2888.1979310344614</v>
      </c>
      <c r="N78" s="9">
        <v>141164.06</v>
      </c>
      <c r="O78" s="9">
        <f>160400/1.16</f>
        <v>138275.86206896554</v>
      </c>
    </row>
    <row r="79" spans="1:15">
      <c r="A79" s="5" t="s">
        <v>88</v>
      </c>
      <c r="B79" t="s">
        <v>17</v>
      </c>
      <c r="D79" s="4">
        <v>183310</v>
      </c>
      <c r="E79" s="4">
        <v>8500</v>
      </c>
      <c r="F79" s="4"/>
      <c r="G79" s="4">
        <f t="shared" si="9"/>
        <v>3663.7931034482763</v>
      </c>
      <c r="H79" s="4">
        <f t="shared" si="11"/>
        <v>0</v>
      </c>
      <c r="I79" s="4">
        <f t="shared" si="12"/>
        <v>6415.85</v>
      </c>
      <c r="J79" s="4">
        <f t="shared" si="13"/>
        <v>10079.643103448278</v>
      </c>
      <c r="K79" s="4">
        <f t="shared" si="10"/>
        <v>185394.15</v>
      </c>
      <c r="L79" s="4">
        <f t="shared" si="14"/>
        <v>6488.7952500000001</v>
      </c>
      <c r="M79" s="9">
        <f t="shared" si="15"/>
        <v>-885.53482758620521</v>
      </c>
      <c r="N79" s="9">
        <v>174075.19</v>
      </c>
      <c r="O79" s="9">
        <f>200900/1.16</f>
        <v>173189.6551724138</v>
      </c>
    </row>
    <row r="80" spans="1:15">
      <c r="A80" t="s">
        <v>89</v>
      </c>
      <c r="B80" t="s">
        <v>13</v>
      </c>
      <c r="C80" s="3">
        <v>42565</v>
      </c>
      <c r="D80" s="4">
        <v>150500</v>
      </c>
      <c r="E80" s="4">
        <v>15900</v>
      </c>
      <c r="F80" s="4">
        <v>17813.240000000002</v>
      </c>
      <c r="G80" s="4">
        <f t="shared" si="9"/>
        <v>6853.4482758620697</v>
      </c>
      <c r="H80" s="4">
        <f t="shared" si="11"/>
        <v>1996.3113793103453</v>
      </c>
      <c r="I80" s="4">
        <f t="shared" si="12"/>
        <v>5267.5000000000009</v>
      </c>
      <c r="J80" s="4">
        <f t="shared" si="13"/>
        <v>12120.948275862071</v>
      </c>
      <c r="K80" s="4">
        <f t="shared" si="10"/>
        <v>143319.26</v>
      </c>
      <c r="L80" s="4">
        <f t="shared" si="14"/>
        <v>5016.1741000000011</v>
      </c>
      <c r="M80" s="9">
        <f t="shared" si="15"/>
        <v>-57.80137931034551</v>
      </c>
      <c r="N80" s="9">
        <v>147040.56</v>
      </c>
      <c r="O80" s="9">
        <f>170500/1.16</f>
        <v>146982.75862068965</v>
      </c>
    </row>
    <row r="81" spans="1:15">
      <c r="A81" t="s">
        <v>90</v>
      </c>
      <c r="B81" t="s">
        <v>11</v>
      </c>
      <c r="C81" s="3">
        <v>42564</v>
      </c>
      <c r="D81" s="4">
        <v>147699.99</v>
      </c>
      <c r="E81" s="4"/>
      <c r="F81" s="4">
        <v>25708.48</v>
      </c>
      <c r="G81" s="4">
        <f t="shared" si="9"/>
        <v>0</v>
      </c>
      <c r="H81" s="4">
        <f t="shared" si="11"/>
        <v>2881.1227586206901</v>
      </c>
      <c r="I81" s="4">
        <f t="shared" si="12"/>
        <v>5169.4996499999997</v>
      </c>
      <c r="J81" s="4">
        <f t="shared" si="13"/>
        <v>5169.4996499999997</v>
      </c>
      <c r="K81" s="4">
        <f t="shared" si="10"/>
        <v>116822.01035</v>
      </c>
      <c r="L81" s="4">
        <f t="shared" si="14"/>
        <v>4088.7703622500003</v>
      </c>
      <c r="M81" s="9">
        <f t="shared" si="15"/>
        <v>15493.919999999998</v>
      </c>
      <c r="N81" s="9">
        <v>129506.08</v>
      </c>
      <c r="O81" s="9">
        <f>168200/1.16</f>
        <v>145000</v>
      </c>
    </row>
    <row r="82" spans="1:15">
      <c r="A82" t="s">
        <v>91</v>
      </c>
      <c r="B82" t="s">
        <v>17</v>
      </c>
      <c r="C82" s="3">
        <v>42565</v>
      </c>
      <c r="D82" s="4">
        <v>173900</v>
      </c>
      <c r="E82" s="4">
        <v>8500</v>
      </c>
      <c r="F82" s="4">
        <v>24032.15</v>
      </c>
      <c r="G82" s="4">
        <f t="shared" si="9"/>
        <v>3663.7931034482763</v>
      </c>
      <c r="H82" s="4">
        <f t="shared" si="11"/>
        <v>2693.2581896551728</v>
      </c>
      <c r="I82" s="4">
        <f t="shared" si="12"/>
        <v>6086.5000000000009</v>
      </c>
      <c r="J82" s="4">
        <f t="shared" si="13"/>
        <v>9750.2931034482772</v>
      </c>
      <c r="K82" s="4">
        <f t="shared" si="10"/>
        <v>152281.35</v>
      </c>
      <c r="L82" s="4">
        <f t="shared" si="14"/>
        <v>5329.8472500000007</v>
      </c>
      <c r="M82" s="9">
        <f t="shared" si="15"/>
        <v>-1440.7148275861982</v>
      </c>
      <c r="N82" s="9">
        <v>174630.37</v>
      </c>
      <c r="O82" s="9">
        <f>200900/1.16</f>
        <v>173189.6551724138</v>
      </c>
    </row>
    <row r="83" spans="1:15">
      <c r="A83" t="s">
        <v>92</v>
      </c>
      <c r="B83" t="s">
        <v>17</v>
      </c>
      <c r="C83" s="3">
        <v>42565</v>
      </c>
      <c r="D83" s="4">
        <v>162810</v>
      </c>
      <c r="E83" s="4">
        <v>15000</v>
      </c>
      <c r="F83" s="4">
        <v>22005.119999999999</v>
      </c>
      <c r="G83" s="4">
        <f t="shared" si="9"/>
        <v>6465.5172413793107</v>
      </c>
      <c r="H83" s="4">
        <f t="shared" si="11"/>
        <v>2466.0910344827585</v>
      </c>
      <c r="I83" s="4">
        <f t="shared" si="12"/>
        <v>5698.35</v>
      </c>
      <c r="J83" s="4">
        <f t="shared" si="13"/>
        <v>12163.86724137931</v>
      </c>
      <c r="K83" s="4">
        <f t="shared" si="10"/>
        <v>150106.53</v>
      </c>
      <c r="L83" s="4">
        <f t="shared" si="14"/>
        <v>5253.7285500000007</v>
      </c>
      <c r="M83" s="9">
        <f t="shared" si="15"/>
        <v>-3930.6041379310191</v>
      </c>
      <c r="N83" s="9">
        <v>159878.88</v>
      </c>
      <c r="O83" s="9">
        <f>180900/1.16</f>
        <v>155948.27586206899</v>
      </c>
    </row>
    <row r="84" spans="1:15">
      <c r="A84" t="s">
        <v>185</v>
      </c>
      <c r="B84" t="s">
        <v>13</v>
      </c>
      <c r="C84" s="3">
        <v>42564</v>
      </c>
      <c r="D84" s="4">
        <v>142880</v>
      </c>
      <c r="E84" s="4">
        <v>8500</v>
      </c>
      <c r="F84" s="4">
        <v>17528.16</v>
      </c>
      <c r="G84" s="4">
        <f t="shared" si="9"/>
        <v>3663.7931034482763</v>
      </c>
      <c r="H84" s="4">
        <f t="shared" si="11"/>
        <v>1964.3627586206899</v>
      </c>
      <c r="I84" s="4">
        <f t="shared" si="12"/>
        <v>5000.8</v>
      </c>
      <c r="J84" s="4">
        <f t="shared" si="13"/>
        <v>8664.5931034482765</v>
      </c>
      <c r="K84" s="4">
        <f t="shared" si="10"/>
        <v>128851.04</v>
      </c>
      <c r="L84" s="4">
        <f t="shared" si="14"/>
        <v>4509.7864</v>
      </c>
      <c r="M84" s="9">
        <f t="shared" si="15"/>
        <v>-2799.1775862068898</v>
      </c>
      <c r="N84" s="9">
        <v>132454.35</v>
      </c>
      <c r="O84" s="9">
        <f>150400/1.16</f>
        <v>129655.17241379312</v>
      </c>
    </row>
    <row r="85" spans="1:15">
      <c r="A85" t="s">
        <v>93</v>
      </c>
      <c r="B85" t="s">
        <v>13</v>
      </c>
      <c r="C85" s="3">
        <v>42564</v>
      </c>
      <c r="D85" s="4">
        <v>120500</v>
      </c>
      <c r="E85" s="4">
        <v>11000</v>
      </c>
      <c r="F85" s="4">
        <v>18784.599999999999</v>
      </c>
      <c r="G85" s="4">
        <f t="shared" si="9"/>
        <v>4741.3793103448279</v>
      </c>
      <c r="H85" s="4">
        <f t="shared" si="11"/>
        <v>2105.1706896551723</v>
      </c>
      <c r="I85" s="4">
        <f t="shared" si="12"/>
        <v>4217.5</v>
      </c>
      <c r="J85" s="4">
        <f t="shared" si="13"/>
        <v>8958.8793103448279</v>
      </c>
      <c r="K85" s="4">
        <f t="shared" si="10"/>
        <v>108497.9</v>
      </c>
      <c r="L85" s="4">
        <f t="shared" si="14"/>
        <v>3797.4265</v>
      </c>
      <c r="M85" s="9">
        <f t="shared" si="15"/>
        <v>1416.3386206896394</v>
      </c>
      <c r="N85" s="9">
        <v>145566.42000000001</v>
      </c>
      <c r="O85" s="9">
        <f>170500/1.16</f>
        <v>146982.75862068965</v>
      </c>
    </row>
    <row r="86" spans="1:15">
      <c r="A86" t="s">
        <v>94</v>
      </c>
      <c r="B86" t="s">
        <v>13</v>
      </c>
      <c r="C86" s="3">
        <v>42565</v>
      </c>
      <c r="D86" s="4">
        <v>77300</v>
      </c>
      <c r="E86" s="4"/>
      <c r="F86" s="4">
        <v>6790.38</v>
      </c>
      <c r="G86" s="4">
        <f t="shared" si="9"/>
        <v>0</v>
      </c>
      <c r="H86" s="4">
        <f t="shared" si="11"/>
        <v>760.9908620689655</v>
      </c>
      <c r="I86" s="4">
        <f t="shared" si="12"/>
        <v>2705.5000000000005</v>
      </c>
      <c r="J86" s="4">
        <f t="shared" si="13"/>
        <v>2705.5000000000005</v>
      </c>
      <c r="K86" s="4">
        <f t="shared" si="10"/>
        <v>67804.12</v>
      </c>
      <c r="L86" s="4">
        <f t="shared" si="14"/>
        <v>2373.1442000000002</v>
      </c>
      <c r="M86" s="9">
        <f t="shared" si="15"/>
        <v>-5471.5913793103391</v>
      </c>
      <c r="N86" s="9">
        <v>132454.35</v>
      </c>
      <c r="O86" s="9">
        <f>147300/1.16</f>
        <v>126982.75862068967</v>
      </c>
    </row>
    <row r="87" spans="1:15">
      <c r="A87" t="s">
        <v>95</v>
      </c>
      <c r="B87" t="s">
        <v>11</v>
      </c>
      <c r="C87" s="3">
        <v>42566</v>
      </c>
      <c r="D87" s="4">
        <v>100300</v>
      </c>
      <c r="E87" s="4">
        <v>8500</v>
      </c>
      <c r="F87" s="4">
        <v>22363.68</v>
      </c>
      <c r="G87" s="4">
        <f t="shared" si="9"/>
        <v>3663.7931034482763</v>
      </c>
      <c r="H87" s="4">
        <f t="shared" si="11"/>
        <v>2506.2744827586212</v>
      </c>
      <c r="I87" s="4">
        <f t="shared" si="12"/>
        <v>3510.5000000000005</v>
      </c>
      <c r="J87" s="4">
        <f t="shared" si="13"/>
        <v>7174.2931034482772</v>
      </c>
      <c r="K87" s="4">
        <f t="shared" si="10"/>
        <v>82925.820000000007</v>
      </c>
      <c r="L87" s="4">
        <f t="shared" si="14"/>
        <v>2902.4037000000003</v>
      </c>
      <c r="M87" s="9">
        <f t="shared" si="15"/>
        <v>-469.73862068964809</v>
      </c>
      <c r="N87" s="9">
        <v>108486.98</v>
      </c>
      <c r="O87" s="9">
        <f>125300/1.16</f>
        <v>108017.24137931035</v>
      </c>
    </row>
    <row r="88" spans="1:15">
      <c r="A88" t="s">
        <v>96</v>
      </c>
      <c r="B88" t="s">
        <v>22</v>
      </c>
      <c r="C88" s="3">
        <v>42565</v>
      </c>
      <c r="D88" s="4">
        <v>216000</v>
      </c>
      <c r="E88" s="4">
        <v>8500</v>
      </c>
      <c r="F88" s="4">
        <v>19775.900000000001</v>
      </c>
      <c r="G88" s="4">
        <f t="shared" si="9"/>
        <v>3663.7931034482763</v>
      </c>
      <c r="H88" s="4">
        <f t="shared" si="11"/>
        <v>2216.2646551724142</v>
      </c>
      <c r="I88" s="4">
        <f t="shared" si="12"/>
        <v>7560.0000000000009</v>
      </c>
      <c r="J88" s="4">
        <f t="shared" si="13"/>
        <v>11223.793103448277</v>
      </c>
      <c r="K88" s="4">
        <f t="shared" si="10"/>
        <v>197164.1</v>
      </c>
      <c r="L88" s="4">
        <f t="shared" si="14"/>
        <v>6900.7435000000005</v>
      </c>
      <c r="M88" s="9">
        <f t="shared" si="15"/>
        <v>-5599.6382758620603</v>
      </c>
      <c r="N88" s="9">
        <v>224996.19</v>
      </c>
      <c r="O88" s="9">
        <f>254500/1.16</f>
        <v>219396.55172413794</v>
      </c>
    </row>
    <row r="89" spans="1:15">
      <c r="A89" t="s">
        <v>97</v>
      </c>
      <c r="B89" t="s">
        <v>22</v>
      </c>
      <c r="C89" s="3">
        <v>42565</v>
      </c>
      <c r="D89" s="4">
        <v>88127.97</v>
      </c>
      <c r="E89" s="4"/>
      <c r="F89" s="4">
        <v>5532.42</v>
      </c>
      <c r="G89" s="4">
        <f t="shared" si="9"/>
        <v>0</v>
      </c>
      <c r="H89" s="4">
        <f t="shared" si="11"/>
        <v>620.01258620689657</v>
      </c>
      <c r="I89" s="4">
        <f t="shared" si="12"/>
        <v>3084.4789500000002</v>
      </c>
      <c r="J89" s="4">
        <f t="shared" si="13"/>
        <v>3084.4789500000002</v>
      </c>
      <c r="K89" s="4">
        <f t="shared" si="10"/>
        <v>79511.071049999999</v>
      </c>
      <c r="L89" s="4">
        <f t="shared" si="14"/>
        <v>2782.8874867500003</v>
      </c>
      <c r="M89" s="9">
        <f t="shared" si="15"/>
        <v>-2631.8710344827559</v>
      </c>
      <c r="N89" s="9">
        <v>250993.94</v>
      </c>
      <c r="O89" s="9">
        <f>288100/1.16</f>
        <v>248362.06896551725</v>
      </c>
    </row>
    <row r="90" spans="1:15">
      <c r="A90" s="5" t="s">
        <v>98</v>
      </c>
      <c r="B90" t="s">
        <v>17</v>
      </c>
      <c r="C90" s="3">
        <v>42569</v>
      </c>
      <c r="D90" s="4">
        <v>180810</v>
      </c>
      <c r="E90" s="4"/>
      <c r="F90" s="4">
        <v>17756.060000000001</v>
      </c>
      <c r="G90" s="4">
        <f t="shared" si="9"/>
        <v>0</v>
      </c>
      <c r="H90" s="4">
        <f t="shared" si="11"/>
        <v>1989.9032758620692</v>
      </c>
      <c r="I90" s="4">
        <f t="shared" si="12"/>
        <v>6328.35</v>
      </c>
      <c r="J90" s="4">
        <f t="shared" si="13"/>
        <v>6328.35</v>
      </c>
      <c r="K90" s="4">
        <f t="shared" si="10"/>
        <v>156725.59</v>
      </c>
      <c r="L90" s="4">
        <f t="shared" si="14"/>
        <v>5485.3956500000004</v>
      </c>
      <c r="M90" s="9">
        <f t="shared" si="15"/>
        <v>-1440.7148275861982</v>
      </c>
      <c r="N90" s="9">
        <v>174630.37</v>
      </c>
      <c r="O90" s="9">
        <f>200900/1.16</f>
        <v>173189.6551724138</v>
      </c>
    </row>
    <row r="91" spans="1:15">
      <c r="A91" t="s">
        <v>99</v>
      </c>
      <c r="B91" t="s">
        <v>22</v>
      </c>
      <c r="C91" s="3">
        <v>42566</v>
      </c>
      <c r="D91" s="4">
        <v>165425</v>
      </c>
      <c r="E91" s="4"/>
      <c r="F91" s="4">
        <v>5471.88</v>
      </c>
      <c r="G91" s="4">
        <f t="shared" si="9"/>
        <v>0</v>
      </c>
      <c r="H91" s="4">
        <f t="shared" si="11"/>
        <v>613.22793103448282</v>
      </c>
      <c r="I91" s="4">
        <f t="shared" si="12"/>
        <v>5789.8750000000009</v>
      </c>
      <c r="J91" s="4">
        <f t="shared" si="13"/>
        <v>5789.8750000000009</v>
      </c>
      <c r="K91" s="4">
        <f t="shared" si="10"/>
        <v>154163.245</v>
      </c>
      <c r="L91" s="4">
        <f t="shared" si="14"/>
        <v>5395.7135750000007</v>
      </c>
      <c r="M91" s="9">
        <f t="shared" si="15"/>
        <v>-5599.6382758620603</v>
      </c>
      <c r="N91" s="9">
        <v>224996.19</v>
      </c>
      <c r="O91" s="9">
        <f>254500/1.16</f>
        <v>219396.55172413794</v>
      </c>
    </row>
    <row r="92" spans="1:15">
      <c r="A92" t="s">
        <v>100</v>
      </c>
      <c r="B92" t="s">
        <v>43</v>
      </c>
      <c r="C92" s="3">
        <v>42569</v>
      </c>
      <c r="D92" s="4">
        <v>288100</v>
      </c>
      <c r="E92" s="4"/>
      <c r="F92" s="4">
        <v>61545.23</v>
      </c>
      <c r="G92" s="4">
        <f t="shared" si="9"/>
        <v>0</v>
      </c>
      <c r="H92" s="4">
        <f t="shared" si="11"/>
        <v>6897.3102586206905</v>
      </c>
      <c r="I92" s="4">
        <f t="shared" si="12"/>
        <v>10083.500000000002</v>
      </c>
      <c r="J92" s="4">
        <f t="shared" si="13"/>
        <v>10083.500000000002</v>
      </c>
      <c r="K92" s="4">
        <f t="shared" si="10"/>
        <v>216471.27</v>
      </c>
      <c r="L92" s="4">
        <f t="shared" si="14"/>
        <v>7576.4944500000001</v>
      </c>
      <c r="M92" s="9">
        <f t="shared" si="15"/>
        <v>13675.617241379281</v>
      </c>
      <c r="N92" s="9">
        <v>277789.90000000002</v>
      </c>
      <c r="O92" s="9">
        <f>338100/1.16</f>
        <v>291465.5172413793</v>
      </c>
    </row>
    <row r="93" spans="1:15">
      <c r="A93" t="s">
        <v>101</v>
      </c>
      <c r="B93" t="s">
        <v>11</v>
      </c>
      <c r="C93" s="3">
        <v>42569</v>
      </c>
      <c r="D93" s="4">
        <v>144360</v>
      </c>
      <c r="E93" s="4">
        <v>8500</v>
      </c>
      <c r="F93" s="4">
        <v>24978.880000000001</v>
      </c>
      <c r="G93" s="4">
        <f t="shared" si="9"/>
        <v>3663.7931034482763</v>
      </c>
      <c r="H93" s="4">
        <f t="shared" si="11"/>
        <v>2799.3572413793104</v>
      </c>
      <c r="I93" s="4">
        <f t="shared" si="12"/>
        <v>5052.6000000000004</v>
      </c>
      <c r="J93" s="4">
        <f t="shared" si="13"/>
        <v>8716.3931034482775</v>
      </c>
      <c r="K93" s="4">
        <f t="shared" si="10"/>
        <v>122828.51999999999</v>
      </c>
      <c r="L93" s="4">
        <f t="shared" si="14"/>
        <v>4298.9982</v>
      </c>
      <c r="M93" s="9">
        <f t="shared" si="15"/>
        <v>3252.7520689655503</v>
      </c>
      <c r="N93" s="9">
        <v>135023.10999999999</v>
      </c>
      <c r="O93" s="9">
        <f>160400/1.16</f>
        <v>138275.86206896554</v>
      </c>
    </row>
    <row r="94" spans="1:15">
      <c r="A94" t="s">
        <v>102</v>
      </c>
      <c r="B94" t="s">
        <v>13</v>
      </c>
      <c r="C94" s="3">
        <v>42569</v>
      </c>
      <c r="D94" s="4">
        <v>153450</v>
      </c>
      <c r="E94" s="4">
        <v>10700</v>
      </c>
      <c r="F94" s="4">
        <v>13475.93</v>
      </c>
      <c r="G94" s="4">
        <f t="shared" si="9"/>
        <v>4612.0689655172418</v>
      </c>
      <c r="H94" s="4">
        <f t="shared" si="11"/>
        <v>1510.2335344827588</v>
      </c>
      <c r="I94" s="4">
        <f t="shared" si="12"/>
        <v>5370.7500000000009</v>
      </c>
      <c r="J94" s="4">
        <f t="shared" si="13"/>
        <v>9982.8189655172428</v>
      </c>
      <c r="K94" s="4">
        <f t="shared" si="10"/>
        <v>145303.32</v>
      </c>
      <c r="L94" s="4">
        <f t="shared" si="14"/>
        <v>5085.6162000000004</v>
      </c>
      <c r="M94" s="9">
        <f t="shared" si="15"/>
        <v>-57.80137931034551</v>
      </c>
      <c r="N94" s="9">
        <v>147040.56</v>
      </c>
      <c r="O94" s="9">
        <f>170500/1.16</f>
        <v>146982.75862068965</v>
      </c>
    </row>
    <row r="95" spans="1:15">
      <c r="A95" t="s">
        <v>103</v>
      </c>
      <c r="B95" t="s">
        <v>22</v>
      </c>
      <c r="C95" s="3">
        <v>42569</v>
      </c>
      <c r="D95" s="4">
        <v>162889.03</v>
      </c>
      <c r="E95" s="4"/>
      <c r="F95" s="4">
        <v>5471.88</v>
      </c>
      <c r="G95" s="4">
        <f t="shared" si="9"/>
        <v>0</v>
      </c>
      <c r="H95" s="4">
        <f t="shared" si="11"/>
        <v>613.22793103448282</v>
      </c>
      <c r="I95" s="4">
        <f t="shared" si="12"/>
        <v>5701.1160500000005</v>
      </c>
      <c r="J95" s="4">
        <f t="shared" si="13"/>
        <v>5701.1160500000005</v>
      </c>
      <c r="K95" s="4">
        <f t="shared" si="10"/>
        <v>151716.03394999998</v>
      </c>
      <c r="L95" s="4">
        <f t="shared" si="14"/>
        <v>5310.0611882499998</v>
      </c>
      <c r="M95" s="9">
        <f t="shared" si="15"/>
        <v>-151.91827586205909</v>
      </c>
      <c r="N95" s="9">
        <v>219548.47</v>
      </c>
      <c r="O95" s="9">
        <f>254500/1.16</f>
        <v>219396.55172413794</v>
      </c>
    </row>
    <row r="96" spans="1:15">
      <c r="A96" t="s">
        <v>104</v>
      </c>
      <c r="B96" t="s">
        <v>13</v>
      </c>
      <c r="C96" s="3">
        <v>42569</v>
      </c>
      <c r="D96" s="4">
        <v>137860</v>
      </c>
      <c r="E96" s="4">
        <v>8600</v>
      </c>
      <c r="F96" s="4">
        <v>17060.669999999998</v>
      </c>
      <c r="G96" s="4">
        <f t="shared" si="9"/>
        <v>3706.8965517241381</v>
      </c>
      <c r="H96" s="4">
        <f t="shared" si="11"/>
        <v>1911.9716379310346</v>
      </c>
      <c r="I96" s="4">
        <f t="shared" si="12"/>
        <v>4825.1000000000004</v>
      </c>
      <c r="J96" s="4">
        <f t="shared" si="13"/>
        <v>8531.996551724138</v>
      </c>
      <c r="K96" s="4">
        <f t="shared" si="10"/>
        <v>124574.23</v>
      </c>
      <c r="L96" s="4">
        <f t="shared" si="14"/>
        <v>4360.0980500000005</v>
      </c>
      <c r="M96" s="9">
        <f t="shared" si="15"/>
        <v>-2799.1775862068898</v>
      </c>
      <c r="N96" s="9">
        <v>132454.35</v>
      </c>
      <c r="O96" s="9">
        <f>150400/1.16</f>
        <v>129655.17241379312</v>
      </c>
    </row>
    <row r="97" spans="1:15">
      <c r="A97" t="s">
        <v>105</v>
      </c>
      <c r="B97" t="s">
        <v>11</v>
      </c>
      <c r="C97" s="3">
        <v>42569</v>
      </c>
      <c r="D97" s="4">
        <v>110300</v>
      </c>
      <c r="E97" s="4">
        <v>15300</v>
      </c>
      <c r="F97" s="4">
        <v>23481.279999999999</v>
      </c>
      <c r="G97" s="4">
        <f t="shared" si="9"/>
        <v>6594.8275862068967</v>
      </c>
      <c r="H97" s="4">
        <f t="shared" si="11"/>
        <v>2631.5227586206897</v>
      </c>
      <c r="I97" s="4">
        <f t="shared" si="12"/>
        <v>3860.5000000000005</v>
      </c>
      <c r="J97" s="4">
        <f t="shared" si="13"/>
        <v>10455.327586206897</v>
      </c>
      <c r="K97" s="4">
        <f t="shared" si="10"/>
        <v>98258.22</v>
      </c>
      <c r="L97" s="4">
        <f t="shared" si="14"/>
        <v>3439.0377000000003</v>
      </c>
      <c r="M97" s="9">
        <f t="shared" si="15"/>
        <v>1478.9058620689757</v>
      </c>
      <c r="N97" s="9">
        <v>119469.37</v>
      </c>
      <c r="O97" s="9">
        <f>140300/1.16</f>
        <v>120948.27586206897</v>
      </c>
    </row>
    <row r="98" spans="1:15">
      <c r="A98" t="s">
        <v>106</v>
      </c>
      <c r="B98" t="s">
        <v>11</v>
      </c>
      <c r="C98" s="3">
        <v>42569</v>
      </c>
      <c r="D98" s="4">
        <v>114270</v>
      </c>
      <c r="E98" s="4">
        <v>7200</v>
      </c>
      <c r="F98" s="4">
        <v>22512.12</v>
      </c>
      <c r="G98" s="4">
        <f t="shared" si="9"/>
        <v>3103.4482758620693</v>
      </c>
      <c r="H98" s="4">
        <f t="shared" si="11"/>
        <v>2522.9100000000003</v>
      </c>
      <c r="I98" s="4">
        <f t="shared" si="12"/>
        <v>3999.4500000000003</v>
      </c>
      <c r="J98" s="4">
        <f t="shared" si="13"/>
        <v>7102.8982758620696</v>
      </c>
      <c r="K98" s="4">
        <f t="shared" si="10"/>
        <v>94958.430000000008</v>
      </c>
      <c r="L98" s="4">
        <f t="shared" si="14"/>
        <v>3323.5450500000006</v>
      </c>
      <c r="M98" s="9">
        <f t="shared" si="15"/>
        <v>157.82137931034958</v>
      </c>
      <c r="N98" s="9">
        <v>107859.42</v>
      </c>
      <c r="O98" s="9">
        <f>125300/1.16</f>
        <v>108017.24137931035</v>
      </c>
    </row>
    <row r="99" spans="1:15">
      <c r="A99" t="s">
        <v>186</v>
      </c>
      <c r="B99" t="s">
        <v>17</v>
      </c>
      <c r="C99" s="3">
        <v>42569</v>
      </c>
      <c r="D99" s="4">
        <v>169900</v>
      </c>
      <c r="E99" s="4">
        <v>8500</v>
      </c>
      <c r="F99" s="4">
        <v>17009.72</v>
      </c>
      <c r="G99" s="4">
        <f t="shared" si="9"/>
        <v>3663.7931034482763</v>
      </c>
      <c r="H99" s="4">
        <f t="shared" si="11"/>
        <v>1906.2617241379314</v>
      </c>
      <c r="I99" s="4">
        <f t="shared" si="12"/>
        <v>5946.5000000000009</v>
      </c>
      <c r="J99" s="4">
        <f t="shared" si="13"/>
        <v>9610.2931034482772</v>
      </c>
      <c r="K99" s="4">
        <f t="shared" si="10"/>
        <v>155443.78</v>
      </c>
      <c r="L99" s="4">
        <f t="shared" si="14"/>
        <v>5440.5323000000008</v>
      </c>
      <c r="M99" s="9">
        <f t="shared" si="15"/>
        <v>4525.4458620689984</v>
      </c>
      <c r="N99" s="9">
        <v>163922.82999999999</v>
      </c>
      <c r="O99" s="9">
        <f>195400/1.16</f>
        <v>168448.27586206899</v>
      </c>
    </row>
    <row r="100" spans="1:15">
      <c r="A100" t="s">
        <v>107</v>
      </c>
      <c r="B100" t="s">
        <v>11</v>
      </c>
      <c r="C100" s="3">
        <v>42569</v>
      </c>
      <c r="D100" s="4">
        <v>139700</v>
      </c>
      <c r="E100" s="4">
        <v>7500</v>
      </c>
      <c r="F100" s="4">
        <v>25708.48</v>
      </c>
      <c r="G100" s="4">
        <f t="shared" si="9"/>
        <v>3232.7586206896553</v>
      </c>
      <c r="H100" s="4">
        <f t="shared" si="11"/>
        <v>2881.1227586206901</v>
      </c>
      <c r="I100" s="4">
        <f t="shared" si="12"/>
        <v>4889.5000000000009</v>
      </c>
      <c r="J100" s="4">
        <f t="shared" si="13"/>
        <v>8122.2586206896558</v>
      </c>
      <c r="K100" s="4">
        <f t="shared" si="10"/>
        <v>116602.02</v>
      </c>
      <c r="L100" s="4">
        <f t="shared" si="14"/>
        <v>4081.0707000000007</v>
      </c>
      <c r="M100" s="9">
        <f t="shared" si="15"/>
        <v>17530.97</v>
      </c>
      <c r="N100" s="9">
        <v>127469.03</v>
      </c>
      <c r="O100" s="9">
        <f>168200/1.16</f>
        <v>145000</v>
      </c>
    </row>
    <row r="101" spans="1:15">
      <c r="A101" t="s">
        <v>108</v>
      </c>
      <c r="B101" t="s">
        <v>17</v>
      </c>
      <c r="C101" s="3">
        <v>42569</v>
      </c>
      <c r="D101" s="4">
        <v>169900</v>
      </c>
      <c r="E101" s="4">
        <v>8500</v>
      </c>
      <c r="F101" s="4">
        <v>17009.72</v>
      </c>
      <c r="G101" s="4">
        <f t="shared" si="9"/>
        <v>3663.7931034482763</v>
      </c>
      <c r="H101" s="4">
        <f t="shared" si="11"/>
        <v>1906.2617241379314</v>
      </c>
      <c r="I101" s="4">
        <f t="shared" si="12"/>
        <v>5946.5000000000009</v>
      </c>
      <c r="J101" s="4">
        <f t="shared" si="13"/>
        <v>9610.2931034482772</v>
      </c>
      <c r="K101" s="4">
        <f t="shared" si="10"/>
        <v>155443.78</v>
      </c>
      <c r="L101" s="4">
        <f t="shared" si="14"/>
        <v>5440.5323000000008</v>
      </c>
      <c r="M101" s="9">
        <f t="shared" si="15"/>
        <v>-849.33413793100044</v>
      </c>
      <c r="N101" s="9">
        <v>169297.61</v>
      </c>
      <c r="O101" s="9">
        <f>195400/1.16</f>
        <v>168448.27586206899</v>
      </c>
    </row>
    <row r="102" spans="1:15">
      <c r="A102" t="s">
        <v>109</v>
      </c>
      <c r="B102" t="s">
        <v>11</v>
      </c>
      <c r="C102" s="3">
        <v>42569</v>
      </c>
      <c r="D102" s="4">
        <v>150530</v>
      </c>
      <c r="E102" s="4">
        <v>10400</v>
      </c>
      <c r="F102" s="4">
        <v>25560.04</v>
      </c>
      <c r="G102" s="4">
        <f t="shared" si="9"/>
        <v>4482.7586206896558</v>
      </c>
      <c r="H102" s="4">
        <f t="shared" si="11"/>
        <v>2864.4872413793105</v>
      </c>
      <c r="I102" s="4">
        <f t="shared" si="12"/>
        <v>5268.55</v>
      </c>
      <c r="J102" s="4">
        <f t="shared" si="13"/>
        <v>9751.3086206896551</v>
      </c>
      <c r="K102" s="4">
        <f t="shared" si="10"/>
        <v>130101.40999999999</v>
      </c>
      <c r="L102" s="4">
        <f t="shared" si="14"/>
        <v>4553.5493500000002</v>
      </c>
      <c r="M102" s="9">
        <f t="shared" si="15"/>
        <v>10579.100000000006</v>
      </c>
      <c r="N102" s="9">
        <v>134420.9</v>
      </c>
      <c r="O102" s="9">
        <f>168200/1.16</f>
        <v>145000</v>
      </c>
    </row>
    <row r="103" spans="1:15">
      <c r="A103" t="s">
        <v>110</v>
      </c>
      <c r="B103" t="s">
        <v>19</v>
      </c>
      <c r="C103" s="3">
        <v>42570</v>
      </c>
      <c r="D103" s="4">
        <v>286199.99</v>
      </c>
      <c r="E103" s="4"/>
      <c r="F103" s="4">
        <v>8313.8700000000008</v>
      </c>
      <c r="G103" s="4">
        <f t="shared" si="9"/>
        <v>0</v>
      </c>
      <c r="H103" s="4">
        <f t="shared" si="11"/>
        <v>931.72681034482775</v>
      </c>
      <c r="I103" s="4">
        <f t="shared" si="12"/>
        <v>10016.99965</v>
      </c>
      <c r="J103" s="4">
        <f t="shared" si="13"/>
        <v>10016.99965</v>
      </c>
      <c r="K103" s="4">
        <f t="shared" si="10"/>
        <v>267869.12034999998</v>
      </c>
      <c r="L103" s="4">
        <f t="shared" si="14"/>
        <v>9375.4192122500008</v>
      </c>
      <c r="M103" s="9">
        <f t="shared" si="15"/>
        <v>57925.162413793092</v>
      </c>
      <c r="N103" s="9">
        <v>326730.01</v>
      </c>
      <c r="O103" s="9">
        <f>446200/1.16</f>
        <v>384655.1724137931</v>
      </c>
    </row>
    <row r="104" spans="1:15">
      <c r="A104" t="s">
        <v>111</v>
      </c>
      <c r="B104" t="s">
        <v>11</v>
      </c>
      <c r="C104" s="3">
        <v>42569</v>
      </c>
      <c r="D104" s="4">
        <v>102300</v>
      </c>
      <c r="E104" s="4">
        <v>8500</v>
      </c>
      <c r="F104" s="4">
        <v>23679.19</v>
      </c>
      <c r="G104" s="4">
        <f t="shared" si="9"/>
        <v>3663.7931034482763</v>
      </c>
      <c r="H104" s="4">
        <f t="shared" si="11"/>
        <v>2653.702327586207</v>
      </c>
      <c r="I104" s="4">
        <f t="shared" si="12"/>
        <v>3580.5000000000005</v>
      </c>
      <c r="J104" s="4">
        <f t="shared" si="13"/>
        <v>7244.2931034482772</v>
      </c>
      <c r="K104" s="4">
        <f t="shared" si="10"/>
        <v>83540.31</v>
      </c>
      <c r="L104" s="4">
        <f t="shared" si="14"/>
        <v>2923.9108500000002</v>
      </c>
      <c r="M104" s="9">
        <f t="shared" si="15"/>
        <v>1277.1558620689757</v>
      </c>
      <c r="N104" s="9">
        <v>119671.12</v>
      </c>
      <c r="O104" s="9">
        <f>140300/1.16</f>
        <v>120948.27586206897</v>
      </c>
    </row>
    <row r="105" spans="1:15">
      <c r="A105" t="s">
        <v>112</v>
      </c>
      <c r="B105" t="s">
        <v>11</v>
      </c>
      <c r="C105" s="3">
        <v>42568</v>
      </c>
      <c r="D105" s="4">
        <v>104260</v>
      </c>
      <c r="E105" s="4"/>
      <c r="F105" s="4">
        <v>9657.08</v>
      </c>
      <c r="G105" s="4">
        <f t="shared" ref="G105:G136" si="16">(E105/1.16)*0.5</f>
        <v>0</v>
      </c>
      <c r="H105" s="4">
        <f t="shared" si="11"/>
        <v>1082.2589655172417</v>
      </c>
      <c r="I105" s="4">
        <f t="shared" si="12"/>
        <v>3649.1000000000004</v>
      </c>
      <c r="J105" s="4">
        <f t="shared" si="13"/>
        <v>3649.1000000000004</v>
      </c>
      <c r="K105" s="4">
        <f t="shared" ref="K105:K136" si="17">SUM(+D105+E105-F105-I105)</f>
        <v>90953.819999999992</v>
      </c>
      <c r="L105" s="4">
        <f t="shared" si="14"/>
        <v>3183.3836999999999</v>
      </c>
      <c r="M105" s="9">
        <f t="shared" si="15"/>
        <v>3252.7520689655503</v>
      </c>
      <c r="N105" s="9">
        <v>135023.10999999999</v>
      </c>
      <c r="O105" s="9">
        <f>160400/1.16</f>
        <v>138275.86206896554</v>
      </c>
    </row>
    <row r="106" spans="1:15">
      <c r="A106" t="s">
        <v>113</v>
      </c>
      <c r="B106" t="s">
        <v>17</v>
      </c>
      <c r="C106" s="3">
        <v>42570</v>
      </c>
      <c r="D106" s="4">
        <v>152400</v>
      </c>
      <c r="E106" s="4">
        <v>8500</v>
      </c>
      <c r="F106" s="4">
        <v>23776.1</v>
      </c>
      <c r="G106" s="4">
        <f t="shared" si="16"/>
        <v>3663.7931034482763</v>
      </c>
      <c r="H106" s="4">
        <f t="shared" si="11"/>
        <v>2664.5629310344825</v>
      </c>
      <c r="I106" s="4">
        <f t="shared" si="12"/>
        <v>5334.0000000000009</v>
      </c>
      <c r="J106" s="4">
        <f t="shared" si="13"/>
        <v>8997.7931034482772</v>
      </c>
      <c r="K106" s="4">
        <f t="shared" si="17"/>
        <v>131789.9</v>
      </c>
      <c r="L106" s="4">
        <f t="shared" si="14"/>
        <v>4612.6464999999998</v>
      </c>
      <c r="M106" s="9">
        <f t="shared" si="15"/>
        <v>-885.53482758620521</v>
      </c>
      <c r="N106" s="9">
        <v>174075.19</v>
      </c>
      <c r="O106" s="9">
        <f>200900/1.16</f>
        <v>173189.6551724138</v>
      </c>
    </row>
    <row r="107" spans="1:15">
      <c r="A107" s="5" t="s">
        <v>114</v>
      </c>
      <c r="B107" t="s">
        <v>22</v>
      </c>
      <c r="C107" s="3">
        <v>42570</v>
      </c>
      <c r="D107" s="4">
        <v>255099.99</v>
      </c>
      <c r="E107" s="4">
        <v>9800</v>
      </c>
      <c r="F107" s="4">
        <v>22217.99</v>
      </c>
      <c r="G107" s="4">
        <f t="shared" si="16"/>
        <v>4224.1379310344828</v>
      </c>
      <c r="H107" s="4">
        <f t="shared" si="11"/>
        <v>2489.9471551724141</v>
      </c>
      <c r="I107" s="4">
        <f t="shared" si="12"/>
        <v>8928.4996499999997</v>
      </c>
      <c r="J107" s="4">
        <f t="shared" si="13"/>
        <v>13152.637581034483</v>
      </c>
      <c r="K107" s="4">
        <f t="shared" si="17"/>
        <v>233753.50034999999</v>
      </c>
      <c r="L107" s="4">
        <f t="shared" si="14"/>
        <v>8181.37251225</v>
      </c>
      <c r="M107" s="9">
        <f t="shared" si="15"/>
        <v>3456.1389655172534</v>
      </c>
      <c r="N107" s="9">
        <v>244905.93</v>
      </c>
      <c r="O107" s="9">
        <f>288100/1.16</f>
        <v>248362.06896551725</v>
      </c>
    </row>
    <row r="108" spans="1:15">
      <c r="A108" t="s">
        <v>115</v>
      </c>
      <c r="B108" t="s">
        <v>17</v>
      </c>
      <c r="C108" s="3">
        <v>42570</v>
      </c>
      <c r="D108" s="4">
        <v>180810</v>
      </c>
      <c r="E108" s="4">
        <v>15800</v>
      </c>
      <c r="F108" s="4">
        <v>18236.18</v>
      </c>
      <c r="G108" s="4">
        <f t="shared" si="16"/>
        <v>6810.3448275862074</v>
      </c>
      <c r="H108" s="4">
        <f t="shared" si="11"/>
        <v>2043.7098275862072</v>
      </c>
      <c r="I108" s="4">
        <f t="shared" si="12"/>
        <v>6328.35</v>
      </c>
      <c r="J108" s="4">
        <f t="shared" si="13"/>
        <v>13138.694827586209</v>
      </c>
      <c r="K108" s="4">
        <f t="shared" si="17"/>
        <v>172045.47</v>
      </c>
      <c r="L108" s="4">
        <f t="shared" si="14"/>
        <v>6021.5914500000008</v>
      </c>
      <c r="M108" s="9">
        <f t="shared" si="15"/>
        <v>-1440.7148275861982</v>
      </c>
      <c r="N108" s="9">
        <v>174630.37</v>
      </c>
      <c r="O108" s="9">
        <f>200900/1.16</f>
        <v>173189.6551724138</v>
      </c>
    </row>
    <row r="109" spans="1:15">
      <c r="A109" t="s">
        <v>116</v>
      </c>
      <c r="B109" t="s">
        <v>22</v>
      </c>
      <c r="C109" s="3">
        <v>180716</v>
      </c>
      <c r="D109" s="4">
        <v>128900</v>
      </c>
      <c r="E109" s="4"/>
      <c r="F109" s="4">
        <v>20422.560000000001</v>
      </c>
      <c r="G109" s="4">
        <f t="shared" si="16"/>
        <v>0</v>
      </c>
      <c r="H109" s="4">
        <f t="shared" si="11"/>
        <v>2288.7351724137939</v>
      </c>
      <c r="I109" s="4">
        <f t="shared" si="12"/>
        <v>4511.5</v>
      </c>
      <c r="J109" s="4">
        <f t="shared" si="13"/>
        <v>4511.5</v>
      </c>
      <c r="K109" s="4">
        <f t="shared" si="17"/>
        <v>103965.94</v>
      </c>
      <c r="L109" s="4">
        <f t="shared" si="14"/>
        <v>3638.8079000000002</v>
      </c>
      <c r="M109" s="9">
        <f t="shared" si="15"/>
        <v>-931.30482758619473</v>
      </c>
      <c r="N109" s="9">
        <v>174120.95999999999</v>
      </c>
      <c r="O109" s="9">
        <f>200900/1.16</f>
        <v>173189.6551724138</v>
      </c>
    </row>
    <row r="110" spans="1:15">
      <c r="A110" t="s">
        <v>117</v>
      </c>
      <c r="B110" t="s">
        <v>17</v>
      </c>
      <c r="C110" s="3">
        <v>42571</v>
      </c>
      <c r="D110" s="4">
        <v>130585</v>
      </c>
      <c r="E110" s="4"/>
      <c r="F110" s="4">
        <v>6228.02</v>
      </c>
      <c r="G110" s="4">
        <f t="shared" si="16"/>
        <v>0</v>
      </c>
      <c r="H110" s="4">
        <f t="shared" si="11"/>
        <v>697.96775862068978</v>
      </c>
      <c r="I110" s="4">
        <f t="shared" si="12"/>
        <v>4570.4750000000004</v>
      </c>
      <c r="J110" s="4">
        <f t="shared" si="13"/>
        <v>4570.4750000000004</v>
      </c>
      <c r="K110" s="4">
        <f t="shared" si="17"/>
        <v>119786.50499999999</v>
      </c>
      <c r="L110" s="4">
        <f t="shared" si="14"/>
        <v>4192.5276750000003</v>
      </c>
      <c r="M110" s="9">
        <f t="shared" si="15"/>
        <v>-1440.7148275861982</v>
      </c>
      <c r="N110" s="9">
        <v>174630.37</v>
      </c>
      <c r="O110" s="9">
        <f>200900/1.16</f>
        <v>173189.6551724138</v>
      </c>
    </row>
    <row r="111" spans="1:15">
      <c r="A111" t="s">
        <v>118</v>
      </c>
      <c r="B111" t="s">
        <v>43</v>
      </c>
      <c r="C111" s="3">
        <v>42571</v>
      </c>
      <c r="D111" s="4">
        <v>266824.99</v>
      </c>
      <c r="E111" s="4"/>
      <c r="F111" s="4">
        <v>13152.45</v>
      </c>
      <c r="G111" s="4">
        <f t="shared" si="16"/>
        <v>0</v>
      </c>
      <c r="H111" s="4">
        <f t="shared" si="11"/>
        <v>1473.9814655172415</v>
      </c>
      <c r="I111" s="4">
        <f t="shared" si="12"/>
        <v>9338.8746499999997</v>
      </c>
      <c r="J111" s="4">
        <f t="shared" si="13"/>
        <v>9338.8746499999997</v>
      </c>
      <c r="K111" s="4">
        <f t="shared" si="17"/>
        <v>244333.66534999997</v>
      </c>
      <c r="L111" s="4">
        <f t="shared" si="14"/>
        <v>8551.6782872499989</v>
      </c>
      <c r="M111" s="9">
        <f t="shared" si="15"/>
        <v>29216.330344827613</v>
      </c>
      <c r="N111" s="9">
        <v>324662.98</v>
      </c>
      <c r="O111" s="9">
        <f>410500/1.16</f>
        <v>353879.31034482759</v>
      </c>
    </row>
    <row r="112" spans="1:15">
      <c r="A112" t="s">
        <v>119</v>
      </c>
      <c r="B112" t="s">
        <v>17</v>
      </c>
      <c r="C112" s="3">
        <v>42571</v>
      </c>
      <c r="D112" s="4">
        <v>180810</v>
      </c>
      <c r="E112" s="4">
        <v>15800</v>
      </c>
      <c r="F112" s="4">
        <v>23520.080000000002</v>
      </c>
      <c r="G112" s="4">
        <f t="shared" si="16"/>
        <v>6810.3448275862074</v>
      </c>
      <c r="H112" s="4">
        <f t="shared" si="11"/>
        <v>2635.8710344827591</v>
      </c>
      <c r="I112" s="4">
        <f t="shared" si="12"/>
        <v>6328.35</v>
      </c>
      <c r="J112" s="4">
        <f t="shared" si="13"/>
        <v>13138.694827586209</v>
      </c>
      <c r="K112" s="4">
        <f t="shared" si="17"/>
        <v>166761.56999999998</v>
      </c>
      <c r="L112" s="4">
        <f t="shared" si="14"/>
        <v>5836.6549500000001</v>
      </c>
      <c r="M112" s="9">
        <f t="shared" si="15"/>
        <v>-1440.7148275861982</v>
      </c>
      <c r="N112" s="9">
        <v>174630.37</v>
      </c>
      <c r="O112" s="9">
        <f>200900/1.16</f>
        <v>173189.6551724138</v>
      </c>
    </row>
    <row r="113" spans="1:15">
      <c r="A113" t="s">
        <v>120</v>
      </c>
      <c r="B113" t="s">
        <v>11</v>
      </c>
      <c r="C113" s="3">
        <v>42571</v>
      </c>
      <c r="D113" s="4">
        <v>133400</v>
      </c>
      <c r="E113" s="4">
        <v>8500</v>
      </c>
      <c r="F113" s="4">
        <v>19091.16</v>
      </c>
      <c r="G113" s="4">
        <f t="shared" si="16"/>
        <v>3663.7931034482763</v>
      </c>
      <c r="H113" s="4">
        <f t="shared" si="11"/>
        <v>2139.5265517241378</v>
      </c>
      <c r="I113" s="4">
        <f t="shared" si="12"/>
        <v>4669</v>
      </c>
      <c r="J113" s="4">
        <f t="shared" si="13"/>
        <v>8332.7931034482754</v>
      </c>
      <c r="K113" s="4">
        <f t="shared" si="17"/>
        <v>118139.84</v>
      </c>
      <c r="L113" s="4">
        <f t="shared" si="14"/>
        <v>4134.8944000000001</v>
      </c>
      <c r="M113" s="9">
        <f t="shared" si="15"/>
        <v>-2888.1979310344614</v>
      </c>
      <c r="N113" s="9">
        <v>141164.06</v>
      </c>
      <c r="O113" s="9">
        <f>160400/1.16</f>
        <v>138275.86206896554</v>
      </c>
    </row>
    <row r="114" spans="1:15">
      <c r="A114" t="s">
        <v>121</v>
      </c>
      <c r="B114" t="s">
        <v>22</v>
      </c>
      <c r="C114" s="3">
        <v>42557</v>
      </c>
      <c r="D114" s="4">
        <v>228300</v>
      </c>
      <c r="E114" s="4">
        <v>11900</v>
      </c>
      <c r="F114" s="4">
        <v>11148.18</v>
      </c>
      <c r="G114" s="4">
        <f t="shared" si="16"/>
        <v>5129.310344827587</v>
      </c>
      <c r="H114" s="4">
        <f t="shared" si="11"/>
        <v>1249.3650000000002</v>
      </c>
      <c r="I114" s="4">
        <f t="shared" si="12"/>
        <v>7990.5000000000009</v>
      </c>
      <c r="J114" s="4">
        <f t="shared" si="13"/>
        <v>13119.810344827587</v>
      </c>
      <c r="K114" s="4">
        <f t="shared" si="17"/>
        <v>221061.32</v>
      </c>
      <c r="L114" s="4">
        <f t="shared" si="14"/>
        <v>7737.146200000001</v>
      </c>
      <c r="M114" s="9">
        <f t="shared" si="15"/>
        <v>-2631.8710344827559</v>
      </c>
      <c r="N114" s="9">
        <v>250993.94</v>
      </c>
      <c r="O114" s="9">
        <f>288100/1.16</f>
        <v>248362.06896551725</v>
      </c>
    </row>
    <row r="115" spans="1:15">
      <c r="A115" t="s">
        <v>122</v>
      </c>
      <c r="B115" t="s">
        <v>11</v>
      </c>
      <c r="C115" s="3">
        <v>42572</v>
      </c>
      <c r="D115" s="4">
        <v>115300</v>
      </c>
      <c r="E115" s="4">
        <v>15300</v>
      </c>
      <c r="F115" s="4">
        <v>23481.279999999999</v>
      </c>
      <c r="G115" s="4">
        <f t="shared" si="16"/>
        <v>6594.8275862068967</v>
      </c>
      <c r="H115" s="4">
        <f t="shared" si="11"/>
        <v>2631.5227586206897</v>
      </c>
      <c r="I115" s="4">
        <f t="shared" si="12"/>
        <v>4035.5000000000005</v>
      </c>
      <c r="J115" s="4">
        <f t="shared" si="13"/>
        <v>10630.327586206897</v>
      </c>
      <c r="K115" s="4">
        <f t="shared" si="17"/>
        <v>103083.22</v>
      </c>
      <c r="L115" s="4">
        <f t="shared" si="14"/>
        <v>3607.9127000000003</v>
      </c>
      <c r="M115" s="9">
        <f t="shared" si="15"/>
        <v>1277.1558620689757</v>
      </c>
      <c r="N115" s="9">
        <v>119671.12</v>
      </c>
      <c r="O115" s="9">
        <f>140300/1.16</f>
        <v>120948.27586206897</v>
      </c>
    </row>
    <row r="116" spans="1:15">
      <c r="A116" t="s">
        <v>123</v>
      </c>
      <c r="B116" t="s">
        <v>11</v>
      </c>
      <c r="C116" s="3">
        <v>42571</v>
      </c>
      <c r="D116" s="4">
        <v>128765</v>
      </c>
      <c r="E116" s="4"/>
      <c r="F116" s="4">
        <v>7294.95</v>
      </c>
      <c r="G116" s="4">
        <f t="shared" si="16"/>
        <v>0</v>
      </c>
      <c r="H116" s="4">
        <f t="shared" si="11"/>
        <v>817.53750000000002</v>
      </c>
      <c r="I116" s="4">
        <f t="shared" si="12"/>
        <v>4506.7750000000005</v>
      </c>
      <c r="J116" s="4">
        <f t="shared" si="13"/>
        <v>4506.7750000000005</v>
      </c>
      <c r="K116" s="4">
        <f t="shared" si="17"/>
        <v>116963.27500000001</v>
      </c>
      <c r="L116" s="4">
        <f t="shared" si="14"/>
        <v>4093.7146250000005</v>
      </c>
      <c r="M116" s="9">
        <f t="shared" si="15"/>
        <v>16442.202068965533</v>
      </c>
      <c r="N116" s="9">
        <v>154333.66</v>
      </c>
      <c r="O116" s="9">
        <f>198100/1.16</f>
        <v>170775.86206896554</v>
      </c>
    </row>
    <row r="117" spans="1:15">
      <c r="A117" t="s">
        <v>124</v>
      </c>
      <c r="B117" t="s">
        <v>17</v>
      </c>
      <c r="C117" s="3">
        <v>42572</v>
      </c>
      <c r="D117" s="4">
        <v>159900</v>
      </c>
      <c r="E117" s="4">
        <v>14900</v>
      </c>
      <c r="F117" s="4">
        <v>23520.080000000002</v>
      </c>
      <c r="G117" s="4">
        <f t="shared" si="16"/>
        <v>6422.4137931034484</v>
      </c>
      <c r="H117" s="4">
        <f t="shared" si="11"/>
        <v>2635.8710344827591</v>
      </c>
      <c r="I117" s="4">
        <f t="shared" si="12"/>
        <v>5596.5000000000009</v>
      </c>
      <c r="J117" s="4">
        <f t="shared" si="13"/>
        <v>12018.913793103449</v>
      </c>
      <c r="K117" s="4">
        <f t="shared" si="17"/>
        <v>145683.41999999998</v>
      </c>
      <c r="L117" s="4">
        <f t="shared" si="14"/>
        <v>5098.9196999999995</v>
      </c>
      <c r="M117" s="9">
        <f t="shared" si="15"/>
        <v>-1440.7148275861982</v>
      </c>
      <c r="N117" s="9">
        <v>174630.37</v>
      </c>
      <c r="O117" s="9">
        <f>200900/1.16</f>
        <v>173189.6551724138</v>
      </c>
    </row>
    <row r="118" spans="1:15">
      <c r="A118" t="s">
        <v>125</v>
      </c>
      <c r="B118" t="s">
        <v>22</v>
      </c>
      <c r="C118" s="3">
        <v>42572</v>
      </c>
      <c r="D118" s="4">
        <v>154500</v>
      </c>
      <c r="E118" s="4">
        <v>8500</v>
      </c>
      <c r="F118" s="4">
        <v>22822.46</v>
      </c>
      <c r="G118" s="4">
        <f t="shared" si="16"/>
        <v>3663.7931034482763</v>
      </c>
      <c r="H118" s="4">
        <f t="shared" si="11"/>
        <v>2557.6894827586207</v>
      </c>
      <c r="I118" s="4">
        <f t="shared" si="12"/>
        <v>5407.5000000000009</v>
      </c>
      <c r="J118" s="4">
        <f t="shared" si="13"/>
        <v>9071.2931034482772</v>
      </c>
      <c r="K118" s="4">
        <f t="shared" si="17"/>
        <v>134770.04</v>
      </c>
      <c r="L118" s="4">
        <f t="shared" si="14"/>
        <v>4716.9514000000008</v>
      </c>
      <c r="M118" s="9">
        <f t="shared" si="15"/>
        <v>-5599.6382758620603</v>
      </c>
      <c r="N118" s="9">
        <v>224996.19</v>
      </c>
      <c r="O118" s="9">
        <f>254500/1.16</f>
        <v>219396.55172413794</v>
      </c>
    </row>
    <row r="119" spans="1:15">
      <c r="A119" t="s">
        <v>126</v>
      </c>
      <c r="B119" t="s">
        <v>11</v>
      </c>
      <c r="C119" s="3">
        <v>42572</v>
      </c>
      <c r="D119" s="4">
        <v>110300</v>
      </c>
      <c r="E119" s="4"/>
      <c r="F119" s="4">
        <v>23481.279999999999</v>
      </c>
      <c r="G119" s="4">
        <f t="shared" si="16"/>
        <v>0</v>
      </c>
      <c r="H119" s="4">
        <f t="shared" si="11"/>
        <v>2631.5227586206897</v>
      </c>
      <c r="I119" s="4">
        <f t="shared" si="12"/>
        <v>3860.5000000000005</v>
      </c>
      <c r="J119" s="4">
        <f t="shared" si="13"/>
        <v>3860.5000000000005</v>
      </c>
      <c r="K119" s="4">
        <f t="shared" si="17"/>
        <v>82958.22</v>
      </c>
      <c r="L119" s="4">
        <f t="shared" si="14"/>
        <v>2903.5377000000003</v>
      </c>
      <c r="M119" s="9">
        <f t="shared" si="15"/>
        <v>6563.9558620689641</v>
      </c>
      <c r="N119" s="9">
        <v>114384.32000000001</v>
      </c>
      <c r="O119" s="9">
        <f>140300/1.16</f>
        <v>120948.27586206897</v>
      </c>
    </row>
    <row r="120" spans="1:15">
      <c r="A120" t="s">
        <v>127</v>
      </c>
      <c r="B120" t="s">
        <v>17</v>
      </c>
      <c r="C120" s="3">
        <v>42573</v>
      </c>
      <c r="D120" s="4">
        <v>180810</v>
      </c>
      <c r="E120" s="4">
        <v>8500</v>
      </c>
      <c r="F120" s="4">
        <v>23520.080000000002</v>
      </c>
      <c r="G120" s="4">
        <f t="shared" si="16"/>
        <v>3663.7931034482763</v>
      </c>
      <c r="H120" s="4">
        <f t="shared" si="11"/>
        <v>2635.8710344827591</v>
      </c>
      <c r="I120" s="4">
        <f t="shared" si="12"/>
        <v>6328.35</v>
      </c>
      <c r="J120" s="4">
        <f t="shared" si="13"/>
        <v>9992.1431034482775</v>
      </c>
      <c r="K120" s="4">
        <f t="shared" si="17"/>
        <v>159461.56999999998</v>
      </c>
      <c r="L120" s="4">
        <f t="shared" si="14"/>
        <v>5581.1549500000001</v>
      </c>
      <c r="M120" s="9">
        <f t="shared" si="15"/>
        <v>-1440.7148275861982</v>
      </c>
      <c r="N120" s="9">
        <v>174630.37</v>
      </c>
      <c r="O120" s="9">
        <f>200900/1.16</f>
        <v>173189.6551724138</v>
      </c>
    </row>
    <row r="121" spans="1:15">
      <c r="A121" t="s">
        <v>128</v>
      </c>
      <c r="B121" t="s">
        <v>13</v>
      </c>
      <c r="C121" s="3">
        <v>42572</v>
      </c>
      <c r="D121" s="4">
        <v>133770</v>
      </c>
      <c r="E121" s="4"/>
      <c r="F121" s="4">
        <v>5595.8</v>
      </c>
      <c r="G121" s="4">
        <f t="shared" si="16"/>
        <v>0</v>
      </c>
      <c r="H121" s="4">
        <f t="shared" si="11"/>
        <v>627.11551724137939</v>
      </c>
      <c r="I121" s="4">
        <f t="shared" si="12"/>
        <v>4681.9500000000007</v>
      </c>
      <c r="J121" s="4">
        <f t="shared" si="13"/>
        <v>4681.9500000000007</v>
      </c>
      <c r="K121" s="4">
        <f t="shared" si="17"/>
        <v>123492.25</v>
      </c>
      <c r="L121" s="4">
        <f t="shared" si="14"/>
        <v>4322.2287500000002</v>
      </c>
      <c r="M121" s="9">
        <f t="shared" si="15"/>
        <v>-428.48689655170892</v>
      </c>
      <c r="N121" s="9">
        <v>177842.28</v>
      </c>
      <c r="O121" s="9">
        <f>205800/1.16</f>
        <v>177413.79310344829</v>
      </c>
    </row>
    <row r="122" spans="1:15">
      <c r="A122" t="s">
        <v>129</v>
      </c>
      <c r="B122" t="s">
        <v>11</v>
      </c>
      <c r="C122" s="3">
        <v>42572</v>
      </c>
      <c r="D122" s="4">
        <v>120300</v>
      </c>
      <c r="E122" s="4">
        <v>15900</v>
      </c>
      <c r="F122" s="4">
        <v>23481.279999999999</v>
      </c>
      <c r="G122" s="4">
        <f t="shared" si="16"/>
        <v>6853.4482758620697</v>
      </c>
      <c r="H122" s="4">
        <f t="shared" si="11"/>
        <v>2631.5227586206897</v>
      </c>
      <c r="I122" s="4">
        <f t="shared" si="12"/>
        <v>4210.5</v>
      </c>
      <c r="J122" s="4">
        <f t="shared" si="13"/>
        <v>11063.948275862069</v>
      </c>
      <c r="K122" s="4">
        <f t="shared" si="17"/>
        <v>108508.22</v>
      </c>
      <c r="L122" s="4">
        <f t="shared" si="14"/>
        <v>3797.7877000000003</v>
      </c>
      <c r="M122" s="9">
        <f t="shared" si="15"/>
        <v>5029.4758620689681</v>
      </c>
      <c r="N122" s="9">
        <v>115918.8</v>
      </c>
      <c r="O122" s="9">
        <f>140300/1.16</f>
        <v>120948.27586206897</v>
      </c>
    </row>
    <row r="123" spans="1:15">
      <c r="A123" s="5" t="s">
        <v>130</v>
      </c>
      <c r="B123" s="5" t="s">
        <v>22</v>
      </c>
      <c r="C123" s="7">
        <v>42573</v>
      </c>
      <c r="D123" s="8">
        <v>239599.99</v>
      </c>
      <c r="E123" s="8">
        <v>8500</v>
      </c>
      <c r="F123" s="8">
        <v>21026.9</v>
      </c>
      <c r="G123" s="4">
        <f t="shared" si="16"/>
        <v>3663.7931034482763</v>
      </c>
      <c r="H123" s="4">
        <f t="shared" si="11"/>
        <v>2356.4629310344831</v>
      </c>
      <c r="I123" s="4">
        <f t="shared" si="12"/>
        <v>8385.9996499999997</v>
      </c>
      <c r="J123" s="4">
        <f t="shared" si="13"/>
        <v>12049.792753448277</v>
      </c>
      <c r="K123" s="4">
        <f t="shared" si="17"/>
        <v>218687.09034999998</v>
      </c>
      <c r="L123" s="4">
        <f t="shared" si="14"/>
        <v>7654.0481622500001</v>
      </c>
      <c r="M123" s="9">
        <f t="shared" si="15"/>
        <v>3456.1389655172534</v>
      </c>
      <c r="N123" s="9">
        <v>244905.93</v>
      </c>
      <c r="O123" s="9">
        <f>288100/1.16</f>
        <v>248362.06896551725</v>
      </c>
    </row>
    <row r="124" spans="1:15">
      <c r="A124" s="5" t="s">
        <v>131</v>
      </c>
      <c r="B124" s="5" t="s">
        <v>13</v>
      </c>
      <c r="C124" s="7">
        <v>42573</v>
      </c>
      <c r="D124" s="8">
        <v>130400</v>
      </c>
      <c r="E124" s="8">
        <v>6000</v>
      </c>
      <c r="F124" s="8">
        <v>17528.16</v>
      </c>
      <c r="G124" s="4">
        <f t="shared" si="16"/>
        <v>2586.2068965517242</v>
      </c>
      <c r="H124" s="4">
        <f t="shared" si="11"/>
        <v>1964.3627586206899</v>
      </c>
      <c r="I124" s="4">
        <f t="shared" si="12"/>
        <v>4564</v>
      </c>
      <c r="J124" s="4">
        <f t="shared" si="13"/>
        <v>7150.2068965517246</v>
      </c>
      <c r="K124" s="4">
        <f t="shared" si="17"/>
        <v>114307.84</v>
      </c>
      <c r="L124" s="4">
        <f t="shared" si="14"/>
        <v>4000.7744000000002</v>
      </c>
      <c r="M124" s="9">
        <f t="shared" si="15"/>
        <v>-5638.1075862068828</v>
      </c>
      <c r="N124" s="9">
        <v>135293.28</v>
      </c>
      <c r="O124" s="9">
        <f>150400/1.16</f>
        <v>129655.17241379312</v>
      </c>
    </row>
    <row r="125" spans="1:15">
      <c r="A125" s="5" t="s">
        <v>132</v>
      </c>
      <c r="B125" s="5" t="s">
        <v>11</v>
      </c>
      <c r="C125" s="7">
        <v>42573</v>
      </c>
      <c r="D125" s="8">
        <v>144900</v>
      </c>
      <c r="E125" s="8">
        <v>10600</v>
      </c>
      <c r="F125" s="8">
        <v>25424.21</v>
      </c>
      <c r="G125" s="4">
        <f t="shared" si="16"/>
        <v>4568.9655172413795</v>
      </c>
      <c r="H125" s="4">
        <f t="shared" si="11"/>
        <v>2849.2649137931039</v>
      </c>
      <c r="I125" s="4">
        <f t="shared" si="12"/>
        <v>5071.5000000000009</v>
      </c>
      <c r="J125" s="4">
        <f t="shared" si="13"/>
        <v>9640.4655172413804</v>
      </c>
      <c r="K125" s="4">
        <f t="shared" si="17"/>
        <v>125004.29000000001</v>
      </c>
      <c r="L125" s="4">
        <f t="shared" si="14"/>
        <v>4375.1501500000004</v>
      </c>
      <c r="M125" s="9">
        <f t="shared" si="15"/>
        <v>3252.7520689655503</v>
      </c>
      <c r="N125" s="9">
        <v>135023.10999999999</v>
      </c>
      <c r="O125" s="9">
        <f>160400/1.16</f>
        <v>138275.86206896554</v>
      </c>
    </row>
    <row r="126" spans="1:15">
      <c r="A126" s="5" t="s">
        <v>133</v>
      </c>
      <c r="B126" s="5" t="s">
        <v>11</v>
      </c>
      <c r="C126" s="7">
        <v>42573</v>
      </c>
      <c r="D126" s="8">
        <v>108890.97</v>
      </c>
      <c r="E126" s="8">
        <v>8500</v>
      </c>
      <c r="F126" s="8">
        <v>19091.16</v>
      </c>
      <c r="G126" s="4">
        <f t="shared" si="16"/>
        <v>3663.7931034482763</v>
      </c>
      <c r="H126" s="4">
        <f t="shared" si="11"/>
        <v>2139.5265517241378</v>
      </c>
      <c r="I126" s="4">
        <f t="shared" si="12"/>
        <v>3811.1839500000006</v>
      </c>
      <c r="J126" s="4">
        <f t="shared" si="13"/>
        <v>7474.9770534482768</v>
      </c>
      <c r="K126" s="4">
        <f t="shared" si="17"/>
        <v>94488.626049999992</v>
      </c>
      <c r="L126" s="4">
        <f t="shared" si="14"/>
        <v>3307.10191175</v>
      </c>
      <c r="M126" s="9">
        <f t="shared" si="15"/>
        <v>1553.1520689655445</v>
      </c>
      <c r="N126" s="9">
        <v>136722.71</v>
      </c>
      <c r="O126" s="9">
        <f>160400/1.16</f>
        <v>138275.86206896554</v>
      </c>
    </row>
    <row r="127" spans="1:15">
      <c r="A127" s="5" t="s">
        <v>134</v>
      </c>
      <c r="B127" s="5" t="s">
        <v>11</v>
      </c>
      <c r="C127" s="7">
        <v>42576</v>
      </c>
      <c r="D127" s="8">
        <v>120400</v>
      </c>
      <c r="E127" s="8"/>
      <c r="F127" s="8">
        <v>24978.880000000001</v>
      </c>
      <c r="G127" s="4">
        <f t="shared" si="16"/>
        <v>0</v>
      </c>
      <c r="H127" s="4">
        <f t="shared" si="11"/>
        <v>2799.3572413793104</v>
      </c>
      <c r="I127" s="4">
        <f t="shared" si="12"/>
        <v>4214</v>
      </c>
      <c r="J127" s="4">
        <f t="shared" si="13"/>
        <v>4214</v>
      </c>
      <c r="K127" s="4">
        <f t="shared" si="17"/>
        <v>91207.12</v>
      </c>
      <c r="L127" s="4">
        <f t="shared" si="14"/>
        <v>3192.2492000000002</v>
      </c>
      <c r="M127" s="9">
        <f t="shared" si="15"/>
        <v>3252.7520689655503</v>
      </c>
      <c r="N127" s="9">
        <v>135023.10999999999</v>
      </c>
      <c r="O127" s="9">
        <f>160400/1.16</f>
        <v>138275.86206896554</v>
      </c>
    </row>
    <row r="128" spans="1:15">
      <c r="A128" s="5" t="s">
        <v>135</v>
      </c>
      <c r="B128" s="5" t="s">
        <v>43</v>
      </c>
      <c r="C128" s="7">
        <v>42576</v>
      </c>
      <c r="D128" s="8">
        <v>289600</v>
      </c>
      <c r="E128" s="8">
        <v>12500</v>
      </c>
      <c r="F128" s="8">
        <v>52848.01</v>
      </c>
      <c r="G128" s="4">
        <f t="shared" si="16"/>
        <v>5387.9310344827591</v>
      </c>
      <c r="H128" s="4">
        <f t="shared" si="11"/>
        <v>5922.6218103448282</v>
      </c>
      <c r="I128" s="4">
        <f t="shared" si="12"/>
        <v>10136.000000000002</v>
      </c>
      <c r="J128" s="4">
        <f t="shared" si="13"/>
        <v>15523.931034482761</v>
      </c>
      <c r="K128" s="4">
        <f t="shared" si="17"/>
        <v>239115.99</v>
      </c>
      <c r="L128" s="4">
        <f t="shared" si="14"/>
        <v>8369.0596500000011</v>
      </c>
      <c r="M128" s="9">
        <f t="shared" si="15"/>
        <v>-696.06448275863659</v>
      </c>
      <c r="N128" s="9">
        <v>335265.03000000003</v>
      </c>
      <c r="O128" s="9">
        <f>388100/1.16</f>
        <v>334568.96551724139</v>
      </c>
    </row>
    <row r="129" spans="1:15">
      <c r="A129" s="5" t="s">
        <v>136</v>
      </c>
      <c r="B129" s="5" t="s">
        <v>52</v>
      </c>
      <c r="C129" s="7">
        <v>42576</v>
      </c>
      <c r="D129" s="8">
        <v>182454.98</v>
      </c>
      <c r="E129" s="8">
        <v>10000</v>
      </c>
      <c r="F129" s="8">
        <v>40814.519999999997</v>
      </c>
      <c r="G129" s="4">
        <f t="shared" si="16"/>
        <v>4310.3448275862074</v>
      </c>
      <c r="H129" s="4">
        <f t="shared" si="11"/>
        <v>4574.0410344827587</v>
      </c>
      <c r="I129" s="4">
        <f t="shared" si="12"/>
        <v>6385.9243000000006</v>
      </c>
      <c r="J129" s="4">
        <f t="shared" si="13"/>
        <v>10696.269127586209</v>
      </c>
      <c r="K129" s="4">
        <f t="shared" si="17"/>
        <v>145254.53570000001</v>
      </c>
      <c r="L129" s="4">
        <f t="shared" si="14"/>
        <v>5083.9087495000003</v>
      </c>
      <c r="M129" s="9">
        <f t="shared" si="15"/>
        <v>9057.4386206896743</v>
      </c>
      <c r="N129" s="9">
        <v>232925.32</v>
      </c>
      <c r="O129" s="9">
        <f>280700/1.16</f>
        <v>241982.75862068968</v>
      </c>
    </row>
    <row r="130" spans="1:15">
      <c r="A130" s="5" t="s">
        <v>137</v>
      </c>
      <c r="B130" s="5" t="s">
        <v>138</v>
      </c>
      <c r="C130" s="7">
        <v>42576</v>
      </c>
      <c r="D130" s="8">
        <v>79699.27</v>
      </c>
      <c r="E130" s="8"/>
      <c r="F130" s="8">
        <v>25321.11</v>
      </c>
      <c r="G130" s="4">
        <f t="shared" si="16"/>
        <v>0</v>
      </c>
      <c r="H130" s="4">
        <f t="shared" si="11"/>
        <v>2837.7106034482763</v>
      </c>
      <c r="I130" s="4">
        <f t="shared" si="12"/>
        <v>2789.4744500000006</v>
      </c>
      <c r="J130" s="4">
        <f t="shared" si="13"/>
        <v>2789.4744500000006</v>
      </c>
      <c r="K130" s="4">
        <f t="shared" si="17"/>
        <v>51588.685550000002</v>
      </c>
      <c r="L130" s="4">
        <f t="shared" si="14"/>
        <v>1805.6039942500001</v>
      </c>
      <c r="M130" s="9">
        <f t="shared" si="15"/>
        <v>-4357.3448275862029</v>
      </c>
      <c r="N130" s="9">
        <v>202547</v>
      </c>
      <c r="O130" s="9">
        <f>229900/1.16</f>
        <v>198189.6551724138</v>
      </c>
    </row>
    <row r="131" spans="1:15">
      <c r="A131" s="5" t="s">
        <v>139</v>
      </c>
      <c r="B131" s="5" t="s">
        <v>11</v>
      </c>
      <c r="C131" s="7">
        <v>42576</v>
      </c>
      <c r="D131" s="8">
        <v>73323</v>
      </c>
      <c r="E131" s="8"/>
      <c r="F131" s="8">
        <v>8676.3799999999992</v>
      </c>
      <c r="G131" s="4">
        <f t="shared" si="16"/>
        <v>0</v>
      </c>
      <c r="H131" s="4">
        <f t="shared" si="11"/>
        <v>972.35293103448282</v>
      </c>
      <c r="I131" s="4">
        <f t="shared" si="12"/>
        <v>2566.3050000000003</v>
      </c>
      <c r="J131" s="4">
        <f t="shared" si="13"/>
        <v>2566.3050000000003</v>
      </c>
      <c r="K131" s="4">
        <f t="shared" si="17"/>
        <v>62080.315000000002</v>
      </c>
      <c r="L131" s="4">
        <f t="shared" si="14"/>
        <v>2172.8110250000004</v>
      </c>
      <c r="M131" s="9">
        <f t="shared" si="15"/>
        <v>157.82137931034958</v>
      </c>
      <c r="N131" s="9">
        <v>107859.42</v>
      </c>
      <c r="O131" s="9">
        <f>125300/1.16</f>
        <v>108017.24137931035</v>
      </c>
    </row>
    <row r="132" spans="1:15">
      <c r="A132" s="5" t="s">
        <v>140</v>
      </c>
      <c r="B132" s="5" t="s">
        <v>17</v>
      </c>
      <c r="C132" s="7">
        <v>42576</v>
      </c>
      <c r="D132" s="8">
        <v>115900</v>
      </c>
      <c r="E132" s="8">
        <v>10700</v>
      </c>
      <c r="F132" s="8">
        <v>23520.080000000002</v>
      </c>
      <c r="G132" s="4">
        <f t="shared" si="16"/>
        <v>4612.0689655172418</v>
      </c>
      <c r="H132" s="4">
        <f t="shared" si="11"/>
        <v>2635.8710344827591</v>
      </c>
      <c r="I132" s="4">
        <f t="shared" si="12"/>
        <v>4056.5000000000005</v>
      </c>
      <c r="J132" s="4">
        <f t="shared" si="13"/>
        <v>8668.5689655172428</v>
      </c>
      <c r="K132" s="4">
        <f t="shared" si="17"/>
        <v>99023.42</v>
      </c>
      <c r="L132" s="4">
        <f t="shared" si="14"/>
        <v>3465.8197000000005</v>
      </c>
      <c r="M132" s="9">
        <f t="shared" si="15"/>
        <v>-931.30482758619473</v>
      </c>
      <c r="N132" s="9">
        <v>174120.95999999999</v>
      </c>
      <c r="O132" s="9">
        <f>200900/1.16</f>
        <v>173189.6551724138</v>
      </c>
    </row>
    <row r="133" spans="1:15">
      <c r="A133" s="5" t="s">
        <v>141</v>
      </c>
      <c r="B133" s="5" t="s">
        <v>13</v>
      </c>
      <c r="C133" s="7">
        <v>42576</v>
      </c>
      <c r="D133" s="8">
        <v>65400</v>
      </c>
      <c r="E133" s="8"/>
      <c r="F133" s="8">
        <v>6090.68</v>
      </c>
      <c r="G133" s="4">
        <f t="shared" si="16"/>
        <v>0</v>
      </c>
      <c r="H133" s="4">
        <f t="shared" si="11"/>
        <v>682.57620689655187</v>
      </c>
      <c r="I133" s="4">
        <f t="shared" si="12"/>
        <v>2289</v>
      </c>
      <c r="J133" s="4">
        <f t="shared" si="13"/>
        <v>2289</v>
      </c>
      <c r="K133" s="4">
        <f t="shared" si="17"/>
        <v>57020.32</v>
      </c>
      <c r="L133" s="4">
        <f t="shared" si="14"/>
        <v>1995.7112000000002</v>
      </c>
      <c r="M133" s="9">
        <f t="shared" si="15"/>
        <v>-2799.1775862068898</v>
      </c>
      <c r="N133" s="9">
        <v>132454.35</v>
      </c>
      <c r="O133" s="9">
        <f>150400/1.16</f>
        <v>129655.17241379312</v>
      </c>
    </row>
    <row r="134" spans="1:15">
      <c r="A134" s="5" t="s">
        <v>142</v>
      </c>
      <c r="B134" s="5" t="s">
        <v>11</v>
      </c>
      <c r="C134" s="7">
        <v>42576</v>
      </c>
      <c r="D134" s="8">
        <v>124900</v>
      </c>
      <c r="E134" s="8">
        <v>12500</v>
      </c>
      <c r="F134" s="8">
        <v>24452.04</v>
      </c>
      <c r="G134" s="4">
        <f t="shared" si="16"/>
        <v>5387.9310344827591</v>
      </c>
      <c r="H134" s="4">
        <f t="shared" si="11"/>
        <v>2740.3148275862072</v>
      </c>
      <c r="I134" s="4">
        <f t="shared" si="12"/>
        <v>4371.5</v>
      </c>
      <c r="J134" s="4">
        <f t="shared" si="13"/>
        <v>9759.4310344827591</v>
      </c>
      <c r="K134" s="4">
        <f t="shared" si="17"/>
        <v>108576.45999999999</v>
      </c>
      <c r="L134" s="4">
        <f t="shared" si="14"/>
        <v>3800.1761000000001</v>
      </c>
      <c r="M134" s="9">
        <f t="shared" si="15"/>
        <v>-2888.1979310344614</v>
      </c>
      <c r="N134" s="9">
        <v>141164.06</v>
      </c>
      <c r="O134" s="9">
        <f>160400/1.16</f>
        <v>138275.86206896554</v>
      </c>
    </row>
    <row r="135" spans="1:15">
      <c r="A135" s="5" t="s">
        <v>143</v>
      </c>
      <c r="B135" s="5" t="s">
        <v>17</v>
      </c>
      <c r="C135" s="7">
        <v>42572</v>
      </c>
      <c r="D135" s="8">
        <v>133900</v>
      </c>
      <c r="E135" s="8">
        <v>8500</v>
      </c>
      <c r="F135" s="8">
        <v>21172.48</v>
      </c>
      <c r="G135" s="4">
        <f t="shared" si="16"/>
        <v>3663.7931034482763</v>
      </c>
      <c r="H135" s="4">
        <f t="shared" si="11"/>
        <v>2372.7779310344827</v>
      </c>
      <c r="I135" s="4">
        <f t="shared" si="12"/>
        <v>4686.5</v>
      </c>
      <c r="J135" s="4">
        <f t="shared" si="13"/>
        <v>8350.2931034482754</v>
      </c>
      <c r="K135" s="4">
        <f t="shared" si="17"/>
        <v>116541.02</v>
      </c>
      <c r="L135" s="4">
        <f t="shared" si="14"/>
        <v>4078.9357000000005</v>
      </c>
      <c r="M135" s="9">
        <f t="shared" si="15"/>
        <v>-4406.5441379310214</v>
      </c>
      <c r="N135" s="9">
        <v>160354.82</v>
      </c>
      <c r="O135" s="9">
        <f>180900/1.16</f>
        <v>155948.27586206899</v>
      </c>
    </row>
    <row r="136" spans="1:15">
      <c r="A136" s="5" t="s">
        <v>144</v>
      </c>
      <c r="B136" s="5" t="s">
        <v>11</v>
      </c>
      <c r="C136" s="7">
        <v>42577</v>
      </c>
      <c r="D136" s="8">
        <v>110120</v>
      </c>
      <c r="E136" s="8">
        <v>7000</v>
      </c>
      <c r="F136" s="8">
        <v>22363.68</v>
      </c>
      <c r="G136" s="4">
        <f t="shared" si="16"/>
        <v>3017.2413793103451</v>
      </c>
      <c r="H136" s="4">
        <f t="shared" si="11"/>
        <v>2506.2744827586212</v>
      </c>
      <c r="I136" s="4">
        <f t="shared" si="12"/>
        <v>3854.2000000000003</v>
      </c>
      <c r="J136" s="4">
        <f t="shared" si="13"/>
        <v>6871.4413793103449</v>
      </c>
      <c r="K136" s="4">
        <f t="shared" si="17"/>
        <v>90902.12000000001</v>
      </c>
      <c r="L136" s="4">
        <f t="shared" si="14"/>
        <v>3181.5742000000005</v>
      </c>
      <c r="M136" s="9">
        <f t="shared" si="15"/>
        <v>2097.3713793103525</v>
      </c>
      <c r="N136" s="9">
        <v>105919.87</v>
      </c>
      <c r="O136" s="9">
        <f>125300/1.16</f>
        <v>108017.24137931035</v>
      </c>
    </row>
    <row r="137" spans="1:15">
      <c r="A137" s="5" t="s">
        <v>145</v>
      </c>
      <c r="B137" t="s">
        <v>22</v>
      </c>
      <c r="C137" s="3">
        <v>42578</v>
      </c>
      <c r="D137" s="4">
        <v>214630</v>
      </c>
      <c r="E137" s="4"/>
      <c r="F137" s="4">
        <v>6674.04</v>
      </c>
      <c r="G137" s="4">
        <f t="shared" ref="G137:G156" si="18">(E137/1.16)*0.5</f>
        <v>0</v>
      </c>
      <c r="H137" s="4">
        <f t="shared" si="11"/>
        <v>747.95275862068979</v>
      </c>
      <c r="I137" s="4">
        <f t="shared" si="12"/>
        <v>7512.0500000000011</v>
      </c>
      <c r="J137" s="4">
        <f t="shared" si="13"/>
        <v>7512.0500000000011</v>
      </c>
      <c r="K137" s="4">
        <f t="shared" ref="K137:K156" si="19">SUM(+D137+E137-F137-I137)</f>
        <v>200443.91</v>
      </c>
      <c r="L137" s="4">
        <f t="shared" si="14"/>
        <v>7015.5368500000004</v>
      </c>
      <c r="M137" s="9">
        <f t="shared" si="15"/>
        <v>6255.1424137930735</v>
      </c>
      <c r="N137" s="9">
        <v>278400.03000000003</v>
      </c>
      <c r="O137" s="9">
        <f>330200/1.16</f>
        <v>284655.1724137931</v>
      </c>
    </row>
    <row r="138" spans="1:15">
      <c r="A138" t="s">
        <v>146</v>
      </c>
      <c r="B138" t="s">
        <v>17</v>
      </c>
      <c r="C138" s="3">
        <v>42578</v>
      </c>
      <c r="D138" s="4">
        <v>139143.72</v>
      </c>
      <c r="E138" s="4"/>
      <c r="F138" s="4">
        <v>6149.42</v>
      </c>
      <c r="G138" s="4">
        <f t="shared" si="18"/>
        <v>0</v>
      </c>
      <c r="H138" s="4">
        <f t="shared" ref="H138:H156" si="20">(F138/1.16)*0.13</f>
        <v>689.15913793103459</v>
      </c>
      <c r="I138" s="4">
        <f t="shared" ref="I138:I156" si="21">D138*3.5%</f>
        <v>4870.0302000000001</v>
      </c>
      <c r="J138" s="4">
        <f t="shared" ref="J138:J156" si="22">+G138+I138</f>
        <v>4870.0302000000001</v>
      </c>
      <c r="K138" s="4">
        <f t="shared" si="19"/>
        <v>128124.26979999999</v>
      </c>
      <c r="L138" s="4">
        <f t="shared" ref="L138:L163" si="23">K138*$L$8</f>
        <v>4484.3494430000001</v>
      </c>
      <c r="M138" s="9">
        <f t="shared" ref="M138:M156" si="24">O138-N138</f>
        <v>-57512.497586206897</v>
      </c>
      <c r="N138" s="9">
        <v>187167.67</v>
      </c>
      <c r="O138" s="9">
        <f>150400/1.16</f>
        <v>129655.17241379312</v>
      </c>
    </row>
    <row r="139" spans="1:15">
      <c r="A139" t="s">
        <v>147</v>
      </c>
      <c r="B139" t="s">
        <v>13</v>
      </c>
      <c r="C139" s="3">
        <v>42578</v>
      </c>
      <c r="D139" s="4">
        <v>135360</v>
      </c>
      <c r="E139" s="4"/>
      <c r="F139" s="4">
        <v>17528.16</v>
      </c>
      <c r="G139" s="4">
        <f t="shared" si="18"/>
        <v>0</v>
      </c>
      <c r="H139" s="4">
        <f t="shared" si="20"/>
        <v>1964.3627586206899</v>
      </c>
      <c r="I139" s="4">
        <f t="shared" si="21"/>
        <v>4737.6000000000004</v>
      </c>
      <c r="J139" s="4">
        <f t="shared" si="22"/>
        <v>4737.6000000000004</v>
      </c>
      <c r="K139" s="4">
        <f t="shared" si="19"/>
        <v>113094.23999999999</v>
      </c>
      <c r="L139" s="4">
        <f t="shared" si="23"/>
        <v>3958.2984000000001</v>
      </c>
      <c r="M139" s="9">
        <f t="shared" si="24"/>
        <v>-2799.1775862068898</v>
      </c>
      <c r="N139" s="9">
        <v>132454.35</v>
      </c>
      <c r="O139" s="9">
        <f>150400/1.16</f>
        <v>129655.17241379312</v>
      </c>
    </row>
    <row r="140" spans="1:15">
      <c r="A140" t="s">
        <v>148</v>
      </c>
      <c r="B140" t="s">
        <v>13</v>
      </c>
      <c r="C140" s="3">
        <v>42578</v>
      </c>
      <c r="D140" s="4">
        <v>97760</v>
      </c>
      <c r="E140" s="4"/>
      <c r="F140" s="4">
        <v>6863.06</v>
      </c>
      <c r="G140" s="4">
        <f t="shared" si="18"/>
        <v>0</v>
      </c>
      <c r="H140" s="4">
        <f t="shared" si="20"/>
        <v>769.13603448275876</v>
      </c>
      <c r="I140" s="4">
        <f t="shared" si="21"/>
        <v>3421.6000000000004</v>
      </c>
      <c r="J140" s="4">
        <f t="shared" si="22"/>
        <v>3421.6000000000004</v>
      </c>
      <c r="K140" s="4">
        <f t="shared" si="19"/>
        <v>87475.34</v>
      </c>
      <c r="L140" s="4">
        <f t="shared" si="23"/>
        <v>3061.6369</v>
      </c>
      <c r="M140" s="9">
        <f t="shared" si="24"/>
        <v>1024.5924137931142</v>
      </c>
      <c r="N140" s="9">
        <v>128630.58</v>
      </c>
      <c r="O140" s="9">
        <f>150400/1.16</f>
        <v>129655.17241379312</v>
      </c>
    </row>
    <row r="141" spans="1:15">
      <c r="A141" t="s">
        <v>149</v>
      </c>
      <c r="B141" t="s">
        <v>13</v>
      </c>
      <c r="C141" s="3">
        <v>42579</v>
      </c>
      <c r="D141" s="4">
        <v>111161.07</v>
      </c>
      <c r="E141" s="4"/>
      <c r="F141" s="4">
        <v>19485.3</v>
      </c>
      <c r="G141" s="4">
        <f t="shared" si="18"/>
        <v>0</v>
      </c>
      <c r="H141" s="4">
        <f t="shared" si="20"/>
        <v>2183.6974137931038</v>
      </c>
      <c r="I141" s="4">
        <f t="shared" si="21"/>
        <v>3890.6374500000006</v>
      </c>
      <c r="J141" s="4">
        <f t="shared" si="22"/>
        <v>3890.6374500000006</v>
      </c>
      <c r="K141" s="4">
        <f t="shared" si="19"/>
        <v>87785.132550000009</v>
      </c>
      <c r="L141" s="4">
        <f t="shared" si="23"/>
        <v>3072.4796392500007</v>
      </c>
      <c r="M141" s="9">
        <f t="shared" si="24"/>
        <v>-20375.172413793101</v>
      </c>
      <c r="N141" s="9">
        <v>147720</v>
      </c>
      <c r="O141" s="9">
        <f>147720/1.16</f>
        <v>127344.8275862069</v>
      </c>
    </row>
    <row r="142" spans="1:15">
      <c r="A142" t="s">
        <v>150</v>
      </c>
      <c r="B142" t="s">
        <v>13</v>
      </c>
      <c r="C142" s="3">
        <v>42578</v>
      </c>
      <c r="D142" s="4">
        <v>174150</v>
      </c>
      <c r="E142" s="4">
        <v>8500</v>
      </c>
      <c r="F142" s="4">
        <v>20222.32</v>
      </c>
      <c r="G142" s="4">
        <f t="shared" si="18"/>
        <v>3663.7931034482763</v>
      </c>
      <c r="H142" s="4">
        <f t="shared" si="20"/>
        <v>2266.2944827586211</v>
      </c>
      <c r="I142" s="4">
        <f t="shared" si="21"/>
        <v>6095.2500000000009</v>
      </c>
      <c r="J142" s="4">
        <f t="shared" si="22"/>
        <v>9759.0431034482772</v>
      </c>
      <c r="K142" s="4">
        <f t="shared" si="19"/>
        <v>156332.43</v>
      </c>
      <c r="L142" s="4">
        <f t="shared" si="23"/>
        <v>5471.6350499999999</v>
      </c>
      <c r="M142" s="9">
        <f t="shared" si="24"/>
        <v>295.64482758622034</v>
      </c>
      <c r="N142" s="9">
        <v>166514.70000000001</v>
      </c>
      <c r="O142" s="9">
        <f>193500/1.16</f>
        <v>166810.34482758623</v>
      </c>
    </row>
    <row r="143" spans="1:15">
      <c r="A143" t="s">
        <v>151</v>
      </c>
      <c r="B143" t="s">
        <v>11</v>
      </c>
      <c r="C143" s="3">
        <v>42578</v>
      </c>
      <c r="D143" s="4">
        <v>178290</v>
      </c>
      <c r="E143" s="4">
        <v>7500</v>
      </c>
      <c r="F143" s="4">
        <v>27787.8</v>
      </c>
      <c r="G143" s="4">
        <f t="shared" si="18"/>
        <v>3232.7586206896553</v>
      </c>
      <c r="H143" s="4">
        <f t="shared" si="20"/>
        <v>3114.15</v>
      </c>
      <c r="I143" s="4">
        <f t="shared" si="21"/>
        <v>6240.1500000000005</v>
      </c>
      <c r="J143" s="4">
        <f t="shared" si="22"/>
        <v>9472.9086206896554</v>
      </c>
      <c r="K143" s="4">
        <f t="shared" si="19"/>
        <v>151762.05000000002</v>
      </c>
      <c r="L143" s="4">
        <f t="shared" si="23"/>
        <v>5311.6717500000013</v>
      </c>
      <c r="M143" s="9">
        <f t="shared" si="24"/>
        <v>13101.682068965543</v>
      </c>
      <c r="N143" s="9">
        <v>157674.18</v>
      </c>
      <c r="O143" s="9">
        <f>198100/1.16</f>
        <v>170775.86206896554</v>
      </c>
    </row>
    <row r="144" spans="1:15">
      <c r="A144" t="s">
        <v>152</v>
      </c>
      <c r="B144" t="s">
        <v>11</v>
      </c>
      <c r="C144" s="3">
        <v>42579</v>
      </c>
      <c r="D144" s="4">
        <v>112770</v>
      </c>
      <c r="E144" s="4">
        <v>8500</v>
      </c>
      <c r="F144" s="4">
        <v>22363.68</v>
      </c>
      <c r="G144" s="4">
        <f t="shared" si="18"/>
        <v>3663.7931034482763</v>
      </c>
      <c r="H144" s="4">
        <f t="shared" si="20"/>
        <v>2506.2744827586212</v>
      </c>
      <c r="I144" s="4">
        <f t="shared" si="21"/>
        <v>3946.9500000000003</v>
      </c>
      <c r="J144" s="4">
        <f t="shared" si="22"/>
        <v>7610.7431034482761</v>
      </c>
      <c r="K144" s="4">
        <f t="shared" si="19"/>
        <v>94959.37000000001</v>
      </c>
      <c r="L144" s="4">
        <f t="shared" si="23"/>
        <v>3323.5779500000008</v>
      </c>
      <c r="M144" s="9">
        <f t="shared" si="24"/>
        <v>-158.45862068964925</v>
      </c>
      <c r="N144" s="9">
        <v>108175.7</v>
      </c>
      <c r="O144" s="9">
        <f>125300/1.16</f>
        <v>108017.24137931035</v>
      </c>
    </row>
    <row r="145" spans="1:15">
      <c r="A145" t="s">
        <v>153</v>
      </c>
      <c r="B145" t="s">
        <v>13</v>
      </c>
      <c r="C145" s="3">
        <v>42579</v>
      </c>
      <c r="D145" s="4">
        <v>94900</v>
      </c>
      <c r="E145" s="4">
        <v>7500</v>
      </c>
      <c r="F145" s="4">
        <v>17528.16</v>
      </c>
      <c r="G145" s="4">
        <f t="shared" si="18"/>
        <v>3232.7586206896553</v>
      </c>
      <c r="H145" s="4">
        <f t="shared" si="20"/>
        <v>1964.3627586206899</v>
      </c>
      <c r="I145" s="4">
        <f t="shared" si="21"/>
        <v>3321.5000000000005</v>
      </c>
      <c r="J145" s="4">
        <f t="shared" si="22"/>
        <v>6554.2586206896558</v>
      </c>
      <c r="K145" s="4">
        <f t="shared" si="19"/>
        <v>81550.34</v>
      </c>
      <c r="L145" s="4">
        <f t="shared" si="23"/>
        <v>2854.2619</v>
      </c>
      <c r="M145" s="9">
        <f t="shared" si="24"/>
        <v>-5246.5375862068759</v>
      </c>
      <c r="N145" s="9">
        <v>134901.71</v>
      </c>
      <c r="O145" s="9">
        <f>150400/1.16</f>
        <v>129655.17241379312</v>
      </c>
    </row>
    <row r="146" spans="1:15">
      <c r="A146" t="s">
        <v>154</v>
      </c>
      <c r="B146" t="s">
        <v>13</v>
      </c>
      <c r="C146" s="3">
        <v>42578</v>
      </c>
      <c r="D146" s="4">
        <v>90000</v>
      </c>
      <c r="E146" s="4"/>
      <c r="F146" s="4">
        <v>25648.76</v>
      </c>
      <c r="G146" s="4">
        <f t="shared" si="18"/>
        <v>0</v>
      </c>
      <c r="H146" s="4">
        <f t="shared" si="20"/>
        <v>2874.4300000000003</v>
      </c>
      <c r="I146" s="4">
        <f t="shared" si="21"/>
        <v>3150.0000000000005</v>
      </c>
      <c r="J146" s="4">
        <f t="shared" si="22"/>
        <v>3150.0000000000005</v>
      </c>
      <c r="K146" s="4">
        <f t="shared" si="19"/>
        <v>61201.240000000005</v>
      </c>
      <c r="L146" s="4">
        <f t="shared" si="23"/>
        <v>2142.0434000000005</v>
      </c>
      <c r="M146" s="9">
        <f t="shared" si="24"/>
        <v>-20689.655172413783</v>
      </c>
      <c r="N146" s="9">
        <v>150000</v>
      </c>
      <c r="O146" s="9">
        <f>150000/1.16</f>
        <v>129310.34482758622</v>
      </c>
    </row>
    <row r="147" spans="1:15">
      <c r="A147" t="s">
        <v>155</v>
      </c>
      <c r="B147" t="s">
        <v>11</v>
      </c>
      <c r="C147" s="3">
        <v>42579</v>
      </c>
      <c r="D147" s="4">
        <v>126270</v>
      </c>
      <c r="E147" s="4">
        <v>10600</v>
      </c>
      <c r="F147" s="4">
        <v>23481.279999999999</v>
      </c>
      <c r="G147" s="4">
        <f t="shared" si="18"/>
        <v>4568.9655172413795</v>
      </c>
      <c r="H147" s="4">
        <f t="shared" si="20"/>
        <v>2631.5227586206897</v>
      </c>
      <c r="I147" s="4">
        <f t="shared" si="21"/>
        <v>4419.4500000000007</v>
      </c>
      <c r="J147" s="4">
        <f t="shared" si="22"/>
        <v>8988.4155172413812</v>
      </c>
      <c r="K147" s="4">
        <f t="shared" si="19"/>
        <v>108969.27</v>
      </c>
      <c r="L147" s="4">
        <f t="shared" si="23"/>
        <v>3813.9244500000004</v>
      </c>
      <c r="M147" s="9">
        <f t="shared" si="24"/>
        <v>1794.7158620689734</v>
      </c>
      <c r="N147" s="9">
        <v>119153.56</v>
      </c>
      <c r="O147" s="9">
        <f>140300/1.16</f>
        <v>120948.27586206897</v>
      </c>
    </row>
    <row r="148" spans="1:15">
      <c r="A148" s="5" t="s">
        <v>156</v>
      </c>
      <c r="B148" t="s">
        <v>17</v>
      </c>
      <c r="C148" s="3">
        <v>42578</v>
      </c>
      <c r="D148" s="4">
        <v>182310</v>
      </c>
      <c r="E148" s="4">
        <v>8500</v>
      </c>
      <c r="F148" s="4">
        <v>22311.1</v>
      </c>
      <c r="G148" s="4">
        <f t="shared" si="18"/>
        <v>3663.7931034482763</v>
      </c>
      <c r="H148" s="4">
        <f t="shared" si="20"/>
        <v>2500.3818965517244</v>
      </c>
      <c r="I148" s="4">
        <f t="shared" si="21"/>
        <v>6380.85</v>
      </c>
      <c r="J148" s="4">
        <f t="shared" si="22"/>
        <v>10044.643103448278</v>
      </c>
      <c r="K148" s="4">
        <f t="shared" si="19"/>
        <v>162118.04999999999</v>
      </c>
      <c r="L148" s="4">
        <f t="shared" si="23"/>
        <v>5674.1317500000005</v>
      </c>
      <c r="M148" s="9">
        <f t="shared" si="24"/>
        <v>-931.30482758619473</v>
      </c>
      <c r="N148" s="9">
        <v>174120.95999999999</v>
      </c>
      <c r="O148" s="9">
        <f>200900/1.16</f>
        <v>173189.6551724138</v>
      </c>
    </row>
    <row r="149" spans="1:15">
      <c r="A149" t="s">
        <v>157</v>
      </c>
      <c r="B149" t="s">
        <v>22</v>
      </c>
      <c r="C149" s="3">
        <v>42579</v>
      </c>
      <c r="D149" s="4">
        <v>234980</v>
      </c>
      <c r="E149" s="4">
        <v>15000</v>
      </c>
      <c r="F149" s="4">
        <v>21832.36</v>
      </c>
      <c r="G149" s="4">
        <f t="shared" si="18"/>
        <v>6465.5172413793107</v>
      </c>
      <c r="H149" s="4">
        <f t="shared" si="20"/>
        <v>2446.73</v>
      </c>
      <c r="I149" s="4">
        <f t="shared" si="21"/>
        <v>8224.3000000000011</v>
      </c>
      <c r="J149" s="4">
        <f t="shared" si="22"/>
        <v>14689.817241379311</v>
      </c>
      <c r="K149" s="4">
        <f t="shared" si="19"/>
        <v>219923.34000000003</v>
      </c>
      <c r="L149" s="4">
        <f t="shared" si="23"/>
        <v>7697.3169000000016</v>
      </c>
      <c r="M149" s="9">
        <f t="shared" si="24"/>
        <v>-2631.8710344827559</v>
      </c>
      <c r="N149" s="9">
        <v>250993.94</v>
      </c>
      <c r="O149" s="9">
        <f>288100/1.16</f>
        <v>248362.06896551725</v>
      </c>
    </row>
    <row r="150" spans="1:15">
      <c r="A150" t="s">
        <v>158</v>
      </c>
      <c r="B150" t="s">
        <v>13</v>
      </c>
      <c r="C150" s="3">
        <v>42580</v>
      </c>
      <c r="D150" s="4">
        <v>153450</v>
      </c>
      <c r="E150" s="4">
        <v>1500</v>
      </c>
      <c r="F150" s="4">
        <v>17813.240000000002</v>
      </c>
      <c r="G150" s="4">
        <f t="shared" si="18"/>
        <v>646.55172413793105</v>
      </c>
      <c r="H150" s="4">
        <f t="shared" si="20"/>
        <v>1996.3113793103453</v>
      </c>
      <c r="I150" s="4">
        <f t="shared" si="21"/>
        <v>5370.7500000000009</v>
      </c>
      <c r="J150" s="4">
        <f t="shared" si="22"/>
        <v>6017.3017241379321</v>
      </c>
      <c r="K150" s="4">
        <f t="shared" si="19"/>
        <v>131766.01</v>
      </c>
      <c r="L150" s="4">
        <f t="shared" si="23"/>
        <v>4611.8103500000007</v>
      </c>
      <c r="M150" s="9">
        <f t="shared" si="24"/>
        <v>2671.5986206896487</v>
      </c>
      <c r="N150" s="9">
        <v>144311.16</v>
      </c>
      <c r="O150" s="9">
        <f>170500/1.16</f>
        <v>146982.75862068965</v>
      </c>
    </row>
    <row r="151" spans="1:15">
      <c r="A151" t="s">
        <v>159</v>
      </c>
      <c r="B151" t="s">
        <v>22</v>
      </c>
      <c r="C151" s="3">
        <v>290716</v>
      </c>
      <c r="D151" s="4">
        <v>214630</v>
      </c>
      <c r="E151" s="4"/>
      <c r="F151" s="4">
        <v>6224.86</v>
      </c>
      <c r="G151" s="4">
        <f t="shared" si="18"/>
        <v>0</v>
      </c>
      <c r="H151" s="4">
        <f t="shared" si="20"/>
        <v>697.61362068965514</v>
      </c>
      <c r="I151" s="4">
        <f t="shared" si="21"/>
        <v>7512.0500000000011</v>
      </c>
      <c r="J151" s="4">
        <f t="shared" si="22"/>
        <v>7512.0500000000011</v>
      </c>
      <c r="K151" s="4">
        <f t="shared" si="19"/>
        <v>200893.09000000003</v>
      </c>
      <c r="L151" s="4">
        <f t="shared" si="23"/>
        <v>7031.2581500000015</v>
      </c>
      <c r="M151" s="9">
        <f t="shared" si="24"/>
        <v>11379.362413793104</v>
      </c>
      <c r="N151" s="9">
        <v>273275.81</v>
      </c>
      <c r="O151" s="9">
        <f>330200/1.16</f>
        <v>284655.1724137931</v>
      </c>
    </row>
    <row r="152" spans="1:15">
      <c r="A152" t="s">
        <v>160</v>
      </c>
      <c r="B152" t="s">
        <v>11</v>
      </c>
      <c r="C152" s="3">
        <v>42580</v>
      </c>
      <c r="D152" s="4">
        <v>105100</v>
      </c>
      <c r="E152" s="4"/>
      <c r="F152" s="4">
        <v>7294.95</v>
      </c>
      <c r="G152" s="4">
        <f t="shared" si="18"/>
        <v>0</v>
      </c>
      <c r="H152" s="4">
        <f t="shared" si="20"/>
        <v>817.53750000000002</v>
      </c>
      <c r="I152" s="4">
        <f t="shared" si="21"/>
        <v>3678.5000000000005</v>
      </c>
      <c r="J152" s="4">
        <f t="shared" si="22"/>
        <v>3678.5000000000005</v>
      </c>
      <c r="K152" s="4">
        <f t="shared" si="19"/>
        <v>94126.55</v>
      </c>
      <c r="L152" s="4">
        <f t="shared" si="23"/>
        <v>3294.4292500000006</v>
      </c>
      <c r="M152" s="9">
        <f t="shared" si="24"/>
        <v>12641.682068965543</v>
      </c>
      <c r="N152" s="9">
        <v>158134.18</v>
      </c>
      <c r="O152" s="9">
        <f>198100/1.16</f>
        <v>170775.86206896554</v>
      </c>
    </row>
    <row r="153" spans="1:15">
      <c r="A153" t="s">
        <v>161</v>
      </c>
      <c r="B153" t="s">
        <v>11</v>
      </c>
      <c r="C153" s="3">
        <v>42580</v>
      </c>
      <c r="D153" s="4">
        <v>104260</v>
      </c>
      <c r="E153" s="4"/>
      <c r="F153" s="4">
        <v>9657.08</v>
      </c>
      <c r="G153" s="4">
        <f t="shared" si="18"/>
        <v>0</v>
      </c>
      <c r="H153" s="4">
        <f t="shared" si="20"/>
        <v>1082.2589655172417</v>
      </c>
      <c r="I153" s="4">
        <f t="shared" si="21"/>
        <v>3649.1000000000004</v>
      </c>
      <c r="J153" s="4">
        <f t="shared" si="22"/>
        <v>3649.1000000000004</v>
      </c>
      <c r="K153" s="4">
        <f t="shared" si="19"/>
        <v>90953.819999999992</v>
      </c>
      <c r="L153" s="4">
        <f t="shared" si="23"/>
        <v>3183.3836999999999</v>
      </c>
      <c r="M153" s="9">
        <f t="shared" si="24"/>
        <v>-3284.757931034459</v>
      </c>
      <c r="N153" s="9">
        <v>141560.62</v>
      </c>
      <c r="O153" s="9">
        <f>160400/1.16</f>
        <v>138275.86206896554</v>
      </c>
    </row>
    <row r="154" spans="1:15">
      <c r="A154" t="s">
        <v>162</v>
      </c>
      <c r="B154" t="s">
        <v>163</v>
      </c>
      <c r="C154" s="3">
        <v>42580</v>
      </c>
      <c r="D154" s="4">
        <v>75911.149999999994</v>
      </c>
      <c r="E154" s="4"/>
      <c r="F154" s="4">
        <v>18145.41</v>
      </c>
      <c r="G154" s="4">
        <f t="shared" si="18"/>
        <v>0</v>
      </c>
      <c r="H154" s="4">
        <f t="shared" si="20"/>
        <v>2033.5373275862071</v>
      </c>
      <c r="I154" s="4">
        <f t="shared" si="21"/>
        <v>2656.8902499999999</v>
      </c>
      <c r="J154" s="4">
        <f t="shared" si="22"/>
        <v>2656.8902499999999</v>
      </c>
      <c r="K154" s="4">
        <f t="shared" si="19"/>
        <v>55108.849749999994</v>
      </c>
      <c r="L154" s="4">
        <f t="shared" si="23"/>
        <v>1928.8097412499999</v>
      </c>
      <c r="M154" s="9">
        <f t="shared" si="24"/>
        <v>-19172.413793103435</v>
      </c>
      <c r="N154" s="9">
        <v>139000</v>
      </c>
      <c r="O154" s="9">
        <f>139000/1.16</f>
        <v>119827.58620689657</v>
      </c>
    </row>
    <row r="155" spans="1:15">
      <c r="A155" t="s">
        <v>164</v>
      </c>
      <c r="B155" t="s">
        <v>13</v>
      </c>
      <c r="C155" s="3">
        <v>42580</v>
      </c>
      <c r="D155" s="4">
        <v>163500</v>
      </c>
      <c r="E155" s="4">
        <v>15000</v>
      </c>
      <c r="F155" s="4">
        <v>20222.32</v>
      </c>
      <c r="G155" s="4">
        <f t="shared" si="18"/>
        <v>6465.5172413793107</v>
      </c>
      <c r="H155" s="4">
        <f t="shared" si="20"/>
        <v>2266.2944827586211</v>
      </c>
      <c r="I155" s="4">
        <f t="shared" si="21"/>
        <v>5722.5000000000009</v>
      </c>
      <c r="J155" s="4">
        <f t="shared" si="22"/>
        <v>12188.017241379312</v>
      </c>
      <c r="K155" s="4">
        <f t="shared" si="19"/>
        <v>152555.18</v>
      </c>
      <c r="L155" s="4">
        <f t="shared" si="23"/>
        <v>5339.4313000000002</v>
      </c>
      <c r="M155" s="9">
        <f t="shared" si="24"/>
        <v>-1333.6651724137773</v>
      </c>
      <c r="N155" s="9">
        <v>168144.01</v>
      </c>
      <c r="O155" s="9">
        <f>193500/1.16</f>
        <v>166810.34482758623</v>
      </c>
    </row>
    <row r="156" spans="1:15">
      <c r="A156" t="s">
        <v>165</v>
      </c>
      <c r="B156" t="s">
        <v>52</v>
      </c>
      <c r="C156" s="3">
        <v>42580</v>
      </c>
      <c r="D156" s="4">
        <v>259560</v>
      </c>
      <c r="E156" s="4">
        <v>15200</v>
      </c>
      <c r="F156" s="4">
        <v>42923.44</v>
      </c>
      <c r="G156" s="4">
        <f t="shared" si="18"/>
        <v>6551.7241379310353</v>
      </c>
      <c r="H156" s="4">
        <f t="shared" si="20"/>
        <v>4810.3855172413805</v>
      </c>
      <c r="I156" s="4">
        <f t="shared" si="21"/>
        <v>9084.6</v>
      </c>
      <c r="J156" s="4">
        <f t="shared" si="22"/>
        <v>15636.324137931035</v>
      </c>
      <c r="K156" s="4">
        <f t="shared" si="19"/>
        <v>222751.96</v>
      </c>
      <c r="L156" s="4">
        <f t="shared" si="23"/>
        <v>7796.3186000000005</v>
      </c>
      <c r="M156" s="9">
        <f t="shared" si="24"/>
        <v>565.00965517244185</v>
      </c>
      <c r="N156" s="9">
        <v>248055.67999999999</v>
      </c>
      <c r="O156" s="9">
        <f>288400/1.16</f>
        <v>248620.68965517243</v>
      </c>
    </row>
    <row r="157" spans="1:15">
      <c r="D157" s="4"/>
      <c r="E157" s="4"/>
      <c r="F157" s="4"/>
      <c r="G157" s="4"/>
      <c r="H157" s="4"/>
      <c r="I157" s="4"/>
      <c r="J157" s="4"/>
      <c r="K157" s="4"/>
      <c r="L157" s="4"/>
    </row>
    <row r="158" spans="1:15">
      <c r="D158" s="4"/>
      <c r="E158" s="4"/>
      <c r="F158" s="4"/>
      <c r="G158" s="4"/>
      <c r="H158" s="4"/>
      <c r="I158" s="4"/>
      <c r="J158" s="4"/>
      <c r="K158" s="4"/>
      <c r="L158" s="4"/>
    </row>
    <row r="159" spans="1:15">
      <c r="D159" s="4"/>
      <c r="E159" s="4"/>
      <c r="F159" s="4"/>
      <c r="G159" s="4"/>
      <c r="H159" s="4"/>
      <c r="I159" s="4"/>
      <c r="J159" s="4"/>
      <c r="K159" s="4"/>
      <c r="L159" s="4"/>
    </row>
    <row r="160" spans="1:15">
      <c r="D160" s="4"/>
      <c r="E160" s="4"/>
      <c r="F160" s="4"/>
      <c r="G160" s="4"/>
      <c r="H160" s="4"/>
      <c r="I160" s="4"/>
      <c r="J160" s="4"/>
      <c r="K160" s="4"/>
      <c r="L160" s="4"/>
    </row>
    <row r="161" spans="4:12">
      <c r="D161" s="4"/>
      <c r="E161" s="4"/>
      <c r="F161" s="4"/>
      <c r="G161" s="4"/>
      <c r="H161" s="4"/>
      <c r="I161" s="4"/>
      <c r="J161" s="4"/>
      <c r="K161" s="4"/>
      <c r="L161" s="4"/>
    </row>
    <row r="162" spans="4:12">
      <c r="K162" s="4"/>
      <c r="L162" s="4"/>
    </row>
    <row r="163" spans="4:12">
      <c r="L163" s="4">
        <f t="shared" si="23"/>
        <v>0</v>
      </c>
    </row>
  </sheetData>
  <mergeCells count="3">
    <mergeCell ref="A3:L3"/>
    <mergeCell ref="A2:L2"/>
    <mergeCell ref="A4:L4"/>
  </mergeCells>
  <phoneticPr fontId="10" type="noConversion"/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72"/>
  <sheetViews>
    <sheetView workbookViewId="0">
      <pane ySplit="8" topLeftCell="A9" activePane="bottomLeft" state="frozen"/>
      <selection pane="bottomLeft" activeCell="A31" sqref="A31"/>
    </sheetView>
  </sheetViews>
  <sheetFormatPr baseColWidth="10" defaultRowHeight="15"/>
  <cols>
    <col min="1" max="1" width="15.140625" customWidth="1"/>
    <col min="2" max="2" width="10.42578125" customWidth="1"/>
    <col min="3" max="3" width="18.42578125" customWidth="1"/>
    <col min="4" max="4" width="17" customWidth="1"/>
    <col min="5" max="5" width="20.85546875" customWidth="1"/>
    <col min="6" max="8" width="18.42578125" customWidth="1"/>
    <col min="9" max="10" width="18.140625" customWidth="1"/>
    <col min="11" max="11" width="14.42578125" customWidth="1"/>
    <col min="14" max="14" width="13.140625" bestFit="1" customWidth="1"/>
    <col min="15" max="15" width="11.5703125" bestFit="1" customWidth="1"/>
  </cols>
  <sheetData>
    <row r="2" spans="1:15" ht="15.75" customHeight="1">
      <c r="A2" s="17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5" ht="15.75" customHeight="1">
      <c r="A3" s="17" t="s">
        <v>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5" ht="15.75">
      <c r="A4" s="18" t="s">
        <v>166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8" spans="1:15" ht="45">
      <c r="A8" s="1" t="s">
        <v>1</v>
      </c>
      <c r="B8" s="1" t="s">
        <v>2</v>
      </c>
      <c r="C8" s="1" t="s">
        <v>3</v>
      </c>
      <c r="D8" s="1" t="s">
        <v>6</v>
      </c>
      <c r="E8" s="1" t="s">
        <v>7</v>
      </c>
      <c r="F8" s="1" t="s">
        <v>8</v>
      </c>
      <c r="G8" s="1" t="s">
        <v>187</v>
      </c>
      <c r="H8" s="1" t="s">
        <v>188</v>
      </c>
      <c r="I8" s="1" t="s">
        <v>189</v>
      </c>
      <c r="J8" s="1" t="s">
        <v>190</v>
      </c>
      <c r="K8" s="1" t="s">
        <v>0</v>
      </c>
      <c r="L8" s="2">
        <v>3.5000000000000003E-2</v>
      </c>
      <c r="M8" s="1" t="s">
        <v>182</v>
      </c>
      <c r="N8" s="1" t="s">
        <v>183</v>
      </c>
      <c r="O8" s="1" t="s">
        <v>184</v>
      </c>
    </row>
    <row r="9" spans="1:15">
      <c r="A9" t="s">
        <v>167</v>
      </c>
      <c r="B9" t="s">
        <v>11</v>
      </c>
      <c r="C9" s="3">
        <v>42580</v>
      </c>
      <c r="D9" s="11">
        <v>129770</v>
      </c>
      <c r="E9" s="11">
        <v>8500</v>
      </c>
      <c r="F9" s="11">
        <v>23827.63</v>
      </c>
      <c r="G9" s="11">
        <f t="shared" ref="G9:G40" si="0">(E9/1.16)*0.5</f>
        <v>3663.7931034482763</v>
      </c>
      <c r="H9" s="11">
        <f t="shared" ref="H9:H40" si="1">(F9/1.16)*0.13</f>
        <v>2670.3378448275862</v>
      </c>
      <c r="I9" s="11">
        <f t="shared" ref="I9:I40" si="2">D9*3.5%</f>
        <v>4541.9500000000007</v>
      </c>
      <c r="J9" s="11">
        <f t="shared" ref="J9:J40" si="3">+G9+I9</f>
        <v>8205.7431034482761</v>
      </c>
      <c r="K9" s="11">
        <f t="shared" ref="K9:K40" si="4">SUM(+D9+E9-F9-I9)</f>
        <v>109900.42</v>
      </c>
      <c r="L9" s="11">
        <f t="shared" ref="L9:L40" si="5">K9*$L$8</f>
        <v>3846.5147000000002</v>
      </c>
      <c r="M9" s="9">
        <f t="shared" ref="M9:M40" si="6">O9-N9</f>
        <v>5029.4758620689681</v>
      </c>
      <c r="N9" s="9">
        <v>115918.8</v>
      </c>
      <c r="O9" s="9">
        <f>140300/1.16</f>
        <v>120948.27586206897</v>
      </c>
    </row>
    <row r="10" spans="1:15">
      <c r="A10" t="s">
        <v>168</v>
      </c>
      <c r="B10" t="s">
        <v>11</v>
      </c>
      <c r="C10" s="3">
        <v>42580</v>
      </c>
      <c r="D10" s="11">
        <v>10221.51</v>
      </c>
      <c r="E10" s="11"/>
      <c r="F10" s="11">
        <v>9657.08</v>
      </c>
      <c r="G10" s="11">
        <f t="shared" si="0"/>
        <v>0</v>
      </c>
      <c r="H10" s="11">
        <f t="shared" si="1"/>
        <v>1082.2589655172417</v>
      </c>
      <c r="I10" s="11">
        <f t="shared" si="2"/>
        <v>357.75285000000002</v>
      </c>
      <c r="J10" s="11">
        <f t="shared" si="3"/>
        <v>357.75285000000002</v>
      </c>
      <c r="K10" s="11">
        <f t="shared" si="4"/>
        <v>206.67715000000027</v>
      </c>
      <c r="L10" s="11">
        <f t="shared" si="5"/>
        <v>7.2337002500000098</v>
      </c>
      <c r="M10" s="9">
        <f t="shared" si="6"/>
        <v>-2273.9879310344695</v>
      </c>
      <c r="N10" s="9">
        <v>140549.85</v>
      </c>
      <c r="O10" s="9">
        <f>160400/1.16</f>
        <v>138275.86206896554</v>
      </c>
    </row>
    <row r="11" spans="1:15">
      <c r="A11" t="s">
        <v>169</v>
      </c>
      <c r="B11" t="s">
        <v>17</v>
      </c>
      <c r="C11" s="3">
        <v>42563</v>
      </c>
      <c r="D11" s="11">
        <v>96667.58</v>
      </c>
      <c r="E11" s="11"/>
      <c r="F11" s="11">
        <v>6123.86</v>
      </c>
      <c r="G11" s="11">
        <f t="shared" si="0"/>
        <v>0</v>
      </c>
      <c r="H11" s="11">
        <f t="shared" si="1"/>
        <v>686.29465517241385</v>
      </c>
      <c r="I11" s="11">
        <f t="shared" si="2"/>
        <v>3383.3653000000004</v>
      </c>
      <c r="J11" s="11">
        <f t="shared" si="3"/>
        <v>3383.3653000000004</v>
      </c>
      <c r="K11" s="11">
        <f t="shared" si="4"/>
        <v>87160.354699999996</v>
      </c>
      <c r="L11" s="11">
        <f t="shared" si="5"/>
        <v>3050.6124145000003</v>
      </c>
      <c r="M11" s="9">
        <f t="shared" si="6"/>
        <v>3873.2358620689774</v>
      </c>
      <c r="N11" s="9">
        <v>164575.04000000001</v>
      </c>
      <c r="O11" s="9">
        <f>195400/1.16</f>
        <v>168448.27586206899</v>
      </c>
    </row>
    <row r="12" spans="1:15">
      <c r="A12" t="s">
        <v>170</v>
      </c>
      <c r="B12" t="s">
        <v>13</v>
      </c>
      <c r="C12" s="3">
        <v>42580</v>
      </c>
      <c r="D12" s="11">
        <v>153450</v>
      </c>
      <c r="E12" s="11">
        <v>8500</v>
      </c>
      <c r="F12" s="11">
        <v>18784.599999999999</v>
      </c>
      <c r="G12" s="11">
        <f t="shared" si="0"/>
        <v>3663.7931034482763</v>
      </c>
      <c r="H12" s="11">
        <f t="shared" si="1"/>
        <v>2105.1706896551723</v>
      </c>
      <c r="I12" s="11">
        <f t="shared" si="2"/>
        <v>5370.7500000000009</v>
      </c>
      <c r="J12" s="11">
        <f t="shared" si="3"/>
        <v>9034.5431034482772</v>
      </c>
      <c r="K12" s="11">
        <f t="shared" si="4"/>
        <v>137794.65</v>
      </c>
      <c r="L12" s="11">
        <f t="shared" si="5"/>
        <v>4822.8127500000001</v>
      </c>
      <c r="M12" s="9">
        <f t="shared" si="6"/>
        <v>-3258.7313793103385</v>
      </c>
      <c r="N12" s="9">
        <v>150241.49</v>
      </c>
      <c r="O12" s="9">
        <f>170500/1.16</f>
        <v>146982.75862068965</v>
      </c>
    </row>
    <row r="13" spans="1:15">
      <c r="A13" t="s">
        <v>171</v>
      </c>
      <c r="B13" t="s">
        <v>13</v>
      </c>
      <c r="C13" s="3">
        <v>43675</v>
      </c>
      <c r="D13" s="11">
        <v>143375.85</v>
      </c>
      <c r="E13" s="11">
        <v>10700</v>
      </c>
      <c r="F13" s="11">
        <v>14654.28</v>
      </c>
      <c r="G13" s="11">
        <f t="shared" si="0"/>
        <v>4612.0689655172418</v>
      </c>
      <c r="H13" s="11">
        <f t="shared" si="1"/>
        <v>1642.2900000000002</v>
      </c>
      <c r="I13" s="11">
        <f t="shared" si="2"/>
        <v>5018.1547500000006</v>
      </c>
      <c r="J13" s="11">
        <f t="shared" si="3"/>
        <v>9630.2237155172425</v>
      </c>
      <c r="K13" s="11">
        <f t="shared" si="4"/>
        <v>134403.41525000002</v>
      </c>
      <c r="L13" s="11">
        <f t="shared" si="5"/>
        <v>4704.1195337500012</v>
      </c>
      <c r="M13" s="9">
        <f t="shared" si="6"/>
        <v>-5641.8875862068817</v>
      </c>
      <c r="N13" s="9">
        <v>135297.06</v>
      </c>
      <c r="O13" s="9">
        <f>150400/1.16</f>
        <v>129655.17241379312</v>
      </c>
    </row>
    <row r="14" spans="1:15">
      <c r="A14" t="s">
        <v>172</v>
      </c>
      <c r="B14" t="s">
        <v>43</v>
      </c>
      <c r="C14" s="3">
        <v>42580</v>
      </c>
      <c r="D14" s="11">
        <v>130500</v>
      </c>
      <c r="E14" s="11">
        <v>8700</v>
      </c>
      <c r="F14" s="11">
        <v>13152.45</v>
      </c>
      <c r="G14" s="11">
        <f t="shared" si="0"/>
        <v>3750.0000000000005</v>
      </c>
      <c r="H14" s="11">
        <f t="shared" si="1"/>
        <v>1473.9814655172415</v>
      </c>
      <c r="I14" s="11">
        <f t="shared" si="2"/>
        <v>4567.5</v>
      </c>
      <c r="J14" s="11">
        <f t="shared" si="3"/>
        <v>8317.5</v>
      </c>
      <c r="K14" s="11">
        <f t="shared" si="4"/>
        <v>121480.05</v>
      </c>
      <c r="L14" s="11">
        <f t="shared" si="5"/>
        <v>4251.8017500000005</v>
      </c>
      <c r="M14" s="9">
        <f t="shared" si="6"/>
        <v>29216.330344827613</v>
      </c>
      <c r="N14" s="9">
        <v>324662.98</v>
      </c>
      <c r="O14" s="9">
        <f>410500/1.16</f>
        <v>353879.31034482759</v>
      </c>
    </row>
    <row r="15" spans="1:15">
      <c r="A15" t="s">
        <v>173</v>
      </c>
      <c r="B15" t="s">
        <v>13</v>
      </c>
      <c r="C15" s="3">
        <v>42583</v>
      </c>
      <c r="D15" s="11">
        <v>142360</v>
      </c>
      <c r="E15" s="11">
        <v>7000</v>
      </c>
      <c r="F15" s="11">
        <v>18700.77</v>
      </c>
      <c r="G15" s="11">
        <f t="shared" si="0"/>
        <v>3017.2413793103451</v>
      </c>
      <c r="H15" s="11">
        <f t="shared" si="1"/>
        <v>2095.7759482758624</v>
      </c>
      <c r="I15" s="11">
        <f t="shared" si="2"/>
        <v>4982.6000000000004</v>
      </c>
      <c r="J15" s="11">
        <f t="shared" si="3"/>
        <v>7999.8413793103455</v>
      </c>
      <c r="K15" s="11">
        <f t="shared" si="4"/>
        <v>125676.62999999999</v>
      </c>
      <c r="L15" s="11">
        <f t="shared" si="5"/>
        <v>4398.6820500000003</v>
      </c>
      <c r="M15" s="9">
        <f t="shared" si="6"/>
        <v>-2799.1775862068898</v>
      </c>
      <c r="N15" s="9">
        <v>132454.35</v>
      </c>
      <c r="O15" s="9">
        <f>150400/1.16</f>
        <v>129655.17241379312</v>
      </c>
    </row>
    <row r="16" spans="1:15">
      <c r="A16" t="s">
        <v>174</v>
      </c>
      <c r="B16" t="s">
        <v>11</v>
      </c>
      <c r="C16" s="3">
        <v>42583</v>
      </c>
      <c r="D16" s="11">
        <v>147860</v>
      </c>
      <c r="E16" s="11">
        <v>8500</v>
      </c>
      <c r="F16" s="11">
        <v>25325.23</v>
      </c>
      <c r="G16" s="11">
        <f t="shared" si="0"/>
        <v>3663.7931034482763</v>
      </c>
      <c r="H16" s="11">
        <f t="shared" si="1"/>
        <v>2838.1723275862068</v>
      </c>
      <c r="I16" s="11">
        <f t="shared" si="2"/>
        <v>5175.1000000000004</v>
      </c>
      <c r="J16" s="11">
        <f t="shared" si="3"/>
        <v>8838.8931034482775</v>
      </c>
      <c r="K16" s="11">
        <f t="shared" si="4"/>
        <v>125859.67</v>
      </c>
      <c r="L16" s="11">
        <f t="shared" si="5"/>
        <v>4405.0884500000002</v>
      </c>
      <c r="M16" s="9">
        <f t="shared" si="6"/>
        <v>-3284.757931034459</v>
      </c>
      <c r="N16" s="9">
        <v>141560.62</v>
      </c>
      <c r="O16" s="9">
        <f>160400/1.16</f>
        <v>138275.86206896554</v>
      </c>
    </row>
    <row r="17" spans="1:15">
      <c r="A17" t="s">
        <v>175</v>
      </c>
      <c r="B17" t="s">
        <v>11</v>
      </c>
      <c r="C17" s="3">
        <v>42583</v>
      </c>
      <c r="D17" s="11">
        <v>140100</v>
      </c>
      <c r="E17" s="11">
        <v>8700</v>
      </c>
      <c r="F17" s="11">
        <v>27985.71</v>
      </c>
      <c r="G17" s="11">
        <f t="shared" si="0"/>
        <v>3750.0000000000005</v>
      </c>
      <c r="H17" s="11">
        <f t="shared" si="1"/>
        <v>3136.3295689655174</v>
      </c>
      <c r="I17" s="11">
        <f t="shared" si="2"/>
        <v>4903.5000000000009</v>
      </c>
      <c r="J17" s="11">
        <f t="shared" si="3"/>
        <v>8653.5000000000018</v>
      </c>
      <c r="K17" s="11">
        <f t="shared" si="4"/>
        <v>115910.79000000001</v>
      </c>
      <c r="L17" s="11">
        <f t="shared" si="5"/>
        <v>4056.8776500000008</v>
      </c>
      <c r="M17" s="9">
        <f t="shared" si="6"/>
        <v>13101.682068965543</v>
      </c>
      <c r="N17" s="9">
        <v>157674.18</v>
      </c>
      <c r="O17" s="9">
        <f>198100/1.16</f>
        <v>170775.86206896554</v>
      </c>
    </row>
    <row r="18" spans="1:15">
      <c r="A18" t="s">
        <v>176</v>
      </c>
      <c r="B18" t="s">
        <v>17</v>
      </c>
      <c r="C18" s="3">
        <v>42580</v>
      </c>
      <c r="D18" s="11">
        <v>152200</v>
      </c>
      <c r="E18" s="11">
        <v>15000</v>
      </c>
      <c r="F18" s="11">
        <v>24376</v>
      </c>
      <c r="G18" s="11">
        <f t="shared" si="0"/>
        <v>6465.5172413793107</v>
      </c>
      <c r="H18" s="11">
        <f t="shared" si="1"/>
        <v>2731.7931034482763</v>
      </c>
      <c r="I18" s="11">
        <f t="shared" si="2"/>
        <v>5327.0000000000009</v>
      </c>
      <c r="J18" s="11">
        <f t="shared" si="3"/>
        <v>11792.517241379312</v>
      </c>
      <c r="K18" s="11">
        <f t="shared" si="4"/>
        <v>137497</v>
      </c>
      <c r="L18" s="11">
        <f t="shared" si="5"/>
        <v>4812.3950000000004</v>
      </c>
      <c r="M18" s="9">
        <f t="shared" si="6"/>
        <v>4414.5444827586471</v>
      </c>
      <c r="N18" s="9">
        <v>178516.49</v>
      </c>
      <c r="O18" s="9">
        <f>212200/1.16</f>
        <v>182931.03448275864</v>
      </c>
    </row>
    <row r="19" spans="1:15">
      <c r="A19" t="s">
        <v>177</v>
      </c>
      <c r="B19" t="s">
        <v>22</v>
      </c>
      <c r="C19" s="3">
        <v>42584</v>
      </c>
      <c r="D19" s="11">
        <v>180200</v>
      </c>
      <c r="E19" s="11"/>
      <c r="F19" s="11">
        <v>11985.72</v>
      </c>
      <c r="G19" s="11">
        <f t="shared" si="0"/>
        <v>0</v>
      </c>
      <c r="H19" s="11">
        <f t="shared" si="1"/>
        <v>1343.2272413793103</v>
      </c>
      <c r="I19" s="11">
        <f t="shared" si="2"/>
        <v>6307.0000000000009</v>
      </c>
      <c r="J19" s="11">
        <f t="shared" si="3"/>
        <v>6307.0000000000009</v>
      </c>
      <c r="K19" s="11">
        <f t="shared" si="4"/>
        <v>161907.28</v>
      </c>
      <c r="L19" s="11">
        <f t="shared" si="5"/>
        <v>5666.7548000000006</v>
      </c>
      <c r="M19" s="9">
        <f t="shared" si="6"/>
        <v>4642.1924137931201</v>
      </c>
      <c r="N19" s="9">
        <v>280012.98</v>
      </c>
      <c r="O19" s="9">
        <f>330200/1.16</f>
        <v>284655.1724137931</v>
      </c>
    </row>
    <row r="20" spans="1:15">
      <c r="A20" t="s">
        <v>178</v>
      </c>
      <c r="B20" t="s">
        <v>22</v>
      </c>
      <c r="C20" s="3">
        <v>20816</v>
      </c>
      <c r="D20" s="11">
        <v>296480</v>
      </c>
      <c r="E20" s="11">
        <v>9300</v>
      </c>
      <c r="F20" s="11">
        <v>23989.43</v>
      </c>
      <c r="G20" s="11">
        <f t="shared" si="0"/>
        <v>4008.6206896551726</v>
      </c>
      <c r="H20" s="11">
        <f t="shared" si="1"/>
        <v>2688.4706034482765</v>
      </c>
      <c r="I20" s="11">
        <f t="shared" si="2"/>
        <v>10376.800000000001</v>
      </c>
      <c r="J20" s="11">
        <f t="shared" si="3"/>
        <v>14385.420689655173</v>
      </c>
      <c r="K20" s="11">
        <f t="shared" si="4"/>
        <v>271413.77</v>
      </c>
      <c r="L20" s="11">
        <f t="shared" si="5"/>
        <v>9499.4819500000012</v>
      </c>
      <c r="M20" s="9">
        <f t="shared" si="6"/>
        <v>11379.362413793104</v>
      </c>
      <c r="N20" s="9">
        <v>273275.81</v>
      </c>
      <c r="O20" s="9">
        <f>330200/1.16</f>
        <v>284655.1724137931</v>
      </c>
    </row>
    <row r="21" spans="1:15">
      <c r="A21" t="s">
        <v>179</v>
      </c>
      <c r="B21" t="s">
        <v>13</v>
      </c>
      <c r="C21" s="3">
        <v>42585</v>
      </c>
      <c r="D21" s="11">
        <v>174150</v>
      </c>
      <c r="E21" s="11"/>
      <c r="F21" s="11">
        <v>20222.32</v>
      </c>
      <c r="G21" s="11">
        <f t="shared" si="0"/>
        <v>0</v>
      </c>
      <c r="H21" s="11">
        <f t="shared" si="1"/>
        <v>2266.2944827586211</v>
      </c>
      <c r="I21" s="11">
        <f t="shared" si="2"/>
        <v>6095.2500000000009</v>
      </c>
      <c r="J21" s="11">
        <f t="shared" si="3"/>
        <v>6095.2500000000009</v>
      </c>
      <c r="K21" s="11">
        <f t="shared" si="4"/>
        <v>147832.43</v>
      </c>
      <c r="L21" s="11">
        <f t="shared" si="5"/>
        <v>5174.1350499999999</v>
      </c>
      <c r="M21" s="9">
        <f t="shared" si="6"/>
        <v>-5440.765172413754</v>
      </c>
      <c r="N21" s="9">
        <v>172251.11</v>
      </c>
      <c r="O21" s="9">
        <f>193500/1.16</f>
        <v>166810.34482758623</v>
      </c>
    </row>
    <row r="22" spans="1:15">
      <c r="A22" t="s">
        <v>180</v>
      </c>
      <c r="B22" t="s">
        <v>22</v>
      </c>
      <c r="C22" s="3">
        <v>10816</v>
      </c>
      <c r="D22" s="11">
        <v>174500</v>
      </c>
      <c r="E22" s="11">
        <v>9700</v>
      </c>
      <c r="F22" s="11">
        <v>5471.88</v>
      </c>
      <c r="G22" s="11">
        <f t="shared" si="0"/>
        <v>4181.0344827586214</v>
      </c>
      <c r="H22" s="11">
        <f t="shared" si="1"/>
        <v>613.22793103448282</v>
      </c>
      <c r="I22" s="11">
        <f t="shared" si="2"/>
        <v>6107.5000000000009</v>
      </c>
      <c r="J22" s="11">
        <f t="shared" si="3"/>
        <v>10288.534482758623</v>
      </c>
      <c r="K22" s="11">
        <f t="shared" si="4"/>
        <v>172620.62</v>
      </c>
      <c r="L22" s="11">
        <f t="shared" si="5"/>
        <v>6041.7217000000001</v>
      </c>
      <c r="M22" s="9">
        <f t="shared" si="6"/>
        <v>-5599.6382758620603</v>
      </c>
      <c r="N22" s="9">
        <v>224996.19</v>
      </c>
      <c r="O22" s="9">
        <f>254500/1.16</f>
        <v>219396.55172413794</v>
      </c>
    </row>
    <row r="23" spans="1:15">
      <c r="A23" t="s">
        <v>181</v>
      </c>
      <c r="B23" t="s">
        <v>22</v>
      </c>
      <c r="C23" s="3">
        <v>42584</v>
      </c>
      <c r="D23" s="11">
        <v>228100</v>
      </c>
      <c r="E23" s="11">
        <v>9300</v>
      </c>
      <c r="F23" s="11">
        <v>21832.36</v>
      </c>
      <c r="G23" s="11">
        <f t="shared" si="0"/>
        <v>4008.6206896551726</v>
      </c>
      <c r="H23" s="11">
        <f t="shared" si="1"/>
        <v>2446.73</v>
      </c>
      <c r="I23" s="11">
        <f t="shared" si="2"/>
        <v>7983.5000000000009</v>
      </c>
      <c r="J23" s="11">
        <f t="shared" si="3"/>
        <v>11992.120689655174</v>
      </c>
      <c r="K23" s="11">
        <f t="shared" si="4"/>
        <v>207584.14</v>
      </c>
      <c r="L23" s="11">
        <f t="shared" si="5"/>
        <v>7265.4449000000013</v>
      </c>
      <c r="M23" s="9">
        <f t="shared" si="6"/>
        <v>37106.160000000003</v>
      </c>
      <c r="N23" s="9">
        <v>250993.84</v>
      </c>
      <c r="O23" s="9">
        <v>288100</v>
      </c>
    </row>
    <row r="24" spans="1:15">
      <c r="A24" t="s">
        <v>191</v>
      </c>
      <c r="B24" t="s">
        <v>17</v>
      </c>
      <c r="C24" s="3">
        <v>42585</v>
      </c>
      <c r="D24" s="11">
        <v>130585</v>
      </c>
      <c r="E24" s="11">
        <v>8000</v>
      </c>
      <c r="F24" s="11">
        <v>6228.02</v>
      </c>
      <c r="G24" s="11">
        <f t="shared" si="0"/>
        <v>3448.2758620689656</v>
      </c>
      <c r="H24" s="11">
        <f t="shared" si="1"/>
        <v>697.96775862068978</v>
      </c>
      <c r="I24" s="11">
        <f t="shared" si="2"/>
        <v>4570.4750000000004</v>
      </c>
      <c r="J24" s="11">
        <f t="shared" si="3"/>
        <v>8018.7508620689659</v>
      </c>
      <c r="K24" s="11">
        <f t="shared" si="4"/>
        <v>127786.505</v>
      </c>
      <c r="L24" s="11">
        <f t="shared" si="5"/>
        <v>4472.5276750000003</v>
      </c>
      <c r="M24" s="9">
        <f t="shared" si="6"/>
        <v>26269.630000000005</v>
      </c>
      <c r="N24" s="9">
        <v>174630.37</v>
      </c>
      <c r="O24" s="9">
        <v>200900</v>
      </c>
    </row>
    <row r="25" spans="1:15">
      <c r="A25" s="5" t="s">
        <v>192</v>
      </c>
      <c r="B25" t="s">
        <v>13</v>
      </c>
      <c r="C25" s="3">
        <v>42585</v>
      </c>
      <c r="D25" s="11">
        <v>97760</v>
      </c>
      <c r="E25" s="11"/>
      <c r="F25" s="11">
        <v>6863.06</v>
      </c>
      <c r="G25" s="11">
        <f t="shared" si="0"/>
        <v>0</v>
      </c>
      <c r="H25" s="11">
        <f t="shared" si="1"/>
        <v>769.13603448275876</v>
      </c>
      <c r="I25" s="11">
        <f t="shared" si="2"/>
        <v>3421.6000000000004</v>
      </c>
      <c r="J25" s="11">
        <f t="shared" si="3"/>
        <v>3421.6000000000004</v>
      </c>
      <c r="K25" s="11">
        <f t="shared" si="4"/>
        <v>87475.34</v>
      </c>
      <c r="L25" s="11">
        <f t="shared" si="5"/>
        <v>3061.6369</v>
      </c>
      <c r="M25" s="9">
        <f t="shared" si="6"/>
        <v>19264.609999999986</v>
      </c>
      <c r="N25" s="9">
        <v>131135.39000000001</v>
      </c>
      <c r="O25" s="9">
        <v>150400</v>
      </c>
    </row>
    <row r="26" spans="1:15">
      <c r="A26" t="s">
        <v>73</v>
      </c>
      <c r="B26" t="s">
        <v>22</v>
      </c>
      <c r="C26" s="3">
        <v>42585</v>
      </c>
      <c r="D26" s="11">
        <v>259290</v>
      </c>
      <c r="E26" s="11"/>
      <c r="F26" s="11">
        <v>21832.36</v>
      </c>
      <c r="G26" s="11">
        <f t="shared" si="0"/>
        <v>0</v>
      </c>
      <c r="H26" s="11">
        <f t="shared" si="1"/>
        <v>2446.73</v>
      </c>
      <c r="I26" s="11">
        <f t="shared" si="2"/>
        <v>9075.1500000000015</v>
      </c>
      <c r="J26" s="11">
        <f t="shared" si="3"/>
        <v>9075.1500000000015</v>
      </c>
      <c r="K26" s="11">
        <f t="shared" si="4"/>
        <v>228382.49000000002</v>
      </c>
      <c r="L26" s="11">
        <f t="shared" si="5"/>
        <v>7993.3871500000014</v>
      </c>
      <c r="M26" s="9">
        <f t="shared" si="6"/>
        <v>-3930.6041379310191</v>
      </c>
      <c r="N26" s="9">
        <v>159878.88</v>
      </c>
      <c r="O26" s="9">
        <f>180900/1.16</f>
        <v>155948.27586206899</v>
      </c>
    </row>
    <row r="27" spans="1:15">
      <c r="A27" t="s">
        <v>193</v>
      </c>
      <c r="B27" t="s">
        <v>13</v>
      </c>
      <c r="C27" s="3">
        <v>42586</v>
      </c>
      <c r="D27" s="11">
        <v>152060</v>
      </c>
      <c r="E27" s="11">
        <v>10700</v>
      </c>
      <c r="F27" s="11">
        <v>18261.16</v>
      </c>
      <c r="G27" s="11">
        <f t="shared" si="0"/>
        <v>4612.0689655172418</v>
      </c>
      <c r="H27" s="11">
        <f t="shared" si="1"/>
        <v>2046.5093103448278</v>
      </c>
      <c r="I27" s="11">
        <f t="shared" si="2"/>
        <v>5322.1</v>
      </c>
      <c r="J27" s="11">
        <f t="shared" si="3"/>
        <v>9934.1689655172413</v>
      </c>
      <c r="K27" s="11">
        <f t="shared" si="4"/>
        <v>139176.74</v>
      </c>
      <c r="L27" s="11">
        <f t="shared" si="5"/>
        <v>4871.1859000000004</v>
      </c>
      <c r="M27" s="9">
        <f t="shared" si="6"/>
        <v>15498.290000000008</v>
      </c>
      <c r="N27" s="9">
        <v>134901.71</v>
      </c>
      <c r="O27" s="9">
        <v>150400</v>
      </c>
    </row>
    <row r="28" spans="1:15">
      <c r="A28" t="s">
        <v>194</v>
      </c>
      <c r="B28" t="s">
        <v>13</v>
      </c>
      <c r="C28" s="3">
        <v>42586</v>
      </c>
      <c r="D28" s="11">
        <v>171450</v>
      </c>
      <c r="E28" s="11">
        <v>5800</v>
      </c>
      <c r="F28" s="11">
        <v>20034.8</v>
      </c>
      <c r="G28" s="11">
        <f t="shared" si="0"/>
        <v>2500</v>
      </c>
      <c r="H28" s="11">
        <f t="shared" si="1"/>
        <v>2245.279310344828</v>
      </c>
      <c r="I28" s="11">
        <f t="shared" si="2"/>
        <v>6000.7500000000009</v>
      </c>
      <c r="J28" s="11">
        <f t="shared" si="3"/>
        <v>8500.75</v>
      </c>
      <c r="K28" s="11">
        <f t="shared" si="4"/>
        <v>151214.45000000001</v>
      </c>
      <c r="L28" s="11">
        <f t="shared" si="5"/>
        <v>5292.5057500000012</v>
      </c>
      <c r="M28" s="9">
        <f t="shared" si="6"/>
        <v>26972.839999999997</v>
      </c>
      <c r="N28" s="9">
        <v>163527.16</v>
      </c>
      <c r="O28" s="9">
        <v>190500</v>
      </c>
    </row>
    <row r="29" spans="1:15">
      <c r="A29" t="s">
        <v>195</v>
      </c>
      <c r="B29" t="s">
        <v>17</v>
      </c>
      <c r="C29" s="3">
        <v>42580</v>
      </c>
      <c r="D29" s="11">
        <v>86700</v>
      </c>
      <c r="E29" s="11"/>
      <c r="F29" s="11">
        <v>6148.48</v>
      </c>
      <c r="G29" s="11">
        <f t="shared" si="0"/>
        <v>0</v>
      </c>
      <c r="H29" s="11">
        <f t="shared" si="1"/>
        <v>689.05379310344836</v>
      </c>
      <c r="I29" s="11">
        <f t="shared" si="2"/>
        <v>3034.5000000000005</v>
      </c>
      <c r="J29" s="11">
        <f t="shared" si="3"/>
        <v>3034.5000000000005</v>
      </c>
      <c r="K29" s="11">
        <f t="shared" si="4"/>
        <v>77517.02</v>
      </c>
      <c r="L29" s="11">
        <f t="shared" si="5"/>
        <v>2713.0957000000003</v>
      </c>
      <c r="M29" s="9">
        <f t="shared" si="6"/>
        <v>22069.630000000005</v>
      </c>
      <c r="N29" s="9">
        <v>174630.37</v>
      </c>
      <c r="O29" s="9">
        <v>196700</v>
      </c>
    </row>
    <row r="30" spans="1:15">
      <c r="A30" t="s">
        <v>196</v>
      </c>
      <c r="B30" t="s">
        <v>17</v>
      </c>
      <c r="C30" s="3">
        <v>42586</v>
      </c>
      <c r="D30" s="11">
        <v>143900</v>
      </c>
      <c r="E30" s="11">
        <v>7500</v>
      </c>
      <c r="F30" s="11">
        <v>22005.119999999999</v>
      </c>
      <c r="G30" s="11">
        <f t="shared" si="0"/>
        <v>3232.7586206896553</v>
      </c>
      <c r="H30" s="11">
        <f t="shared" si="1"/>
        <v>2466.0910344827585</v>
      </c>
      <c r="I30" s="11">
        <f t="shared" si="2"/>
        <v>5036.5000000000009</v>
      </c>
      <c r="J30" s="11">
        <f t="shared" si="3"/>
        <v>8269.2586206896558</v>
      </c>
      <c r="K30" s="11">
        <f t="shared" si="4"/>
        <v>124358.38</v>
      </c>
      <c r="L30" s="11">
        <f t="shared" si="5"/>
        <v>4352.5433000000003</v>
      </c>
      <c r="M30" s="9">
        <f t="shared" si="6"/>
        <v>20545.179999999993</v>
      </c>
      <c r="N30" s="9">
        <v>160354.82</v>
      </c>
      <c r="O30" s="9">
        <v>180900</v>
      </c>
    </row>
    <row r="31" spans="1:15">
      <c r="A31" s="5" t="s">
        <v>197</v>
      </c>
      <c r="B31" t="s">
        <v>22</v>
      </c>
      <c r="C31" s="3">
        <v>42585</v>
      </c>
      <c r="D31" s="11">
        <v>259290</v>
      </c>
      <c r="E31" s="11"/>
      <c r="F31" s="11">
        <v>21832.36</v>
      </c>
      <c r="G31" s="11">
        <f t="shared" si="0"/>
        <v>0</v>
      </c>
      <c r="H31" s="11">
        <f t="shared" si="1"/>
        <v>2446.73</v>
      </c>
      <c r="I31" s="11">
        <f t="shared" si="2"/>
        <v>9075.1500000000015</v>
      </c>
      <c r="J31" s="11">
        <f t="shared" si="3"/>
        <v>9075.1500000000015</v>
      </c>
      <c r="K31" s="11">
        <f t="shared" si="4"/>
        <v>228382.49000000002</v>
      </c>
      <c r="L31" s="11">
        <f t="shared" si="5"/>
        <v>7993.3871500000014</v>
      </c>
      <c r="M31" s="9">
        <f t="shared" si="6"/>
        <v>37106.06</v>
      </c>
      <c r="N31" s="9">
        <v>250993.94</v>
      </c>
      <c r="O31" s="9">
        <v>288100</v>
      </c>
    </row>
    <row r="32" spans="1:15">
      <c r="A32" s="5" t="s">
        <v>198</v>
      </c>
      <c r="B32" t="s">
        <v>17</v>
      </c>
      <c r="C32" s="3">
        <v>42580</v>
      </c>
      <c r="D32" s="11">
        <v>88497.36</v>
      </c>
      <c r="E32" s="11"/>
      <c r="F32" s="11">
        <v>9277.2800000000007</v>
      </c>
      <c r="G32" s="11">
        <f t="shared" si="0"/>
        <v>0</v>
      </c>
      <c r="H32" s="11">
        <f t="shared" si="1"/>
        <v>1039.6951724137932</v>
      </c>
      <c r="I32" s="11">
        <f t="shared" si="2"/>
        <v>3097.4076000000005</v>
      </c>
      <c r="J32" s="11">
        <f t="shared" si="3"/>
        <v>3097.4076000000005</v>
      </c>
      <c r="K32" s="11">
        <f t="shared" si="4"/>
        <v>76122.672399999996</v>
      </c>
      <c r="L32" s="11">
        <f t="shared" si="5"/>
        <v>2664.2935339999999</v>
      </c>
      <c r="M32" s="9">
        <f t="shared" si="6"/>
        <v>-17213.793103448275</v>
      </c>
      <c r="N32" s="9">
        <v>124800</v>
      </c>
      <c r="O32" s="9">
        <f>124800/1.16</f>
        <v>107586.20689655172</v>
      </c>
    </row>
    <row r="33" spans="1:15">
      <c r="A33" s="5" t="s">
        <v>199</v>
      </c>
      <c r="B33" t="s">
        <v>200</v>
      </c>
      <c r="C33" s="3">
        <v>42587</v>
      </c>
      <c r="D33" s="11">
        <v>282600</v>
      </c>
      <c r="E33" s="11">
        <v>25000</v>
      </c>
      <c r="F33" s="11">
        <v>50692.2</v>
      </c>
      <c r="G33" s="11">
        <f t="shared" si="0"/>
        <v>10775.862068965518</v>
      </c>
      <c r="H33" s="11">
        <f t="shared" si="1"/>
        <v>5681.0224137931036</v>
      </c>
      <c r="I33" s="11">
        <f t="shared" si="2"/>
        <v>9891.0000000000018</v>
      </c>
      <c r="J33" s="11">
        <f t="shared" si="3"/>
        <v>20666.862068965522</v>
      </c>
      <c r="K33" s="11">
        <f t="shared" si="4"/>
        <v>247016.8</v>
      </c>
      <c r="L33" s="11">
        <f t="shared" si="5"/>
        <v>8645.5879999999997</v>
      </c>
      <c r="M33" s="9">
        <f t="shared" si="6"/>
        <v>24432.037931034516</v>
      </c>
      <c r="N33" s="9">
        <v>262292.09999999998</v>
      </c>
      <c r="O33" s="9">
        <f>332600/1.16</f>
        <v>286724.13793103449</v>
      </c>
    </row>
    <row r="34" spans="1:15">
      <c r="A34" s="5" t="s">
        <v>201</v>
      </c>
      <c r="B34" t="s">
        <v>52</v>
      </c>
      <c r="C34" s="3">
        <v>42587</v>
      </c>
      <c r="D34" s="11">
        <v>198200</v>
      </c>
      <c r="E34" s="11">
        <v>15200</v>
      </c>
      <c r="F34" s="11">
        <v>39538.18</v>
      </c>
      <c r="G34" s="11">
        <f t="shared" si="0"/>
        <v>6551.7241379310353</v>
      </c>
      <c r="H34" s="11">
        <f t="shared" si="1"/>
        <v>4431.0029310344835</v>
      </c>
      <c r="I34" s="11">
        <f t="shared" si="2"/>
        <v>6937.0000000000009</v>
      </c>
      <c r="J34" s="11">
        <f t="shared" si="3"/>
        <v>13488.724137931036</v>
      </c>
      <c r="K34" s="11">
        <f t="shared" si="4"/>
        <v>166924.82</v>
      </c>
      <c r="L34" s="11">
        <f t="shared" si="5"/>
        <v>5842.3687000000009</v>
      </c>
      <c r="M34" s="9">
        <f t="shared" si="6"/>
        <v>8608.7165517241519</v>
      </c>
      <c r="N34" s="9">
        <v>222598.18</v>
      </c>
      <c r="O34" s="9">
        <f>268200/1.16</f>
        <v>231206.89655172414</v>
      </c>
    </row>
    <row r="35" spans="1:15">
      <c r="A35" s="5" t="s">
        <v>202</v>
      </c>
      <c r="B35" t="s">
        <v>17</v>
      </c>
      <c r="C35" s="3">
        <v>42590</v>
      </c>
      <c r="D35" s="11">
        <v>185116.98</v>
      </c>
      <c r="E35" s="11"/>
      <c r="F35" s="11">
        <v>23946.75</v>
      </c>
      <c r="G35" s="11">
        <f t="shared" si="0"/>
        <v>0</v>
      </c>
      <c r="H35" s="11">
        <f t="shared" si="1"/>
        <v>2683.6875</v>
      </c>
      <c r="I35" s="11">
        <f t="shared" si="2"/>
        <v>6479.0943000000007</v>
      </c>
      <c r="J35" s="11">
        <f t="shared" si="3"/>
        <v>6479.0943000000007</v>
      </c>
      <c r="K35" s="11">
        <f t="shared" si="4"/>
        <v>154691.13570000001</v>
      </c>
      <c r="L35" s="11">
        <f t="shared" si="5"/>
        <v>5414.1897495000012</v>
      </c>
      <c r="M35" s="9">
        <f t="shared" si="6"/>
        <v>-931.29999999998836</v>
      </c>
      <c r="N35" s="9">
        <v>174120.95999999999</v>
      </c>
      <c r="O35" s="9">
        <v>173189.66</v>
      </c>
    </row>
    <row r="36" spans="1:15">
      <c r="A36" s="5" t="s">
        <v>203</v>
      </c>
      <c r="B36" t="s">
        <v>43</v>
      </c>
      <c r="C36" s="3">
        <v>42590</v>
      </c>
      <c r="D36" s="11">
        <v>246300</v>
      </c>
      <c r="E36" s="11">
        <v>9000</v>
      </c>
      <c r="F36" s="11">
        <v>12760.29</v>
      </c>
      <c r="G36" s="11">
        <f t="shared" si="0"/>
        <v>3879.3103448275865</v>
      </c>
      <c r="H36" s="11">
        <f t="shared" si="1"/>
        <v>1430.0325000000003</v>
      </c>
      <c r="I36" s="11">
        <f t="shared" si="2"/>
        <v>8620.5</v>
      </c>
      <c r="J36" s="11">
        <f t="shared" si="3"/>
        <v>12499.810344827587</v>
      </c>
      <c r="K36" s="11">
        <f t="shared" si="4"/>
        <v>233919.21</v>
      </c>
      <c r="L36" s="11">
        <f t="shared" si="5"/>
        <v>8187.1723500000007</v>
      </c>
      <c r="M36" s="9">
        <f t="shared" si="6"/>
        <v>19602.02999999997</v>
      </c>
      <c r="N36" s="9">
        <v>334277.27</v>
      </c>
      <c r="O36" s="9">
        <v>353879.3</v>
      </c>
    </row>
    <row r="37" spans="1:15">
      <c r="A37" s="5" t="s">
        <v>204</v>
      </c>
      <c r="B37" t="s">
        <v>17</v>
      </c>
      <c r="C37" s="3">
        <v>42591</v>
      </c>
      <c r="D37" s="11">
        <v>180810</v>
      </c>
      <c r="E37" s="11">
        <v>9400</v>
      </c>
      <c r="F37" s="11">
        <v>17756.060000000001</v>
      </c>
      <c r="G37" s="11">
        <f t="shared" si="0"/>
        <v>4051.7241379310349</v>
      </c>
      <c r="H37" s="11">
        <f t="shared" si="1"/>
        <v>1989.9032758620692</v>
      </c>
      <c r="I37" s="11">
        <f t="shared" si="2"/>
        <v>6328.35</v>
      </c>
      <c r="J37" s="11">
        <f t="shared" si="3"/>
        <v>10380.074137931035</v>
      </c>
      <c r="K37" s="11">
        <f t="shared" si="4"/>
        <v>166125.59</v>
      </c>
      <c r="L37" s="11">
        <f t="shared" si="5"/>
        <v>5814.3956500000004</v>
      </c>
      <c r="M37" s="9">
        <f t="shared" si="6"/>
        <v>-1440.7099999999919</v>
      </c>
      <c r="N37" s="9">
        <v>174630.37</v>
      </c>
      <c r="O37" s="9">
        <v>173189.66</v>
      </c>
    </row>
    <row r="38" spans="1:15">
      <c r="A38" s="5" t="s">
        <v>205</v>
      </c>
      <c r="B38" t="s">
        <v>11</v>
      </c>
      <c r="C38" s="3">
        <v>90816</v>
      </c>
      <c r="D38" s="11">
        <v>144415</v>
      </c>
      <c r="E38" s="11">
        <v>8500</v>
      </c>
      <c r="F38" s="11">
        <v>25686.68</v>
      </c>
      <c r="G38" s="11">
        <f t="shared" si="0"/>
        <v>3663.7931034482763</v>
      </c>
      <c r="H38" s="11">
        <f t="shared" si="1"/>
        <v>2878.6796551724142</v>
      </c>
      <c r="I38" s="11">
        <f t="shared" si="2"/>
        <v>5054.5250000000005</v>
      </c>
      <c r="J38" s="11">
        <f t="shared" si="3"/>
        <v>8718.3181034482768</v>
      </c>
      <c r="K38" s="11">
        <f t="shared" si="4"/>
        <v>122173.79500000001</v>
      </c>
      <c r="L38" s="11">
        <f t="shared" si="5"/>
        <v>4276.0828250000004</v>
      </c>
      <c r="M38" s="9">
        <f t="shared" si="6"/>
        <v>17098.789999999994</v>
      </c>
      <c r="N38" s="9">
        <v>129366.73</v>
      </c>
      <c r="O38" s="9">
        <v>146465.51999999999</v>
      </c>
    </row>
    <row r="39" spans="1:15">
      <c r="A39" s="5" t="s">
        <v>206</v>
      </c>
      <c r="B39" t="s">
        <v>13</v>
      </c>
      <c r="C39" s="3">
        <v>42590</v>
      </c>
      <c r="D39" s="11">
        <v>48500</v>
      </c>
      <c r="E39" s="11">
        <v>8000</v>
      </c>
      <c r="F39" s="11">
        <v>16510.400000000001</v>
      </c>
      <c r="G39" s="11">
        <f t="shared" si="0"/>
        <v>3448.2758620689656</v>
      </c>
      <c r="H39" s="11">
        <f t="shared" si="1"/>
        <v>1850.3034482758624</v>
      </c>
      <c r="I39" s="11">
        <f t="shared" si="2"/>
        <v>1697.5000000000002</v>
      </c>
      <c r="J39" s="11">
        <f t="shared" si="3"/>
        <v>5145.7758620689656</v>
      </c>
      <c r="K39" s="11">
        <f t="shared" si="4"/>
        <v>38292.1</v>
      </c>
      <c r="L39" s="11">
        <f t="shared" si="5"/>
        <v>1340.2235000000001</v>
      </c>
      <c r="M39" s="9">
        <f t="shared" si="6"/>
        <v>-4464.0599999999977</v>
      </c>
      <c r="N39" s="9">
        <v>171274.4</v>
      </c>
      <c r="O39" s="9">
        <v>166810.34</v>
      </c>
    </row>
    <row r="40" spans="1:15">
      <c r="A40" s="5" t="s">
        <v>207</v>
      </c>
      <c r="B40" t="s">
        <v>17</v>
      </c>
      <c r="C40" s="3">
        <v>42590</v>
      </c>
      <c r="D40" s="11">
        <v>152534.09</v>
      </c>
      <c r="E40" s="11">
        <v>1500</v>
      </c>
      <c r="F40" s="11">
        <v>22005.119999999999</v>
      </c>
      <c r="G40" s="11">
        <f t="shared" si="0"/>
        <v>646.55172413793105</v>
      </c>
      <c r="H40" s="11">
        <f t="shared" si="1"/>
        <v>2466.0910344827585</v>
      </c>
      <c r="I40" s="11">
        <f t="shared" si="2"/>
        <v>5338.6931500000001</v>
      </c>
      <c r="J40" s="11">
        <f t="shared" si="3"/>
        <v>5985.2448741379312</v>
      </c>
      <c r="K40" s="11">
        <f t="shared" si="4"/>
        <v>126690.27684999999</v>
      </c>
      <c r="L40" s="11">
        <f t="shared" si="5"/>
        <v>4434.1596897500003</v>
      </c>
      <c r="M40" s="9">
        <f t="shared" si="6"/>
        <v>-3930.6000000000058</v>
      </c>
      <c r="N40" s="9">
        <v>159878.88</v>
      </c>
      <c r="O40" s="9">
        <v>155948.28</v>
      </c>
    </row>
    <row r="41" spans="1:15">
      <c r="A41" s="5" t="s">
        <v>208</v>
      </c>
      <c r="B41" t="s">
        <v>17</v>
      </c>
      <c r="C41" s="3">
        <v>42591</v>
      </c>
      <c r="D41" s="11">
        <v>152534.09</v>
      </c>
      <c r="E41" s="11">
        <v>15000</v>
      </c>
      <c r="F41" s="11">
        <v>22005.119999999999</v>
      </c>
      <c r="G41" s="11">
        <f t="shared" ref="G41:G72" si="7">(E41/1.16)*0.5</f>
        <v>6465.5172413793107</v>
      </c>
      <c r="H41" s="11">
        <f t="shared" ref="H41:H72" si="8">(F41/1.16)*0.13</f>
        <v>2466.0910344827585</v>
      </c>
      <c r="I41" s="11">
        <f t="shared" ref="I41:I72" si="9">D41*3.5%</f>
        <v>5338.6931500000001</v>
      </c>
      <c r="J41" s="11">
        <f t="shared" ref="J41:J72" si="10">+G41+I41</f>
        <v>11804.210391379311</v>
      </c>
      <c r="K41" s="11">
        <f t="shared" ref="K41:K72" si="11">SUM(+D41+E41-F41-I41)</f>
        <v>140190.27684999999</v>
      </c>
      <c r="L41" s="11">
        <f t="shared" ref="L41:L72" si="12">K41*$L$8</f>
        <v>4906.6596897500003</v>
      </c>
      <c r="M41" s="9">
        <f t="shared" ref="M41:M72" si="13">O41-N41</f>
        <v>-3930.6000000000058</v>
      </c>
      <c r="N41" s="9">
        <v>159878.88</v>
      </c>
      <c r="O41" s="9">
        <v>155948.28</v>
      </c>
    </row>
    <row r="42" spans="1:15">
      <c r="A42" s="5" t="s">
        <v>209</v>
      </c>
      <c r="B42" t="s">
        <v>52</v>
      </c>
      <c r="C42" s="3">
        <v>42591</v>
      </c>
      <c r="D42" s="11">
        <v>165200</v>
      </c>
      <c r="E42" s="11"/>
      <c r="F42" s="11">
        <v>29602.61</v>
      </c>
      <c r="G42" s="11">
        <f t="shared" si="7"/>
        <v>0</v>
      </c>
      <c r="H42" s="11">
        <f t="shared" si="8"/>
        <v>3317.5338793103451</v>
      </c>
      <c r="I42" s="11">
        <f t="shared" si="9"/>
        <v>5782.0000000000009</v>
      </c>
      <c r="J42" s="11">
        <f t="shared" si="10"/>
        <v>5782.0000000000009</v>
      </c>
      <c r="K42" s="11">
        <f t="shared" si="11"/>
        <v>129815.39000000001</v>
      </c>
      <c r="L42" s="11">
        <f t="shared" si="12"/>
        <v>4543.5386500000013</v>
      </c>
      <c r="M42" s="9">
        <f t="shared" si="13"/>
        <v>6022.5200000000186</v>
      </c>
      <c r="N42" s="9">
        <v>222598.18</v>
      </c>
      <c r="O42" s="9">
        <v>228620.7</v>
      </c>
    </row>
    <row r="43" spans="1:15">
      <c r="A43" s="5" t="s">
        <v>210</v>
      </c>
      <c r="B43" t="s">
        <v>17</v>
      </c>
      <c r="C43" s="3">
        <v>42591</v>
      </c>
      <c r="D43" s="11">
        <v>143100</v>
      </c>
      <c r="E43" s="11">
        <v>15000</v>
      </c>
      <c r="F43" s="11">
        <v>23686.720000000001</v>
      </c>
      <c r="G43" s="11">
        <f t="shared" si="7"/>
        <v>6465.5172413793107</v>
      </c>
      <c r="H43" s="11">
        <f t="shared" si="8"/>
        <v>2654.5462068965521</v>
      </c>
      <c r="I43" s="11">
        <f t="shared" si="9"/>
        <v>5008.5000000000009</v>
      </c>
      <c r="J43" s="11">
        <f t="shared" si="10"/>
        <v>11474.017241379312</v>
      </c>
      <c r="K43" s="11">
        <f t="shared" si="11"/>
        <v>129404.78</v>
      </c>
      <c r="L43" s="11">
        <f t="shared" si="12"/>
        <v>4529.1673000000001</v>
      </c>
      <c r="M43" s="9">
        <f t="shared" si="13"/>
        <v>-1288.9400000000023</v>
      </c>
      <c r="N43" s="9">
        <v>176375.15</v>
      </c>
      <c r="O43" s="9">
        <v>175086.21</v>
      </c>
    </row>
    <row r="44" spans="1:15">
      <c r="A44" s="5" t="s">
        <v>211</v>
      </c>
      <c r="B44" t="s">
        <v>17</v>
      </c>
      <c r="C44" s="3">
        <v>42591</v>
      </c>
      <c r="D44" s="11">
        <v>180810</v>
      </c>
      <c r="E44" s="11">
        <v>8500</v>
      </c>
      <c r="F44" s="11">
        <v>23520.080000000002</v>
      </c>
      <c r="G44" s="11">
        <f t="shared" si="7"/>
        <v>3663.7931034482763</v>
      </c>
      <c r="H44" s="11">
        <f t="shared" si="8"/>
        <v>2635.8710344827591</v>
      </c>
      <c r="I44" s="11">
        <f t="shared" si="9"/>
        <v>6328.35</v>
      </c>
      <c r="J44" s="11">
        <f t="shared" si="10"/>
        <v>9992.1431034482775</v>
      </c>
      <c r="K44" s="11">
        <f t="shared" si="11"/>
        <v>159461.56999999998</v>
      </c>
      <c r="L44" s="11">
        <f t="shared" si="12"/>
        <v>5581.1549500000001</v>
      </c>
      <c r="M44" s="9">
        <f t="shared" si="13"/>
        <v>-931.29999999998836</v>
      </c>
      <c r="N44" s="9">
        <v>174120.95999999999</v>
      </c>
      <c r="O44" s="9">
        <v>173189.66</v>
      </c>
    </row>
    <row r="45" spans="1:15">
      <c r="A45" s="5" t="s">
        <v>212</v>
      </c>
      <c r="B45" t="s">
        <v>17</v>
      </c>
      <c r="C45" s="3">
        <v>42591</v>
      </c>
      <c r="D45" s="11">
        <v>130585</v>
      </c>
      <c r="E45" s="11"/>
      <c r="F45" s="11">
        <v>6228.02</v>
      </c>
      <c r="G45" s="11">
        <f t="shared" si="7"/>
        <v>0</v>
      </c>
      <c r="H45" s="11">
        <f t="shared" si="8"/>
        <v>697.96775862068978</v>
      </c>
      <c r="I45" s="11">
        <f t="shared" si="9"/>
        <v>4570.4750000000004</v>
      </c>
      <c r="J45" s="11">
        <f t="shared" si="10"/>
        <v>4570.4750000000004</v>
      </c>
      <c r="K45" s="11">
        <f t="shared" si="11"/>
        <v>119786.50499999999</v>
      </c>
      <c r="L45" s="11">
        <f t="shared" si="12"/>
        <v>4192.5276750000003</v>
      </c>
      <c r="M45" s="9">
        <f t="shared" si="13"/>
        <v>2795.6499999999942</v>
      </c>
      <c r="N45" s="9">
        <v>170394.01</v>
      </c>
      <c r="O45" s="9">
        <v>173189.66</v>
      </c>
    </row>
    <row r="46" spans="1:15">
      <c r="A46" s="5" t="s">
        <v>213</v>
      </c>
      <c r="B46" t="s">
        <v>11</v>
      </c>
      <c r="C46" s="3">
        <v>42591</v>
      </c>
      <c r="D46" s="11">
        <v>102400</v>
      </c>
      <c r="E46" s="11"/>
      <c r="F46" s="11">
        <v>19354</v>
      </c>
      <c r="G46" s="11">
        <f t="shared" si="7"/>
        <v>0</v>
      </c>
      <c r="H46" s="11">
        <f t="shared" si="8"/>
        <v>2168.9827586206902</v>
      </c>
      <c r="I46" s="11">
        <f t="shared" si="9"/>
        <v>3584.0000000000005</v>
      </c>
      <c r="J46" s="11">
        <f t="shared" si="10"/>
        <v>3584.0000000000005</v>
      </c>
      <c r="K46" s="11">
        <f t="shared" si="11"/>
        <v>79462</v>
      </c>
      <c r="L46" s="11">
        <f t="shared" si="12"/>
        <v>2781.17</v>
      </c>
      <c r="M46" s="9">
        <f t="shared" si="13"/>
        <v>-2206.8999999999942</v>
      </c>
      <c r="N46" s="9">
        <v>128000</v>
      </c>
      <c r="O46" s="9">
        <v>125793.1</v>
      </c>
    </row>
    <row r="47" spans="1:15">
      <c r="A47" s="5" t="s">
        <v>214</v>
      </c>
      <c r="B47" t="s">
        <v>215</v>
      </c>
      <c r="C47" s="3">
        <v>42591</v>
      </c>
      <c r="D47" s="11">
        <v>83885.69</v>
      </c>
      <c r="E47" s="11"/>
      <c r="F47" s="11">
        <v>10700.6</v>
      </c>
      <c r="G47" s="11">
        <f t="shared" si="7"/>
        <v>0</v>
      </c>
      <c r="H47" s="11">
        <f t="shared" si="8"/>
        <v>1199.2051724137932</v>
      </c>
      <c r="I47" s="11">
        <f t="shared" si="9"/>
        <v>2935.9991500000006</v>
      </c>
      <c r="J47" s="11">
        <f t="shared" si="10"/>
        <v>2935.9991500000006</v>
      </c>
      <c r="K47" s="11">
        <f t="shared" si="11"/>
        <v>70249.090849999993</v>
      </c>
      <c r="L47" s="11">
        <f t="shared" si="12"/>
        <v>2458.7181797500002</v>
      </c>
      <c r="M47" s="9">
        <f t="shared" si="13"/>
        <v>0</v>
      </c>
      <c r="N47" s="9">
        <v>138000</v>
      </c>
      <c r="O47" s="9">
        <v>138000</v>
      </c>
    </row>
    <row r="48" spans="1:15">
      <c r="A48" s="5" t="s">
        <v>216</v>
      </c>
      <c r="B48" t="s">
        <v>17</v>
      </c>
      <c r="C48" s="3">
        <v>42591</v>
      </c>
      <c r="D48" s="11">
        <v>149900</v>
      </c>
      <c r="E48" s="11">
        <v>7500</v>
      </c>
      <c r="F48" s="11">
        <v>18136.669999999998</v>
      </c>
      <c r="G48" s="11">
        <f t="shared" si="7"/>
        <v>3232.7586206896553</v>
      </c>
      <c r="H48" s="11">
        <f t="shared" si="8"/>
        <v>2032.5578448275862</v>
      </c>
      <c r="I48" s="11">
        <f t="shared" si="9"/>
        <v>5246.5000000000009</v>
      </c>
      <c r="J48" s="11">
        <f t="shared" si="10"/>
        <v>8479.2586206896558</v>
      </c>
      <c r="K48" s="11">
        <f t="shared" si="11"/>
        <v>134016.83000000002</v>
      </c>
      <c r="L48" s="11">
        <f t="shared" si="12"/>
        <v>4690.5890500000014</v>
      </c>
      <c r="M48" s="9">
        <f t="shared" si="13"/>
        <v>-302.49689655171824</v>
      </c>
      <c r="N48" s="9">
        <v>187716.29</v>
      </c>
      <c r="O48" s="9">
        <f>217400/1.16</f>
        <v>187413.79310344829</v>
      </c>
    </row>
    <row r="49" spans="1:15">
      <c r="A49" s="5" t="s">
        <v>217</v>
      </c>
      <c r="B49" t="s">
        <v>11</v>
      </c>
      <c r="C49" s="3">
        <v>42591</v>
      </c>
      <c r="D49" s="11">
        <v>46372.92</v>
      </c>
      <c r="E49" s="11"/>
      <c r="F49" s="11">
        <v>9095.48</v>
      </c>
      <c r="G49" s="11">
        <f t="shared" si="7"/>
        <v>0</v>
      </c>
      <c r="H49" s="11">
        <f t="shared" si="8"/>
        <v>1019.3210344827587</v>
      </c>
      <c r="I49" s="11">
        <f t="shared" si="9"/>
        <v>1623.0522000000001</v>
      </c>
      <c r="J49" s="11">
        <f t="shared" si="10"/>
        <v>1623.0522000000001</v>
      </c>
      <c r="K49" s="11">
        <f t="shared" si="11"/>
        <v>35654.387800000004</v>
      </c>
      <c r="L49" s="11">
        <f t="shared" si="12"/>
        <v>1247.9035730000003</v>
      </c>
      <c r="M49" s="9">
        <f t="shared" si="13"/>
        <v>959.91999999999825</v>
      </c>
      <c r="N49" s="9">
        <v>119988.36</v>
      </c>
      <c r="O49" s="9">
        <v>120948.28</v>
      </c>
    </row>
    <row r="50" spans="1:15">
      <c r="A50" s="5" t="s">
        <v>218</v>
      </c>
      <c r="B50" t="s">
        <v>43</v>
      </c>
      <c r="C50" s="3">
        <v>42592</v>
      </c>
      <c r="D50" s="11">
        <v>234780</v>
      </c>
      <c r="E50" s="11">
        <v>16200</v>
      </c>
      <c r="F50" s="11">
        <v>34931.449999999997</v>
      </c>
      <c r="G50" s="11">
        <f t="shared" si="7"/>
        <v>6982.7586206896558</v>
      </c>
      <c r="H50" s="11">
        <f t="shared" si="8"/>
        <v>3914.7314655172418</v>
      </c>
      <c r="I50" s="11">
        <f t="shared" si="9"/>
        <v>8217.3000000000011</v>
      </c>
      <c r="J50" s="11">
        <f t="shared" si="10"/>
        <v>15200.058620689657</v>
      </c>
      <c r="K50" s="11">
        <f t="shared" si="11"/>
        <v>207831.25</v>
      </c>
      <c r="L50" s="11">
        <f t="shared" si="12"/>
        <v>7274.0937500000009</v>
      </c>
      <c r="M50" s="9">
        <f t="shared" si="13"/>
        <v>5448.1900000000023</v>
      </c>
      <c r="N50" s="9">
        <v>305931.11</v>
      </c>
      <c r="O50" s="9">
        <v>311379.3</v>
      </c>
    </row>
    <row r="51" spans="1:15">
      <c r="A51" s="5" t="s">
        <v>219</v>
      </c>
      <c r="B51" t="s">
        <v>43</v>
      </c>
      <c r="C51" s="3">
        <v>42592</v>
      </c>
      <c r="D51" s="11">
        <v>248397.78</v>
      </c>
      <c r="E51" s="11"/>
      <c r="F51" s="11">
        <v>13642.11</v>
      </c>
      <c r="G51" s="11">
        <f t="shared" si="7"/>
        <v>0</v>
      </c>
      <c r="H51" s="11">
        <f t="shared" si="8"/>
        <v>1528.857155172414</v>
      </c>
      <c r="I51" s="11">
        <f t="shared" si="9"/>
        <v>8693.9223000000002</v>
      </c>
      <c r="J51" s="11">
        <f t="shared" si="10"/>
        <v>8693.9223000000002</v>
      </c>
      <c r="K51" s="11">
        <f t="shared" si="11"/>
        <v>226061.74769999998</v>
      </c>
      <c r="L51" s="11">
        <f t="shared" si="12"/>
        <v>7912.1611695000001</v>
      </c>
      <c r="M51" s="9">
        <f t="shared" si="13"/>
        <v>6937.4799999999814</v>
      </c>
      <c r="N51" s="9">
        <v>327631.49</v>
      </c>
      <c r="O51" s="9">
        <v>334568.96999999997</v>
      </c>
    </row>
    <row r="52" spans="1:15">
      <c r="A52" s="5" t="s">
        <v>220</v>
      </c>
      <c r="B52" t="s">
        <v>17</v>
      </c>
      <c r="C52" s="3">
        <v>42592</v>
      </c>
      <c r="D52" s="11">
        <v>162480</v>
      </c>
      <c r="E52" s="11">
        <v>15500</v>
      </c>
      <c r="F52" s="11">
        <v>22208.48</v>
      </c>
      <c r="G52" s="11">
        <f t="shared" si="7"/>
        <v>6681.0344827586214</v>
      </c>
      <c r="H52" s="11">
        <f t="shared" si="8"/>
        <v>2488.881379310345</v>
      </c>
      <c r="I52" s="11">
        <f t="shared" si="9"/>
        <v>5686.8</v>
      </c>
      <c r="J52" s="11">
        <f t="shared" si="10"/>
        <v>12367.834482758622</v>
      </c>
      <c r="K52" s="11">
        <f t="shared" si="11"/>
        <v>150084.72</v>
      </c>
      <c r="L52" s="11">
        <f t="shared" si="12"/>
        <v>5252.9652000000006</v>
      </c>
      <c r="M52" s="9">
        <f t="shared" si="13"/>
        <v>455.83999999999651</v>
      </c>
      <c r="N52" s="9">
        <v>174630.37</v>
      </c>
      <c r="O52" s="9">
        <v>175086.21</v>
      </c>
    </row>
    <row r="53" spans="1:15">
      <c r="A53" s="5" t="s">
        <v>221</v>
      </c>
      <c r="B53" t="s">
        <v>17</v>
      </c>
      <c r="C53" s="3">
        <v>42592</v>
      </c>
      <c r="D53" s="11">
        <v>152900</v>
      </c>
      <c r="E53" s="11">
        <v>10700</v>
      </c>
      <c r="F53" s="11">
        <v>23894.76</v>
      </c>
      <c r="G53" s="11">
        <f t="shared" si="7"/>
        <v>4612.0689655172418</v>
      </c>
      <c r="H53" s="11">
        <f t="shared" si="8"/>
        <v>2677.8610344827584</v>
      </c>
      <c r="I53" s="11">
        <f t="shared" si="9"/>
        <v>5351.5000000000009</v>
      </c>
      <c r="J53" s="11">
        <f t="shared" si="10"/>
        <v>9963.5689655172428</v>
      </c>
      <c r="K53" s="11">
        <f t="shared" si="11"/>
        <v>134353.74</v>
      </c>
      <c r="L53" s="11">
        <f t="shared" si="12"/>
        <v>4702.3809000000001</v>
      </c>
      <c r="M53" s="9">
        <f t="shared" si="13"/>
        <v>-931.29999999998836</v>
      </c>
      <c r="N53" s="9">
        <v>174120.95999999999</v>
      </c>
      <c r="O53" s="9">
        <v>173189.66</v>
      </c>
    </row>
    <row r="54" spans="1:15">
      <c r="A54" s="5" t="s">
        <v>222</v>
      </c>
      <c r="B54" t="s">
        <v>17</v>
      </c>
      <c r="C54" s="3">
        <v>42592</v>
      </c>
      <c r="D54" s="11">
        <v>182810</v>
      </c>
      <c r="E54" s="11">
        <v>10700</v>
      </c>
      <c r="F54" s="11">
        <v>23861.43</v>
      </c>
      <c r="G54" s="11">
        <f t="shared" si="7"/>
        <v>4612.0689655172418</v>
      </c>
      <c r="H54" s="11">
        <f t="shared" si="8"/>
        <v>2674.1257758620691</v>
      </c>
      <c r="I54" s="11">
        <f t="shared" si="9"/>
        <v>6398.35</v>
      </c>
      <c r="J54" s="11">
        <f t="shared" si="10"/>
        <v>11010.418965517241</v>
      </c>
      <c r="K54" s="11">
        <f t="shared" si="11"/>
        <v>163250.22</v>
      </c>
      <c r="L54" s="11">
        <f t="shared" si="12"/>
        <v>5713.757700000001</v>
      </c>
      <c r="M54" s="9">
        <f t="shared" si="13"/>
        <v>-931.29999999998836</v>
      </c>
      <c r="N54" s="9">
        <v>174120.95999999999</v>
      </c>
      <c r="O54" s="9">
        <v>173189.66</v>
      </c>
    </row>
    <row r="55" spans="1:15">
      <c r="A55" s="5" t="s">
        <v>223</v>
      </c>
      <c r="B55" t="s">
        <v>13</v>
      </c>
      <c r="C55" s="3">
        <v>42592</v>
      </c>
      <c r="D55" s="11">
        <v>81391.41</v>
      </c>
      <c r="E55" s="11">
        <v>10000</v>
      </c>
      <c r="F55" s="11">
        <v>17813.240000000002</v>
      </c>
      <c r="G55" s="11">
        <f t="shared" si="7"/>
        <v>4310.3448275862074</v>
      </c>
      <c r="H55" s="11">
        <f t="shared" si="8"/>
        <v>1996.3113793103453</v>
      </c>
      <c r="I55" s="11">
        <f t="shared" si="9"/>
        <v>2848.6993500000003</v>
      </c>
      <c r="J55" s="11">
        <f t="shared" si="10"/>
        <v>7159.0441775862073</v>
      </c>
      <c r="K55" s="11">
        <f t="shared" si="11"/>
        <v>70729.470650000003</v>
      </c>
      <c r="L55" s="11">
        <f t="shared" si="12"/>
        <v>2475.5314727500004</v>
      </c>
      <c r="M55" s="9">
        <f t="shared" si="13"/>
        <v>-57.799999999988358</v>
      </c>
      <c r="N55" s="9">
        <v>147040.56</v>
      </c>
      <c r="O55" s="9">
        <v>146982.76</v>
      </c>
    </row>
    <row r="56" spans="1:15">
      <c r="A56" s="5" t="s">
        <v>224</v>
      </c>
      <c r="B56" t="s">
        <v>17</v>
      </c>
      <c r="C56" s="3">
        <v>42594</v>
      </c>
      <c r="D56" s="11">
        <v>180810</v>
      </c>
      <c r="E56" s="11">
        <v>8500</v>
      </c>
      <c r="F56" s="11">
        <v>23520.080000000002</v>
      </c>
      <c r="G56" s="11">
        <f t="shared" si="7"/>
        <v>3663.7931034482763</v>
      </c>
      <c r="H56" s="11">
        <f t="shared" si="8"/>
        <v>2635.8710344827591</v>
      </c>
      <c r="I56" s="11">
        <f t="shared" si="9"/>
        <v>6328.35</v>
      </c>
      <c r="J56" s="11">
        <f t="shared" si="10"/>
        <v>9992.1431034482775</v>
      </c>
      <c r="K56" s="11">
        <f t="shared" si="11"/>
        <v>159461.56999999998</v>
      </c>
      <c r="L56" s="11">
        <f t="shared" si="12"/>
        <v>5581.1549500000001</v>
      </c>
      <c r="M56" s="9">
        <f t="shared" si="13"/>
        <v>-1440.7099999999919</v>
      </c>
      <c r="N56" s="9">
        <v>174630.37</v>
      </c>
      <c r="O56" s="9">
        <v>173189.66</v>
      </c>
    </row>
    <row r="57" spans="1:15">
      <c r="A57" s="5" t="s">
        <v>225</v>
      </c>
      <c r="B57" t="s">
        <v>52</v>
      </c>
      <c r="C57" s="3">
        <v>42593</v>
      </c>
      <c r="D57" s="11">
        <v>153081.29999999999</v>
      </c>
      <c r="E57" s="11"/>
      <c r="F57" s="11">
        <v>15671.48</v>
      </c>
      <c r="G57" s="11">
        <f t="shared" si="7"/>
        <v>0</v>
      </c>
      <c r="H57" s="11">
        <f t="shared" si="8"/>
        <v>1756.286551724138</v>
      </c>
      <c r="I57" s="11">
        <f t="shared" si="9"/>
        <v>5357.8455000000004</v>
      </c>
      <c r="J57" s="11">
        <f t="shared" si="10"/>
        <v>5357.8455000000004</v>
      </c>
      <c r="K57" s="11">
        <f t="shared" si="11"/>
        <v>132051.97449999998</v>
      </c>
      <c r="L57" s="11">
        <f t="shared" si="12"/>
        <v>4621.8191074999995</v>
      </c>
      <c r="M57" s="9">
        <f t="shared" si="13"/>
        <v>9741.4700000000012</v>
      </c>
      <c r="N57" s="9">
        <v>232241.28</v>
      </c>
      <c r="O57" s="9">
        <v>241982.75</v>
      </c>
    </row>
    <row r="58" spans="1:15">
      <c r="A58" s="5" t="s">
        <v>226</v>
      </c>
      <c r="B58" t="s">
        <v>22</v>
      </c>
      <c r="C58" s="3">
        <v>42594</v>
      </c>
      <c r="D58" s="11">
        <v>73080.179999999993</v>
      </c>
      <c r="E58" s="11">
        <v>13000</v>
      </c>
      <c r="F58" s="11">
        <v>8524.8799999999992</v>
      </c>
      <c r="G58" s="11">
        <f t="shared" si="7"/>
        <v>5603.4482758620697</v>
      </c>
      <c r="H58" s="11">
        <f t="shared" si="8"/>
        <v>955.37448275862073</v>
      </c>
      <c r="I58" s="11">
        <f t="shared" si="9"/>
        <v>2557.8063000000002</v>
      </c>
      <c r="J58" s="11">
        <f t="shared" si="10"/>
        <v>8161.2545758620699</v>
      </c>
      <c r="K58" s="11">
        <f t="shared" si="11"/>
        <v>74997.493699999992</v>
      </c>
      <c r="L58" s="11">
        <f t="shared" si="12"/>
        <v>2624.9122794999998</v>
      </c>
      <c r="M58" s="9">
        <f t="shared" si="13"/>
        <v>126.75</v>
      </c>
      <c r="N58" s="9">
        <v>250993.94</v>
      </c>
      <c r="O58" s="9">
        <v>251120.69</v>
      </c>
    </row>
    <row r="59" spans="1:15">
      <c r="A59" s="5" t="s">
        <v>227</v>
      </c>
      <c r="B59" t="s">
        <v>43</v>
      </c>
      <c r="C59" s="3">
        <v>42593</v>
      </c>
      <c r="D59" s="11">
        <v>169336.65</v>
      </c>
      <c r="E59" s="11"/>
      <c r="F59" s="11">
        <v>23873.38</v>
      </c>
      <c r="G59" s="11">
        <f t="shared" si="7"/>
        <v>0</v>
      </c>
      <c r="H59" s="11">
        <f t="shared" si="8"/>
        <v>2675.4650000000006</v>
      </c>
      <c r="I59" s="11">
        <f t="shared" si="9"/>
        <v>5926.7827500000003</v>
      </c>
      <c r="J59" s="11">
        <f t="shared" si="10"/>
        <v>5926.7827500000003</v>
      </c>
      <c r="K59" s="11">
        <f t="shared" si="11"/>
        <v>139536.48724999998</v>
      </c>
      <c r="L59" s="11">
        <f t="shared" si="12"/>
        <v>4883.7770537500001</v>
      </c>
      <c r="M59" s="9">
        <f t="shared" si="13"/>
        <v>12517.160000000033</v>
      </c>
      <c r="N59" s="9">
        <v>305931.11</v>
      </c>
      <c r="O59" s="9">
        <v>318448.27</v>
      </c>
    </row>
    <row r="60" spans="1:15">
      <c r="A60" s="5" t="s">
        <v>228</v>
      </c>
      <c r="B60" t="s">
        <v>11</v>
      </c>
      <c r="C60" s="3">
        <v>42594</v>
      </c>
      <c r="D60" s="11">
        <v>103060</v>
      </c>
      <c r="E60" s="11">
        <v>8000</v>
      </c>
      <c r="F60" s="11">
        <v>9745.82</v>
      </c>
      <c r="G60" s="11">
        <f t="shared" si="7"/>
        <v>3448.2758620689656</v>
      </c>
      <c r="H60" s="11">
        <f t="shared" si="8"/>
        <v>1092.2039655172414</v>
      </c>
      <c r="I60" s="11">
        <f t="shared" si="9"/>
        <v>3607.1000000000004</v>
      </c>
      <c r="J60" s="11">
        <f t="shared" si="10"/>
        <v>7055.3758620689659</v>
      </c>
      <c r="K60" s="11">
        <f t="shared" si="11"/>
        <v>97707.079999999987</v>
      </c>
      <c r="L60" s="11">
        <f t="shared" si="12"/>
        <v>3419.7478000000001</v>
      </c>
      <c r="M60" s="9">
        <f t="shared" si="13"/>
        <v>-6043.3800000000047</v>
      </c>
      <c r="N60" s="9">
        <v>141560.62</v>
      </c>
      <c r="O60" s="9">
        <v>135517.24</v>
      </c>
    </row>
    <row r="61" spans="1:15">
      <c r="A61" s="5" t="s">
        <v>229</v>
      </c>
      <c r="B61" t="s">
        <v>11</v>
      </c>
      <c r="C61" s="3">
        <v>42594</v>
      </c>
      <c r="D61" s="11">
        <v>144480</v>
      </c>
      <c r="E61" s="11"/>
      <c r="F61" s="11">
        <v>25113</v>
      </c>
      <c r="G61" s="11">
        <f t="shared" si="7"/>
        <v>0</v>
      </c>
      <c r="H61" s="11">
        <f t="shared" si="8"/>
        <v>2814.3879310344832</v>
      </c>
      <c r="I61" s="11">
        <f t="shared" si="9"/>
        <v>5056.8</v>
      </c>
      <c r="J61" s="11">
        <f t="shared" si="10"/>
        <v>5056.8</v>
      </c>
      <c r="K61" s="11">
        <f t="shared" si="11"/>
        <v>114310.2</v>
      </c>
      <c r="L61" s="11">
        <f t="shared" si="12"/>
        <v>4000.8570000000004</v>
      </c>
      <c r="M61" s="9">
        <f t="shared" si="13"/>
        <v>-1733.0299999999988</v>
      </c>
      <c r="N61" s="9">
        <v>141560.62</v>
      </c>
      <c r="O61" s="9">
        <v>139827.59</v>
      </c>
    </row>
    <row r="62" spans="1:15">
      <c r="A62" s="5" t="s">
        <v>230</v>
      </c>
      <c r="B62" t="s">
        <v>13</v>
      </c>
      <c r="C62" s="3">
        <v>42597</v>
      </c>
      <c r="D62" s="11">
        <v>187300</v>
      </c>
      <c r="E62" s="11">
        <v>10700</v>
      </c>
      <c r="F62" s="11">
        <v>20456.73</v>
      </c>
      <c r="G62" s="11">
        <f t="shared" si="7"/>
        <v>4612.0689655172418</v>
      </c>
      <c r="H62" s="11">
        <f t="shared" si="8"/>
        <v>2292.5645689655175</v>
      </c>
      <c r="I62" s="11">
        <f t="shared" si="9"/>
        <v>6555.5000000000009</v>
      </c>
      <c r="J62" s="11">
        <f t="shared" si="10"/>
        <v>11167.568965517243</v>
      </c>
      <c r="K62" s="11">
        <f t="shared" si="11"/>
        <v>170987.77</v>
      </c>
      <c r="L62" s="11">
        <f t="shared" si="12"/>
        <v>5984.5719500000005</v>
      </c>
      <c r="M62" s="9">
        <f t="shared" si="13"/>
        <v>-2212.9799999999814</v>
      </c>
      <c r="N62" s="9">
        <v>179626.77</v>
      </c>
      <c r="O62" s="9">
        <v>177413.79</v>
      </c>
    </row>
    <row r="63" spans="1:15">
      <c r="A63" s="5" t="s">
        <v>231</v>
      </c>
      <c r="B63" t="s">
        <v>11</v>
      </c>
      <c r="C63" s="3">
        <v>42597</v>
      </c>
      <c r="D63" s="11">
        <v>127620</v>
      </c>
      <c r="E63" s="11">
        <v>8500</v>
      </c>
      <c r="F63" s="11">
        <v>17810.78</v>
      </c>
      <c r="G63" s="11">
        <f t="shared" si="7"/>
        <v>3663.7931034482763</v>
      </c>
      <c r="H63" s="11">
        <f t="shared" si="8"/>
        <v>1996.0356896551725</v>
      </c>
      <c r="I63" s="11">
        <f t="shared" si="9"/>
        <v>4466.7000000000007</v>
      </c>
      <c r="J63" s="11">
        <f t="shared" si="10"/>
        <v>8130.493103448277</v>
      </c>
      <c r="K63" s="11">
        <f t="shared" si="11"/>
        <v>113842.52</v>
      </c>
      <c r="L63" s="11">
        <f t="shared" si="12"/>
        <v>3984.4882000000007</v>
      </c>
      <c r="M63" s="9">
        <f t="shared" si="13"/>
        <v>2253.0200000000041</v>
      </c>
      <c r="N63" s="9">
        <v>119988.36</v>
      </c>
      <c r="O63" s="9">
        <v>122241.38</v>
      </c>
    </row>
    <row r="64" spans="1:15">
      <c r="A64" s="5" t="s">
        <v>232</v>
      </c>
      <c r="B64" t="s">
        <v>22</v>
      </c>
      <c r="C64" s="3">
        <v>42597</v>
      </c>
      <c r="D64" s="11">
        <v>230000</v>
      </c>
      <c r="E64" s="11">
        <v>9000</v>
      </c>
      <c r="F64" s="11">
        <v>21589.68</v>
      </c>
      <c r="G64" s="11">
        <f t="shared" si="7"/>
        <v>3879.3103448275865</v>
      </c>
      <c r="H64" s="11">
        <f t="shared" si="8"/>
        <v>2419.5331034482765</v>
      </c>
      <c r="I64" s="11">
        <f t="shared" si="9"/>
        <v>8050.0000000000009</v>
      </c>
      <c r="J64" s="11">
        <f t="shared" si="10"/>
        <v>11929.310344827587</v>
      </c>
      <c r="K64" s="11">
        <f t="shared" si="11"/>
        <v>209360.32</v>
      </c>
      <c r="L64" s="11">
        <f t="shared" si="12"/>
        <v>7327.6112000000012</v>
      </c>
      <c r="M64" s="9">
        <f t="shared" si="13"/>
        <v>-7155.1699999999837</v>
      </c>
      <c r="N64" s="9">
        <v>250258.62</v>
      </c>
      <c r="O64" s="9">
        <v>243103.45</v>
      </c>
    </row>
    <row r="65" spans="1:15">
      <c r="A65" s="5" t="s">
        <v>233</v>
      </c>
      <c r="B65" t="s">
        <v>17</v>
      </c>
      <c r="C65" s="3">
        <v>42597</v>
      </c>
      <c r="D65" s="11">
        <v>178840.01</v>
      </c>
      <c r="E65" s="11">
        <v>15000</v>
      </c>
      <c r="F65" s="11">
        <v>19821.03</v>
      </c>
      <c r="G65" s="11">
        <f t="shared" si="7"/>
        <v>6465.5172413793107</v>
      </c>
      <c r="H65" s="11">
        <f t="shared" si="8"/>
        <v>2221.3223275862069</v>
      </c>
      <c r="I65" s="11">
        <f t="shared" si="9"/>
        <v>6259.4003500000008</v>
      </c>
      <c r="J65" s="11">
        <f t="shared" si="10"/>
        <v>12724.917591379311</v>
      </c>
      <c r="K65" s="11">
        <f t="shared" si="11"/>
        <v>167759.57965</v>
      </c>
      <c r="L65" s="11">
        <f t="shared" si="12"/>
        <v>5871.5852877500001</v>
      </c>
      <c r="M65" s="9">
        <f t="shared" si="13"/>
        <v>6287.0286206896708</v>
      </c>
      <c r="N65" s="9">
        <v>183195.73</v>
      </c>
      <c r="O65" s="9">
        <f>219800/1.16</f>
        <v>189482.75862068968</v>
      </c>
    </row>
    <row r="66" spans="1:15">
      <c r="A66" s="5" t="s">
        <v>234</v>
      </c>
      <c r="B66" t="s">
        <v>13</v>
      </c>
      <c r="C66" s="3">
        <v>42598</v>
      </c>
      <c r="D66" s="11">
        <v>81800</v>
      </c>
      <c r="E66" s="12">
        <v>6500</v>
      </c>
      <c r="F66" s="11">
        <v>7407.05</v>
      </c>
      <c r="G66" s="11">
        <f t="shared" si="7"/>
        <v>2801.7241379310349</v>
      </c>
      <c r="H66" s="11">
        <f t="shared" si="8"/>
        <v>830.10043103448288</v>
      </c>
      <c r="I66" s="11">
        <f t="shared" si="9"/>
        <v>2863.0000000000005</v>
      </c>
      <c r="J66" s="11">
        <f t="shared" si="10"/>
        <v>5664.7241379310353</v>
      </c>
      <c r="K66" s="11">
        <f t="shared" si="11"/>
        <v>78029.95</v>
      </c>
      <c r="L66" s="11">
        <f t="shared" si="12"/>
        <v>2731.0482500000003</v>
      </c>
      <c r="M66" s="9">
        <f t="shared" si="13"/>
        <v>4149.1000000000058</v>
      </c>
      <c r="N66" s="9">
        <v>160075.04</v>
      </c>
      <c r="O66" s="9">
        <v>164224.14000000001</v>
      </c>
    </row>
    <row r="67" spans="1:15">
      <c r="A67" s="5" t="s">
        <v>235</v>
      </c>
      <c r="B67" t="s">
        <v>43</v>
      </c>
      <c r="C67" s="3">
        <v>42598</v>
      </c>
      <c r="D67" s="11">
        <v>269685</v>
      </c>
      <c r="E67" s="11"/>
      <c r="F67" s="11">
        <v>13255.08</v>
      </c>
      <c r="G67" s="11">
        <f t="shared" si="7"/>
        <v>0</v>
      </c>
      <c r="H67" s="11">
        <f t="shared" si="8"/>
        <v>1485.4831034482761</v>
      </c>
      <c r="I67" s="11">
        <f t="shared" si="9"/>
        <v>9438.9750000000004</v>
      </c>
      <c r="J67" s="11">
        <f t="shared" si="10"/>
        <v>9438.9750000000004</v>
      </c>
      <c r="K67" s="11">
        <f t="shared" si="11"/>
        <v>246990.94500000001</v>
      </c>
      <c r="L67" s="11">
        <f t="shared" si="12"/>
        <v>8644.6830750000008</v>
      </c>
      <c r="M67" s="9">
        <f t="shared" si="13"/>
        <v>23395.139999999956</v>
      </c>
      <c r="N67" s="9">
        <v>334277.27</v>
      </c>
      <c r="O67" s="9">
        <v>357672.41</v>
      </c>
    </row>
    <row r="68" spans="1:15">
      <c r="A68" s="5" t="s">
        <v>236</v>
      </c>
      <c r="B68" t="s">
        <v>237</v>
      </c>
      <c r="C68" s="3">
        <v>42597</v>
      </c>
      <c r="D68" s="11">
        <v>387900</v>
      </c>
      <c r="E68" s="11">
        <v>12100</v>
      </c>
      <c r="F68" s="11">
        <v>66245.27</v>
      </c>
      <c r="G68" s="11">
        <f t="shared" si="7"/>
        <v>5215.5172413793107</v>
      </c>
      <c r="H68" s="11">
        <f t="shared" si="8"/>
        <v>7424.0388793103466</v>
      </c>
      <c r="I68" s="11">
        <f t="shared" si="9"/>
        <v>13576.500000000002</v>
      </c>
      <c r="J68" s="11">
        <f t="shared" si="10"/>
        <v>18792.017241379312</v>
      </c>
      <c r="K68" s="11">
        <f t="shared" si="11"/>
        <v>320178.23</v>
      </c>
      <c r="L68" s="11">
        <f t="shared" si="12"/>
        <v>11206.23805</v>
      </c>
      <c r="M68" s="9">
        <f t="shared" si="13"/>
        <v>65991.620344827592</v>
      </c>
      <c r="N68" s="9">
        <v>352887.69</v>
      </c>
      <c r="O68" s="9">
        <f>485900/1.16</f>
        <v>418879.31034482759</v>
      </c>
    </row>
    <row r="69" spans="1:15">
      <c r="A69" s="5" t="s">
        <v>238</v>
      </c>
      <c r="B69" t="s">
        <v>52</v>
      </c>
      <c r="C69" s="3">
        <v>42594</v>
      </c>
      <c r="D69" s="11">
        <v>85490.880000000005</v>
      </c>
      <c r="E69" s="11"/>
      <c r="F69" s="11">
        <v>15074.99</v>
      </c>
      <c r="G69" s="11">
        <f t="shared" si="7"/>
        <v>0</v>
      </c>
      <c r="H69" s="11">
        <f t="shared" si="8"/>
        <v>1689.4385344827588</v>
      </c>
      <c r="I69" s="11">
        <f t="shared" si="9"/>
        <v>2992.1808000000005</v>
      </c>
      <c r="J69" s="11">
        <f t="shared" si="10"/>
        <v>2992.1808000000005</v>
      </c>
      <c r="K69" s="11">
        <f t="shared" si="11"/>
        <v>67423.709199999998</v>
      </c>
      <c r="L69" s="11">
        <f t="shared" si="12"/>
        <v>2359.8298220000001</v>
      </c>
      <c r="M69" s="9">
        <f t="shared" si="13"/>
        <v>5367.4500000000116</v>
      </c>
      <c r="N69" s="9">
        <v>223253.25</v>
      </c>
      <c r="O69" s="9">
        <v>228620.7</v>
      </c>
    </row>
    <row r="70" spans="1:15">
      <c r="A70" s="5" t="s">
        <v>239</v>
      </c>
      <c r="B70" t="s">
        <v>13</v>
      </c>
      <c r="C70" s="3">
        <v>42597</v>
      </c>
      <c r="D70" s="11">
        <v>175800</v>
      </c>
      <c r="E70" s="11">
        <v>15100</v>
      </c>
      <c r="F70" s="11">
        <v>20991.200000000001</v>
      </c>
      <c r="G70" s="11">
        <f t="shared" si="7"/>
        <v>6508.620689655173</v>
      </c>
      <c r="H70" s="11">
        <f t="shared" si="8"/>
        <v>2352.4620689655176</v>
      </c>
      <c r="I70" s="11">
        <f t="shared" si="9"/>
        <v>6153.0000000000009</v>
      </c>
      <c r="J70" s="11">
        <f t="shared" si="10"/>
        <v>12661.620689655174</v>
      </c>
      <c r="K70" s="11">
        <f t="shared" si="11"/>
        <v>163755.79999999999</v>
      </c>
      <c r="L70" s="11">
        <f t="shared" si="12"/>
        <v>5731.4530000000004</v>
      </c>
      <c r="M70" s="9">
        <f t="shared" si="13"/>
        <v>-5563.109999999986</v>
      </c>
      <c r="N70" s="9">
        <v>182976.9</v>
      </c>
      <c r="O70" s="9">
        <v>177413.79</v>
      </c>
    </row>
    <row r="71" spans="1:15">
      <c r="A71" s="5" t="s">
        <v>240</v>
      </c>
      <c r="B71" t="s">
        <v>17</v>
      </c>
      <c r="C71" s="3">
        <v>42598</v>
      </c>
      <c r="D71" s="11">
        <v>149800</v>
      </c>
      <c r="E71" s="11">
        <v>15000</v>
      </c>
      <c r="F71" s="11">
        <v>23375.45</v>
      </c>
      <c r="G71" s="11">
        <f t="shared" si="7"/>
        <v>6465.5172413793107</v>
      </c>
      <c r="H71" s="11">
        <f t="shared" si="8"/>
        <v>2619.6625000000004</v>
      </c>
      <c r="I71" s="11">
        <f t="shared" si="9"/>
        <v>5243.0000000000009</v>
      </c>
      <c r="J71" s="11">
        <f t="shared" si="10"/>
        <v>11708.517241379312</v>
      </c>
      <c r="K71" s="11">
        <f t="shared" si="11"/>
        <v>136181.54999999999</v>
      </c>
      <c r="L71" s="11">
        <f t="shared" si="12"/>
        <v>4766.3542500000003</v>
      </c>
      <c r="M71" s="9">
        <f t="shared" si="13"/>
        <v>1766.4700000000012</v>
      </c>
      <c r="N71" s="9">
        <v>187716.29</v>
      </c>
      <c r="O71" s="9">
        <v>189482.76</v>
      </c>
    </row>
    <row r="72" spans="1:15">
      <c r="A72" s="5" t="s">
        <v>241</v>
      </c>
      <c r="B72" t="s">
        <v>11</v>
      </c>
      <c r="C72" s="3">
        <v>42598</v>
      </c>
      <c r="D72" s="11">
        <v>125700</v>
      </c>
      <c r="E72" s="11"/>
      <c r="F72" s="11">
        <v>25113</v>
      </c>
      <c r="G72" s="11">
        <f t="shared" si="7"/>
        <v>0</v>
      </c>
      <c r="H72" s="11">
        <f t="shared" si="8"/>
        <v>2814.3879310344832</v>
      </c>
      <c r="I72" s="11">
        <f t="shared" si="9"/>
        <v>4399.5</v>
      </c>
      <c r="J72" s="11">
        <f t="shared" si="10"/>
        <v>4399.5</v>
      </c>
      <c r="K72" s="11">
        <f t="shared" si="11"/>
        <v>96187.5</v>
      </c>
      <c r="L72" s="11">
        <f t="shared" si="12"/>
        <v>3366.5625000000005</v>
      </c>
      <c r="M72" s="9">
        <f t="shared" si="13"/>
        <v>-1733.0299999999988</v>
      </c>
      <c r="N72" s="9">
        <v>141560.62</v>
      </c>
      <c r="O72" s="9">
        <v>139827.59</v>
      </c>
    </row>
    <row r="73" spans="1:15">
      <c r="A73" s="5" t="s">
        <v>242</v>
      </c>
      <c r="B73" t="s">
        <v>11</v>
      </c>
      <c r="C73" s="3">
        <v>42598</v>
      </c>
      <c r="D73" s="11">
        <v>92170</v>
      </c>
      <c r="E73" s="11"/>
      <c r="F73" s="11">
        <v>9137.39</v>
      </c>
      <c r="G73" s="11">
        <f t="shared" ref="G73:G104" si="14">(E73/1.16)*0.5</f>
        <v>0</v>
      </c>
      <c r="H73" s="11">
        <f t="shared" ref="H73:H104" si="15">(F73/1.16)*0.13</f>
        <v>1024.0178448275863</v>
      </c>
      <c r="I73" s="11">
        <f t="shared" ref="I73:I104" si="16">D73*3.5%</f>
        <v>3225.9500000000003</v>
      </c>
      <c r="J73" s="11">
        <f t="shared" ref="J73:J104" si="17">+G73+I73</f>
        <v>3225.9500000000003</v>
      </c>
      <c r="K73" s="11">
        <f t="shared" ref="K73:K104" si="18">SUM(+D73+E73-F73-I73)</f>
        <v>79806.66</v>
      </c>
      <c r="L73" s="11">
        <f t="shared" ref="L73:L104" si="19">K73*$L$8</f>
        <v>2793.2331000000004</v>
      </c>
      <c r="M73" s="9">
        <f t="shared" ref="M73:M104" si="20">O73-N73</f>
        <v>2253.0200000000041</v>
      </c>
      <c r="N73" s="9">
        <v>119988.36</v>
      </c>
      <c r="O73" s="9">
        <v>122241.38</v>
      </c>
    </row>
    <row r="74" spans="1:15">
      <c r="A74" s="5" t="s">
        <v>243</v>
      </c>
      <c r="B74" t="s">
        <v>244</v>
      </c>
      <c r="C74" s="3">
        <v>42597</v>
      </c>
      <c r="D74" s="11">
        <v>207600</v>
      </c>
      <c r="E74" s="11">
        <v>15500</v>
      </c>
      <c r="F74" s="11">
        <v>26662.32</v>
      </c>
      <c r="G74" s="11">
        <f t="shared" si="14"/>
        <v>6681.0344827586214</v>
      </c>
      <c r="H74" s="11">
        <f t="shared" si="15"/>
        <v>2988.0186206896556</v>
      </c>
      <c r="I74" s="11">
        <f t="shared" si="16"/>
        <v>7266.0000000000009</v>
      </c>
      <c r="J74" s="11">
        <f t="shared" si="17"/>
        <v>13947.034482758623</v>
      </c>
      <c r="K74" s="11">
        <f t="shared" si="18"/>
        <v>189171.68</v>
      </c>
      <c r="L74" s="11">
        <f t="shared" si="19"/>
        <v>6621.0088000000005</v>
      </c>
      <c r="M74" s="9">
        <f t="shared" si="20"/>
        <v>11495.929999999993</v>
      </c>
      <c r="N74" s="9">
        <v>270917.86</v>
      </c>
      <c r="O74" s="9">
        <v>282413.78999999998</v>
      </c>
    </row>
    <row r="75" spans="1:15">
      <c r="A75" s="5" t="s">
        <v>245</v>
      </c>
      <c r="B75" t="s">
        <v>13</v>
      </c>
      <c r="C75" s="3">
        <v>42598</v>
      </c>
      <c r="D75" s="11">
        <v>130639.52</v>
      </c>
      <c r="E75" s="11">
        <v>6500</v>
      </c>
      <c r="F75" s="11">
        <v>13262.12</v>
      </c>
      <c r="G75" s="11">
        <f t="shared" si="14"/>
        <v>2801.7241379310349</v>
      </c>
      <c r="H75" s="11">
        <f t="shared" si="15"/>
        <v>1486.2720689655175</v>
      </c>
      <c r="I75" s="11">
        <f t="shared" si="16"/>
        <v>4572.3832000000002</v>
      </c>
      <c r="J75" s="11">
        <f t="shared" si="17"/>
        <v>7374.1073379310346</v>
      </c>
      <c r="K75" s="11">
        <f t="shared" si="18"/>
        <v>119305.01680000003</v>
      </c>
      <c r="L75" s="11">
        <f t="shared" si="19"/>
        <v>4175.675588000001</v>
      </c>
      <c r="M75" s="9">
        <f t="shared" si="20"/>
        <v>-5641.8899999999994</v>
      </c>
      <c r="N75" s="9">
        <v>135297.06</v>
      </c>
      <c r="O75" s="9">
        <v>129655.17</v>
      </c>
    </row>
    <row r="76" spans="1:15">
      <c r="A76" s="5" t="s">
        <v>246</v>
      </c>
      <c r="B76" t="s">
        <v>17</v>
      </c>
      <c r="C76" s="3">
        <v>42599</v>
      </c>
      <c r="D76" s="11">
        <v>179790</v>
      </c>
      <c r="E76" s="11"/>
      <c r="F76" s="11">
        <v>23686.720000000001</v>
      </c>
      <c r="G76" s="11">
        <f t="shared" si="14"/>
        <v>0</v>
      </c>
      <c r="H76" s="11">
        <f t="shared" si="15"/>
        <v>2654.5462068965521</v>
      </c>
      <c r="I76" s="11">
        <f t="shared" si="16"/>
        <v>6292.6500000000005</v>
      </c>
      <c r="J76" s="11">
        <f t="shared" si="17"/>
        <v>6292.6500000000005</v>
      </c>
      <c r="K76" s="11">
        <f t="shared" si="18"/>
        <v>149810.63</v>
      </c>
      <c r="L76" s="11">
        <f t="shared" si="19"/>
        <v>5243.3720500000009</v>
      </c>
      <c r="M76" s="9">
        <f t="shared" si="20"/>
        <v>-774.30000000001746</v>
      </c>
      <c r="N76" s="9">
        <v>175860.51</v>
      </c>
      <c r="O76" s="9">
        <v>175086.21</v>
      </c>
    </row>
    <row r="77" spans="1:15">
      <c r="A77" s="5" t="s">
        <v>247</v>
      </c>
      <c r="B77" t="s">
        <v>11</v>
      </c>
      <c r="C77" s="3">
        <v>42599</v>
      </c>
      <c r="D77" s="11">
        <v>127620</v>
      </c>
      <c r="E77" s="11">
        <v>6500</v>
      </c>
      <c r="F77" s="11">
        <v>23593.040000000001</v>
      </c>
      <c r="G77" s="11">
        <f t="shared" si="14"/>
        <v>2801.7241379310349</v>
      </c>
      <c r="H77" s="11">
        <f t="shared" si="15"/>
        <v>2644.047586206897</v>
      </c>
      <c r="I77" s="11">
        <f t="shared" si="16"/>
        <v>4466.7000000000007</v>
      </c>
      <c r="J77" s="11">
        <f t="shared" si="17"/>
        <v>7268.4241379310351</v>
      </c>
      <c r="K77" s="11">
        <f t="shared" si="18"/>
        <v>106060.26</v>
      </c>
      <c r="L77" s="11">
        <f t="shared" si="19"/>
        <v>3712.1091000000001</v>
      </c>
      <c r="M77" s="9">
        <f t="shared" si="20"/>
        <v>6322.5800000000017</v>
      </c>
      <c r="N77" s="9">
        <v>115918.8</v>
      </c>
      <c r="O77" s="9">
        <v>122241.38</v>
      </c>
    </row>
    <row r="78" spans="1:15">
      <c r="A78" s="5" t="s">
        <v>248</v>
      </c>
      <c r="B78" t="s">
        <v>13</v>
      </c>
      <c r="C78" s="3">
        <v>42599</v>
      </c>
      <c r="D78" s="11">
        <v>153450</v>
      </c>
      <c r="E78" s="11">
        <v>10700</v>
      </c>
      <c r="F78" s="11">
        <v>15251.72</v>
      </c>
      <c r="G78" s="11">
        <f t="shared" si="14"/>
        <v>4612.0689655172418</v>
      </c>
      <c r="H78" s="11">
        <f t="shared" si="15"/>
        <v>1709.2444827586207</v>
      </c>
      <c r="I78" s="11">
        <f t="shared" si="16"/>
        <v>5370.7500000000009</v>
      </c>
      <c r="J78" s="11">
        <f t="shared" si="17"/>
        <v>9982.8189655172428</v>
      </c>
      <c r="K78" s="11">
        <f t="shared" si="18"/>
        <v>143527.53</v>
      </c>
      <c r="L78" s="11">
        <f t="shared" si="19"/>
        <v>5023.4635500000004</v>
      </c>
      <c r="M78" s="9">
        <f t="shared" si="20"/>
        <v>1416.3399999999965</v>
      </c>
      <c r="N78" s="9">
        <v>145566.42000000001</v>
      </c>
      <c r="O78" s="9">
        <v>146982.76</v>
      </c>
    </row>
    <row r="79" spans="1:15">
      <c r="A79" s="5" t="s">
        <v>249</v>
      </c>
      <c r="B79" t="s">
        <v>17</v>
      </c>
      <c r="C79" s="3">
        <v>42599</v>
      </c>
      <c r="D79" s="11">
        <v>165900</v>
      </c>
      <c r="E79" s="11">
        <v>7500</v>
      </c>
      <c r="F79" s="11">
        <v>26220.67</v>
      </c>
      <c r="G79" s="11">
        <f t="shared" si="14"/>
        <v>3232.7586206896553</v>
      </c>
      <c r="H79" s="11">
        <f t="shared" si="15"/>
        <v>2938.5233620689655</v>
      </c>
      <c r="I79" s="11">
        <f t="shared" si="16"/>
        <v>5806.5000000000009</v>
      </c>
      <c r="J79" s="11">
        <f t="shared" si="17"/>
        <v>9039.2586206896558</v>
      </c>
      <c r="K79" s="11">
        <f t="shared" si="18"/>
        <v>141372.83000000002</v>
      </c>
      <c r="L79" s="11">
        <f t="shared" si="19"/>
        <v>4948.0490500000014</v>
      </c>
      <c r="M79" s="9">
        <f t="shared" si="20"/>
        <v>252.66000000000349</v>
      </c>
      <c r="N79" s="9">
        <v>187161.13</v>
      </c>
      <c r="O79" s="9">
        <v>187413.79</v>
      </c>
    </row>
    <row r="80" spans="1:15">
      <c r="A80" s="5" t="s">
        <v>250</v>
      </c>
      <c r="B80" t="s">
        <v>11</v>
      </c>
      <c r="C80" s="3">
        <v>42600</v>
      </c>
      <c r="D80" s="11">
        <v>129270</v>
      </c>
      <c r="E80" s="11">
        <v>8500</v>
      </c>
      <c r="F80" s="11">
        <v>23778.16</v>
      </c>
      <c r="G80" s="11">
        <f t="shared" si="14"/>
        <v>3663.7931034482763</v>
      </c>
      <c r="H80" s="11">
        <f t="shared" si="15"/>
        <v>2664.7937931034485</v>
      </c>
      <c r="I80" s="11">
        <f t="shared" si="16"/>
        <v>4524.4500000000007</v>
      </c>
      <c r="J80" s="11">
        <f t="shared" si="17"/>
        <v>8188.243103448277</v>
      </c>
      <c r="K80" s="11">
        <f t="shared" si="18"/>
        <v>109467.39</v>
      </c>
      <c r="L80" s="11">
        <f t="shared" si="19"/>
        <v>3831.3586500000001</v>
      </c>
      <c r="M80" s="9">
        <f t="shared" si="20"/>
        <v>959.91999999999825</v>
      </c>
      <c r="N80" s="9">
        <v>119988.36</v>
      </c>
      <c r="O80" s="9">
        <v>120948.28</v>
      </c>
    </row>
    <row r="81" spans="1:15">
      <c r="A81" s="5" t="s">
        <v>251</v>
      </c>
      <c r="B81" t="s">
        <v>17</v>
      </c>
      <c r="C81" s="3">
        <v>42600</v>
      </c>
      <c r="D81" s="11">
        <v>107100</v>
      </c>
      <c r="E81" s="11">
        <v>12500</v>
      </c>
      <c r="F81" s="11">
        <v>12075.36</v>
      </c>
      <c r="G81" s="11">
        <f t="shared" si="14"/>
        <v>5387.9310344827591</v>
      </c>
      <c r="H81" s="11">
        <f t="shared" si="15"/>
        <v>1353.2731034482761</v>
      </c>
      <c r="I81" s="11">
        <f t="shared" si="16"/>
        <v>3748.5000000000005</v>
      </c>
      <c r="J81" s="11">
        <f t="shared" si="17"/>
        <v>9136.4310344827591</v>
      </c>
      <c r="K81" s="11">
        <f t="shared" si="18"/>
        <v>103776.14</v>
      </c>
      <c r="L81" s="11">
        <f t="shared" si="19"/>
        <v>3632.1649000000002</v>
      </c>
      <c r="M81" s="9">
        <f t="shared" si="20"/>
        <v>965.25</v>
      </c>
      <c r="N81" s="9">
        <v>174120.95999999999</v>
      </c>
      <c r="O81" s="9">
        <v>175086.21</v>
      </c>
    </row>
    <row r="82" spans="1:15">
      <c r="A82" s="5" t="s">
        <v>252</v>
      </c>
      <c r="B82" t="s">
        <v>52</v>
      </c>
      <c r="C82" s="3">
        <v>42599</v>
      </c>
      <c r="D82" s="11">
        <v>185640</v>
      </c>
      <c r="E82" s="11">
        <v>8500</v>
      </c>
      <c r="F82" s="11">
        <v>48813.24</v>
      </c>
      <c r="G82" s="11">
        <f t="shared" si="14"/>
        <v>3663.7931034482763</v>
      </c>
      <c r="H82" s="11">
        <f t="shared" si="15"/>
        <v>5470.4493103448276</v>
      </c>
      <c r="I82" s="11">
        <f t="shared" si="16"/>
        <v>6497.4000000000005</v>
      </c>
      <c r="J82" s="11">
        <f t="shared" si="17"/>
        <v>10161.193103448277</v>
      </c>
      <c r="K82" s="11">
        <f t="shared" si="18"/>
        <v>138829.36000000002</v>
      </c>
      <c r="L82" s="11">
        <f t="shared" si="19"/>
        <v>4859.0276000000013</v>
      </c>
      <c r="M82" s="9">
        <f t="shared" si="20"/>
        <v>5367.429999999993</v>
      </c>
      <c r="N82" s="9">
        <v>223253.25</v>
      </c>
      <c r="O82" s="9">
        <v>228620.68</v>
      </c>
    </row>
    <row r="83" spans="1:15">
      <c r="A83" s="5" t="s">
        <v>253</v>
      </c>
      <c r="B83" t="s">
        <v>11</v>
      </c>
      <c r="C83" s="3">
        <v>42599</v>
      </c>
      <c r="D83" s="11">
        <v>40980.720000000001</v>
      </c>
      <c r="E83" s="11"/>
      <c r="F83" s="11">
        <v>9137.39</v>
      </c>
      <c r="G83" s="11">
        <f t="shared" si="14"/>
        <v>0</v>
      </c>
      <c r="H83" s="11">
        <f t="shared" si="15"/>
        <v>1024.0178448275863</v>
      </c>
      <c r="I83" s="11">
        <f t="shared" si="16"/>
        <v>1434.3252000000002</v>
      </c>
      <c r="J83" s="11">
        <f t="shared" si="17"/>
        <v>1434.3252000000002</v>
      </c>
      <c r="K83" s="11">
        <f t="shared" si="18"/>
        <v>30409.004800000002</v>
      </c>
      <c r="L83" s="11">
        <f t="shared" si="19"/>
        <v>1064.3151680000001</v>
      </c>
      <c r="M83" s="9">
        <f t="shared" si="20"/>
        <v>2253.0200000000041</v>
      </c>
      <c r="N83" s="9">
        <v>119988.36</v>
      </c>
      <c r="O83" s="9">
        <v>122241.38</v>
      </c>
    </row>
    <row r="84" spans="1:15">
      <c r="A84" s="5" t="s">
        <v>254</v>
      </c>
      <c r="B84" t="s">
        <v>11</v>
      </c>
      <c r="C84" s="3">
        <v>42600</v>
      </c>
      <c r="D84" s="11">
        <v>106350</v>
      </c>
      <c r="E84" s="11">
        <v>8500</v>
      </c>
      <c r="F84" s="11">
        <v>23593.040000000001</v>
      </c>
      <c r="G84" s="11">
        <f t="shared" si="14"/>
        <v>3663.7931034482763</v>
      </c>
      <c r="H84" s="11">
        <f t="shared" si="15"/>
        <v>2644.047586206897</v>
      </c>
      <c r="I84" s="11">
        <f t="shared" si="16"/>
        <v>3722.2500000000005</v>
      </c>
      <c r="J84" s="11">
        <f t="shared" si="17"/>
        <v>7386.0431034482772</v>
      </c>
      <c r="K84" s="11">
        <f t="shared" si="18"/>
        <v>87534.709999999992</v>
      </c>
      <c r="L84" s="11">
        <f t="shared" si="19"/>
        <v>3063.7148499999998</v>
      </c>
      <c r="M84" s="9">
        <f t="shared" si="20"/>
        <v>2772.0100000000093</v>
      </c>
      <c r="N84" s="9">
        <v>119469.37</v>
      </c>
      <c r="O84" s="9">
        <v>122241.38</v>
      </c>
    </row>
    <row r="85" spans="1:15">
      <c r="A85" s="5" t="s">
        <v>255</v>
      </c>
      <c r="B85" t="s">
        <v>13</v>
      </c>
      <c r="C85" s="3">
        <v>42600</v>
      </c>
      <c r="D85" s="11">
        <v>140500</v>
      </c>
      <c r="E85" s="11">
        <v>10700</v>
      </c>
      <c r="F85" s="11">
        <v>18784.599999999999</v>
      </c>
      <c r="G85" s="11">
        <f t="shared" si="14"/>
        <v>4612.0689655172418</v>
      </c>
      <c r="H85" s="11">
        <f t="shared" si="15"/>
        <v>2105.1706896551723</v>
      </c>
      <c r="I85" s="11">
        <f t="shared" si="16"/>
        <v>4917.5000000000009</v>
      </c>
      <c r="J85" s="11">
        <f t="shared" si="17"/>
        <v>9529.5689655172428</v>
      </c>
      <c r="K85" s="11">
        <f t="shared" si="18"/>
        <v>127497.9</v>
      </c>
      <c r="L85" s="11">
        <f t="shared" si="19"/>
        <v>4462.4265000000005</v>
      </c>
      <c r="M85" s="9">
        <f t="shared" si="20"/>
        <v>-3258.7299999999814</v>
      </c>
      <c r="N85" s="9">
        <v>150241.49</v>
      </c>
      <c r="O85" s="9">
        <v>146982.76</v>
      </c>
    </row>
    <row r="86" spans="1:15">
      <c r="A86" s="5" t="s">
        <v>256</v>
      </c>
      <c r="B86" t="s">
        <v>66</v>
      </c>
      <c r="C86" s="3">
        <v>42600</v>
      </c>
      <c r="D86" s="11">
        <v>538290</v>
      </c>
      <c r="E86" s="11"/>
      <c r="F86" s="11">
        <v>54587.839999999997</v>
      </c>
      <c r="G86" s="11">
        <f t="shared" si="14"/>
        <v>0</v>
      </c>
      <c r="H86" s="11">
        <f t="shared" si="15"/>
        <v>6117.6027586206901</v>
      </c>
      <c r="I86" s="11">
        <f t="shared" si="16"/>
        <v>18840.150000000001</v>
      </c>
      <c r="J86" s="11">
        <f t="shared" si="17"/>
        <v>18840.150000000001</v>
      </c>
      <c r="K86" s="11">
        <f t="shared" si="18"/>
        <v>464862.01</v>
      </c>
      <c r="L86" s="11">
        <f t="shared" si="19"/>
        <v>16270.170350000002</v>
      </c>
      <c r="M86" s="9">
        <f t="shared" si="20"/>
        <v>44595.799999999988</v>
      </c>
      <c r="N86" s="9">
        <v>471007.65</v>
      </c>
      <c r="O86" s="9">
        <v>515603.45</v>
      </c>
    </row>
    <row r="87" spans="1:15">
      <c r="A87" s="5" t="s">
        <v>257</v>
      </c>
      <c r="B87" t="s">
        <v>43</v>
      </c>
      <c r="C87" s="3">
        <v>42592</v>
      </c>
      <c r="D87" s="11">
        <v>219765</v>
      </c>
      <c r="E87" s="11"/>
      <c r="F87" s="11">
        <v>11463.56</v>
      </c>
      <c r="G87" s="11">
        <f t="shared" si="14"/>
        <v>0</v>
      </c>
      <c r="H87" s="11">
        <f t="shared" si="15"/>
        <v>1284.7093103448276</v>
      </c>
      <c r="I87" s="11">
        <f t="shared" si="16"/>
        <v>7691.7750000000005</v>
      </c>
      <c r="J87" s="11">
        <f t="shared" si="17"/>
        <v>7691.7750000000005</v>
      </c>
      <c r="K87" s="11">
        <f t="shared" si="18"/>
        <v>200609.66500000001</v>
      </c>
      <c r="L87" s="11">
        <f t="shared" si="19"/>
        <v>7021.338275000001</v>
      </c>
      <c r="M87" s="9">
        <f t="shared" si="20"/>
        <v>8033.710000000021</v>
      </c>
      <c r="N87" s="9">
        <v>283431.82</v>
      </c>
      <c r="O87" s="9">
        <v>291465.53000000003</v>
      </c>
    </row>
    <row r="88" spans="1:15">
      <c r="A88" s="5" t="s">
        <v>258</v>
      </c>
      <c r="B88" t="s">
        <v>11</v>
      </c>
      <c r="C88" s="3">
        <v>42600</v>
      </c>
      <c r="D88" s="11">
        <v>59200</v>
      </c>
      <c r="E88" s="11">
        <v>8000</v>
      </c>
      <c r="F88" s="11">
        <v>6619.27</v>
      </c>
      <c r="G88" s="11">
        <f t="shared" si="14"/>
        <v>3448.2758620689656</v>
      </c>
      <c r="H88" s="11">
        <f t="shared" si="15"/>
        <v>741.81474137931036</v>
      </c>
      <c r="I88" s="11">
        <f t="shared" si="16"/>
        <v>2072</v>
      </c>
      <c r="J88" s="11">
        <f t="shared" si="17"/>
        <v>5520.2758620689656</v>
      </c>
      <c r="K88" s="11">
        <f t="shared" si="18"/>
        <v>58508.729999999996</v>
      </c>
      <c r="L88" s="11">
        <f t="shared" si="19"/>
        <v>2047.80555</v>
      </c>
      <c r="M88" s="9">
        <f t="shared" si="20"/>
        <v>-6043.3800000000047</v>
      </c>
      <c r="N88" s="9">
        <v>141560.62</v>
      </c>
      <c r="O88" s="9">
        <v>135517.24</v>
      </c>
    </row>
    <row r="89" spans="1:15">
      <c r="A89" s="5" t="s">
        <v>259</v>
      </c>
      <c r="B89" t="s">
        <v>11</v>
      </c>
      <c r="C89" s="3">
        <v>42600</v>
      </c>
      <c r="D89" s="11">
        <v>108300</v>
      </c>
      <c r="E89" s="11">
        <v>7000</v>
      </c>
      <c r="F89" s="11">
        <v>23741.48</v>
      </c>
      <c r="G89" s="11">
        <f t="shared" si="14"/>
        <v>3017.2413793103451</v>
      </c>
      <c r="H89" s="11">
        <f t="shared" si="15"/>
        <v>2660.6831034482757</v>
      </c>
      <c r="I89" s="11">
        <f t="shared" si="16"/>
        <v>3790.5000000000005</v>
      </c>
      <c r="J89" s="11">
        <f t="shared" si="17"/>
        <v>6807.741379310346</v>
      </c>
      <c r="K89" s="11">
        <f t="shared" si="18"/>
        <v>87768.02</v>
      </c>
      <c r="L89" s="11">
        <f t="shared" si="19"/>
        <v>3071.8807000000006</v>
      </c>
      <c r="M89" s="9">
        <f t="shared" si="20"/>
        <v>2253.0200000000041</v>
      </c>
      <c r="N89" s="9">
        <v>119988.36</v>
      </c>
      <c r="O89" s="9">
        <v>122241.38</v>
      </c>
    </row>
    <row r="90" spans="1:15">
      <c r="A90" s="5" t="s">
        <v>260</v>
      </c>
      <c r="B90" t="s">
        <v>43</v>
      </c>
      <c r="C90" s="3">
        <v>42601</v>
      </c>
      <c r="D90" s="11">
        <v>232914</v>
      </c>
      <c r="E90" s="11">
        <v>9000</v>
      </c>
      <c r="F90" s="11">
        <v>45552.13</v>
      </c>
      <c r="G90" s="11">
        <f t="shared" si="14"/>
        <v>3879.3103448275865</v>
      </c>
      <c r="H90" s="11">
        <f t="shared" si="15"/>
        <v>5104.9800862068969</v>
      </c>
      <c r="I90" s="11">
        <f t="shared" si="16"/>
        <v>8151.9900000000007</v>
      </c>
      <c r="J90" s="11">
        <f t="shared" si="17"/>
        <v>12031.300344827587</v>
      </c>
      <c r="K90" s="11">
        <f t="shared" si="18"/>
        <v>188209.88</v>
      </c>
      <c r="L90" s="11">
        <f t="shared" si="19"/>
        <v>6587.345800000001</v>
      </c>
      <c r="M90" s="9">
        <f t="shared" si="20"/>
        <v>12891.650000000023</v>
      </c>
      <c r="N90" s="9">
        <v>291332.47999999998</v>
      </c>
      <c r="O90" s="9">
        <v>304224.13</v>
      </c>
    </row>
    <row r="91" spans="1:15">
      <c r="A91" s="5" t="s">
        <v>261</v>
      </c>
      <c r="B91" t="s">
        <v>11</v>
      </c>
      <c r="C91" s="3">
        <v>42601</v>
      </c>
      <c r="D91" s="11">
        <v>110435</v>
      </c>
      <c r="E91" s="11">
        <v>5900</v>
      </c>
      <c r="F91" s="11">
        <v>9922.5</v>
      </c>
      <c r="G91" s="11">
        <f t="shared" si="14"/>
        <v>2543.1034482758623</v>
      </c>
      <c r="H91" s="11">
        <f t="shared" si="15"/>
        <v>1112.0043103448277</v>
      </c>
      <c r="I91" s="11">
        <f t="shared" si="16"/>
        <v>3865.2250000000004</v>
      </c>
      <c r="J91" s="11">
        <f t="shared" si="17"/>
        <v>6408.3284482758627</v>
      </c>
      <c r="K91" s="11">
        <f t="shared" si="18"/>
        <v>102547.27499999999</v>
      </c>
      <c r="L91" s="11">
        <f t="shared" si="19"/>
        <v>3589.1546250000001</v>
      </c>
      <c r="M91" s="9">
        <f t="shared" si="20"/>
        <v>17098.789999999994</v>
      </c>
      <c r="N91" s="9">
        <v>129366.73</v>
      </c>
      <c r="O91" s="9">
        <v>146465.51999999999</v>
      </c>
    </row>
    <row r="92" spans="1:15">
      <c r="A92" s="5" t="s">
        <v>262</v>
      </c>
      <c r="B92" t="s">
        <v>17</v>
      </c>
      <c r="C92" s="3">
        <v>42601</v>
      </c>
      <c r="D92" s="11">
        <v>162480</v>
      </c>
      <c r="E92" s="11">
        <v>9000</v>
      </c>
      <c r="F92" s="11">
        <v>23686.720000000001</v>
      </c>
      <c r="G92" s="11">
        <f t="shared" si="14"/>
        <v>3879.3103448275865</v>
      </c>
      <c r="H92" s="11">
        <f t="shared" si="15"/>
        <v>2654.5462068965521</v>
      </c>
      <c r="I92" s="11">
        <f t="shared" si="16"/>
        <v>5686.8</v>
      </c>
      <c r="J92" s="11">
        <f t="shared" si="17"/>
        <v>9566.1103448275862</v>
      </c>
      <c r="K92" s="11">
        <f t="shared" si="18"/>
        <v>142106.48000000001</v>
      </c>
      <c r="L92" s="11">
        <f t="shared" si="19"/>
        <v>4973.7268000000013</v>
      </c>
      <c r="M92" s="9">
        <f t="shared" si="20"/>
        <v>455.83999999999651</v>
      </c>
      <c r="N92" s="9">
        <v>174630.37</v>
      </c>
      <c r="O92" s="9">
        <v>175086.21</v>
      </c>
    </row>
    <row r="93" spans="1:15">
      <c r="A93" s="5" t="s">
        <v>263</v>
      </c>
      <c r="B93" t="s">
        <v>11</v>
      </c>
      <c r="C93" s="3">
        <v>42601</v>
      </c>
      <c r="D93" s="11">
        <v>126800</v>
      </c>
      <c r="E93" s="11">
        <v>5700</v>
      </c>
      <c r="F93" s="11">
        <v>23593.040000000001</v>
      </c>
      <c r="G93" s="11">
        <f t="shared" si="14"/>
        <v>2456.8965517241381</v>
      </c>
      <c r="H93" s="11">
        <f t="shared" si="15"/>
        <v>2644.047586206897</v>
      </c>
      <c r="I93" s="11">
        <f t="shared" si="16"/>
        <v>4438</v>
      </c>
      <c r="J93" s="11">
        <f t="shared" si="17"/>
        <v>6894.8965517241377</v>
      </c>
      <c r="K93" s="11">
        <f t="shared" si="18"/>
        <v>104468.95999999999</v>
      </c>
      <c r="L93" s="11">
        <f t="shared" si="19"/>
        <v>3656.4135999999999</v>
      </c>
      <c r="M93" s="9">
        <f t="shared" si="20"/>
        <v>1063.3600000000006</v>
      </c>
      <c r="N93" s="9">
        <v>121178.02</v>
      </c>
      <c r="O93" s="9">
        <v>122241.38</v>
      </c>
    </row>
    <row r="94" spans="1:15">
      <c r="A94" s="5" t="s">
        <v>264</v>
      </c>
      <c r="B94" t="s">
        <v>13</v>
      </c>
      <c r="C94" s="3">
        <v>42601</v>
      </c>
      <c r="D94" s="11">
        <v>110051.44</v>
      </c>
      <c r="E94" s="11"/>
      <c r="F94" s="11">
        <v>5044.1499999999996</v>
      </c>
      <c r="G94" s="11">
        <f t="shared" si="14"/>
        <v>0</v>
      </c>
      <c r="H94" s="11">
        <f t="shared" si="15"/>
        <v>565.29267241379318</v>
      </c>
      <c r="I94" s="11">
        <f t="shared" si="16"/>
        <v>3851.8004000000005</v>
      </c>
      <c r="J94" s="11">
        <f t="shared" si="17"/>
        <v>3851.8004000000005</v>
      </c>
      <c r="K94" s="11">
        <f t="shared" si="18"/>
        <v>101155.4896</v>
      </c>
      <c r="L94" s="11">
        <f t="shared" si="19"/>
        <v>3540.4421360000006</v>
      </c>
      <c r="M94" s="9">
        <f t="shared" si="20"/>
        <v>-3258.7299999999814</v>
      </c>
      <c r="N94" s="9">
        <v>150241.49</v>
      </c>
      <c r="O94" s="9">
        <v>146982.76</v>
      </c>
    </row>
    <row r="95" spans="1:15">
      <c r="A95" s="5" t="s">
        <v>265</v>
      </c>
      <c r="B95" t="s">
        <v>11</v>
      </c>
      <c r="C95" s="3">
        <v>42604</v>
      </c>
      <c r="D95" s="11">
        <v>129120</v>
      </c>
      <c r="E95" s="11">
        <v>8000</v>
      </c>
      <c r="F95" s="11">
        <v>23740.68</v>
      </c>
      <c r="G95" s="11">
        <f t="shared" si="14"/>
        <v>3448.2758620689656</v>
      </c>
      <c r="H95" s="11">
        <f t="shared" si="15"/>
        <v>2660.5934482758621</v>
      </c>
      <c r="I95" s="11">
        <f t="shared" si="16"/>
        <v>4519.2000000000007</v>
      </c>
      <c r="J95" s="11">
        <f t="shared" si="17"/>
        <v>7967.4758620689663</v>
      </c>
      <c r="K95" s="11">
        <f t="shared" si="18"/>
        <v>108860.12000000001</v>
      </c>
      <c r="L95" s="11">
        <f t="shared" si="19"/>
        <v>3810.1042000000007</v>
      </c>
      <c r="M95" s="9">
        <f t="shared" si="20"/>
        <v>2253.2200000000012</v>
      </c>
      <c r="N95" s="9">
        <v>119988.16</v>
      </c>
      <c r="O95" s="9">
        <v>122241.38</v>
      </c>
    </row>
    <row r="96" spans="1:15">
      <c r="A96" s="5" t="s">
        <v>266</v>
      </c>
      <c r="B96" t="s">
        <v>43</v>
      </c>
      <c r="C96" s="3">
        <v>42604</v>
      </c>
      <c r="D96" s="11">
        <v>201800</v>
      </c>
      <c r="E96" s="11"/>
      <c r="F96" s="11">
        <v>44523.06</v>
      </c>
      <c r="G96" s="11">
        <f t="shared" si="14"/>
        <v>0</v>
      </c>
      <c r="H96" s="11">
        <f t="shared" si="15"/>
        <v>4989.6532758620697</v>
      </c>
      <c r="I96" s="11">
        <f t="shared" si="16"/>
        <v>7063.0000000000009</v>
      </c>
      <c r="J96" s="11">
        <f t="shared" si="17"/>
        <v>7063.0000000000009</v>
      </c>
      <c r="K96" s="11">
        <f t="shared" si="18"/>
        <v>150213.94</v>
      </c>
      <c r="L96" s="11">
        <f t="shared" si="19"/>
        <v>5257.487900000001</v>
      </c>
      <c r="M96" s="9">
        <f t="shared" si="20"/>
        <v>11223.359999999986</v>
      </c>
      <c r="N96" s="9">
        <v>283431.8</v>
      </c>
      <c r="O96" s="9">
        <v>294655.15999999997</v>
      </c>
    </row>
    <row r="97" spans="1:15">
      <c r="A97" s="5" t="s">
        <v>267</v>
      </c>
      <c r="B97" t="s">
        <v>43</v>
      </c>
      <c r="C97" s="3">
        <v>42604</v>
      </c>
      <c r="D97" s="11">
        <v>383490</v>
      </c>
      <c r="E97" s="11">
        <v>18000</v>
      </c>
      <c r="F97" s="11">
        <v>53661.2</v>
      </c>
      <c r="G97" s="11">
        <f t="shared" si="14"/>
        <v>7758.620689655173</v>
      </c>
      <c r="H97" s="11">
        <f t="shared" si="15"/>
        <v>6013.7551724137938</v>
      </c>
      <c r="I97" s="11">
        <f t="shared" si="16"/>
        <v>13422.150000000001</v>
      </c>
      <c r="J97" s="11">
        <f t="shared" si="17"/>
        <v>21180.770689655175</v>
      </c>
      <c r="K97" s="11">
        <f t="shared" si="18"/>
        <v>334406.64999999997</v>
      </c>
      <c r="L97" s="11">
        <f t="shared" si="19"/>
        <v>11704.232749999999</v>
      </c>
      <c r="M97" s="9">
        <f t="shared" si="20"/>
        <v>24752.540000000037</v>
      </c>
      <c r="N97" s="9">
        <v>342575.04</v>
      </c>
      <c r="O97" s="9">
        <v>367327.58</v>
      </c>
    </row>
    <row r="98" spans="1:15">
      <c r="A98" s="5" t="s">
        <v>268</v>
      </c>
      <c r="B98" t="s">
        <v>11</v>
      </c>
      <c r="C98" s="3">
        <v>42604</v>
      </c>
      <c r="D98" s="11">
        <v>110131.4</v>
      </c>
      <c r="E98" s="11"/>
      <c r="F98" s="11">
        <v>21657.200000000001</v>
      </c>
      <c r="G98" s="11">
        <f t="shared" si="14"/>
        <v>0</v>
      </c>
      <c r="H98" s="11">
        <f t="shared" si="15"/>
        <v>2427.1000000000004</v>
      </c>
      <c r="I98" s="11">
        <f t="shared" si="16"/>
        <v>3854.5990000000002</v>
      </c>
      <c r="J98" s="11">
        <f t="shared" si="17"/>
        <v>3854.5990000000002</v>
      </c>
      <c r="K98" s="11">
        <f t="shared" si="18"/>
        <v>84619.600999999995</v>
      </c>
      <c r="L98" s="11">
        <f t="shared" si="19"/>
        <v>2961.6860350000002</v>
      </c>
      <c r="M98" s="9">
        <f t="shared" si="20"/>
        <v>-2896.5500000000029</v>
      </c>
      <c r="N98" s="9">
        <v>129000</v>
      </c>
      <c r="O98" s="9">
        <v>126103.45</v>
      </c>
    </row>
    <row r="99" spans="1:15">
      <c r="A99" s="5" t="s">
        <v>269</v>
      </c>
      <c r="B99" t="s">
        <v>17</v>
      </c>
      <c r="C99" s="3">
        <v>42604</v>
      </c>
      <c r="D99" s="11">
        <v>125600</v>
      </c>
      <c r="E99" s="11">
        <v>8500</v>
      </c>
      <c r="F99" s="11">
        <v>22635.19</v>
      </c>
      <c r="G99" s="11">
        <f t="shared" si="14"/>
        <v>3663.7931034482763</v>
      </c>
      <c r="H99" s="11">
        <f t="shared" si="15"/>
        <v>2536.702327586207</v>
      </c>
      <c r="I99" s="11">
        <f t="shared" si="16"/>
        <v>4396</v>
      </c>
      <c r="J99" s="11">
        <f t="shared" si="17"/>
        <v>8059.7931034482763</v>
      </c>
      <c r="K99" s="11">
        <f t="shared" si="18"/>
        <v>107068.81</v>
      </c>
      <c r="L99" s="11">
        <f t="shared" si="19"/>
        <v>3747.4083500000002</v>
      </c>
      <c r="M99" s="9">
        <f t="shared" si="20"/>
        <v>-1288.9400000000023</v>
      </c>
      <c r="N99" s="9">
        <v>176375.15</v>
      </c>
      <c r="O99" s="9">
        <v>175086.21</v>
      </c>
    </row>
    <row r="100" spans="1:15">
      <c r="A100" s="5" t="s">
        <v>270</v>
      </c>
      <c r="B100" t="s">
        <v>13</v>
      </c>
      <c r="C100" s="3">
        <v>42605</v>
      </c>
      <c r="D100" s="11">
        <v>109126.05</v>
      </c>
      <c r="E100" s="11"/>
      <c r="F100" s="11">
        <v>5044.1499999999996</v>
      </c>
      <c r="G100" s="11">
        <f t="shared" si="14"/>
        <v>0</v>
      </c>
      <c r="H100" s="11">
        <f t="shared" si="15"/>
        <v>565.29267241379318</v>
      </c>
      <c r="I100" s="11">
        <f t="shared" si="16"/>
        <v>3819.4117500000007</v>
      </c>
      <c r="J100" s="11">
        <f t="shared" si="17"/>
        <v>3819.4117500000007</v>
      </c>
      <c r="K100" s="11">
        <f t="shared" si="18"/>
        <v>100262.48825000001</v>
      </c>
      <c r="L100" s="11">
        <f t="shared" si="19"/>
        <v>3509.1870887500008</v>
      </c>
      <c r="M100" s="9">
        <f t="shared" si="20"/>
        <v>-57.799999999988358</v>
      </c>
      <c r="N100" s="9">
        <v>147040.56</v>
      </c>
      <c r="O100" s="9">
        <v>146982.76</v>
      </c>
    </row>
    <row r="101" spans="1:15">
      <c r="A101" s="5" t="s">
        <v>271</v>
      </c>
      <c r="B101" t="s">
        <v>17</v>
      </c>
      <c r="C101" s="3">
        <v>42605</v>
      </c>
      <c r="D101" s="11">
        <v>164610</v>
      </c>
      <c r="E101" s="11">
        <v>15000</v>
      </c>
      <c r="F101" s="11">
        <v>22156.639999999999</v>
      </c>
      <c r="G101" s="11">
        <f t="shared" si="14"/>
        <v>6465.5172413793107</v>
      </c>
      <c r="H101" s="11">
        <f t="shared" si="15"/>
        <v>2483.0717241379311</v>
      </c>
      <c r="I101" s="11">
        <f t="shared" si="16"/>
        <v>5761.35</v>
      </c>
      <c r="J101" s="11">
        <f t="shared" si="17"/>
        <v>12226.86724137931</v>
      </c>
      <c r="K101" s="11">
        <f t="shared" si="18"/>
        <v>151692.00999999998</v>
      </c>
      <c r="L101" s="11">
        <f t="shared" si="19"/>
        <v>5309.2203499999996</v>
      </c>
      <c r="M101" s="9">
        <f t="shared" si="20"/>
        <v>-2682.4100000000035</v>
      </c>
      <c r="N101" s="9">
        <v>160354.82</v>
      </c>
      <c r="O101" s="9">
        <v>157672.41</v>
      </c>
    </row>
    <row r="102" spans="1:15">
      <c r="A102" s="5" t="s">
        <v>272</v>
      </c>
      <c r="B102" t="s">
        <v>43</v>
      </c>
      <c r="C102" s="3">
        <v>42605</v>
      </c>
      <c r="D102" s="11">
        <v>144900</v>
      </c>
      <c r="E102" s="11"/>
      <c r="F102" s="11">
        <v>38673.379999999997</v>
      </c>
      <c r="G102" s="11">
        <f t="shared" si="14"/>
        <v>0</v>
      </c>
      <c r="H102" s="11">
        <f t="shared" si="15"/>
        <v>4334.0856896551732</v>
      </c>
      <c r="I102" s="11">
        <f t="shared" si="16"/>
        <v>5071.5000000000009</v>
      </c>
      <c r="J102" s="11">
        <f t="shared" si="17"/>
        <v>5071.5000000000009</v>
      </c>
      <c r="K102" s="11">
        <f t="shared" si="18"/>
        <v>101155.12</v>
      </c>
      <c r="L102" s="11">
        <f t="shared" si="19"/>
        <v>3540.4292</v>
      </c>
      <c r="M102" s="9">
        <f t="shared" si="20"/>
        <v>23395.149999999965</v>
      </c>
      <c r="N102" s="9">
        <v>334277.27</v>
      </c>
      <c r="O102" s="9">
        <v>357672.42</v>
      </c>
    </row>
    <row r="103" spans="1:15">
      <c r="A103" s="5" t="s">
        <v>273</v>
      </c>
      <c r="B103" t="s">
        <v>200</v>
      </c>
      <c r="C103" s="3">
        <v>42604</v>
      </c>
      <c r="D103" s="11">
        <v>327410</v>
      </c>
      <c r="E103" s="11">
        <v>13000</v>
      </c>
      <c r="F103" s="11">
        <v>52976.7</v>
      </c>
      <c r="G103" s="11">
        <f t="shared" si="14"/>
        <v>5603.4482758620697</v>
      </c>
      <c r="H103" s="11">
        <f t="shared" si="15"/>
        <v>5937.0439655172413</v>
      </c>
      <c r="I103" s="11">
        <f t="shared" si="16"/>
        <v>11459.35</v>
      </c>
      <c r="J103" s="11">
        <f t="shared" si="17"/>
        <v>17062.798275862071</v>
      </c>
      <c r="K103" s="11">
        <f t="shared" si="18"/>
        <v>275973.95</v>
      </c>
      <c r="L103" s="11">
        <f t="shared" si="19"/>
        <v>9659.0882500000007</v>
      </c>
      <c r="M103" s="9">
        <f t="shared" si="20"/>
        <v>33353.489999999991</v>
      </c>
      <c r="N103" s="9">
        <v>276905.13</v>
      </c>
      <c r="O103" s="9">
        <v>310258.62</v>
      </c>
    </row>
    <row r="104" spans="1:15">
      <c r="A104" s="5" t="s">
        <v>274</v>
      </c>
      <c r="B104" t="s">
        <v>11</v>
      </c>
      <c r="C104" s="3">
        <v>42606</v>
      </c>
      <c r="D104" s="11">
        <v>122200</v>
      </c>
      <c r="E104" s="11"/>
      <c r="F104" s="11">
        <v>25113</v>
      </c>
      <c r="G104" s="11">
        <f t="shared" si="14"/>
        <v>0</v>
      </c>
      <c r="H104" s="11">
        <f t="shared" si="15"/>
        <v>2814.3879310344832</v>
      </c>
      <c r="I104" s="11">
        <f t="shared" si="16"/>
        <v>4277</v>
      </c>
      <c r="J104" s="11">
        <f t="shared" si="17"/>
        <v>4277</v>
      </c>
      <c r="K104" s="11">
        <f t="shared" si="18"/>
        <v>92810</v>
      </c>
      <c r="L104" s="11">
        <f t="shared" si="19"/>
        <v>3248.3500000000004</v>
      </c>
      <c r="M104" s="9">
        <f t="shared" si="20"/>
        <v>4804.4800000000105</v>
      </c>
      <c r="N104" s="9">
        <v>135023.10999999999</v>
      </c>
      <c r="O104" s="9">
        <v>139827.59</v>
      </c>
    </row>
    <row r="105" spans="1:15">
      <c r="A105" s="5" t="s">
        <v>275</v>
      </c>
      <c r="B105" t="s">
        <v>11</v>
      </c>
      <c r="C105" s="3">
        <v>42605</v>
      </c>
      <c r="D105" s="11">
        <v>147480</v>
      </c>
      <c r="E105" s="11">
        <v>8500</v>
      </c>
      <c r="F105" s="11">
        <v>25261.439999999999</v>
      </c>
      <c r="G105" s="11">
        <f t="shared" ref="G105:G136" si="21">(E105/1.16)*0.5</f>
        <v>3663.7931034482763</v>
      </c>
      <c r="H105" s="11">
        <f t="shared" ref="H105:H136" si="22">(F105/1.16)*0.13</f>
        <v>2831.0234482758624</v>
      </c>
      <c r="I105" s="11">
        <f t="shared" ref="I105:I136" si="23">D105*3.5%</f>
        <v>5161.8</v>
      </c>
      <c r="J105" s="11">
        <f t="shared" ref="J105:J136" si="24">+G105+I105</f>
        <v>8825.5931034482765</v>
      </c>
      <c r="K105" s="11">
        <f t="shared" ref="K105:K136" si="25">SUM(+D105+E105-F105-I105)</f>
        <v>125556.76</v>
      </c>
      <c r="L105" s="11">
        <f t="shared" ref="L105:L136" si="26">K105*$L$8</f>
        <v>4394.4866000000002</v>
      </c>
      <c r="M105" s="9">
        <f t="shared" ref="M105:M136" si="27">O105-N105</f>
        <v>-1117.0400000000081</v>
      </c>
      <c r="N105" s="9">
        <v>140944.63</v>
      </c>
      <c r="O105" s="9">
        <v>139827.59</v>
      </c>
    </row>
    <row r="106" spans="1:15">
      <c r="A106" s="5" t="s">
        <v>276</v>
      </c>
      <c r="B106" t="s">
        <v>11</v>
      </c>
      <c r="C106" s="3">
        <v>42605</v>
      </c>
      <c r="D106" s="11">
        <v>87423</v>
      </c>
      <c r="E106" s="11">
        <v>10000</v>
      </c>
      <c r="F106" s="11">
        <v>22468</v>
      </c>
      <c r="G106" s="11">
        <f t="shared" si="21"/>
        <v>4310.3448275862074</v>
      </c>
      <c r="H106" s="11">
        <f t="shared" si="22"/>
        <v>2517.9655172413795</v>
      </c>
      <c r="I106" s="11">
        <f t="shared" si="23"/>
        <v>3059.8050000000003</v>
      </c>
      <c r="J106" s="11">
        <f t="shared" si="24"/>
        <v>7370.1498275862077</v>
      </c>
      <c r="K106" s="11">
        <f t="shared" si="25"/>
        <v>71895.195000000007</v>
      </c>
      <c r="L106" s="11">
        <f t="shared" si="26"/>
        <v>2516.3318250000007</v>
      </c>
      <c r="M106" s="9">
        <f t="shared" si="27"/>
        <v>737.16000000000349</v>
      </c>
      <c r="N106" s="9">
        <v>108486.98</v>
      </c>
      <c r="O106" s="9">
        <v>109224.14</v>
      </c>
    </row>
    <row r="107" spans="1:15">
      <c r="A107" s="5" t="s">
        <v>277</v>
      </c>
      <c r="B107" t="s">
        <v>17</v>
      </c>
      <c r="C107" s="3">
        <v>42606</v>
      </c>
      <c r="D107" s="11">
        <v>182790</v>
      </c>
      <c r="E107" s="11">
        <v>6500</v>
      </c>
      <c r="F107" s="11">
        <v>23686.720000000001</v>
      </c>
      <c r="G107" s="11">
        <f t="shared" si="21"/>
        <v>2801.7241379310349</v>
      </c>
      <c r="H107" s="11">
        <f t="shared" si="22"/>
        <v>2654.5462068965521</v>
      </c>
      <c r="I107" s="11">
        <f t="shared" si="23"/>
        <v>6397.6500000000005</v>
      </c>
      <c r="J107" s="11">
        <f t="shared" si="24"/>
        <v>9199.3741379310359</v>
      </c>
      <c r="K107" s="11">
        <f t="shared" si="25"/>
        <v>159205.63</v>
      </c>
      <c r="L107" s="11">
        <f t="shared" si="26"/>
        <v>5572.1970500000007</v>
      </c>
      <c r="M107" s="9">
        <f t="shared" si="27"/>
        <v>455.83999999999651</v>
      </c>
      <c r="N107" s="9">
        <v>174630.37</v>
      </c>
      <c r="O107" s="9">
        <v>175086.21</v>
      </c>
    </row>
    <row r="108" spans="1:15">
      <c r="A108" s="5" t="s">
        <v>278</v>
      </c>
      <c r="B108" t="s">
        <v>17</v>
      </c>
      <c r="C108" s="3">
        <v>42606</v>
      </c>
      <c r="D108" s="11">
        <v>184290</v>
      </c>
      <c r="E108" s="11">
        <v>6500</v>
      </c>
      <c r="F108" s="11">
        <v>23942.74</v>
      </c>
      <c r="G108" s="11">
        <f t="shared" si="21"/>
        <v>2801.7241379310349</v>
      </c>
      <c r="H108" s="11">
        <f t="shared" si="22"/>
        <v>2683.2381034482764</v>
      </c>
      <c r="I108" s="11">
        <f t="shared" si="23"/>
        <v>6450.1500000000005</v>
      </c>
      <c r="J108" s="11">
        <f t="shared" si="24"/>
        <v>9251.8741379310359</v>
      </c>
      <c r="K108" s="11">
        <f t="shared" si="25"/>
        <v>160397.11000000002</v>
      </c>
      <c r="L108" s="11">
        <f t="shared" si="26"/>
        <v>5613.8988500000014</v>
      </c>
      <c r="M108" s="9">
        <f t="shared" si="27"/>
        <v>455.83999999999651</v>
      </c>
      <c r="N108" s="9">
        <v>174630.37</v>
      </c>
      <c r="O108" s="9">
        <v>175086.21</v>
      </c>
    </row>
    <row r="109" spans="1:15">
      <c r="A109" s="5" t="s">
        <v>279</v>
      </c>
      <c r="B109" t="s">
        <v>13</v>
      </c>
      <c r="C109" s="3">
        <v>42606</v>
      </c>
      <c r="D109" s="11">
        <v>97562.95</v>
      </c>
      <c r="E109" s="11"/>
      <c r="F109" s="11">
        <v>19300.16</v>
      </c>
      <c r="G109" s="11">
        <f t="shared" si="21"/>
        <v>0</v>
      </c>
      <c r="H109" s="11">
        <f t="shared" si="22"/>
        <v>2162.9489655172415</v>
      </c>
      <c r="I109" s="11">
        <f t="shared" si="23"/>
        <v>3414.70325</v>
      </c>
      <c r="J109" s="11">
        <f t="shared" si="24"/>
        <v>3414.70325</v>
      </c>
      <c r="K109" s="11">
        <f t="shared" si="25"/>
        <v>74848.086749999988</v>
      </c>
      <c r="L109" s="11">
        <f t="shared" si="26"/>
        <v>2619.68303625</v>
      </c>
      <c r="M109" s="9">
        <f t="shared" si="27"/>
        <v>-3594.4800000000105</v>
      </c>
      <c r="N109" s="9">
        <v>166560</v>
      </c>
      <c r="O109" s="9">
        <v>162965.51999999999</v>
      </c>
    </row>
    <row r="110" spans="1:15">
      <c r="A110" s="5" t="s">
        <v>280</v>
      </c>
      <c r="B110" t="s">
        <v>43</v>
      </c>
      <c r="C110" s="3">
        <v>42607</v>
      </c>
      <c r="D110" s="11">
        <v>240100.01</v>
      </c>
      <c r="E110" s="11"/>
      <c r="F110" s="11">
        <v>48093.47</v>
      </c>
      <c r="G110" s="11">
        <f t="shared" si="21"/>
        <v>0</v>
      </c>
      <c r="H110" s="11">
        <f t="shared" si="22"/>
        <v>5389.7854310344837</v>
      </c>
      <c r="I110" s="11">
        <f t="shared" si="23"/>
        <v>8403.5003500000003</v>
      </c>
      <c r="J110" s="11">
        <f t="shared" si="24"/>
        <v>8403.5003500000003</v>
      </c>
      <c r="K110" s="11">
        <f t="shared" si="25"/>
        <v>183603.03965000002</v>
      </c>
      <c r="L110" s="11">
        <f t="shared" si="26"/>
        <v>6426.106387750001</v>
      </c>
      <c r="M110" s="9">
        <f t="shared" si="27"/>
        <v>7907.6699999999837</v>
      </c>
      <c r="N110" s="9">
        <v>306833.7</v>
      </c>
      <c r="O110" s="9">
        <v>314741.37</v>
      </c>
    </row>
    <row r="111" spans="1:15">
      <c r="A111" s="5" t="s">
        <v>281</v>
      </c>
      <c r="B111" t="s">
        <v>13</v>
      </c>
      <c r="C111" s="3">
        <v>42607</v>
      </c>
      <c r="D111" s="11">
        <v>153450</v>
      </c>
      <c r="E111" s="11">
        <v>10700</v>
      </c>
      <c r="F111" s="11">
        <v>17813.240000000002</v>
      </c>
      <c r="G111" s="11">
        <f t="shared" si="21"/>
        <v>4612.0689655172418</v>
      </c>
      <c r="H111" s="11">
        <f t="shared" si="22"/>
        <v>1996.3113793103453</v>
      </c>
      <c r="I111" s="11">
        <f t="shared" si="23"/>
        <v>5370.7500000000009</v>
      </c>
      <c r="J111" s="11">
        <f t="shared" si="24"/>
        <v>9982.8189655172428</v>
      </c>
      <c r="K111" s="11">
        <f t="shared" si="25"/>
        <v>140966.01</v>
      </c>
      <c r="L111" s="11">
        <f t="shared" si="26"/>
        <v>4933.8103500000007</v>
      </c>
      <c r="M111" s="9">
        <f t="shared" si="27"/>
        <v>-3696.3999999999942</v>
      </c>
      <c r="N111" s="9">
        <v>150679.16</v>
      </c>
      <c r="O111" s="9">
        <v>146982.76</v>
      </c>
    </row>
    <row r="112" spans="1:15">
      <c r="A112" s="5" t="s">
        <v>282</v>
      </c>
      <c r="B112" t="s">
        <v>13</v>
      </c>
      <c r="C112" s="3">
        <v>192942</v>
      </c>
      <c r="D112" s="11">
        <v>73680</v>
      </c>
      <c r="E112" s="11"/>
      <c r="F112" s="11">
        <v>9017.25</v>
      </c>
      <c r="G112" s="11">
        <f t="shared" si="21"/>
        <v>0</v>
      </c>
      <c r="H112" s="11">
        <f t="shared" si="22"/>
        <v>1010.5538793103449</v>
      </c>
      <c r="I112" s="11">
        <f t="shared" si="23"/>
        <v>2578.8000000000002</v>
      </c>
      <c r="J112" s="11">
        <f t="shared" si="24"/>
        <v>2578.8000000000002</v>
      </c>
      <c r="K112" s="11">
        <f t="shared" si="25"/>
        <v>62083.95</v>
      </c>
      <c r="L112" s="11">
        <f t="shared" si="26"/>
        <v>2172.9382500000002</v>
      </c>
      <c r="M112" s="9">
        <f t="shared" si="27"/>
        <v>2615.679999999993</v>
      </c>
      <c r="N112" s="9">
        <v>115918.8</v>
      </c>
      <c r="O112" s="9">
        <v>118534.48</v>
      </c>
    </row>
    <row r="113" spans="1:15">
      <c r="A113" s="5" t="s">
        <v>283</v>
      </c>
      <c r="B113" t="s">
        <v>52</v>
      </c>
      <c r="C113" s="3">
        <v>42605</v>
      </c>
      <c r="D113" s="11">
        <v>241680</v>
      </c>
      <c r="E113" s="11"/>
      <c r="F113" s="11">
        <v>41400.65</v>
      </c>
      <c r="G113" s="11">
        <f t="shared" si="21"/>
        <v>0</v>
      </c>
      <c r="H113" s="11">
        <f t="shared" si="22"/>
        <v>4639.7280172413803</v>
      </c>
      <c r="I113" s="11">
        <f t="shared" si="23"/>
        <v>8458.8000000000011</v>
      </c>
      <c r="J113" s="11">
        <f t="shared" si="24"/>
        <v>8458.8000000000011</v>
      </c>
      <c r="K113" s="11">
        <f t="shared" si="25"/>
        <v>191820.55000000002</v>
      </c>
      <c r="L113" s="11">
        <f t="shared" si="26"/>
        <v>6713.719250000001</v>
      </c>
      <c r="M113" s="9">
        <f t="shared" si="27"/>
        <v>5367.429999999993</v>
      </c>
      <c r="N113" s="9">
        <v>223253.25</v>
      </c>
      <c r="O113" s="9">
        <v>228620.68</v>
      </c>
    </row>
    <row r="114" spans="1:15">
      <c r="A114" s="5" t="s">
        <v>284</v>
      </c>
      <c r="B114" t="s">
        <v>11</v>
      </c>
      <c r="C114" s="3">
        <v>42607</v>
      </c>
      <c r="D114" s="11">
        <v>127620</v>
      </c>
      <c r="E114" s="11">
        <v>10500</v>
      </c>
      <c r="F114" s="11">
        <v>23593.040000000001</v>
      </c>
      <c r="G114" s="11">
        <f t="shared" si="21"/>
        <v>4525.8620689655172</v>
      </c>
      <c r="H114" s="11">
        <f t="shared" si="22"/>
        <v>2644.047586206897</v>
      </c>
      <c r="I114" s="11">
        <f t="shared" si="23"/>
        <v>4466.7000000000007</v>
      </c>
      <c r="J114" s="11">
        <f t="shared" si="24"/>
        <v>8992.5620689655188</v>
      </c>
      <c r="K114" s="11">
        <f t="shared" si="25"/>
        <v>110060.26</v>
      </c>
      <c r="L114" s="11">
        <f t="shared" si="26"/>
        <v>3852.1091000000001</v>
      </c>
      <c r="M114" s="9">
        <f t="shared" si="27"/>
        <v>0</v>
      </c>
      <c r="N114" s="9">
        <v>122241.38</v>
      </c>
      <c r="O114" s="9">
        <v>122241.38</v>
      </c>
    </row>
    <row r="115" spans="1:15">
      <c r="A115" s="5" t="s">
        <v>285</v>
      </c>
      <c r="B115" t="s">
        <v>11</v>
      </c>
      <c r="C115" s="3">
        <v>42607</v>
      </c>
      <c r="D115" s="11">
        <v>61800</v>
      </c>
      <c r="E115" s="11"/>
      <c r="F115" s="11">
        <v>6246.26</v>
      </c>
      <c r="G115" s="11">
        <f t="shared" si="21"/>
        <v>0</v>
      </c>
      <c r="H115" s="11">
        <f t="shared" si="22"/>
        <v>700.01189655172425</v>
      </c>
      <c r="I115" s="11">
        <f t="shared" si="23"/>
        <v>2163</v>
      </c>
      <c r="J115" s="11">
        <f t="shared" si="24"/>
        <v>2163</v>
      </c>
      <c r="K115" s="11">
        <f t="shared" si="25"/>
        <v>53390.74</v>
      </c>
      <c r="L115" s="11">
        <f t="shared" si="26"/>
        <v>1868.6759000000002</v>
      </c>
      <c r="M115" s="9">
        <f t="shared" si="27"/>
        <v>1587.7000000000116</v>
      </c>
      <c r="N115" s="9">
        <v>120653.68</v>
      </c>
      <c r="O115" s="9">
        <v>122241.38</v>
      </c>
    </row>
    <row r="116" spans="1:15">
      <c r="A116" s="5" t="s">
        <v>286</v>
      </c>
      <c r="B116" t="s">
        <v>11</v>
      </c>
      <c r="C116" s="3">
        <v>42607</v>
      </c>
      <c r="D116" s="11">
        <v>108100</v>
      </c>
      <c r="E116" s="11">
        <v>8500</v>
      </c>
      <c r="F116" s="11">
        <v>14200.4</v>
      </c>
      <c r="G116" s="11">
        <f t="shared" si="21"/>
        <v>3663.7931034482763</v>
      </c>
      <c r="H116" s="11">
        <f t="shared" si="22"/>
        <v>1591.4241379310345</v>
      </c>
      <c r="I116" s="11">
        <f t="shared" si="23"/>
        <v>3783.5000000000005</v>
      </c>
      <c r="J116" s="11">
        <f t="shared" si="24"/>
        <v>7447.2931034482772</v>
      </c>
      <c r="K116" s="11">
        <f t="shared" si="25"/>
        <v>98616.1</v>
      </c>
      <c r="L116" s="11">
        <f t="shared" si="26"/>
        <v>3451.5635000000007</v>
      </c>
      <c r="M116" s="9">
        <f t="shared" si="27"/>
        <v>14365.820000000007</v>
      </c>
      <c r="N116" s="9">
        <v>158134.18</v>
      </c>
      <c r="O116" s="9">
        <v>172500</v>
      </c>
    </row>
    <row r="117" spans="1:15">
      <c r="A117" s="5" t="s">
        <v>287</v>
      </c>
      <c r="B117" t="s">
        <v>11</v>
      </c>
      <c r="C117" s="3">
        <v>42607</v>
      </c>
      <c r="D117" s="11">
        <v>134260</v>
      </c>
      <c r="E117" s="11">
        <v>10600</v>
      </c>
      <c r="F117" s="11">
        <v>25558.29</v>
      </c>
      <c r="G117" s="11">
        <f t="shared" si="21"/>
        <v>4568.9655172413795</v>
      </c>
      <c r="H117" s="11">
        <f t="shared" si="22"/>
        <v>2864.2911206896551</v>
      </c>
      <c r="I117" s="11">
        <f t="shared" si="23"/>
        <v>4699.1000000000004</v>
      </c>
      <c r="J117" s="11">
        <f t="shared" si="24"/>
        <v>9268.065517241379</v>
      </c>
      <c r="K117" s="11">
        <f t="shared" si="25"/>
        <v>114602.60999999999</v>
      </c>
      <c r="L117" s="11">
        <f t="shared" si="26"/>
        <v>4011.0913499999997</v>
      </c>
      <c r="M117" s="9">
        <f t="shared" si="27"/>
        <v>-1733.0299999999988</v>
      </c>
      <c r="N117" s="9">
        <v>141560.62</v>
      </c>
      <c r="O117" s="9">
        <v>139827.59</v>
      </c>
    </row>
    <row r="118" spans="1:15">
      <c r="A118" t="s">
        <v>288</v>
      </c>
      <c r="B118" t="s">
        <v>13</v>
      </c>
      <c r="C118" s="3">
        <v>42608</v>
      </c>
      <c r="D118" s="11">
        <v>140500</v>
      </c>
      <c r="E118" s="11">
        <v>8500</v>
      </c>
      <c r="F118" s="11">
        <v>17813.240000000002</v>
      </c>
      <c r="G118" s="11">
        <f t="shared" si="21"/>
        <v>3663.7931034482763</v>
      </c>
      <c r="H118" s="11">
        <f t="shared" si="22"/>
        <v>1996.3113793103453</v>
      </c>
      <c r="I118" s="11">
        <f t="shared" si="23"/>
        <v>4917.5000000000009</v>
      </c>
      <c r="J118" s="11">
        <f t="shared" si="24"/>
        <v>8581.2931034482772</v>
      </c>
      <c r="K118" s="11">
        <f t="shared" si="25"/>
        <v>126269.26000000001</v>
      </c>
      <c r="L118" s="11">
        <f t="shared" si="26"/>
        <v>4419.4241000000011</v>
      </c>
      <c r="M118" s="9">
        <f t="shared" si="27"/>
        <v>1416.3399999999965</v>
      </c>
      <c r="N118" s="9">
        <v>145566.42000000001</v>
      </c>
      <c r="O118" s="9">
        <v>146982.76</v>
      </c>
    </row>
    <row r="119" spans="1:15">
      <c r="A119" t="s">
        <v>289</v>
      </c>
      <c r="B119" t="s">
        <v>11</v>
      </c>
      <c r="C119" s="3">
        <v>42608</v>
      </c>
      <c r="D119" s="11">
        <v>152910</v>
      </c>
      <c r="E119" s="11">
        <v>15000</v>
      </c>
      <c r="F119" s="11">
        <v>25686.68</v>
      </c>
      <c r="G119" s="11">
        <f t="shared" si="21"/>
        <v>6465.5172413793107</v>
      </c>
      <c r="H119" s="11">
        <f t="shared" si="22"/>
        <v>2878.6796551724142</v>
      </c>
      <c r="I119" s="11">
        <f t="shared" si="23"/>
        <v>5351.85</v>
      </c>
      <c r="J119" s="11">
        <f t="shared" si="24"/>
        <v>11817.36724137931</v>
      </c>
      <c r="K119" s="11">
        <f t="shared" si="25"/>
        <v>136871.47</v>
      </c>
      <c r="L119" s="11">
        <f t="shared" si="26"/>
        <v>4790.5014500000007</v>
      </c>
      <c r="M119" s="9">
        <f t="shared" si="27"/>
        <v>18996.489999999991</v>
      </c>
      <c r="N119" s="9">
        <v>127469.03</v>
      </c>
      <c r="O119" s="9">
        <v>146465.51999999999</v>
      </c>
    </row>
    <row r="120" spans="1:15">
      <c r="A120" t="s">
        <v>290</v>
      </c>
      <c r="B120" t="s">
        <v>17</v>
      </c>
      <c r="C120" s="3">
        <v>42611</v>
      </c>
      <c r="D120" s="11">
        <v>129685</v>
      </c>
      <c r="E120" s="11">
        <v>6500</v>
      </c>
      <c r="F120" s="11">
        <v>6363.05</v>
      </c>
      <c r="G120" s="11">
        <f t="shared" si="21"/>
        <v>2801.7241379310349</v>
      </c>
      <c r="H120" s="11">
        <f t="shared" si="22"/>
        <v>713.10043103448288</v>
      </c>
      <c r="I120" s="11">
        <f t="shared" si="23"/>
        <v>4538.9750000000004</v>
      </c>
      <c r="J120" s="11">
        <f t="shared" si="24"/>
        <v>7340.6991379310348</v>
      </c>
      <c r="K120" s="11">
        <f t="shared" si="25"/>
        <v>125282.97499999999</v>
      </c>
      <c r="L120" s="11">
        <f t="shared" si="26"/>
        <v>4384.904125</v>
      </c>
      <c r="M120" s="9">
        <f t="shared" si="27"/>
        <v>455.83999999999651</v>
      </c>
      <c r="N120" s="9">
        <v>174630.37</v>
      </c>
      <c r="O120" s="9">
        <v>175086.21</v>
      </c>
    </row>
    <row r="121" spans="1:15">
      <c r="A121" t="s">
        <v>291</v>
      </c>
      <c r="B121" t="s">
        <v>11</v>
      </c>
      <c r="C121" s="3">
        <v>42608</v>
      </c>
      <c r="D121" s="11">
        <v>76667.28</v>
      </c>
      <c r="E121" s="11"/>
      <c r="F121" s="11">
        <v>9707.3700000000008</v>
      </c>
      <c r="G121" s="11">
        <f t="shared" si="21"/>
        <v>0</v>
      </c>
      <c r="H121" s="11">
        <f t="shared" si="22"/>
        <v>1087.8949137931038</v>
      </c>
      <c r="I121" s="11">
        <f t="shared" si="23"/>
        <v>2683.3548000000001</v>
      </c>
      <c r="J121" s="11">
        <f t="shared" si="24"/>
        <v>2683.3548000000001</v>
      </c>
      <c r="K121" s="11">
        <f t="shared" si="25"/>
        <v>64276.555200000003</v>
      </c>
      <c r="L121" s="11">
        <f t="shared" si="26"/>
        <v>2249.6794320000004</v>
      </c>
      <c r="M121" s="9">
        <f t="shared" si="27"/>
        <v>3819.2999999999884</v>
      </c>
      <c r="N121" s="9">
        <v>136008.29</v>
      </c>
      <c r="O121" s="9">
        <v>139827.59</v>
      </c>
    </row>
    <row r="122" spans="1:15">
      <c r="A122" s="5" t="s">
        <v>292</v>
      </c>
      <c r="B122" t="s">
        <v>11</v>
      </c>
      <c r="C122" s="3">
        <v>42611</v>
      </c>
      <c r="D122" s="11">
        <v>127620</v>
      </c>
      <c r="E122" s="11">
        <v>6500</v>
      </c>
      <c r="F122" s="11">
        <v>17810.78</v>
      </c>
      <c r="G122" s="11">
        <f t="shared" si="21"/>
        <v>2801.7241379310349</v>
      </c>
      <c r="H122" s="11">
        <f t="shared" si="22"/>
        <v>1996.0356896551725</v>
      </c>
      <c r="I122" s="11">
        <f t="shared" si="23"/>
        <v>4466.7000000000007</v>
      </c>
      <c r="J122" s="11">
        <f t="shared" si="24"/>
        <v>7268.4241379310351</v>
      </c>
      <c r="K122" s="11">
        <f t="shared" si="25"/>
        <v>111842.52</v>
      </c>
      <c r="L122" s="11">
        <f t="shared" si="26"/>
        <v>3914.4882000000007</v>
      </c>
      <c r="M122" s="9">
        <f t="shared" si="27"/>
        <v>0</v>
      </c>
      <c r="N122" s="9">
        <v>122241.38</v>
      </c>
      <c r="O122" s="9">
        <v>122241.38</v>
      </c>
    </row>
    <row r="123" spans="1:15">
      <c r="A123" s="5" t="s">
        <v>293</v>
      </c>
      <c r="B123" t="s">
        <v>13</v>
      </c>
      <c r="C123" s="3">
        <v>42611</v>
      </c>
      <c r="D123" s="11">
        <v>142000</v>
      </c>
      <c r="E123" s="11">
        <v>7500</v>
      </c>
      <c r="F123" s="11">
        <v>11333</v>
      </c>
      <c r="G123" s="11">
        <f t="shared" si="21"/>
        <v>3232.7586206896553</v>
      </c>
      <c r="H123" s="11">
        <f t="shared" si="22"/>
        <v>1270.0775862068965</v>
      </c>
      <c r="I123" s="11">
        <f t="shared" si="23"/>
        <v>4970.0000000000009</v>
      </c>
      <c r="J123" s="11">
        <f t="shared" si="24"/>
        <v>8202.7586206896558</v>
      </c>
      <c r="K123" s="11">
        <f t="shared" si="25"/>
        <v>133197</v>
      </c>
      <c r="L123" s="11">
        <f t="shared" si="26"/>
        <v>4661.8950000000004</v>
      </c>
      <c r="M123" s="9">
        <f t="shared" si="27"/>
        <v>-3220.5599999999977</v>
      </c>
      <c r="N123" s="9">
        <v>150203.32</v>
      </c>
      <c r="O123" s="9">
        <v>146982.76</v>
      </c>
    </row>
    <row r="124" spans="1:15">
      <c r="A124" s="5" t="s">
        <v>294</v>
      </c>
      <c r="B124" t="s">
        <v>17</v>
      </c>
      <c r="C124" s="3">
        <v>42611</v>
      </c>
      <c r="D124" s="11">
        <v>129991.21</v>
      </c>
      <c r="E124" s="11"/>
      <c r="F124" s="11">
        <v>5900.12</v>
      </c>
      <c r="G124" s="11">
        <f t="shared" si="21"/>
        <v>0</v>
      </c>
      <c r="H124" s="11">
        <f t="shared" si="22"/>
        <v>661.22034482758625</v>
      </c>
      <c r="I124" s="11">
        <f t="shared" si="23"/>
        <v>4549.6923500000003</v>
      </c>
      <c r="J124" s="11">
        <f t="shared" si="24"/>
        <v>4549.6923500000003</v>
      </c>
      <c r="K124" s="11">
        <f t="shared" si="25"/>
        <v>119541.39765000001</v>
      </c>
      <c r="L124" s="11">
        <f t="shared" si="26"/>
        <v>4183.9489177500009</v>
      </c>
      <c r="M124" s="9">
        <f t="shared" si="27"/>
        <v>965.25</v>
      </c>
      <c r="N124" s="9">
        <v>174120.95999999999</v>
      </c>
      <c r="O124" s="9">
        <v>175086.21</v>
      </c>
    </row>
    <row r="125" spans="1:15">
      <c r="A125" s="5" t="s">
        <v>295</v>
      </c>
      <c r="B125" t="s">
        <v>13</v>
      </c>
      <c r="C125" s="3">
        <v>42611</v>
      </c>
      <c r="D125" s="11">
        <v>152865</v>
      </c>
      <c r="E125" s="11">
        <v>15000</v>
      </c>
      <c r="F125" s="11">
        <v>20222.32</v>
      </c>
      <c r="G125" s="11">
        <f t="shared" si="21"/>
        <v>6465.5172413793107</v>
      </c>
      <c r="H125" s="11">
        <f t="shared" si="22"/>
        <v>2266.2944827586211</v>
      </c>
      <c r="I125" s="11">
        <f t="shared" si="23"/>
        <v>5350.2750000000005</v>
      </c>
      <c r="J125" s="11">
        <f t="shared" si="24"/>
        <v>11815.792241379311</v>
      </c>
      <c r="K125" s="11">
        <f t="shared" si="25"/>
        <v>142292.405</v>
      </c>
      <c r="L125" s="11">
        <f t="shared" si="26"/>
        <v>4980.2341750000005</v>
      </c>
      <c r="M125" s="9">
        <f t="shared" si="27"/>
        <v>-1333.6700000000128</v>
      </c>
      <c r="N125" s="9">
        <v>168144.01</v>
      </c>
      <c r="O125" s="9">
        <v>166810.34</v>
      </c>
    </row>
    <row r="126" spans="1:15">
      <c r="A126" s="5" t="s">
        <v>296</v>
      </c>
      <c r="B126" t="s">
        <v>17</v>
      </c>
      <c r="C126" s="3">
        <v>42611</v>
      </c>
      <c r="D126" s="11">
        <v>197820</v>
      </c>
      <c r="E126" s="11"/>
      <c r="F126" s="11">
        <v>24951.68</v>
      </c>
      <c r="G126" s="11">
        <f t="shared" si="21"/>
        <v>0</v>
      </c>
      <c r="H126" s="11">
        <f t="shared" si="22"/>
        <v>2796.3089655172416</v>
      </c>
      <c r="I126" s="11">
        <f t="shared" si="23"/>
        <v>6923.7000000000007</v>
      </c>
      <c r="J126" s="11">
        <f t="shared" si="24"/>
        <v>6923.7000000000007</v>
      </c>
      <c r="K126" s="11">
        <f t="shared" si="25"/>
        <v>165944.62</v>
      </c>
      <c r="L126" s="11">
        <f t="shared" si="26"/>
        <v>5808.0617000000002</v>
      </c>
      <c r="M126" s="9">
        <f t="shared" si="27"/>
        <v>6287.0299999999988</v>
      </c>
      <c r="N126" s="9">
        <v>183195.73</v>
      </c>
      <c r="O126" s="9">
        <v>189482.76</v>
      </c>
    </row>
    <row r="127" spans="1:15">
      <c r="A127" s="5" t="s">
        <v>297</v>
      </c>
      <c r="B127" t="s">
        <v>13</v>
      </c>
      <c r="C127" s="3">
        <v>42611</v>
      </c>
      <c r="D127" s="11">
        <v>76800</v>
      </c>
      <c r="E127" s="11">
        <v>7500</v>
      </c>
      <c r="F127" s="11">
        <v>5142.6000000000004</v>
      </c>
      <c r="G127" s="11">
        <f t="shared" si="21"/>
        <v>3232.7586206896553</v>
      </c>
      <c r="H127" s="11">
        <f t="shared" si="22"/>
        <v>576.32586206896565</v>
      </c>
      <c r="I127" s="11">
        <f t="shared" si="23"/>
        <v>2688.0000000000005</v>
      </c>
      <c r="J127" s="11">
        <f t="shared" si="24"/>
        <v>5920.7586206896558</v>
      </c>
      <c r="K127" s="11">
        <f t="shared" si="25"/>
        <v>76469.399999999994</v>
      </c>
      <c r="L127" s="11">
        <f t="shared" si="26"/>
        <v>2676.4290000000001</v>
      </c>
      <c r="M127" s="9">
        <f t="shared" si="27"/>
        <v>-723.94000000000233</v>
      </c>
      <c r="N127" s="9">
        <v>153137.73000000001</v>
      </c>
      <c r="O127" s="9">
        <v>152413.79</v>
      </c>
    </row>
    <row r="128" spans="1:15">
      <c r="A128" s="5" t="s">
        <v>298</v>
      </c>
      <c r="B128" t="s">
        <v>22</v>
      </c>
      <c r="C128" s="3">
        <v>42611</v>
      </c>
      <c r="D128" s="11">
        <v>138626.84</v>
      </c>
      <c r="E128" s="11">
        <v>8500</v>
      </c>
      <c r="F128" s="11">
        <v>5500.72</v>
      </c>
      <c r="G128" s="11">
        <f t="shared" si="21"/>
        <v>3663.7931034482763</v>
      </c>
      <c r="H128" s="11">
        <f t="shared" si="22"/>
        <v>616.46000000000015</v>
      </c>
      <c r="I128" s="11">
        <f t="shared" si="23"/>
        <v>4851.9394000000002</v>
      </c>
      <c r="J128" s="11">
        <f t="shared" si="24"/>
        <v>8515.7325034482765</v>
      </c>
      <c r="K128" s="11">
        <f t="shared" si="25"/>
        <v>136774.18059999999</v>
      </c>
      <c r="L128" s="11">
        <f t="shared" si="26"/>
        <v>4787.096321</v>
      </c>
      <c r="M128" s="9">
        <f t="shared" si="27"/>
        <v>-3099.640000000014</v>
      </c>
      <c r="N128" s="9">
        <v>224996.19</v>
      </c>
      <c r="O128" s="9">
        <v>221896.55</v>
      </c>
    </row>
    <row r="129" spans="1:15">
      <c r="A129" s="5" t="s">
        <v>299</v>
      </c>
      <c r="B129" t="s">
        <v>22</v>
      </c>
      <c r="C129" s="3">
        <v>42611</v>
      </c>
      <c r="D129" s="11">
        <v>165400</v>
      </c>
      <c r="E129" s="11">
        <v>8500</v>
      </c>
      <c r="F129" s="11">
        <v>22153.31</v>
      </c>
      <c r="G129" s="11">
        <f t="shared" si="21"/>
        <v>3663.7931034482763</v>
      </c>
      <c r="H129" s="11">
        <f t="shared" si="22"/>
        <v>2482.698534482759</v>
      </c>
      <c r="I129" s="11">
        <f t="shared" si="23"/>
        <v>5789.0000000000009</v>
      </c>
      <c r="J129" s="11">
        <f t="shared" si="24"/>
        <v>9452.7931034482772</v>
      </c>
      <c r="K129" s="11">
        <f t="shared" si="25"/>
        <v>145957.69</v>
      </c>
      <c r="L129" s="11">
        <f t="shared" si="26"/>
        <v>5108.519150000001</v>
      </c>
      <c r="M129" s="9">
        <f t="shared" si="27"/>
        <v>-5343.4800000000105</v>
      </c>
      <c r="N129" s="9">
        <v>227240.03</v>
      </c>
      <c r="O129" s="9">
        <v>221896.55</v>
      </c>
    </row>
    <row r="130" spans="1:15">
      <c r="A130" s="5" t="s">
        <v>300</v>
      </c>
      <c r="B130" t="s">
        <v>22</v>
      </c>
      <c r="C130" s="3">
        <v>42611</v>
      </c>
      <c r="D130" s="11">
        <v>172833.7</v>
      </c>
      <c r="E130" s="11">
        <v>13200</v>
      </c>
      <c r="F130" s="11">
        <v>5837.92</v>
      </c>
      <c r="G130" s="11">
        <f t="shared" si="21"/>
        <v>5689.6551724137935</v>
      </c>
      <c r="H130" s="11">
        <f t="shared" si="22"/>
        <v>654.24965517241378</v>
      </c>
      <c r="I130" s="11">
        <f t="shared" si="23"/>
        <v>6049.1795000000011</v>
      </c>
      <c r="J130" s="11">
        <f t="shared" si="24"/>
        <v>11738.834672413795</v>
      </c>
      <c r="K130" s="11">
        <f t="shared" si="25"/>
        <v>174146.6005</v>
      </c>
      <c r="L130" s="11">
        <f t="shared" si="26"/>
        <v>6095.1310175000008</v>
      </c>
      <c r="M130" s="9">
        <f t="shared" si="27"/>
        <v>126.73999999999069</v>
      </c>
      <c r="N130" s="9">
        <v>250993.94</v>
      </c>
      <c r="O130" s="9">
        <v>251120.68</v>
      </c>
    </row>
    <row r="131" spans="1:15">
      <c r="A131" s="5" t="s">
        <v>301</v>
      </c>
      <c r="B131" t="s">
        <v>17</v>
      </c>
      <c r="C131" s="3">
        <v>42611</v>
      </c>
      <c r="D131" s="11">
        <v>144500</v>
      </c>
      <c r="E131" s="11">
        <v>8500</v>
      </c>
      <c r="F131" s="11">
        <v>24550.2</v>
      </c>
      <c r="G131" s="11">
        <f t="shared" si="21"/>
        <v>3663.7931034482763</v>
      </c>
      <c r="H131" s="11">
        <f t="shared" si="22"/>
        <v>2751.3155172413794</v>
      </c>
      <c r="I131" s="11">
        <f t="shared" si="23"/>
        <v>5057.5000000000009</v>
      </c>
      <c r="J131" s="11">
        <f t="shared" si="24"/>
        <v>8721.2931034482772</v>
      </c>
      <c r="K131" s="11">
        <f t="shared" si="25"/>
        <v>123392.3</v>
      </c>
      <c r="L131" s="11">
        <f t="shared" si="26"/>
        <v>4318.7305000000006</v>
      </c>
      <c r="M131" s="9">
        <f t="shared" si="27"/>
        <v>39.180000000022119</v>
      </c>
      <c r="N131" s="9">
        <v>184874.61</v>
      </c>
      <c r="O131" s="9">
        <v>184913.79</v>
      </c>
    </row>
    <row r="132" spans="1:15">
      <c r="A132" s="5" t="s">
        <v>302</v>
      </c>
      <c r="B132" t="s">
        <v>303</v>
      </c>
      <c r="C132" s="3">
        <v>42611</v>
      </c>
      <c r="D132" s="11">
        <v>68803.78</v>
      </c>
      <c r="E132" s="11"/>
      <c r="F132" s="11">
        <v>10784.44</v>
      </c>
      <c r="G132" s="11">
        <f t="shared" si="21"/>
        <v>0</v>
      </c>
      <c r="H132" s="11">
        <f t="shared" si="22"/>
        <v>1208.6010344827587</v>
      </c>
      <c r="I132" s="11">
        <f t="shared" si="23"/>
        <v>2408.1323000000002</v>
      </c>
      <c r="J132" s="11">
        <f t="shared" si="24"/>
        <v>2408.1323000000002</v>
      </c>
      <c r="K132" s="11">
        <f t="shared" si="25"/>
        <v>55611.207699999999</v>
      </c>
      <c r="L132" s="11">
        <f t="shared" si="26"/>
        <v>1946.3922695000001</v>
      </c>
      <c r="M132" s="9">
        <f t="shared" si="27"/>
        <v>-14620.690000000002</v>
      </c>
      <c r="N132" s="9">
        <v>140000</v>
      </c>
      <c r="O132" s="9">
        <v>125379.31</v>
      </c>
    </row>
    <row r="133" spans="1:15">
      <c r="A133" s="5" t="s">
        <v>304</v>
      </c>
      <c r="B133" t="s">
        <v>11</v>
      </c>
      <c r="C133" s="3">
        <v>42611</v>
      </c>
      <c r="D133" s="11">
        <v>82355</v>
      </c>
      <c r="E133" s="11"/>
      <c r="F133" s="11">
        <v>8100.77</v>
      </c>
      <c r="G133" s="11">
        <f t="shared" si="21"/>
        <v>0</v>
      </c>
      <c r="H133" s="11">
        <f t="shared" si="22"/>
        <v>907.84491379310361</v>
      </c>
      <c r="I133" s="11">
        <f t="shared" si="23"/>
        <v>2882.4250000000002</v>
      </c>
      <c r="J133" s="11">
        <f t="shared" si="24"/>
        <v>2882.4250000000002</v>
      </c>
      <c r="K133" s="11">
        <f t="shared" si="25"/>
        <v>71371.804999999993</v>
      </c>
      <c r="L133" s="11">
        <f t="shared" si="26"/>
        <v>2498.013175</v>
      </c>
      <c r="M133" s="9">
        <f t="shared" si="27"/>
        <v>1048.4400000000023</v>
      </c>
      <c r="N133" s="9">
        <v>108175.7</v>
      </c>
      <c r="O133" s="9">
        <v>109224.14</v>
      </c>
    </row>
    <row r="134" spans="1:15">
      <c r="A134" s="5" t="s">
        <v>305</v>
      </c>
      <c r="B134" t="s">
        <v>13</v>
      </c>
      <c r="C134" s="3">
        <v>42611</v>
      </c>
      <c r="D134" s="11">
        <v>135360</v>
      </c>
      <c r="E134" s="11">
        <v>12000</v>
      </c>
      <c r="F134" s="11">
        <v>17528.16</v>
      </c>
      <c r="G134" s="11">
        <f t="shared" si="21"/>
        <v>5172.4137931034484</v>
      </c>
      <c r="H134" s="11">
        <f t="shared" si="22"/>
        <v>1964.3627586206899</v>
      </c>
      <c r="I134" s="11">
        <f t="shared" si="23"/>
        <v>4737.6000000000004</v>
      </c>
      <c r="J134" s="11">
        <f t="shared" si="24"/>
        <v>9910.0137931034478</v>
      </c>
      <c r="K134" s="11">
        <f t="shared" si="25"/>
        <v>125094.23999999999</v>
      </c>
      <c r="L134" s="11">
        <f t="shared" si="26"/>
        <v>4378.2983999999997</v>
      </c>
      <c r="M134" s="9">
        <f t="shared" si="27"/>
        <v>-5641.8899999999994</v>
      </c>
      <c r="N134" s="9">
        <v>135297.06</v>
      </c>
      <c r="O134" s="9">
        <v>129655.17</v>
      </c>
    </row>
    <row r="135" spans="1:15">
      <c r="A135" s="5" t="s">
        <v>306</v>
      </c>
      <c r="B135" t="s">
        <v>11</v>
      </c>
      <c r="C135" s="3">
        <v>42612</v>
      </c>
      <c r="D135" s="11">
        <v>111800</v>
      </c>
      <c r="E135" s="11">
        <v>6500</v>
      </c>
      <c r="F135" s="11">
        <v>17810.78</v>
      </c>
      <c r="G135" s="11">
        <f t="shared" si="21"/>
        <v>2801.7241379310349</v>
      </c>
      <c r="H135" s="11">
        <f t="shared" si="22"/>
        <v>1996.0356896551725</v>
      </c>
      <c r="I135" s="11">
        <f t="shared" si="23"/>
        <v>3913.0000000000005</v>
      </c>
      <c r="J135" s="11">
        <f t="shared" si="24"/>
        <v>6714.7241379310353</v>
      </c>
      <c r="K135" s="11">
        <f t="shared" si="25"/>
        <v>96576.22</v>
      </c>
      <c r="L135" s="11">
        <f t="shared" si="26"/>
        <v>3380.1677000000004</v>
      </c>
      <c r="M135" s="9">
        <f t="shared" si="27"/>
        <v>1063.3600000000006</v>
      </c>
      <c r="N135" s="9">
        <v>121178.02</v>
      </c>
      <c r="O135" s="9">
        <v>122241.38</v>
      </c>
    </row>
    <row r="136" spans="1:15">
      <c r="A136" s="5" t="s">
        <v>307</v>
      </c>
      <c r="B136" t="s">
        <v>22</v>
      </c>
      <c r="C136" s="3">
        <v>42612</v>
      </c>
      <c r="D136" s="11">
        <v>163800</v>
      </c>
      <c r="E136" s="11"/>
      <c r="F136" s="11">
        <v>5196.3999999999996</v>
      </c>
      <c r="G136" s="11">
        <f t="shared" si="21"/>
        <v>0</v>
      </c>
      <c r="H136" s="11">
        <f t="shared" si="22"/>
        <v>582.35517241379318</v>
      </c>
      <c r="I136" s="11">
        <f t="shared" si="23"/>
        <v>5733.0000000000009</v>
      </c>
      <c r="J136" s="11">
        <f t="shared" si="24"/>
        <v>5733.0000000000009</v>
      </c>
      <c r="K136" s="11">
        <f t="shared" si="25"/>
        <v>152870.6</v>
      </c>
      <c r="L136" s="11">
        <f t="shared" si="26"/>
        <v>5350.4710000000005</v>
      </c>
      <c r="M136" s="9">
        <f t="shared" si="27"/>
        <v>-7754.8099999999977</v>
      </c>
      <c r="N136" s="9">
        <v>224996.19</v>
      </c>
      <c r="O136" s="9">
        <v>217241.38</v>
      </c>
    </row>
    <row r="137" spans="1:15">
      <c r="A137" s="5" t="s">
        <v>308</v>
      </c>
      <c r="B137" t="s">
        <v>11</v>
      </c>
      <c r="C137" s="3">
        <v>42612</v>
      </c>
      <c r="D137" s="11">
        <v>127620</v>
      </c>
      <c r="E137" s="11">
        <v>8500</v>
      </c>
      <c r="F137" s="11">
        <v>23593.040000000001</v>
      </c>
      <c r="G137" s="11">
        <f t="shared" ref="G137:G156" si="28">(E137/1.16)*0.5</f>
        <v>3663.7931034482763</v>
      </c>
      <c r="H137" s="11">
        <f t="shared" ref="H137:H156" si="29">(F137/1.16)*0.13</f>
        <v>2644.047586206897</v>
      </c>
      <c r="I137" s="11">
        <f t="shared" ref="I137:I156" si="30">D137*3.5%</f>
        <v>4466.7000000000007</v>
      </c>
      <c r="J137" s="11">
        <f t="shared" ref="J137:J156" si="31">+G137+I137</f>
        <v>8130.493103448277</v>
      </c>
      <c r="K137" s="11">
        <f t="shared" ref="K137:K156" si="32">SUM(+D137+E137-F137-I137)</f>
        <v>108060.26</v>
      </c>
      <c r="L137" s="11">
        <f t="shared" ref="L137:L156" si="33">K137*$L$8</f>
        <v>3782.1091000000001</v>
      </c>
      <c r="M137" s="9">
        <f t="shared" ref="M137:M156" si="34">O137-N137</f>
        <v>2253.0200000000041</v>
      </c>
      <c r="N137" s="9">
        <v>119988.36</v>
      </c>
      <c r="O137" s="9">
        <v>122241.38</v>
      </c>
    </row>
    <row r="138" spans="1:15">
      <c r="A138" s="5" t="s">
        <v>309</v>
      </c>
      <c r="B138" t="s">
        <v>11</v>
      </c>
      <c r="C138" s="3">
        <v>42612</v>
      </c>
      <c r="D138" s="11">
        <v>147240</v>
      </c>
      <c r="E138" s="11"/>
      <c r="F138" s="11">
        <v>25217.279999999999</v>
      </c>
      <c r="G138" s="11">
        <f t="shared" si="28"/>
        <v>0</v>
      </c>
      <c r="H138" s="11">
        <f t="shared" si="29"/>
        <v>2826.0744827586204</v>
      </c>
      <c r="I138" s="11">
        <f t="shared" si="30"/>
        <v>5153.4000000000005</v>
      </c>
      <c r="J138" s="11">
        <f t="shared" si="31"/>
        <v>5153.4000000000005</v>
      </c>
      <c r="K138" s="11">
        <f t="shared" si="32"/>
        <v>116869.32</v>
      </c>
      <c r="L138" s="11">
        <f t="shared" si="33"/>
        <v>4090.4262000000008</v>
      </c>
      <c r="M138" s="9">
        <f t="shared" si="34"/>
        <v>8516.0627586206829</v>
      </c>
      <c r="N138" s="9">
        <v>132518.42000000001</v>
      </c>
      <c r="O138" s="9">
        <f>163600/1.16</f>
        <v>141034.4827586207</v>
      </c>
    </row>
    <row r="139" spans="1:15">
      <c r="A139" s="5" t="s">
        <v>310</v>
      </c>
      <c r="B139" t="s">
        <v>138</v>
      </c>
      <c r="C139" s="3">
        <v>42613</v>
      </c>
      <c r="D139" s="11">
        <v>124368.21</v>
      </c>
      <c r="E139" s="11">
        <v>16500</v>
      </c>
      <c r="F139" s="11">
        <v>31615.16</v>
      </c>
      <c r="G139" s="11">
        <f t="shared" si="28"/>
        <v>7112.0689655172418</v>
      </c>
      <c r="H139" s="11">
        <f t="shared" si="29"/>
        <v>3543.0782758620694</v>
      </c>
      <c r="I139" s="11">
        <f t="shared" si="30"/>
        <v>4352.8873500000009</v>
      </c>
      <c r="J139" s="11">
        <f t="shared" si="31"/>
        <v>11464.956315517244</v>
      </c>
      <c r="K139" s="11">
        <f t="shared" si="32"/>
        <v>104900.16265000001</v>
      </c>
      <c r="L139" s="11">
        <f t="shared" si="33"/>
        <v>3671.5056927500009</v>
      </c>
      <c r="M139" s="9">
        <f t="shared" si="34"/>
        <v>3766.1900000000023</v>
      </c>
      <c r="N139" s="9">
        <v>175026.91</v>
      </c>
      <c r="O139" s="9">
        <v>178793.1</v>
      </c>
    </row>
    <row r="140" spans="1:15">
      <c r="A140" s="5" t="s">
        <v>311</v>
      </c>
      <c r="B140" t="s">
        <v>11</v>
      </c>
      <c r="C140" s="3">
        <v>42612</v>
      </c>
      <c r="D140" s="11">
        <v>145980</v>
      </c>
      <c r="E140" s="11">
        <v>10500</v>
      </c>
      <c r="F140" s="11">
        <v>25113</v>
      </c>
      <c r="G140" s="11">
        <f t="shared" si="28"/>
        <v>4525.8620689655172</v>
      </c>
      <c r="H140" s="11">
        <f t="shared" si="29"/>
        <v>2814.3879310344832</v>
      </c>
      <c r="I140" s="11">
        <f t="shared" si="30"/>
        <v>5109.3</v>
      </c>
      <c r="J140" s="11">
        <f t="shared" si="31"/>
        <v>9635.1620689655174</v>
      </c>
      <c r="K140" s="11">
        <f t="shared" si="32"/>
        <v>126257.7</v>
      </c>
      <c r="L140" s="11">
        <f t="shared" si="33"/>
        <v>4419.0195000000003</v>
      </c>
      <c r="M140" s="9">
        <f t="shared" si="34"/>
        <v>-1117.0299999999988</v>
      </c>
      <c r="N140" s="9">
        <v>140944.62</v>
      </c>
      <c r="O140" s="9">
        <v>139827.59</v>
      </c>
    </row>
    <row r="141" spans="1:15">
      <c r="A141" s="5" t="s">
        <v>312</v>
      </c>
      <c r="B141" t="s">
        <v>13</v>
      </c>
      <c r="C141" s="3">
        <v>42612</v>
      </c>
      <c r="D141" s="11">
        <v>164070</v>
      </c>
      <c r="E141" s="11">
        <v>14400</v>
      </c>
      <c r="F141" s="11">
        <v>36786.879999999997</v>
      </c>
      <c r="G141" s="11">
        <f t="shared" si="28"/>
        <v>6206.8965517241386</v>
      </c>
      <c r="H141" s="11">
        <f t="shared" si="29"/>
        <v>4122.6675862068969</v>
      </c>
      <c r="I141" s="11">
        <f t="shared" si="30"/>
        <v>5742.4500000000007</v>
      </c>
      <c r="J141" s="11">
        <f t="shared" si="31"/>
        <v>11949.346551724138</v>
      </c>
      <c r="K141" s="11">
        <f t="shared" si="32"/>
        <v>135940.66999999998</v>
      </c>
      <c r="L141" s="11">
        <f t="shared" si="33"/>
        <v>4757.9234500000002</v>
      </c>
      <c r="M141" s="9">
        <f t="shared" si="34"/>
        <v>5127.7600000000093</v>
      </c>
      <c r="N141" s="9">
        <v>152027.41</v>
      </c>
      <c r="O141" s="9">
        <v>157155.17000000001</v>
      </c>
    </row>
    <row r="142" spans="1:15">
      <c r="A142" s="5" t="s">
        <v>313</v>
      </c>
      <c r="B142" t="s">
        <v>17</v>
      </c>
      <c r="C142" s="3">
        <v>42612</v>
      </c>
      <c r="D142" s="11">
        <v>204700</v>
      </c>
      <c r="E142" s="11"/>
      <c r="F142" s="11">
        <v>19846.400000000001</v>
      </c>
      <c r="G142" s="11">
        <f t="shared" si="28"/>
        <v>0</v>
      </c>
      <c r="H142" s="11">
        <f t="shared" si="29"/>
        <v>2224.1655172413793</v>
      </c>
      <c r="I142" s="11">
        <f t="shared" si="30"/>
        <v>7164.5000000000009</v>
      </c>
      <c r="J142" s="11">
        <f t="shared" si="31"/>
        <v>7164.5000000000009</v>
      </c>
      <c r="K142" s="11">
        <f t="shared" si="32"/>
        <v>177689.1</v>
      </c>
      <c r="L142" s="11">
        <f t="shared" si="33"/>
        <v>6219.1185000000005</v>
      </c>
      <c r="M142" s="9">
        <f t="shared" si="34"/>
        <v>7985.3031034482992</v>
      </c>
      <c r="N142" s="9">
        <v>196928.49</v>
      </c>
      <c r="O142" s="9">
        <f>237700/1.16</f>
        <v>204913.79310344829</v>
      </c>
    </row>
    <row r="143" spans="1:15">
      <c r="A143" s="5" t="s">
        <v>314</v>
      </c>
      <c r="B143" t="s">
        <v>13</v>
      </c>
      <c r="C143" s="3">
        <v>42614</v>
      </c>
      <c r="D143" s="11">
        <v>159120</v>
      </c>
      <c r="E143" s="11"/>
      <c r="F143" s="11">
        <v>19178.400000000001</v>
      </c>
      <c r="G143" s="11">
        <f t="shared" si="28"/>
        <v>0</v>
      </c>
      <c r="H143" s="11">
        <f t="shared" si="29"/>
        <v>2149.3034482758626</v>
      </c>
      <c r="I143" s="11">
        <f t="shared" si="30"/>
        <v>5569.2000000000007</v>
      </c>
      <c r="J143" s="11">
        <f t="shared" si="31"/>
        <v>5569.2000000000007</v>
      </c>
      <c r="K143" s="11">
        <f t="shared" si="32"/>
        <v>134372.4</v>
      </c>
      <c r="L143" s="11">
        <f t="shared" si="33"/>
        <v>4703.0340000000006</v>
      </c>
      <c r="M143" s="9">
        <f t="shared" si="34"/>
        <v>2968.0599999999977</v>
      </c>
      <c r="N143" s="9">
        <v>149445.73000000001</v>
      </c>
      <c r="O143" s="9">
        <v>152413.79</v>
      </c>
    </row>
    <row r="144" spans="1:15">
      <c r="A144" s="5" t="s">
        <v>315</v>
      </c>
      <c r="B144" t="s">
        <v>17</v>
      </c>
      <c r="C144" s="3">
        <v>42615</v>
      </c>
      <c r="D144" s="11">
        <v>162480</v>
      </c>
      <c r="E144" s="11">
        <v>8500</v>
      </c>
      <c r="F144" s="11">
        <v>17033.21</v>
      </c>
      <c r="G144" s="11">
        <f t="shared" si="28"/>
        <v>3663.7931034482763</v>
      </c>
      <c r="H144" s="11">
        <f t="shared" si="29"/>
        <v>1908.8942241379311</v>
      </c>
      <c r="I144" s="11">
        <f t="shared" si="30"/>
        <v>5686.8</v>
      </c>
      <c r="J144" s="11">
        <f t="shared" si="31"/>
        <v>9350.5931034482765</v>
      </c>
      <c r="K144" s="11">
        <f t="shared" si="32"/>
        <v>148259.99000000002</v>
      </c>
      <c r="L144" s="11">
        <f t="shared" si="33"/>
        <v>5189.099650000001</v>
      </c>
      <c r="M144" s="9">
        <f t="shared" si="34"/>
        <v>-774.30000000001746</v>
      </c>
      <c r="N144" s="9">
        <v>175860.51</v>
      </c>
      <c r="O144" s="9">
        <v>175086.21</v>
      </c>
    </row>
    <row r="145" spans="1:15">
      <c r="C145" s="3"/>
      <c r="D145" s="11"/>
      <c r="E145" s="11"/>
      <c r="F145" s="11"/>
      <c r="G145" s="11">
        <f t="shared" si="28"/>
        <v>0</v>
      </c>
      <c r="H145" s="11">
        <f t="shared" si="29"/>
        <v>0</v>
      </c>
      <c r="I145" s="11">
        <f t="shared" si="30"/>
        <v>0</v>
      </c>
      <c r="J145" s="11">
        <f t="shared" si="31"/>
        <v>0</v>
      </c>
      <c r="K145" s="11">
        <f t="shared" si="32"/>
        <v>0</v>
      </c>
      <c r="L145" s="11">
        <f t="shared" si="33"/>
        <v>0</v>
      </c>
      <c r="M145" s="9">
        <f t="shared" si="34"/>
        <v>0</v>
      </c>
      <c r="N145" s="9"/>
      <c r="O145" s="9"/>
    </row>
    <row r="146" spans="1:15">
      <c r="C146" s="3"/>
      <c r="D146" s="11"/>
      <c r="E146" s="11"/>
      <c r="F146" s="11"/>
      <c r="G146" s="11">
        <f t="shared" si="28"/>
        <v>0</v>
      </c>
      <c r="H146" s="11">
        <f t="shared" si="29"/>
        <v>0</v>
      </c>
      <c r="I146" s="11">
        <f t="shared" si="30"/>
        <v>0</v>
      </c>
      <c r="J146" s="11">
        <f t="shared" si="31"/>
        <v>0</v>
      </c>
      <c r="K146" s="11">
        <f t="shared" si="32"/>
        <v>0</v>
      </c>
      <c r="L146" s="11">
        <f t="shared" si="33"/>
        <v>0</v>
      </c>
      <c r="M146" s="9">
        <f t="shared" si="34"/>
        <v>0</v>
      </c>
      <c r="N146" s="9"/>
      <c r="O146" s="9"/>
    </row>
    <row r="147" spans="1:15">
      <c r="A147" s="13"/>
      <c r="C147" s="3"/>
      <c r="D147" s="11"/>
      <c r="E147" s="11"/>
      <c r="F147" s="11"/>
      <c r="G147" s="11">
        <f t="shared" si="28"/>
        <v>0</v>
      </c>
      <c r="H147" s="11">
        <f t="shared" si="29"/>
        <v>0</v>
      </c>
      <c r="I147" s="11">
        <f t="shared" si="30"/>
        <v>0</v>
      </c>
      <c r="J147" s="11">
        <f t="shared" si="31"/>
        <v>0</v>
      </c>
      <c r="K147" s="11">
        <f t="shared" si="32"/>
        <v>0</v>
      </c>
      <c r="L147" s="11">
        <f t="shared" si="33"/>
        <v>0</v>
      </c>
      <c r="M147" s="9">
        <f t="shared" si="34"/>
        <v>0</v>
      </c>
      <c r="N147" s="9"/>
      <c r="O147" s="9"/>
    </row>
    <row r="148" spans="1:15">
      <c r="C148" s="3"/>
      <c r="D148" s="11"/>
      <c r="E148" s="11"/>
      <c r="F148" s="11"/>
      <c r="G148" s="11">
        <f t="shared" si="28"/>
        <v>0</v>
      </c>
      <c r="H148" s="11">
        <f t="shared" si="29"/>
        <v>0</v>
      </c>
      <c r="I148" s="11">
        <f t="shared" si="30"/>
        <v>0</v>
      </c>
      <c r="J148" s="11">
        <f t="shared" si="31"/>
        <v>0</v>
      </c>
      <c r="K148" s="11">
        <f t="shared" si="32"/>
        <v>0</v>
      </c>
      <c r="L148" s="11">
        <f t="shared" si="33"/>
        <v>0</v>
      </c>
      <c r="M148" s="9">
        <f t="shared" si="34"/>
        <v>0</v>
      </c>
      <c r="N148" s="9"/>
      <c r="O148" s="9"/>
    </row>
    <row r="149" spans="1:15">
      <c r="C149" s="3"/>
      <c r="D149" s="11"/>
      <c r="E149" s="11"/>
      <c r="F149" s="11"/>
      <c r="G149" s="11">
        <f t="shared" si="28"/>
        <v>0</v>
      </c>
      <c r="H149" s="11">
        <f t="shared" si="29"/>
        <v>0</v>
      </c>
      <c r="I149" s="11">
        <f t="shared" si="30"/>
        <v>0</v>
      </c>
      <c r="J149" s="11">
        <f t="shared" si="31"/>
        <v>0</v>
      </c>
      <c r="K149" s="11">
        <f t="shared" si="32"/>
        <v>0</v>
      </c>
      <c r="L149" s="11">
        <f t="shared" si="33"/>
        <v>0</v>
      </c>
      <c r="M149" s="9">
        <f t="shared" si="34"/>
        <v>0</v>
      </c>
      <c r="N149" s="9"/>
      <c r="O149" s="9"/>
    </row>
    <row r="150" spans="1:15">
      <c r="C150" s="3"/>
      <c r="D150" s="11"/>
      <c r="E150" s="11"/>
      <c r="F150" s="11"/>
      <c r="G150" s="11">
        <f t="shared" si="28"/>
        <v>0</v>
      </c>
      <c r="H150" s="11">
        <f t="shared" si="29"/>
        <v>0</v>
      </c>
      <c r="I150" s="11">
        <f t="shared" si="30"/>
        <v>0</v>
      </c>
      <c r="J150" s="11">
        <f t="shared" si="31"/>
        <v>0</v>
      </c>
      <c r="K150" s="11">
        <f t="shared" si="32"/>
        <v>0</v>
      </c>
      <c r="L150" s="11">
        <f t="shared" si="33"/>
        <v>0</v>
      </c>
      <c r="M150" s="9">
        <f t="shared" si="34"/>
        <v>0</v>
      </c>
      <c r="N150" s="9"/>
      <c r="O150" s="9"/>
    </row>
    <row r="151" spans="1:15">
      <c r="C151" s="3"/>
      <c r="D151" s="11"/>
      <c r="E151" s="11"/>
      <c r="F151" s="11"/>
      <c r="G151" s="11">
        <f t="shared" si="28"/>
        <v>0</v>
      </c>
      <c r="H151" s="11">
        <f t="shared" si="29"/>
        <v>0</v>
      </c>
      <c r="I151" s="11">
        <f t="shared" si="30"/>
        <v>0</v>
      </c>
      <c r="J151" s="11">
        <f t="shared" si="31"/>
        <v>0</v>
      </c>
      <c r="K151" s="11">
        <f t="shared" si="32"/>
        <v>0</v>
      </c>
      <c r="L151" s="11">
        <f t="shared" si="33"/>
        <v>0</v>
      </c>
      <c r="M151" s="9">
        <f t="shared" si="34"/>
        <v>0</v>
      </c>
      <c r="N151" s="9"/>
      <c r="O151" s="9"/>
    </row>
    <row r="152" spans="1:15">
      <c r="C152" s="3"/>
      <c r="D152" s="11"/>
      <c r="E152" s="11"/>
      <c r="F152" s="11"/>
      <c r="G152" s="11">
        <f t="shared" si="28"/>
        <v>0</v>
      </c>
      <c r="H152" s="11">
        <f t="shared" si="29"/>
        <v>0</v>
      </c>
      <c r="I152" s="11">
        <f t="shared" si="30"/>
        <v>0</v>
      </c>
      <c r="J152" s="11">
        <f t="shared" si="31"/>
        <v>0</v>
      </c>
      <c r="K152" s="11">
        <f t="shared" si="32"/>
        <v>0</v>
      </c>
      <c r="L152" s="11">
        <f t="shared" si="33"/>
        <v>0</v>
      </c>
      <c r="M152" s="9">
        <f t="shared" si="34"/>
        <v>0</v>
      </c>
      <c r="N152" s="9"/>
      <c r="O152" s="9"/>
    </row>
    <row r="153" spans="1:15">
      <c r="C153" s="3"/>
      <c r="D153" s="11"/>
      <c r="E153" s="11"/>
      <c r="F153" s="11"/>
      <c r="G153" s="11">
        <f t="shared" si="28"/>
        <v>0</v>
      </c>
      <c r="H153" s="11">
        <f t="shared" si="29"/>
        <v>0</v>
      </c>
      <c r="I153" s="11">
        <f t="shared" si="30"/>
        <v>0</v>
      </c>
      <c r="J153" s="11">
        <f t="shared" si="31"/>
        <v>0</v>
      </c>
      <c r="K153" s="11">
        <f t="shared" si="32"/>
        <v>0</v>
      </c>
      <c r="L153" s="11">
        <f t="shared" si="33"/>
        <v>0</v>
      </c>
      <c r="M153" s="9">
        <f t="shared" si="34"/>
        <v>0</v>
      </c>
      <c r="N153" s="9"/>
      <c r="O153" s="9"/>
    </row>
    <row r="154" spans="1:15">
      <c r="C154" s="3"/>
      <c r="D154" s="11"/>
      <c r="E154" s="11"/>
      <c r="F154" s="11"/>
      <c r="G154" s="11">
        <f t="shared" si="28"/>
        <v>0</v>
      </c>
      <c r="H154" s="11">
        <f t="shared" si="29"/>
        <v>0</v>
      </c>
      <c r="I154" s="11">
        <f t="shared" si="30"/>
        <v>0</v>
      </c>
      <c r="J154" s="11">
        <f t="shared" si="31"/>
        <v>0</v>
      </c>
      <c r="K154" s="11">
        <f t="shared" si="32"/>
        <v>0</v>
      </c>
      <c r="L154" s="11">
        <f t="shared" si="33"/>
        <v>0</v>
      </c>
      <c r="M154" s="9">
        <f t="shared" si="34"/>
        <v>0</v>
      </c>
      <c r="N154" s="9"/>
      <c r="O154" s="9"/>
    </row>
    <row r="155" spans="1:15">
      <c r="C155" s="3"/>
      <c r="D155" s="11"/>
      <c r="E155" s="11"/>
      <c r="F155" s="11"/>
      <c r="G155" s="11">
        <f t="shared" si="28"/>
        <v>0</v>
      </c>
      <c r="H155" s="11">
        <f t="shared" si="29"/>
        <v>0</v>
      </c>
      <c r="I155" s="11">
        <f t="shared" si="30"/>
        <v>0</v>
      </c>
      <c r="J155" s="11">
        <f t="shared" si="31"/>
        <v>0</v>
      </c>
      <c r="K155" s="11">
        <f t="shared" si="32"/>
        <v>0</v>
      </c>
      <c r="L155" s="11">
        <f t="shared" si="33"/>
        <v>0</v>
      </c>
      <c r="M155" s="9">
        <f t="shared" si="34"/>
        <v>0</v>
      </c>
      <c r="N155" s="9"/>
      <c r="O155" s="9"/>
    </row>
    <row r="156" spans="1:15">
      <c r="D156" s="11"/>
      <c r="E156" s="11"/>
      <c r="F156" s="11"/>
      <c r="G156" s="11">
        <f t="shared" si="28"/>
        <v>0</v>
      </c>
      <c r="H156" s="11">
        <f t="shared" si="29"/>
        <v>0</v>
      </c>
      <c r="I156" s="11">
        <f t="shared" si="30"/>
        <v>0</v>
      </c>
      <c r="J156" s="11">
        <f t="shared" si="31"/>
        <v>0</v>
      </c>
      <c r="K156" s="11">
        <f t="shared" si="32"/>
        <v>0</v>
      </c>
      <c r="L156" s="11">
        <f t="shared" si="33"/>
        <v>0</v>
      </c>
      <c r="M156" s="9">
        <f t="shared" si="34"/>
        <v>0</v>
      </c>
      <c r="N156" s="9"/>
      <c r="O156" s="9"/>
    </row>
    <row r="157" spans="1:15">
      <c r="D157" s="11"/>
      <c r="E157" s="11"/>
      <c r="F157" s="11"/>
      <c r="G157" s="11"/>
      <c r="H157" s="11"/>
      <c r="I157" s="11"/>
      <c r="J157" s="11"/>
      <c r="K157" s="11"/>
      <c r="L157" s="11"/>
      <c r="N157" s="9"/>
      <c r="O157" s="9"/>
    </row>
    <row r="158" spans="1:15">
      <c r="D158" s="11"/>
      <c r="E158" s="11"/>
      <c r="F158" s="11"/>
      <c r="G158" s="11"/>
      <c r="H158" s="11"/>
      <c r="I158" s="11"/>
      <c r="J158" s="11"/>
      <c r="K158" s="11"/>
      <c r="L158" s="11"/>
      <c r="N158" s="9"/>
      <c r="O158" s="9"/>
    </row>
    <row r="159" spans="1:15">
      <c r="D159" s="11"/>
      <c r="E159" s="11"/>
      <c r="F159" s="11"/>
      <c r="G159" s="11"/>
      <c r="H159" s="11"/>
      <c r="I159" s="11"/>
      <c r="J159" s="11"/>
      <c r="K159" s="11"/>
      <c r="L159" s="11"/>
      <c r="N159" s="9"/>
      <c r="O159" s="9"/>
    </row>
    <row r="160" spans="1:15">
      <c r="D160" s="11"/>
      <c r="E160" s="11"/>
      <c r="F160" s="11"/>
      <c r="G160" s="11"/>
      <c r="H160" s="11"/>
      <c r="I160" s="11"/>
      <c r="J160" s="11"/>
      <c r="K160" s="11"/>
      <c r="L160" s="11"/>
      <c r="N160" s="9"/>
      <c r="O160" s="9"/>
    </row>
    <row r="161" spans="4:15">
      <c r="D161" s="11"/>
      <c r="E161" s="11"/>
      <c r="F161" s="11"/>
      <c r="G161" s="11"/>
      <c r="H161" s="11"/>
      <c r="I161" s="11"/>
      <c r="J161" s="11"/>
      <c r="K161" s="11"/>
      <c r="L161" s="11"/>
      <c r="N161" s="9"/>
      <c r="O161" s="9"/>
    </row>
    <row r="162" spans="4:15">
      <c r="K162" s="11"/>
      <c r="L162" s="11"/>
      <c r="N162" s="9"/>
      <c r="O162" s="9"/>
    </row>
    <row r="163" spans="4:15">
      <c r="L163" s="11">
        <f>K163*$L$8</f>
        <v>0</v>
      </c>
      <c r="N163" s="9"/>
      <c r="O163" s="9"/>
    </row>
    <row r="164" spans="4:15">
      <c r="N164" s="9"/>
      <c r="O164" s="9"/>
    </row>
    <row r="165" spans="4:15">
      <c r="N165" s="9"/>
      <c r="O165" s="9"/>
    </row>
    <row r="166" spans="4:15">
      <c r="N166" s="9"/>
      <c r="O166" s="9"/>
    </row>
    <row r="167" spans="4:15">
      <c r="N167" s="9"/>
      <c r="O167" s="9"/>
    </row>
    <row r="168" spans="4:15">
      <c r="N168" s="9"/>
      <c r="O168" s="9"/>
    </row>
    <row r="169" spans="4:15">
      <c r="N169" s="9"/>
      <c r="O169" s="9"/>
    </row>
    <row r="170" spans="4:15">
      <c r="N170" s="9"/>
      <c r="O170" s="9"/>
    </row>
    <row r="171" spans="4:15">
      <c r="N171" s="9"/>
      <c r="O171" s="9"/>
    </row>
    <row r="172" spans="4:15">
      <c r="N172" s="9"/>
      <c r="O172" s="9"/>
    </row>
  </sheetData>
  <mergeCells count="3">
    <mergeCell ref="A3:L3"/>
    <mergeCell ref="A2:L2"/>
    <mergeCell ref="A4:L4"/>
  </mergeCells>
  <phoneticPr fontId="10" type="noConversion"/>
  <pageMargins left="0.7" right="0.7" top="0.75" bottom="0.75" header="0.3" footer="0.3"/>
  <pageSetup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202"/>
  <sheetViews>
    <sheetView tabSelected="1" workbookViewId="0">
      <pane ySplit="8" topLeftCell="A9" activePane="bottomLeft" state="frozen"/>
      <selection pane="bottomLeft" activeCell="A8" sqref="A8"/>
    </sheetView>
  </sheetViews>
  <sheetFormatPr baseColWidth="10" defaultRowHeight="15"/>
  <cols>
    <col min="1" max="1" width="15.140625" customWidth="1"/>
    <col min="2" max="2" width="10.42578125" customWidth="1"/>
    <col min="3" max="3" width="18.42578125" customWidth="1"/>
    <col min="4" max="4" width="17" customWidth="1"/>
    <col min="5" max="5" width="20.85546875" customWidth="1"/>
    <col min="6" max="8" width="18.42578125" customWidth="1"/>
    <col min="9" max="10" width="18.140625" customWidth="1"/>
    <col min="11" max="11" width="14.42578125" customWidth="1"/>
  </cols>
  <sheetData>
    <row r="2" spans="1:15" ht="15.75" customHeight="1">
      <c r="A2" s="17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4"/>
      <c r="N2" s="14"/>
    </row>
    <row r="3" spans="1:15" ht="15.75" customHeight="1">
      <c r="A3" s="17" t="s">
        <v>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4"/>
      <c r="N3" s="14"/>
    </row>
    <row r="4" spans="1:15" ht="15.75">
      <c r="A4" s="18" t="s">
        <v>433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5"/>
      <c r="N4" s="15"/>
    </row>
    <row r="8" spans="1:15" ht="45">
      <c r="A8" s="1" t="s">
        <v>1</v>
      </c>
      <c r="B8" s="1" t="s">
        <v>2</v>
      </c>
      <c r="C8" s="1" t="s">
        <v>3</v>
      </c>
      <c r="D8" s="1" t="s">
        <v>6</v>
      </c>
      <c r="E8" s="1" t="s">
        <v>7</v>
      </c>
      <c r="F8" s="1" t="s">
        <v>8</v>
      </c>
      <c r="G8" s="1" t="s">
        <v>187</v>
      </c>
      <c r="H8" s="1" t="s">
        <v>188</v>
      </c>
      <c r="I8" s="1" t="s">
        <v>189</v>
      </c>
      <c r="J8" s="1" t="s">
        <v>190</v>
      </c>
      <c r="K8" s="1" t="s">
        <v>0</v>
      </c>
      <c r="L8" s="2">
        <v>3.5000000000000003E-2</v>
      </c>
      <c r="M8" s="2" t="s">
        <v>316</v>
      </c>
      <c r="N8" s="2" t="s">
        <v>432</v>
      </c>
      <c r="O8" s="1" t="s">
        <v>182</v>
      </c>
    </row>
    <row r="9" spans="1:15">
      <c r="A9" s="5" t="s">
        <v>313</v>
      </c>
      <c r="B9" t="s">
        <v>17</v>
      </c>
      <c r="C9" s="3">
        <v>42612</v>
      </c>
      <c r="D9" s="16">
        <v>204700</v>
      </c>
      <c r="E9" s="16"/>
      <c r="F9" s="16">
        <v>19846.400000000001</v>
      </c>
      <c r="G9" s="16">
        <f t="shared" ref="G9:G40" si="0">(E9/1.16)*0.5</f>
        <v>0</v>
      </c>
      <c r="H9" s="16">
        <f t="shared" ref="H9:H40" si="1">(F9/1.16)*0.13</f>
        <v>2224.1655172413793</v>
      </c>
      <c r="I9" s="16">
        <f t="shared" ref="I9:I40" si="2">D9*3.5%</f>
        <v>7164.5000000000009</v>
      </c>
      <c r="J9" s="16">
        <f t="shared" ref="J9:J40" si="3">+G9+I9</f>
        <v>7164.5000000000009</v>
      </c>
      <c r="K9" s="16">
        <f t="shared" ref="K9:K40" si="4">SUM(+D9+E9-F9-I9)</f>
        <v>177689.1</v>
      </c>
      <c r="L9" s="16">
        <f t="shared" ref="L9:L40" si="5">K9*$L$8</f>
        <v>6219.1185000000005</v>
      </c>
      <c r="M9" s="9">
        <v>196928.49</v>
      </c>
      <c r="N9" s="9">
        <f>237700/1.16</f>
        <v>204913.79310344829</v>
      </c>
      <c r="O9" s="9">
        <f>N9-M9</f>
        <v>7985.3031034482992</v>
      </c>
    </row>
    <row r="10" spans="1:15">
      <c r="A10" s="5" t="s">
        <v>317</v>
      </c>
      <c r="B10" t="s">
        <v>11</v>
      </c>
      <c r="C10" s="3">
        <v>42613</v>
      </c>
      <c r="D10" s="16">
        <v>101500</v>
      </c>
      <c r="E10" s="16"/>
      <c r="F10" s="16">
        <v>29673.35</v>
      </c>
      <c r="G10" s="16">
        <f t="shared" si="0"/>
        <v>0</v>
      </c>
      <c r="H10" s="16">
        <f t="shared" si="1"/>
        <v>3325.4616379310346</v>
      </c>
      <c r="I10" s="16">
        <f t="shared" si="2"/>
        <v>3552.5000000000005</v>
      </c>
      <c r="J10" s="16">
        <f t="shared" si="3"/>
        <v>3552.5000000000005</v>
      </c>
      <c r="K10" s="16">
        <f t="shared" si="4"/>
        <v>68274.149999999994</v>
      </c>
      <c r="L10" s="16">
        <f t="shared" si="5"/>
        <v>2389.5952499999999</v>
      </c>
      <c r="M10" s="9">
        <v>130034.83</v>
      </c>
      <c r="N10" s="9">
        <f>145000/1.16</f>
        <v>125000.00000000001</v>
      </c>
      <c r="O10" s="9">
        <f t="shared" ref="O10:O73" si="6">N10-M10</f>
        <v>-5034.8299999999872</v>
      </c>
    </row>
    <row r="11" spans="1:15">
      <c r="A11" s="5" t="s">
        <v>314</v>
      </c>
      <c r="B11" t="s">
        <v>13</v>
      </c>
      <c r="C11" s="3">
        <v>42614</v>
      </c>
      <c r="D11" s="16">
        <v>159120</v>
      </c>
      <c r="E11" s="16"/>
      <c r="F11" s="16">
        <v>19178.400000000001</v>
      </c>
      <c r="G11" s="16">
        <f t="shared" si="0"/>
        <v>0</v>
      </c>
      <c r="H11" s="16">
        <f t="shared" si="1"/>
        <v>2149.3034482758626</v>
      </c>
      <c r="I11" s="16">
        <f t="shared" si="2"/>
        <v>5569.2000000000007</v>
      </c>
      <c r="J11" s="16">
        <f t="shared" si="3"/>
        <v>5569.2000000000007</v>
      </c>
      <c r="K11" s="16">
        <f t="shared" si="4"/>
        <v>134372.4</v>
      </c>
      <c r="L11" s="16">
        <f t="shared" si="5"/>
        <v>4703.0340000000006</v>
      </c>
      <c r="M11" s="9">
        <v>149445.73000000001</v>
      </c>
      <c r="N11" s="9">
        <v>152413.79</v>
      </c>
      <c r="O11" s="9">
        <f t="shared" si="6"/>
        <v>2968.0599999999977</v>
      </c>
    </row>
    <row r="12" spans="1:15">
      <c r="A12" s="5" t="s">
        <v>315</v>
      </c>
      <c r="B12" t="s">
        <v>17</v>
      </c>
      <c r="C12" s="3">
        <v>42615</v>
      </c>
      <c r="D12" s="16">
        <v>162480</v>
      </c>
      <c r="E12" s="16">
        <v>8500</v>
      </c>
      <c r="F12" s="16">
        <v>17033.21</v>
      </c>
      <c r="G12" s="16">
        <f t="shared" si="0"/>
        <v>3663.7931034482763</v>
      </c>
      <c r="H12" s="16">
        <f t="shared" si="1"/>
        <v>1908.8942241379311</v>
      </c>
      <c r="I12" s="16">
        <f t="shared" si="2"/>
        <v>5686.8</v>
      </c>
      <c r="J12" s="16">
        <f t="shared" si="3"/>
        <v>9350.5931034482765</v>
      </c>
      <c r="K12" s="16">
        <f t="shared" si="4"/>
        <v>148259.99000000002</v>
      </c>
      <c r="L12" s="16">
        <f t="shared" si="5"/>
        <v>5189.099650000001</v>
      </c>
      <c r="M12" s="9">
        <v>175860.51</v>
      </c>
      <c r="N12" s="9">
        <v>175086.21</v>
      </c>
      <c r="O12" s="9">
        <f t="shared" si="6"/>
        <v>-774.30000000001746</v>
      </c>
    </row>
    <row r="13" spans="1:15">
      <c r="A13" s="5" t="s">
        <v>318</v>
      </c>
      <c r="B13" t="s">
        <v>17</v>
      </c>
      <c r="C13" s="3">
        <v>42614</v>
      </c>
      <c r="D13" s="16">
        <v>199320</v>
      </c>
      <c r="E13" s="16">
        <v>8500</v>
      </c>
      <c r="F13" s="16">
        <v>25207.7</v>
      </c>
      <c r="G13" s="16">
        <f t="shared" si="0"/>
        <v>3663.7931034482763</v>
      </c>
      <c r="H13" s="16">
        <f t="shared" si="1"/>
        <v>2825.0008620689659</v>
      </c>
      <c r="I13" s="16">
        <f t="shared" si="2"/>
        <v>6976.2000000000007</v>
      </c>
      <c r="J13" s="16">
        <f t="shared" si="3"/>
        <v>10639.993103448276</v>
      </c>
      <c r="K13" s="16">
        <f t="shared" si="4"/>
        <v>175636.09999999998</v>
      </c>
      <c r="L13" s="16">
        <f t="shared" si="5"/>
        <v>6147.2635</v>
      </c>
      <c r="M13" s="9">
        <v>187716.29</v>
      </c>
      <c r="N13" s="9">
        <v>189482.76</v>
      </c>
      <c r="O13" s="9">
        <f t="shared" si="6"/>
        <v>1766.4700000000012</v>
      </c>
    </row>
    <row r="14" spans="1:15">
      <c r="A14" s="5" t="s">
        <v>319</v>
      </c>
      <c r="B14" t="s">
        <v>17</v>
      </c>
      <c r="C14" s="3">
        <v>42615</v>
      </c>
      <c r="D14" s="16">
        <v>182790</v>
      </c>
      <c r="E14" s="16">
        <v>8500</v>
      </c>
      <c r="F14" s="16">
        <v>23686.720000000001</v>
      </c>
      <c r="G14" s="16">
        <f t="shared" si="0"/>
        <v>3663.7931034482763</v>
      </c>
      <c r="H14" s="16">
        <f t="shared" si="1"/>
        <v>2654.5462068965521</v>
      </c>
      <c r="I14" s="16">
        <f t="shared" si="2"/>
        <v>6397.6500000000005</v>
      </c>
      <c r="J14" s="16">
        <f t="shared" si="3"/>
        <v>10061.443103448277</v>
      </c>
      <c r="K14" s="16">
        <f t="shared" si="4"/>
        <v>161205.63</v>
      </c>
      <c r="L14" s="16">
        <f t="shared" si="5"/>
        <v>5642.1970500000007</v>
      </c>
      <c r="M14" s="9">
        <v>174630.37</v>
      </c>
      <c r="N14" s="9">
        <f>203100/1.16</f>
        <v>175086.20689655174</v>
      </c>
      <c r="O14" s="9">
        <f t="shared" si="6"/>
        <v>455.83689655174385</v>
      </c>
    </row>
    <row r="15" spans="1:15">
      <c r="A15" s="5" t="s">
        <v>320</v>
      </c>
      <c r="B15" t="s">
        <v>11</v>
      </c>
      <c r="C15" s="3">
        <v>42613</v>
      </c>
      <c r="D15" s="16">
        <v>91800</v>
      </c>
      <c r="E15" s="16"/>
      <c r="F15" s="16">
        <v>3383.07</v>
      </c>
      <c r="G15" s="16">
        <f t="shared" si="0"/>
        <v>0</v>
      </c>
      <c r="H15" s="16">
        <f t="shared" si="1"/>
        <v>379.13715517241383</v>
      </c>
      <c r="I15" s="16">
        <f t="shared" si="2"/>
        <v>3213.0000000000005</v>
      </c>
      <c r="J15" s="16">
        <f t="shared" si="3"/>
        <v>3213.0000000000005</v>
      </c>
      <c r="K15" s="16">
        <f t="shared" si="4"/>
        <v>85203.93</v>
      </c>
      <c r="L15" s="16">
        <f t="shared" si="5"/>
        <v>2982.1375499999999</v>
      </c>
      <c r="M15" s="9">
        <v>116225.7</v>
      </c>
      <c r="N15" s="9">
        <v>122241.38</v>
      </c>
      <c r="O15" s="9">
        <f t="shared" si="6"/>
        <v>6015.6800000000076</v>
      </c>
    </row>
    <row r="16" spans="1:15">
      <c r="A16" s="5" t="s">
        <v>321</v>
      </c>
      <c r="B16" t="s">
        <v>11</v>
      </c>
      <c r="C16" s="3">
        <v>42614</v>
      </c>
      <c r="D16" s="16">
        <v>132032.73000000001</v>
      </c>
      <c r="E16" s="16"/>
      <c r="F16" s="16">
        <v>28233.68</v>
      </c>
      <c r="G16" s="16">
        <f t="shared" si="0"/>
        <v>0</v>
      </c>
      <c r="H16" s="16">
        <f t="shared" si="1"/>
        <v>3164.1193103448281</v>
      </c>
      <c r="I16" s="16">
        <f t="shared" si="2"/>
        <v>4621.1455500000011</v>
      </c>
      <c r="J16" s="16">
        <f t="shared" si="3"/>
        <v>4621.1455500000011</v>
      </c>
      <c r="K16" s="16">
        <f t="shared" si="4"/>
        <v>99177.904450000016</v>
      </c>
      <c r="L16" s="16">
        <f t="shared" si="5"/>
        <v>3471.2266557500011</v>
      </c>
      <c r="M16" s="9">
        <v>157674.18</v>
      </c>
      <c r="N16" s="9">
        <v>172500</v>
      </c>
      <c r="O16" s="9">
        <f t="shared" si="6"/>
        <v>14825.820000000007</v>
      </c>
    </row>
    <row r="17" spans="1:15">
      <c r="A17" s="5" t="s">
        <v>322</v>
      </c>
      <c r="B17" t="s">
        <v>11</v>
      </c>
      <c r="C17" s="3">
        <v>42614</v>
      </c>
      <c r="D17" s="16">
        <v>147480</v>
      </c>
      <c r="E17" s="16">
        <v>7500</v>
      </c>
      <c r="F17" s="16">
        <v>25261.439999999999</v>
      </c>
      <c r="G17" s="16">
        <f t="shared" si="0"/>
        <v>3232.7586206896553</v>
      </c>
      <c r="H17" s="16">
        <f t="shared" si="1"/>
        <v>2831.0234482758624</v>
      </c>
      <c r="I17" s="16">
        <f t="shared" si="2"/>
        <v>5161.8</v>
      </c>
      <c r="J17" s="16">
        <f t="shared" si="3"/>
        <v>8394.5586206896551</v>
      </c>
      <c r="K17" s="16">
        <f t="shared" si="4"/>
        <v>124556.76</v>
      </c>
      <c r="L17" s="16">
        <f t="shared" si="5"/>
        <v>4359.4866000000002</v>
      </c>
      <c r="M17" s="9">
        <v>141560.62</v>
      </c>
      <c r="N17" s="9">
        <v>162200</v>
      </c>
      <c r="O17" s="9">
        <f t="shared" si="6"/>
        <v>20639.380000000005</v>
      </c>
    </row>
    <row r="18" spans="1:15">
      <c r="A18" s="5" t="s">
        <v>323</v>
      </c>
      <c r="B18" t="s">
        <v>17</v>
      </c>
      <c r="C18" s="3">
        <v>42615</v>
      </c>
      <c r="D18" s="16">
        <v>155496.21</v>
      </c>
      <c r="E18" s="16">
        <v>8500</v>
      </c>
      <c r="F18" s="16">
        <v>16692.849999999999</v>
      </c>
      <c r="G18" s="16">
        <f t="shared" si="0"/>
        <v>3663.7931034482763</v>
      </c>
      <c r="H18" s="16">
        <f t="shared" si="1"/>
        <v>1870.7504310344827</v>
      </c>
      <c r="I18" s="16">
        <f t="shared" si="2"/>
        <v>5442.3673500000004</v>
      </c>
      <c r="J18" s="16">
        <f t="shared" si="3"/>
        <v>9106.1604534482758</v>
      </c>
      <c r="K18" s="16">
        <f t="shared" si="4"/>
        <v>141860.99264999997</v>
      </c>
      <c r="L18" s="16">
        <f t="shared" si="5"/>
        <v>4965.1347427499995</v>
      </c>
      <c r="M18" s="9">
        <v>169772.06</v>
      </c>
      <c r="N18" s="9">
        <v>170258.62</v>
      </c>
      <c r="O18" s="9">
        <f t="shared" si="6"/>
        <v>486.55999999999767</v>
      </c>
    </row>
    <row r="19" spans="1:15">
      <c r="A19" s="5" t="s">
        <v>324</v>
      </c>
      <c r="B19" t="s">
        <v>43</v>
      </c>
      <c r="C19" s="3">
        <v>42615</v>
      </c>
      <c r="D19" s="16">
        <v>232900</v>
      </c>
      <c r="E19" s="16">
        <v>12600</v>
      </c>
      <c r="F19" s="16">
        <v>45552.13</v>
      </c>
      <c r="G19" s="16">
        <f t="shared" si="0"/>
        <v>5431.0344827586214</v>
      </c>
      <c r="H19" s="16">
        <f t="shared" si="1"/>
        <v>5104.9800862068969</v>
      </c>
      <c r="I19" s="16">
        <f t="shared" si="2"/>
        <v>8151.5000000000009</v>
      </c>
      <c r="J19" s="16">
        <f t="shared" si="3"/>
        <v>13582.534482758623</v>
      </c>
      <c r="K19" s="16">
        <f t="shared" si="4"/>
        <v>191796.37</v>
      </c>
      <c r="L19" s="16">
        <f t="shared" si="5"/>
        <v>6712.8729500000009</v>
      </c>
      <c r="M19" s="9">
        <v>291332.47999999998</v>
      </c>
      <c r="N19" s="9">
        <v>304224.13</v>
      </c>
      <c r="O19" s="9">
        <f t="shared" si="6"/>
        <v>12891.650000000023</v>
      </c>
    </row>
    <row r="20" spans="1:15">
      <c r="A20" s="5" t="s">
        <v>325</v>
      </c>
      <c r="B20" t="s">
        <v>11</v>
      </c>
      <c r="C20" s="3">
        <v>42615</v>
      </c>
      <c r="D20" s="16">
        <v>127200</v>
      </c>
      <c r="E20" s="16">
        <v>5700</v>
      </c>
      <c r="F20" s="16">
        <v>25113</v>
      </c>
      <c r="G20" s="16">
        <f t="shared" si="0"/>
        <v>2456.8965517241381</v>
      </c>
      <c r="H20" s="16">
        <f t="shared" si="1"/>
        <v>2814.3879310344832</v>
      </c>
      <c r="I20" s="16">
        <f t="shared" si="2"/>
        <v>4452</v>
      </c>
      <c r="J20" s="16">
        <f t="shared" si="3"/>
        <v>6908.8965517241377</v>
      </c>
      <c r="K20" s="16">
        <f t="shared" si="4"/>
        <v>103335</v>
      </c>
      <c r="L20" s="16">
        <f t="shared" si="5"/>
        <v>3616.7250000000004</v>
      </c>
      <c r="M20" s="9">
        <v>141560.62</v>
      </c>
      <c r="N20" s="9">
        <v>139827.59</v>
      </c>
      <c r="O20" s="9">
        <f t="shared" si="6"/>
        <v>-1733.0299999999988</v>
      </c>
    </row>
    <row r="21" spans="1:15">
      <c r="A21" s="5" t="s">
        <v>326</v>
      </c>
      <c r="B21" t="s">
        <v>22</v>
      </c>
      <c r="C21" s="3">
        <v>42618</v>
      </c>
      <c r="D21" s="16">
        <v>166682.82999999999</v>
      </c>
      <c r="E21" s="16"/>
      <c r="F21" s="16">
        <v>4471.08</v>
      </c>
      <c r="G21" s="16">
        <f t="shared" si="0"/>
        <v>0</v>
      </c>
      <c r="H21" s="16">
        <f t="shared" si="1"/>
        <v>501.06931034482767</v>
      </c>
      <c r="I21" s="16">
        <f t="shared" si="2"/>
        <v>5833.89905</v>
      </c>
      <c r="J21" s="16">
        <f t="shared" si="3"/>
        <v>5833.89905</v>
      </c>
      <c r="K21" s="16">
        <f t="shared" si="4"/>
        <v>156377.85094999999</v>
      </c>
      <c r="L21" s="16">
        <f t="shared" si="5"/>
        <v>5473.2247832500007</v>
      </c>
      <c r="M21" s="9">
        <v>224996.19</v>
      </c>
      <c r="N21" s="9">
        <v>221896.55</v>
      </c>
      <c r="O21" s="9">
        <f t="shared" si="6"/>
        <v>-3099.640000000014</v>
      </c>
    </row>
    <row r="22" spans="1:15">
      <c r="A22" s="5" t="s">
        <v>327</v>
      </c>
      <c r="B22" t="s">
        <v>17</v>
      </c>
      <c r="C22" s="3">
        <v>42618</v>
      </c>
      <c r="D22" s="16">
        <v>173610</v>
      </c>
      <c r="E22" s="16"/>
      <c r="F22" s="16">
        <v>22914.080000000002</v>
      </c>
      <c r="G22" s="16">
        <f t="shared" si="0"/>
        <v>0</v>
      </c>
      <c r="H22" s="16">
        <f t="shared" si="1"/>
        <v>2567.9572413793107</v>
      </c>
      <c r="I22" s="16">
        <f t="shared" si="2"/>
        <v>6076.35</v>
      </c>
      <c r="J22" s="16">
        <f t="shared" si="3"/>
        <v>6076.35</v>
      </c>
      <c r="K22" s="16">
        <f t="shared" si="4"/>
        <v>144619.56999999998</v>
      </c>
      <c r="L22" s="16">
        <f t="shared" si="5"/>
        <v>5061.6849499999998</v>
      </c>
      <c r="M22" s="9">
        <v>176375.15</v>
      </c>
      <c r="N22" s="9">
        <v>166293.1</v>
      </c>
      <c r="O22" s="9">
        <f t="shared" si="6"/>
        <v>-10082.049999999988</v>
      </c>
    </row>
    <row r="23" spans="1:15">
      <c r="A23" s="5" t="s">
        <v>328</v>
      </c>
      <c r="B23" t="s">
        <v>11</v>
      </c>
      <c r="C23" s="3">
        <v>42615</v>
      </c>
      <c r="D23" s="16">
        <v>112200</v>
      </c>
      <c r="E23" s="16">
        <v>5700</v>
      </c>
      <c r="F23" s="16">
        <v>31275.25</v>
      </c>
      <c r="G23" s="16">
        <f t="shared" si="0"/>
        <v>2456.8965517241381</v>
      </c>
      <c r="H23" s="16">
        <f t="shared" si="1"/>
        <v>3504.9849137931037</v>
      </c>
      <c r="I23" s="16">
        <f t="shared" si="2"/>
        <v>3927.0000000000005</v>
      </c>
      <c r="J23" s="16">
        <f t="shared" si="3"/>
        <v>6383.8965517241386</v>
      </c>
      <c r="K23" s="16">
        <f t="shared" si="4"/>
        <v>82697.75</v>
      </c>
      <c r="L23" s="16">
        <f t="shared" si="5"/>
        <v>2894.4212500000003</v>
      </c>
      <c r="M23" s="9">
        <v>135406.73000000001</v>
      </c>
      <c r="N23" s="9">
        <v>139827.59</v>
      </c>
      <c r="O23" s="9">
        <f t="shared" si="6"/>
        <v>4420.859999999986</v>
      </c>
    </row>
    <row r="24" spans="1:15">
      <c r="A24" s="5" t="s">
        <v>329</v>
      </c>
      <c r="B24" t="s">
        <v>22</v>
      </c>
      <c r="C24" s="3">
        <v>42618</v>
      </c>
      <c r="D24" s="16">
        <v>221300</v>
      </c>
      <c r="E24" s="16">
        <v>13200</v>
      </c>
      <c r="F24" s="16">
        <v>21959.68</v>
      </c>
      <c r="G24" s="16">
        <f t="shared" si="0"/>
        <v>5689.6551724137935</v>
      </c>
      <c r="H24" s="16">
        <f t="shared" si="1"/>
        <v>2460.9986206896551</v>
      </c>
      <c r="I24" s="16">
        <f t="shared" si="2"/>
        <v>7745.5000000000009</v>
      </c>
      <c r="J24" s="16">
        <f t="shared" si="3"/>
        <v>13435.155172413793</v>
      </c>
      <c r="K24" s="16">
        <f t="shared" si="4"/>
        <v>204794.82</v>
      </c>
      <c r="L24" s="16">
        <f t="shared" si="5"/>
        <v>7167.8187000000007</v>
      </c>
      <c r="M24" s="9">
        <v>250993.94</v>
      </c>
      <c r="N24" s="9">
        <v>251120.68</v>
      </c>
      <c r="O24" s="9">
        <f t="shared" si="6"/>
        <v>126.73999999999069</v>
      </c>
    </row>
    <row r="25" spans="1:15">
      <c r="A25" s="5" t="s">
        <v>330</v>
      </c>
      <c r="B25" t="s">
        <v>13</v>
      </c>
      <c r="C25" s="3">
        <v>42618</v>
      </c>
      <c r="D25" s="16">
        <v>128940.57</v>
      </c>
      <c r="E25" s="16">
        <v>8500</v>
      </c>
      <c r="F25" s="16">
        <v>34906.519999999997</v>
      </c>
      <c r="G25" s="16">
        <f t="shared" si="0"/>
        <v>3663.7931034482763</v>
      </c>
      <c r="H25" s="16">
        <f t="shared" si="1"/>
        <v>3911.9375862068964</v>
      </c>
      <c r="I25" s="16">
        <f t="shared" si="2"/>
        <v>4512.9199500000004</v>
      </c>
      <c r="J25" s="16">
        <f t="shared" si="3"/>
        <v>8176.7130534482767</v>
      </c>
      <c r="K25" s="16">
        <f t="shared" si="4"/>
        <v>98021.130050000022</v>
      </c>
      <c r="L25" s="16">
        <f t="shared" si="5"/>
        <v>3430.7395517500013</v>
      </c>
      <c r="M25" s="9">
        <v>138147.93</v>
      </c>
      <c r="N25" s="9">
        <v>141896.54999999999</v>
      </c>
      <c r="O25" s="9">
        <f t="shared" si="6"/>
        <v>3748.6199999999953</v>
      </c>
    </row>
    <row r="26" spans="1:15">
      <c r="A26" s="5" t="s">
        <v>331</v>
      </c>
      <c r="B26" t="s">
        <v>11</v>
      </c>
      <c r="C26" s="3">
        <v>42618</v>
      </c>
      <c r="D26" s="16">
        <v>71800</v>
      </c>
      <c r="E26" s="16"/>
      <c r="F26" s="16">
        <v>9137.39</v>
      </c>
      <c r="G26" s="16">
        <f t="shared" si="0"/>
        <v>0</v>
      </c>
      <c r="H26" s="16">
        <f t="shared" si="1"/>
        <v>1024.0178448275863</v>
      </c>
      <c r="I26" s="16">
        <f t="shared" si="2"/>
        <v>2513.0000000000005</v>
      </c>
      <c r="J26" s="16">
        <f t="shared" si="3"/>
        <v>2513.0000000000005</v>
      </c>
      <c r="K26" s="16">
        <f t="shared" si="4"/>
        <v>60149.61</v>
      </c>
      <c r="L26" s="16">
        <f t="shared" si="5"/>
        <v>2105.2363500000001</v>
      </c>
      <c r="M26" s="9">
        <v>121178.02</v>
      </c>
      <c r="N26" s="9">
        <v>122241.38</v>
      </c>
      <c r="O26" s="9">
        <f t="shared" si="6"/>
        <v>1063.3600000000006</v>
      </c>
    </row>
    <row r="27" spans="1:15">
      <c r="A27" s="5" t="s">
        <v>332</v>
      </c>
      <c r="B27" t="s">
        <v>11</v>
      </c>
      <c r="C27" s="3">
        <v>42618</v>
      </c>
      <c r="D27" s="16">
        <v>109700</v>
      </c>
      <c r="E27" s="16"/>
      <c r="F27" s="16">
        <v>22468</v>
      </c>
      <c r="G27" s="16">
        <f t="shared" si="0"/>
        <v>0</v>
      </c>
      <c r="H27" s="16">
        <f t="shared" si="1"/>
        <v>2517.9655172413795</v>
      </c>
      <c r="I27" s="16">
        <f t="shared" si="2"/>
        <v>3839.5000000000005</v>
      </c>
      <c r="J27" s="16">
        <f t="shared" si="3"/>
        <v>3839.5000000000005</v>
      </c>
      <c r="K27" s="16">
        <f t="shared" si="4"/>
        <v>83392.5</v>
      </c>
      <c r="L27" s="16">
        <f t="shared" si="5"/>
        <v>2918.7375000000002</v>
      </c>
      <c r="M27" s="9">
        <v>108486.98</v>
      </c>
      <c r="N27" s="9">
        <v>109224.14</v>
      </c>
      <c r="O27" s="9">
        <f t="shared" si="6"/>
        <v>737.16000000000349</v>
      </c>
    </row>
    <row r="28" spans="1:15">
      <c r="A28" s="5" t="s">
        <v>333</v>
      </c>
      <c r="B28" t="s">
        <v>11</v>
      </c>
      <c r="C28" s="3">
        <v>42618</v>
      </c>
      <c r="D28" s="16">
        <v>127620</v>
      </c>
      <c r="E28" s="16"/>
      <c r="F28" s="16">
        <v>23593.040000000001</v>
      </c>
      <c r="G28" s="16">
        <f t="shared" si="0"/>
        <v>0</v>
      </c>
      <c r="H28" s="16">
        <f t="shared" si="1"/>
        <v>2644.047586206897</v>
      </c>
      <c r="I28" s="16">
        <f t="shared" si="2"/>
        <v>4466.7000000000007</v>
      </c>
      <c r="J28" s="16">
        <f t="shared" si="3"/>
        <v>4466.7000000000007</v>
      </c>
      <c r="K28" s="16">
        <f t="shared" si="4"/>
        <v>99560.26</v>
      </c>
      <c r="L28" s="16">
        <f t="shared" si="5"/>
        <v>3484.6091000000001</v>
      </c>
      <c r="M28" s="9">
        <v>120653.68</v>
      </c>
      <c r="N28" s="9">
        <v>122241.38</v>
      </c>
      <c r="O28" s="9">
        <f t="shared" si="6"/>
        <v>1587.7000000000116</v>
      </c>
    </row>
    <row r="29" spans="1:15">
      <c r="A29" s="5" t="s">
        <v>334</v>
      </c>
      <c r="B29" t="s">
        <v>17</v>
      </c>
      <c r="C29" s="3">
        <v>42619</v>
      </c>
      <c r="D29" s="16">
        <v>197820</v>
      </c>
      <c r="E29">
        <v>6600</v>
      </c>
      <c r="F29" s="16">
        <v>24951.68</v>
      </c>
      <c r="G29" s="16">
        <f t="shared" si="0"/>
        <v>2844.8275862068967</v>
      </c>
      <c r="H29" s="16">
        <f t="shared" si="1"/>
        <v>2796.3089655172416</v>
      </c>
      <c r="I29" s="16">
        <f t="shared" si="2"/>
        <v>6923.7000000000007</v>
      </c>
      <c r="J29" s="16">
        <f t="shared" si="3"/>
        <v>9768.5275862068975</v>
      </c>
      <c r="K29" s="16">
        <f t="shared" si="4"/>
        <v>172544.62</v>
      </c>
      <c r="L29" s="16">
        <f t="shared" si="5"/>
        <v>6039.0617000000002</v>
      </c>
      <c r="M29" s="9">
        <v>187716.29</v>
      </c>
      <c r="N29" s="9">
        <v>189482.76</v>
      </c>
      <c r="O29" s="9">
        <f t="shared" si="6"/>
        <v>1766.4700000000012</v>
      </c>
    </row>
    <row r="30" spans="1:15">
      <c r="A30" s="5" t="s">
        <v>335</v>
      </c>
      <c r="B30" t="s">
        <v>17</v>
      </c>
      <c r="C30" s="3">
        <v>42619</v>
      </c>
      <c r="D30" s="16">
        <v>171600</v>
      </c>
      <c r="E30">
        <v>7500</v>
      </c>
      <c r="F30" s="16">
        <v>24284.09</v>
      </c>
      <c r="G30" s="16">
        <f t="shared" si="0"/>
        <v>3232.7586206896553</v>
      </c>
      <c r="H30" s="16">
        <f t="shared" si="1"/>
        <v>2721.4928448275864</v>
      </c>
      <c r="I30" s="16">
        <f t="shared" si="2"/>
        <v>6006.0000000000009</v>
      </c>
      <c r="J30" s="16">
        <f t="shared" si="3"/>
        <v>9238.7586206896558</v>
      </c>
      <c r="K30" s="16">
        <f t="shared" si="4"/>
        <v>148809.91</v>
      </c>
      <c r="L30" s="16">
        <f t="shared" si="5"/>
        <v>5208.3468500000008</v>
      </c>
      <c r="M30" s="9">
        <v>174630.37</v>
      </c>
      <c r="N30" s="9">
        <v>175086.21</v>
      </c>
      <c r="O30" s="9">
        <f t="shared" si="6"/>
        <v>455.83999999999651</v>
      </c>
    </row>
    <row r="31" spans="1:15">
      <c r="A31" s="5" t="s">
        <v>336</v>
      </c>
      <c r="B31" t="s">
        <v>17</v>
      </c>
      <c r="C31" s="3">
        <v>42619</v>
      </c>
      <c r="D31" s="16">
        <v>101550</v>
      </c>
      <c r="F31" s="16">
        <v>12075.36</v>
      </c>
      <c r="G31" s="16">
        <f t="shared" si="0"/>
        <v>0</v>
      </c>
      <c r="H31" s="16">
        <f t="shared" si="1"/>
        <v>1353.2731034482761</v>
      </c>
      <c r="I31" s="16">
        <f t="shared" si="2"/>
        <v>3554.2500000000005</v>
      </c>
      <c r="J31" s="16">
        <f t="shared" si="3"/>
        <v>3554.2500000000005</v>
      </c>
      <c r="K31" s="16">
        <f t="shared" si="4"/>
        <v>85920.39</v>
      </c>
      <c r="L31" s="16">
        <f t="shared" si="5"/>
        <v>3007.2136500000001</v>
      </c>
      <c r="M31" s="9">
        <v>176375.15</v>
      </c>
      <c r="N31" s="9">
        <v>175086.21</v>
      </c>
      <c r="O31" s="9">
        <f t="shared" si="6"/>
        <v>-1288.9400000000023</v>
      </c>
    </row>
    <row r="32" spans="1:15">
      <c r="A32" s="5" t="s">
        <v>337</v>
      </c>
      <c r="B32" t="s">
        <v>11</v>
      </c>
      <c r="C32" s="3">
        <v>42620</v>
      </c>
      <c r="D32" s="16">
        <v>152910</v>
      </c>
      <c r="E32">
        <v>15000</v>
      </c>
      <c r="F32" s="16">
        <v>25686.68</v>
      </c>
      <c r="G32" s="16">
        <f t="shared" si="0"/>
        <v>6465.5172413793107</v>
      </c>
      <c r="H32" s="16">
        <f t="shared" si="1"/>
        <v>2878.6796551724142</v>
      </c>
      <c r="I32" s="16">
        <f t="shared" si="2"/>
        <v>5351.85</v>
      </c>
      <c r="J32" s="16">
        <f t="shared" si="3"/>
        <v>11817.36724137931</v>
      </c>
      <c r="K32" s="16">
        <f t="shared" si="4"/>
        <v>136871.47</v>
      </c>
      <c r="L32" s="16">
        <f t="shared" si="5"/>
        <v>4790.5014500000007</v>
      </c>
      <c r="M32" s="9">
        <v>134480.9</v>
      </c>
      <c r="N32" s="9">
        <v>146465.51999999999</v>
      </c>
      <c r="O32" s="9">
        <f t="shared" si="6"/>
        <v>11984.619999999995</v>
      </c>
    </row>
    <row r="33" spans="1:15">
      <c r="A33" s="5" t="s">
        <v>338</v>
      </c>
      <c r="B33" t="s">
        <v>17</v>
      </c>
      <c r="C33" s="3">
        <v>42620</v>
      </c>
      <c r="D33" s="16">
        <v>162480</v>
      </c>
      <c r="E33">
        <v>7000</v>
      </c>
      <c r="F33" s="16">
        <v>18161.150000000001</v>
      </c>
      <c r="G33" s="16">
        <f t="shared" si="0"/>
        <v>3017.2413793103451</v>
      </c>
      <c r="H33" s="16">
        <f t="shared" si="1"/>
        <v>2035.3012931034486</v>
      </c>
      <c r="I33" s="16">
        <f t="shared" si="2"/>
        <v>5686.8</v>
      </c>
      <c r="J33" s="16">
        <f t="shared" si="3"/>
        <v>8704.0413793103453</v>
      </c>
      <c r="K33" s="16">
        <f t="shared" si="4"/>
        <v>145632.05000000002</v>
      </c>
      <c r="L33" s="16">
        <f t="shared" si="5"/>
        <v>5097.1217500000012</v>
      </c>
      <c r="M33" s="9">
        <v>176375.15</v>
      </c>
      <c r="N33" s="9">
        <v>175086.21</v>
      </c>
      <c r="O33" s="9">
        <f t="shared" si="6"/>
        <v>-1288.9400000000023</v>
      </c>
    </row>
    <row r="34" spans="1:15">
      <c r="A34" s="5" t="s">
        <v>339</v>
      </c>
      <c r="B34" t="s">
        <v>17</v>
      </c>
      <c r="C34" s="3">
        <v>42619</v>
      </c>
      <c r="D34" s="16">
        <v>132015</v>
      </c>
      <c r="E34">
        <v>8500</v>
      </c>
      <c r="F34" s="16">
        <v>23686.720000000001</v>
      </c>
      <c r="G34" s="16">
        <f t="shared" si="0"/>
        <v>3663.7931034482763</v>
      </c>
      <c r="H34" s="16">
        <f t="shared" si="1"/>
        <v>2654.5462068965521</v>
      </c>
      <c r="I34" s="16">
        <f t="shared" si="2"/>
        <v>4620.5250000000005</v>
      </c>
      <c r="J34" s="16">
        <f t="shared" si="3"/>
        <v>8284.3181034482768</v>
      </c>
      <c r="K34" s="16">
        <f t="shared" si="4"/>
        <v>112207.755</v>
      </c>
      <c r="L34" s="16">
        <f t="shared" si="5"/>
        <v>3927.2714250000004</v>
      </c>
      <c r="M34" s="9">
        <v>176375.15</v>
      </c>
      <c r="N34" s="9">
        <v>175086.21</v>
      </c>
      <c r="O34" s="9">
        <f t="shared" si="6"/>
        <v>-1288.9400000000023</v>
      </c>
    </row>
    <row r="35" spans="1:15">
      <c r="A35" s="5" t="s">
        <v>340</v>
      </c>
      <c r="B35" t="s">
        <v>13</v>
      </c>
      <c r="C35" s="3">
        <v>42619</v>
      </c>
      <c r="D35" s="16">
        <v>132500</v>
      </c>
      <c r="E35">
        <v>10700</v>
      </c>
      <c r="F35" s="16">
        <v>19119.63</v>
      </c>
      <c r="G35" s="16">
        <f t="shared" si="0"/>
        <v>4612.0689655172418</v>
      </c>
      <c r="H35" s="16">
        <f t="shared" si="1"/>
        <v>2142.7171551724141</v>
      </c>
      <c r="I35" s="16">
        <f t="shared" si="2"/>
        <v>4637.5</v>
      </c>
      <c r="J35" s="16">
        <f t="shared" si="3"/>
        <v>9249.5689655172428</v>
      </c>
      <c r="K35" s="16">
        <f t="shared" si="4"/>
        <v>119442.87</v>
      </c>
      <c r="L35" s="16">
        <f t="shared" si="5"/>
        <v>4180.5004500000005</v>
      </c>
      <c r="M35" s="9">
        <v>150679.16</v>
      </c>
      <c r="N35" s="9">
        <v>146982.76</v>
      </c>
      <c r="O35" s="9">
        <f t="shared" si="6"/>
        <v>-3696.3999999999942</v>
      </c>
    </row>
    <row r="36" spans="1:15">
      <c r="A36" s="5" t="s">
        <v>341</v>
      </c>
      <c r="B36" t="s">
        <v>52</v>
      </c>
      <c r="C36" s="3">
        <v>42620</v>
      </c>
      <c r="D36" s="16">
        <v>212160</v>
      </c>
      <c r="F36" s="16">
        <v>40554.5</v>
      </c>
      <c r="G36" s="16">
        <f t="shared" si="0"/>
        <v>0</v>
      </c>
      <c r="H36" s="16">
        <f t="shared" si="1"/>
        <v>4544.9008620689665</v>
      </c>
      <c r="I36" s="16">
        <f t="shared" si="2"/>
        <v>7425.6</v>
      </c>
      <c r="J36" s="16">
        <f t="shared" si="3"/>
        <v>7425.6</v>
      </c>
      <c r="K36" s="16">
        <f t="shared" si="4"/>
        <v>164179.9</v>
      </c>
      <c r="L36" s="16">
        <f t="shared" si="5"/>
        <v>5746.2965000000004</v>
      </c>
      <c r="M36" s="9">
        <v>222598.65</v>
      </c>
      <c r="N36" s="9">
        <v>228620.68</v>
      </c>
      <c r="O36" s="9">
        <f t="shared" si="6"/>
        <v>6022.0299999999988</v>
      </c>
    </row>
    <row r="37" spans="1:15">
      <c r="A37" s="5" t="s">
        <v>342</v>
      </c>
      <c r="B37" t="s">
        <v>17</v>
      </c>
      <c r="C37" s="3">
        <v>42620</v>
      </c>
      <c r="D37" s="16">
        <v>183990</v>
      </c>
      <c r="F37" s="16">
        <v>24198.76</v>
      </c>
      <c r="G37" s="16">
        <f t="shared" si="0"/>
        <v>0</v>
      </c>
      <c r="H37" s="16">
        <f t="shared" si="1"/>
        <v>2711.9300000000003</v>
      </c>
      <c r="I37" s="16">
        <f t="shared" si="2"/>
        <v>6439.6500000000005</v>
      </c>
      <c r="J37" s="16">
        <f t="shared" si="3"/>
        <v>6439.6500000000005</v>
      </c>
      <c r="K37" s="16">
        <f t="shared" si="4"/>
        <v>153351.59</v>
      </c>
      <c r="L37" s="16">
        <f t="shared" si="5"/>
        <v>5367.3056500000002</v>
      </c>
      <c r="M37" s="9">
        <v>175860.51</v>
      </c>
      <c r="N37" s="9">
        <v>175086.21</v>
      </c>
      <c r="O37" s="9">
        <f t="shared" si="6"/>
        <v>-774.30000000001746</v>
      </c>
    </row>
    <row r="38" spans="1:15">
      <c r="A38" s="5" t="s">
        <v>343</v>
      </c>
      <c r="B38" t="s">
        <v>13</v>
      </c>
      <c r="C38" s="3">
        <v>42621</v>
      </c>
      <c r="D38" s="16">
        <v>174150</v>
      </c>
      <c r="E38">
        <v>15900</v>
      </c>
      <c r="F38" s="16">
        <v>20222.32</v>
      </c>
      <c r="G38" s="16">
        <f t="shared" si="0"/>
        <v>6853.4482758620697</v>
      </c>
      <c r="H38" s="16">
        <f t="shared" si="1"/>
        <v>2266.2944827586211</v>
      </c>
      <c r="I38" s="16">
        <f t="shared" si="2"/>
        <v>6095.2500000000009</v>
      </c>
      <c r="J38" s="16">
        <f t="shared" si="3"/>
        <v>12948.698275862071</v>
      </c>
      <c r="K38" s="16">
        <f t="shared" si="4"/>
        <v>163732.43</v>
      </c>
      <c r="L38" s="16">
        <f t="shared" si="5"/>
        <v>5730.6350499999999</v>
      </c>
      <c r="M38" s="9">
        <v>171274.4</v>
      </c>
      <c r="N38" s="9">
        <v>166810.34</v>
      </c>
      <c r="O38" s="9">
        <f t="shared" si="6"/>
        <v>-4464.0599999999977</v>
      </c>
    </row>
    <row r="39" spans="1:15">
      <c r="A39" s="5" t="s">
        <v>344</v>
      </c>
      <c r="B39" t="s">
        <v>13</v>
      </c>
      <c r="C39" s="3">
        <v>42621</v>
      </c>
      <c r="D39" s="16">
        <v>97760</v>
      </c>
      <c r="F39" s="16">
        <v>13262.12</v>
      </c>
      <c r="G39" s="16">
        <f t="shared" si="0"/>
        <v>0</v>
      </c>
      <c r="H39" s="16">
        <f t="shared" si="1"/>
        <v>1486.2720689655175</v>
      </c>
      <c r="I39" s="16">
        <f t="shared" si="2"/>
        <v>3421.6000000000004</v>
      </c>
      <c r="J39" s="16">
        <f t="shared" si="3"/>
        <v>3421.6000000000004</v>
      </c>
      <c r="K39" s="16">
        <f t="shared" si="4"/>
        <v>81076.28</v>
      </c>
      <c r="L39" s="16">
        <f t="shared" si="5"/>
        <v>2837.6698000000001</v>
      </c>
      <c r="M39" s="9">
        <v>135297.06</v>
      </c>
      <c r="N39" s="9">
        <v>129655.17</v>
      </c>
      <c r="O39" s="9">
        <f t="shared" si="6"/>
        <v>-5641.8899999999994</v>
      </c>
    </row>
    <row r="40" spans="1:15">
      <c r="A40" s="5" t="s">
        <v>345</v>
      </c>
      <c r="B40" t="s">
        <v>17</v>
      </c>
      <c r="C40" s="3">
        <v>42621</v>
      </c>
      <c r="D40" s="16">
        <v>147500</v>
      </c>
      <c r="E40">
        <v>7000</v>
      </c>
      <c r="F40" s="16">
        <v>23262.52</v>
      </c>
      <c r="G40" s="16">
        <f t="shared" si="0"/>
        <v>3017.2413793103451</v>
      </c>
      <c r="H40" s="16">
        <f t="shared" si="1"/>
        <v>2607.0065517241383</v>
      </c>
      <c r="I40" s="16">
        <f t="shared" si="2"/>
        <v>5162.5000000000009</v>
      </c>
      <c r="J40" s="16">
        <f t="shared" si="3"/>
        <v>8179.741379310346</v>
      </c>
      <c r="K40" s="16">
        <f t="shared" si="4"/>
        <v>126074.98000000001</v>
      </c>
      <c r="L40" s="16">
        <f t="shared" si="5"/>
        <v>4412.6243000000004</v>
      </c>
      <c r="M40" s="9">
        <v>164575.04000000001</v>
      </c>
      <c r="N40" s="9">
        <v>170258.62</v>
      </c>
      <c r="O40" s="9">
        <f t="shared" si="6"/>
        <v>5683.5799999999872</v>
      </c>
    </row>
    <row r="41" spans="1:15">
      <c r="A41" s="5" t="s">
        <v>346</v>
      </c>
      <c r="B41" t="s">
        <v>17</v>
      </c>
      <c r="C41" s="3">
        <v>42621</v>
      </c>
      <c r="D41" s="16">
        <v>114212.2</v>
      </c>
      <c r="E41">
        <v>8500</v>
      </c>
      <c r="F41" s="16">
        <v>12075.36</v>
      </c>
      <c r="G41" s="16">
        <f t="shared" ref="G41:G72" si="7">(E41/1.16)*0.5</f>
        <v>3663.7931034482763</v>
      </c>
      <c r="H41" s="16">
        <f t="shared" ref="H41:H72" si="8">(F41/1.16)*0.13</f>
        <v>1353.2731034482761</v>
      </c>
      <c r="I41" s="16">
        <f t="shared" ref="I41:I72" si="9">D41*3.5%</f>
        <v>3997.4270000000001</v>
      </c>
      <c r="J41" s="16">
        <f t="shared" ref="J41:J72" si="10">+G41+I41</f>
        <v>7661.2201034482769</v>
      </c>
      <c r="K41" s="16">
        <f t="shared" ref="K41:K72" si="11">SUM(+D41+E41-F41-I41)</f>
        <v>106639.413</v>
      </c>
      <c r="L41" s="16">
        <f t="shared" ref="L41:L72" si="12">K41*$L$8</f>
        <v>3732.3794550000002</v>
      </c>
      <c r="M41" s="9">
        <v>176375.15</v>
      </c>
      <c r="N41" s="9">
        <v>175086.21</v>
      </c>
      <c r="O41" s="9">
        <f t="shared" si="6"/>
        <v>-1288.9400000000023</v>
      </c>
    </row>
    <row r="42" spans="1:15">
      <c r="A42" s="5" t="s">
        <v>347</v>
      </c>
      <c r="B42" t="s">
        <v>11</v>
      </c>
      <c r="C42" s="3">
        <v>42621</v>
      </c>
      <c r="D42" s="16">
        <v>156060</v>
      </c>
      <c r="E42">
        <v>13000</v>
      </c>
      <c r="F42" s="16">
        <v>25947.48</v>
      </c>
      <c r="G42" s="16">
        <f t="shared" si="7"/>
        <v>5603.4482758620697</v>
      </c>
      <c r="H42" s="16">
        <f t="shared" si="8"/>
        <v>2907.9072413793106</v>
      </c>
      <c r="I42" s="16">
        <f t="shared" si="9"/>
        <v>5462.1</v>
      </c>
      <c r="J42" s="16">
        <f t="shared" si="10"/>
        <v>11065.548275862071</v>
      </c>
      <c r="K42" s="16">
        <f t="shared" si="11"/>
        <v>137650.41999999998</v>
      </c>
      <c r="L42" s="16">
        <f t="shared" si="12"/>
        <v>4817.7646999999997</v>
      </c>
      <c r="M42" s="9">
        <v>138544.93</v>
      </c>
      <c r="N42" s="9">
        <v>149482.76</v>
      </c>
      <c r="O42" s="9">
        <f t="shared" si="6"/>
        <v>10937.830000000016</v>
      </c>
    </row>
    <row r="43" spans="1:15">
      <c r="A43" s="5" t="s">
        <v>348</v>
      </c>
      <c r="B43" t="s">
        <v>22</v>
      </c>
      <c r="C43" s="3">
        <v>42620</v>
      </c>
      <c r="D43" s="16">
        <v>159400</v>
      </c>
      <c r="E43">
        <v>9200</v>
      </c>
      <c r="F43" s="16">
        <v>17702.57</v>
      </c>
      <c r="G43" s="16">
        <f t="shared" si="7"/>
        <v>3965.5172413793107</v>
      </c>
      <c r="H43" s="16">
        <f t="shared" si="8"/>
        <v>1983.9087068965518</v>
      </c>
      <c r="I43" s="16">
        <f t="shared" si="9"/>
        <v>5579.0000000000009</v>
      </c>
      <c r="J43" s="16">
        <f t="shared" si="10"/>
        <v>9544.5172413793116</v>
      </c>
      <c r="K43" s="16">
        <f t="shared" si="11"/>
        <v>145318.43</v>
      </c>
      <c r="L43" s="16">
        <f t="shared" si="12"/>
        <v>5086.1450500000001</v>
      </c>
      <c r="M43" s="9">
        <v>227240.03</v>
      </c>
      <c r="N43" s="9">
        <v>221896.55</v>
      </c>
      <c r="O43" s="9">
        <f t="shared" si="6"/>
        <v>-5343.4800000000105</v>
      </c>
    </row>
    <row r="44" spans="1:15">
      <c r="A44" s="5" t="s">
        <v>349</v>
      </c>
      <c r="B44" t="s">
        <v>11</v>
      </c>
      <c r="C44" s="3">
        <v>42621</v>
      </c>
      <c r="D44" s="16">
        <v>114030</v>
      </c>
      <c r="E44">
        <v>8500</v>
      </c>
      <c r="F44" s="16">
        <v>22468</v>
      </c>
      <c r="G44" s="16">
        <f t="shared" si="7"/>
        <v>3663.7931034482763</v>
      </c>
      <c r="H44" s="16">
        <f t="shared" si="8"/>
        <v>2517.9655172413795</v>
      </c>
      <c r="I44" s="16">
        <f t="shared" si="9"/>
        <v>3991.05</v>
      </c>
      <c r="J44" s="16">
        <f t="shared" si="10"/>
        <v>7654.8431034482765</v>
      </c>
      <c r="K44" s="16">
        <f t="shared" si="11"/>
        <v>96070.95</v>
      </c>
      <c r="L44" s="16">
        <f t="shared" si="12"/>
        <v>3362.4832500000002</v>
      </c>
      <c r="M44" s="9">
        <v>109597.3</v>
      </c>
      <c r="N44" s="9">
        <v>109224.14</v>
      </c>
      <c r="O44" s="9">
        <f t="shared" si="6"/>
        <v>-373.16000000000349</v>
      </c>
    </row>
    <row r="45" spans="1:15">
      <c r="A45" s="5" t="s">
        <v>350</v>
      </c>
      <c r="B45" t="s">
        <v>17</v>
      </c>
      <c r="C45" s="3">
        <v>42622</v>
      </c>
      <c r="D45" s="16">
        <v>105147.9</v>
      </c>
      <c r="F45" s="16">
        <v>10473.24</v>
      </c>
      <c r="G45" s="16">
        <f t="shared" si="7"/>
        <v>0</v>
      </c>
      <c r="H45" s="16">
        <f t="shared" si="8"/>
        <v>1173.7251724137932</v>
      </c>
      <c r="I45" s="16">
        <f t="shared" si="9"/>
        <v>3680.1765</v>
      </c>
      <c r="J45" s="16">
        <f t="shared" si="10"/>
        <v>3680.1765</v>
      </c>
      <c r="K45" s="16">
        <f t="shared" si="11"/>
        <v>90994.483499999988</v>
      </c>
      <c r="L45" s="16">
        <f t="shared" si="12"/>
        <v>3184.8069224999999</v>
      </c>
      <c r="M45" s="9">
        <v>183055.98</v>
      </c>
      <c r="N45" s="9">
        <v>184913.79</v>
      </c>
      <c r="O45" s="9">
        <f t="shared" si="6"/>
        <v>1857.8099999999977</v>
      </c>
    </row>
    <row r="46" spans="1:15">
      <c r="A46" s="5" t="s">
        <v>351</v>
      </c>
      <c r="B46" t="s">
        <v>13</v>
      </c>
      <c r="C46" s="3">
        <v>42622</v>
      </c>
      <c r="D46" s="16">
        <v>109126.05</v>
      </c>
      <c r="F46" s="16">
        <v>4369.01</v>
      </c>
      <c r="G46" s="16">
        <f t="shared" si="7"/>
        <v>0</v>
      </c>
      <c r="H46" s="16">
        <f t="shared" si="8"/>
        <v>489.63043103448285</v>
      </c>
      <c r="I46" s="16">
        <f t="shared" si="9"/>
        <v>3819.4117500000007</v>
      </c>
      <c r="J46" s="16">
        <f t="shared" si="10"/>
        <v>3819.4117500000007</v>
      </c>
      <c r="K46" s="16">
        <f t="shared" si="11"/>
        <v>100937.62825000001</v>
      </c>
      <c r="L46" s="16">
        <f t="shared" si="12"/>
        <v>3532.8169887500007</v>
      </c>
      <c r="M46" s="9">
        <v>150241.49</v>
      </c>
      <c r="N46" s="9">
        <v>146982.76</v>
      </c>
      <c r="O46" s="9">
        <f t="shared" si="6"/>
        <v>-3258.7299999999814</v>
      </c>
    </row>
    <row r="47" spans="1:15">
      <c r="A47" s="5" t="s">
        <v>352</v>
      </c>
      <c r="B47" t="s">
        <v>11</v>
      </c>
      <c r="C47" s="3">
        <v>42621</v>
      </c>
      <c r="D47" s="16">
        <v>101360</v>
      </c>
      <c r="E47">
        <v>5700</v>
      </c>
      <c r="F47" s="16">
        <v>16967</v>
      </c>
      <c r="G47" s="16">
        <f t="shared" si="7"/>
        <v>2456.8965517241381</v>
      </c>
      <c r="H47" s="16">
        <f t="shared" si="8"/>
        <v>1901.4741379310349</v>
      </c>
      <c r="I47" s="16">
        <f t="shared" si="9"/>
        <v>3547.6000000000004</v>
      </c>
      <c r="J47" s="16">
        <f t="shared" si="10"/>
        <v>6004.496551724138</v>
      </c>
      <c r="K47" s="16">
        <f t="shared" si="11"/>
        <v>86545.4</v>
      </c>
      <c r="L47" s="16">
        <f t="shared" si="12"/>
        <v>3029.0889999999999</v>
      </c>
      <c r="M47" s="9">
        <v>108486.98</v>
      </c>
      <c r="N47" s="9">
        <v>109224.14</v>
      </c>
      <c r="O47" s="9">
        <f t="shared" si="6"/>
        <v>737.16000000000349</v>
      </c>
    </row>
    <row r="48" spans="1:15">
      <c r="A48" s="5" t="s">
        <v>353</v>
      </c>
      <c r="B48" t="s">
        <v>17</v>
      </c>
      <c r="C48" s="3">
        <v>42621</v>
      </c>
      <c r="D48" s="16">
        <v>184790</v>
      </c>
      <c r="E48">
        <v>8500</v>
      </c>
      <c r="F48" s="16">
        <v>31804.35</v>
      </c>
      <c r="G48" s="16">
        <f t="shared" si="7"/>
        <v>3663.7931034482763</v>
      </c>
      <c r="H48" s="16">
        <f t="shared" si="8"/>
        <v>3564.280603448276</v>
      </c>
      <c r="I48" s="16">
        <f t="shared" si="9"/>
        <v>6467.6500000000005</v>
      </c>
      <c r="J48" s="16">
        <f t="shared" si="10"/>
        <v>10131.443103448277</v>
      </c>
      <c r="K48" s="16">
        <f t="shared" si="11"/>
        <v>155018</v>
      </c>
      <c r="L48" s="16">
        <f t="shared" si="12"/>
        <v>5425.63</v>
      </c>
      <c r="M48" s="9">
        <v>175860.51</v>
      </c>
      <c r="N48" s="9">
        <v>175086.21</v>
      </c>
      <c r="O48" s="9">
        <f t="shared" si="6"/>
        <v>-774.30000000001746</v>
      </c>
    </row>
    <row r="49" spans="1:15">
      <c r="A49" s="5" t="s">
        <v>354</v>
      </c>
      <c r="B49" t="s">
        <v>11</v>
      </c>
      <c r="C49" s="3">
        <v>42622</v>
      </c>
      <c r="D49" s="16">
        <v>127620</v>
      </c>
      <c r="E49">
        <v>14000</v>
      </c>
      <c r="F49" s="16">
        <v>23593.040000000001</v>
      </c>
      <c r="G49" s="16">
        <f t="shared" si="7"/>
        <v>6034.4827586206902</v>
      </c>
      <c r="H49" s="16">
        <f t="shared" si="8"/>
        <v>2644.047586206897</v>
      </c>
      <c r="I49" s="16">
        <f t="shared" si="9"/>
        <v>4466.7000000000007</v>
      </c>
      <c r="J49" s="16">
        <f t="shared" si="10"/>
        <v>10501.182758620691</v>
      </c>
      <c r="K49" s="16">
        <f t="shared" si="11"/>
        <v>113560.26</v>
      </c>
      <c r="L49" s="16">
        <f t="shared" si="12"/>
        <v>3974.6091000000001</v>
      </c>
      <c r="M49" s="9">
        <v>119988.36</v>
      </c>
      <c r="N49" s="9">
        <v>122241.38</v>
      </c>
      <c r="O49" s="9">
        <f t="shared" si="6"/>
        <v>2253.0200000000041</v>
      </c>
    </row>
    <row r="50" spans="1:15">
      <c r="A50" s="5" t="s">
        <v>355</v>
      </c>
      <c r="B50" t="s">
        <v>17</v>
      </c>
      <c r="C50" s="3">
        <v>42622</v>
      </c>
      <c r="D50" s="16">
        <v>153100</v>
      </c>
      <c r="E50">
        <v>6500</v>
      </c>
      <c r="F50" s="16">
        <v>22208.48</v>
      </c>
      <c r="G50" s="16">
        <f t="shared" si="7"/>
        <v>2801.7241379310349</v>
      </c>
      <c r="H50" s="16">
        <f t="shared" si="8"/>
        <v>2488.881379310345</v>
      </c>
      <c r="I50" s="16">
        <f t="shared" si="9"/>
        <v>5358.5000000000009</v>
      </c>
      <c r="J50" s="16">
        <f t="shared" si="10"/>
        <v>8160.2241379310362</v>
      </c>
      <c r="K50" s="16">
        <f t="shared" si="11"/>
        <v>132033.01999999999</v>
      </c>
      <c r="L50" s="16">
        <f t="shared" si="12"/>
        <v>4621.1557000000003</v>
      </c>
      <c r="M50" s="9">
        <v>176375.15</v>
      </c>
      <c r="N50" s="9">
        <v>175086.21</v>
      </c>
      <c r="O50" s="9">
        <f t="shared" si="6"/>
        <v>-1288.9400000000023</v>
      </c>
    </row>
    <row r="51" spans="1:15">
      <c r="A51" s="5" t="s">
        <v>356</v>
      </c>
      <c r="B51" t="s">
        <v>17</v>
      </c>
      <c r="C51" s="3">
        <v>42622</v>
      </c>
      <c r="D51" s="16">
        <v>153100</v>
      </c>
      <c r="E51">
        <v>6500</v>
      </c>
      <c r="F51" s="16">
        <v>23686.720000000001</v>
      </c>
      <c r="G51" s="16">
        <f t="shared" si="7"/>
        <v>2801.7241379310349</v>
      </c>
      <c r="H51" s="16">
        <f t="shared" si="8"/>
        <v>2654.5462068965521</v>
      </c>
      <c r="I51" s="16">
        <f t="shared" si="9"/>
        <v>5358.5000000000009</v>
      </c>
      <c r="J51" s="16">
        <f t="shared" si="10"/>
        <v>8160.2241379310362</v>
      </c>
      <c r="K51" s="16">
        <f t="shared" si="11"/>
        <v>130554.78</v>
      </c>
      <c r="L51" s="16">
        <f t="shared" si="12"/>
        <v>4569.4173000000001</v>
      </c>
      <c r="M51" s="9">
        <v>174120.95999999999</v>
      </c>
      <c r="N51" s="9">
        <v>175086.21</v>
      </c>
      <c r="O51" s="9">
        <f t="shared" si="6"/>
        <v>965.25</v>
      </c>
    </row>
    <row r="52" spans="1:15">
      <c r="A52" s="5" t="s">
        <v>357</v>
      </c>
      <c r="B52" t="s">
        <v>11</v>
      </c>
      <c r="C52" s="3">
        <v>42622</v>
      </c>
      <c r="D52" s="16">
        <v>82320</v>
      </c>
      <c r="F52" s="16">
        <v>8538.17</v>
      </c>
      <c r="G52" s="16">
        <f t="shared" si="7"/>
        <v>0</v>
      </c>
      <c r="H52" s="16">
        <f t="shared" si="8"/>
        <v>956.86387931034494</v>
      </c>
      <c r="I52" s="16">
        <f t="shared" si="9"/>
        <v>2881.2000000000003</v>
      </c>
      <c r="J52" s="16">
        <f t="shared" si="10"/>
        <v>2881.2000000000003</v>
      </c>
      <c r="K52" s="16">
        <f t="shared" si="11"/>
        <v>70900.63</v>
      </c>
      <c r="L52" s="16">
        <f t="shared" si="12"/>
        <v>2481.5220500000005</v>
      </c>
      <c r="M52" s="9">
        <v>108486.98</v>
      </c>
      <c r="N52" s="9">
        <v>109224.14</v>
      </c>
      <c r="O52" s="9">
        <f t="shared" si="6"/>
        <v>737.16000000000349</v>
      </c>
    </row>
    <row r="53" spans="1:15">
      <c r="A53" s="5" t="s">
        <v>358</v>
      </c>
      <c r="B53" t="s">
        <v>11</v>
      </c>
      <c r="C53" s="3">
        <v>42625</v>
      </c>
      <c r="D53" s="16">
        <v>102216.51</v>
      </c>
      <c r="F53" s="16">
        <v>9707.3700000000008</v>
      </c>
      <c r="G53" s="16">
        <f t="shared" si="7"/>
        <v>0</v>
      </c>
      <c r="H53" s="16">
        <f t="shared" si="8"/>
        <v>1087.8949137931038</v>
      </c>
      <c r="I53" s="16">
        <f t="shared" si="9"/>
        <v>3577.5778500000001</v>
      </c>
      <c r="J53" s="16">
        <f t="shared" si="10"/>
        <v>3577.5778500000001</v>
      </c>
      <c r="K53" s="16">
        <f t="shared" si="11"/>
        <v>88931.562149999998</v>
      </c>
      <c r="L53" s="16">
        <f t="shared" si="12"/>
        <v>3112.6046752500001</v>
      </c>
      <c r="M53" s="9">
        <v>135023.10999999999</v>
      </c>
      <c r="N53" s="9">
        <v>139827.59</v>
      </c>
      <c r="O53" s="9">
        <f t="shared" si="6"/>
        <v>4804.4800000000105</v>
      </c>
    </row>
    <row r="54" spans="1:15">
      <c r="A54" s="5" t="s">
        <v>359</v>
      </c>
      <c r="B54" t="s">
        <v>11</v>
      </c>
      <c r="C54" s="3">
        <v>42625</v>
      </c>
      <c r="D54" s="16">
        <v>134710</v>
      </c>
      <c r="F54" s="16">
        <v>23593.040000000001</v>
      </c>
      <c r="G54" s="16">
        <f t="shared" si="7"/>
        <v>0</v>
      </c>
      <c r="H54" s="16">
        <f t="shared" si="8"/>
        <v>2644.047586206897</v>
      </c>
      <c r="I54" s="16">
        <f t="shared" si="9"/>
        <v>4714.8500000000004</v>
      </c>
      <c r="J54" s="16">
        <f t="shared" si="10"/>
        <v>4714.8500000000004</v>
      </c>
      <c r="K54" s="16">
        <f t="shared" si="11"/>
        <v>106402.10999999999</v>
      </c>
      <c r="L54" s="16">
        <f t="shared" si="12"/>
        <v>3724.0738499999998</v>
      </c>
      <c r="M54" s="9">
        <v>121178.02</v>
      </c>
      <c r="N54" s="9">
        <v>122241.38</v>
      </c>
      <c r="O54" s="9">
        <f t="shared" si="6"/>
        <v>1063.3600000000006</v>
      </c>
    </row>
    <row r="55" spans="1:15">
      <c r="A55" s="5" t="s">
        <v>360</v>
      </c>
      <c r="B55" t="s">
        <v>22</v>
      </c>
      <c r="C55" s="3">
        <v>42625</v>
      </c>
      <c r="D55" s="16">
        <v>166640.18</v>
      </c>
      <c r="F55" s="16">
        <v>19605.849999999999</v>
      </c>
      <c r="G55" s="16">
        <f t="shared" si="7"/>
        <v>0</v>
      </c>
      <c r="H55" s="16">
        <f t="shared" si="8"/>
        <v>2197.2073275862067</v>
      </c>
      <c r="I55" s="16">
        <f t="shared" si="9"/>
        <v>5832.4063000000006</v>
      </c>
      <c r="J55" s="16">
        <f t="shared" si="10"/>
        <v>5832.4063000000006</v>
      </c>
      <c r="K55" s="16">
        <f t="shared" si="11"/>
        <v>141201.92369999998</v>
      </c>
      <c r="L55" s="16">
        <f t="shared" si="12"/>
        <v>4942.0673294999997</v>
      </c>
      <c r="M55" s="9">
        <v>224996.19</v>
      </c>
      <c r="N55" s="9">
        <v>221896.55</v>
      </c>
      <c r="O55" s="9">
        <f t="shared" si="6"/>
        <v>-3099.640000000014</v>
      </c>
    </row>
    <row r="56" spans="1:15">
      <c r="A56" s="5" t="s">
        <v>361</v>
      </c>
      <c r="B56" t="s">
        <v>22</v>
      </c>
      <c r="C56" s="3">
        <v>42625</v>
      </c>
      <c r="D56" s="16">
        <v>189345</v>
      </c>
      <c r="F56" s="16">
        <v>5837.92</v>
      </c>
      <c r="G56" s="16">
        <f t="shared" si="7"/>
        <v>0</v>
      </c>
      <c r="H56" s="16">
        <f t="shared" si="8"/>
        <v>654.24965517241378</v>
      </c>
      <c r="I56" s="16">
        <f t="shared" si="9"/>
        <v>6627.0750000000007</v>
      </c>
      <c r="J56" s="16">
        <f t="shared" si="10"/>
        <v>6627.0750000000007</v>
      </c>
      <c r="K56" s="16">
        <f t="shared" si="11"/>
        <v>176880.00499999998</v>
      </c>
      <c r="L56" s="16">
        <f t="shared" si="12"/>
        <v>6190.8001749999994</v>
      </c>
      <c r="M56" s="9">
        <v>250993.94</v>
      </c>
      <c r="N56" s="9">
        <v>251120.68</v>
      </c>
      <c r="O56" s="9">
        <f t="shared" si="6"/>
        <v>126.73999999999069</v>
      </c>
    </row>
    <row r="57" spans="1:15">
      <c r="A57" s="5" t="s">
        <v>362</v>
      </c>
      <c r="B57" t="s">
        <v>17</v>
      </c>
      <c r="C57" s="3">
        <v>42625</v>
      </c>
      <c r="D57" s="16">
        <v>185290</v>
      </c>
      <c r="E57">
        <v>7500</v>
      </c>
      <c r="F57" s="16">
        <v>24113.39</v>
      </c>
      <c r="G57" s="16">
        <f t="shared" si="7"/>
        <v>3232.7586206896553</v>
      </c>
      <c r="H57" s="16">
        <f t="shared" si="8"/>
        <v>2702.3626724137935</v>
      </c>
      <c r="I57" s="16">
        <f t="shared" si="9"/>
        <v>6485.1500000000005</v>
      </c>
      <c r="J57" s="16">
        <f t="shared" si="10"/>
        <v>9717.9086206896554</v>
      </c>
      <c r="K57" s="16">
        <f t="shared" si="11"/>
        <v>162191.46</v>
      </c>
      <c r="L57" s="16">
        <f t="shared" si="12"/>
        <v>5676.7011000000002</v>
      </c>
      <c r="M57" s="9">
        <v>174630.37</v>
      </c>
      <c r="N57" s="9">
        <v>175086.21</v>
      </c>
      <c r="O57" s="9">
        <f t="shared" si="6"/>
        <v>455.83999999999651</v>
      </c>
    </row>
    <row r="58" spans="1:15">
      <c r="A58" s="5" t="s">
        <v>363</v>
      </c>
      <c r="B58" t="s">
        <v>22</v>
      </c>
      <c r="C58" s="3">
        <v>42625</v>
      </c>
      <c r="D58" s="16">
        <v>159300</v>
      </c>
      <c r="E58">
        <v>15000</v>
      </c>
      <c r="F58" s="16">
        <v>16585.759999999998</v>
      </c>
      <c r="G58" s="16">
        <f t="shared" si="7"/>
        <v>6465.5172413793107</v>
      </c>
      <c r="H58" s="16">
        <f t="shared" si="8"/>
        <v>1858.7489655172415</v>
      </c>
      <c r="I58" s="16">
        <f t="shared" si="9"/>
        <v>5575.5000000000009</v>
      </c>
      <c r="J58" s="16">
        <f t="shared" si="10"/>
        <v>12041.017241379312</v>
      </c>
      <c r="K58" s="16">
        <f t="shared" si="11"/>
        <v>152138.74</v>
      </c>
      <c r="L58" s="16">
        <f t="shared" si="12"/>
        <v>5324.8559000000005</v>
      </c>
      <c r="M58" s="9">
        <v>250993.94</v>
      </c>
      <c r="N58" s="9">
        <v>251120.68</v>
      </c>
      <c r="O58" s="9">
        <f t="shared" si="6"/>
        <v>126.73999999999069</v>
      </c>
    </row>
    <row r="59" spans="1:15">
      <c r="A59" s="5" t="s">
        <v>364</v>
      </c>
      <c r="B59" t="s">
        <v>11</v>
      </c>
      <c r="C59" s="3">
        <v>42625</v>
      </c>
      <c r="D59" s="16">
        <v>82320</v>
      </c>
      <c r="F59" s="16">
        <v>8538.17</v>
      </c>
      <c r="G59" s="16">
        <f t="shared" si="7"/>
        <v>0</v>
      </c>
      <c r="H59" s="16">
        <f t="shared" si="8"/>
        <v>956.86387931034494</v>
      </c>
      <c r="I59" s="16">
        <f t="shared" si="9"/>
        <v>2881.2000000000003</v>
      </c>
      <c r="J59" s="16">
        <f t="shared" si="10"/>
        <v>2881.2000000000003</v>
      </c>
      <c r="K59" s="16">
        <f t="shared" si="11"/>
        <v>70900.63</v>
      </c>
      <c r="L59" s="16">
        <f t="shared" si="12"/>
        <v>2481.5220500000005</v>
      </c>
      <c r="M59" s="9">
        <v>108486.98</v>
      </c>
      <c r="N59" s="9">
        <v>109224.14</v>
      </c>
      <c r="O59" s="9">
        <f t="shared" si="6"/>
        <v>737.16000000000349</v>
      </c>
    </row>
    <row r="60" spans="1:15">
      <c r="A60" s="5" t="s">
        <v>365</v>
      </c>
      <c r="B60" t="s">
        <v>52</v>
      </c>
      <c r="C60" s="3">
        <v>42625</v>
      </c>
      <c r="D60" s="16">
        <v>208855.97</v>
      </c>
      <c r="F60" s="16">
        <v>41544.99</v>
      </c>
      <c r="G60" s="16">
        <f t="shared" si="7"/>
        <v>0</v>
      </c>
      <c r="H60" s="16">
        <f t="shared" si="8"/>
        <v>4655.9040517241383</v>
      </c>
      <c r="I60" s="16">
        <f t="shared" si="9"/>
        <v>7309.9589500000011</v>
      </c>
      <c r="J60" s="16">
        <f t="shared" si="10"/>
        <v>7309.9589500000011</v>
      </c>
      <c r="K60" s="16">
        <f t="shared" si="11"/>
        <v>160001.02105000001</v>
      </c>
      <c r="L60" s="16">
        <f t="shared" si="12"/>
        <v>5600.035736750001</v>
      </c>
      <c r="M60" s="9">
        <v>248245.61</v>
      </c>
      <c r="N60" s="9">
        <v>236982.75</v>
      </c>
      <c r="O60" s="9">
        <f t="shared" si="6"/>
        <v>-11262.859999999986</v>
      </c>
    </row>
    <row r="61" spans="1:15">
      <c r="A61" s="5" t="s">
        <v>366</v>
      </c>
      <c r="B61" t="s">
        <v>11</v>
      </c>
      <c r="C61" s="3">
        <v>42626</v>
      </c>
      <c r="D61" s="16">
        <v>126800</v>
      </c>
      <c r="E61">
        <v>10700</v>
      </c>
      <c r="F61" s="16">
        <v>28927.96</v>
      </c>
      <c r="G61" s="16">
        <f t="shared" si="7"/>
        <v>4612.0689655172418</v>
      </c>
      <c r="H61" s="16">
        <f t="shared" si="8"/>
        <v>3241.9265517241379</v>
      </c>
      <c r="I61" s="16">
        <f t="shared" si="9"/>
        <v>4438</v>
      </c>
      <c r="J61" s="16">
        <f t="shared" si="10"/>
        <v>9050.0689655172428</v>
      </c>
      <c r="K61" s="16">
        <f t="shared" si="11"/>
        <v>104134.04000000001</v>
      </c>
      <c r="L61" s="16">
        <f t="shared" si="12"/>
        <v>3644.6914000000006</v>
      </c>
      <c r="M61" s="9">
        <v>121178.02</v>
      </c>
      <c r="N61" s="9">
        <v>122241.38</v>
      </c>
      <c r="O61" s="9">
        <f t="shared" si="6"/>
        <v>1063.3600000000006</v>
      </c>
    </row>
    <row r="62" spans="1:15">
      <c r="A62" s="5" t="s">
        <v>367</v>
      </c>
      <c r="B62" t="s">
        <v>13</v>
      </c>
      <c r="C62" s="3">
        <v>42626</v>
      </c>
      <c r="D62" s="16">
        <v>110825</v>
      </c>
      <c r="F62" s="16">
        <v>7334.23</v>
      </c>
      <c r="G62" s="16">
        <f t="shared" si="7"/>
        <v>0</v>
      </c>
      <c r="H62" s="16">
        <f t="shared" si="8"/>
        <v>821.93956896551731</v>
      </c>
      <c r="I62" s="16">
        <f t="shared" si="9"/>
        <v>3878.8750000000005</v>
      </c>
      <c r="J62" s="16">
        <f t="shared" si="10"/>
        <v>3878.8750000000005</v>
      </c>
      <c r="K62" s="16">
        <f t="shared" si="11"/>
        <v>99611.895000000004</v>
      </c>
      <c r="L62" s="16">
        <f t="shared" si="12"/>
        <v>3486.4163250000006</v>
      </c>
      <c r="M62" s="9">
        <v>145566.42000000001</v>
      </c>
      <c r="N62" s="9">
        <v>146982.76</v>
      </c>
      <c r="O62" s="9">
        <f t="shared" si="6"/>
        <v>1416.3399999999965</v>
      </c>
    </row>
    <row r="63" spans="1:15">
      <c r="A63" s="5" t="s">
        <v>368</v>
      </c>
      <c r="B63" t="s">
        <v>11</v>
      </c>
      <c r="C63" s="3">
        <v>42626</v>
      </c>
      <c r="D63" s="16">
        <v>112200</v>
      </c>
      <c r="E63">
        <v>15800</v>
      </c>
      <c r="F63" s="16">
        <v>25113</v>
      </c>
      <c r="G63" s="16">
        <f t="shared" si="7"/>
        <v>6810.3448275862074</v>
      </c>
      <c r="H63" s="16">
        <f t="shared" si="8"/>
        <v>2814.3879310344832</v>
      </c>
      <c r="I63" s="16">
        <f t="shared" si="9"/>
        <v>3927.0000000000005</v>
      </c>
      <c r="J63" s="16">
        <f t="shared" si="10"/>
        <v>10737.344827586208</v>
      </c>
      <c r="K63" s="16">
        <f t="shared" si="11"/>
        <v>98960</v>
      </c>
      <c r="L63" s="16">
        <f t="shared" si="12"/>
        <v>3463.6000000000004</v>
      </c>
      <c r="M63" s="9">
        <v>142365.78</v>
      </c>
      <c r="N63" s="9">
        <v>139827.59</v>
      </c>
      <c r="O63" s="9">
        <f t="shared" si="6"/>
        <v>-2538.1900000000023</v>
      </c>
    </row>
    <row r="64" spans="1:15">
      <c r="A64" s="5" t="s">
        <v>369</v>
      </c>
      <c r="B64" t="s">
        <v>11</v>
      </c>
      <c r="C64" s="3">
        <v>42626</v>
      </c>
      <c r="D64" s="16">
        <v>127620</v>
      </c>
      <c r="E64">
        <v>6500</v>
      </c>
      <c r="F64" s="16">
        <v>23593.040000000001</v>
      </c>
      <c r="G64" s="16">
        <f t="shared" si="7"/>
        <v>2801.7241379310349</v>
      </c>
      <c r="H64" s="16">
        <f t="shared" si="8"/>
        <v>2644.047586206897</v>
      </c>
      <c r="I64" s="16">
        <f t="shared" si="9"/>
        <v>4466.7000000000007</v>
      </c>
      <c r="J64" s="16">
        <f t="shared" si="10"/>
        <v>7268.4241379310351</v>
      </c>
      <c r="K64" s="16">
        <f t="shared" si="11"/>
        <v>106060.26</v>
      </c>
      <c r="L64" s="16">
        <f t="shared" si="12"/>
        <v>3712.1091000000001</v>
      </c>
      <c r="M64" s="9">
        <v>119469.37</v>
      </c>
      <c r="N64" s="9">
        <v>122241.38</v>
      </c>
      <c r="O64" s="9">
        <f t="shared" si="6"/>
        <v>2772.0100000000093</v>
      </c>
    </row>
    <row r="65" spans="1:15">
      <c r="A65" s="5" t="s">
        <v>370</v>
      </c>
      <c r="B65" t="s">
        <v>13</v>
      </c>
      <c r="C65" s="3">
        <v>42626</v>
      </c>
      <c r="D65" s="16">
        <v>83115.63</v>
      </c>
      <c r="F65" s="16">
        <v>9547.3799999999992</v>
      </c>
      <c r="G65" s="16">
        <f t="shared" si="7"/>
        <v>0</v>
      </c>
      <c r="H65" s="16">
        <f t="shared" si="8"/>
        <v>1069.9650000000001</v>
      </c>
      <c r="I65" s="16">
        <f t="shared" si="9"/>
        <v>2909.0470500000006</v>
      </c>
      <c r="J65" s="16">
        <f t="shared" si="10"/>
        <v>2909.0470500000006</v>
      </c>
      <c r="K65" s="16">
        <f t="shared" si="11"/>
        <v>70659.202950000006</v>
      </c>
      <c r="L65" s="16">
        <f t="shared" si="12"/>
        <v>2473.0721032500005</v>
      </c>
      <c r="M65" s="9">
        <v>153957.84</v>
      </c>
      <c r="N65" s="9">
        <v>157241.38</v>
      </c>
      <c r="O65" s="9">
        <f t="shared" si="6"/>
        <v>3283.5400000000081</v>
      </c>
    </row>
    <row r="66" spans="1:15">
      <c r="A66" s="5" t="s">
        <v>371</v>
      </c>
      <c r="B66" t="s">
        <v>11</v>
      </c>
      <c r="C66" s="3">
        <v>42627</v>
      </c>
      <c r="D66" s="16">
        <v>95670</v>
      </c>
      <c r="F66" s="16">
        <v>9320.76</v>
      </c>
      <c r="G66" s="16">
        <f t="shared" si="7"/>
        <v>0</v>
      </c>
      <c r="H66" s="16">
        <f t="shared" si="8"/>
        <v>1044.5679310344829</v>
      </c>
      <c r="I66" s="16">
        <f t="shared" si="9"/>
        <v>3348.4500000000003</v>
      </c>
      <c r="J66" s="16">
        <f t="shared" si="10"/>
        <v>3348.4500000000003</v>
      </c>
      <c r="K66" s="16">
        <f t="shared" si="11"/>
        <v>83000.790000000008</v>
      </c>
      <c r="L66" s="16">
        <f t="shared" si="12"/>
        <v>2905.0276500000004</v>
      </c>
      <c r="M66" s="9">
        <v>120653.68</v>
      </c>
      <c r="N66" s="9">
        <v>122241.38</v>
      </c>
      <c r="O66" s="9">
        <f t="shared" si="6"/>
        <v>1587.7000000000116</v>
      </c>
    </row>
    <row r="67" spans="1:15">
      <c r="A67" s="5" t="s">
        <v>372</v>
      </c>
      <c r="B67" t="s">
        <v>11</v>
      </c>
      <c r="C67" s="3">
        <v>42627</v>
      </c>
      <c r="D67" s="16">
        <v>116800</v>
      </c>
      <c r="F67" s="16">
        <v>23593.040000000001</v>
      </c>
      <c r="G67" s="16">
        <f t="shared" si="7"/>
        <v>0</v>
      </c>
      <c r="H67" s="16">
        <f t="shared" si="8"/>
        <v>2644.047586206897</v>
      </c>
      <c r="I67" s="16">
        <f t="shared" si="9"/>
        <v>4088.0000000000005</v>
      </c>
      <c r="J67" s="16">
        <f t="shared" si="10"/>
        <v>4088.0000000000005</v>
      </c>
      <c r="K67" s="16">
        <f t="shared" si="11"/>
        <v>89118.959999999992</v>
      </c>
      <c r="L67" s="16">
        <f t="shared" si="12"/>
        <v>3119.1635999999999</v>
      </c>
      <c r="M67" s="9">
        <v>121178.02</v>
      </c>
      <c r="N67" s="9">
        <v>122241.38</v>
      </c>
      <c r="O67" s="9">
        <f t="shared" si="6"/>
        <v>1063.3600000000006</v>
      </c>
    </row>
    <row r="68" spans="1:15">
      <c r="A68" s="5" t="s">
        <v>373</v>
      </c>
      <c r="B68" t="s">
        <v>11</v>
      </c>
      <c r="C68" s="3">
        <v>42627</v>
      </c>
      <c r="D68" s="16">
        <v>82320</v>
      </c>
      <c r="F68" s="16">
        <v>8538.17</v>
      </c>
      <c r="G68" s="16">
        <f t="shared" si="7"/>
        <v>0</v>
      </c>
      <c r="H68" s="16">
        <f t="shared" si="8"/>
        <v>956.86387931034494</v>
      </c>
      <c r="I68" s="16">
        <f t="shared" si="9"/>
        <v>2881.2000000000003</v>
      </c>
      <c r="J68" s="16">
        <f t="shared" si="10"/>
        <v>2881.2000000000003</v>
      </c>
      <c r="K68" s="16">
        <f t="shared" si="11"/>
        <v>70900.63</v>
      </c>
      <c r="L68" s="16">
        <f t="shared" si="12"/>
        <v>2481.5220500000005</v>
      </c>
      <c r="M68" s="9">
        <v>108486.98</v>
      </c>
      <c r="N68" s="9">
        <v>109224.14</v>
      </c>
      <c r="O68" s="9">
        <f t="shared" si="6"/>
        <v>737.16000000000349</v>
      </c>
    </row>
    <row r="69" spans="1:15">
      <c r="A69" s="5" t="s">
        <v>374</v>
      </c>
      <c r="B69" t="s">
        <v>17</v>
      </c>
      <c r="C69" s="3">
        <v>42627</v>
      </c>
      <c r="D69" s="16">
        <v>153100</v>
      </c>
      <c r="E69">
        <v>17800</v>
      </c>
      <c r="F69" s="16">
        <v>23686.720000000001</v>
      </c>
      <c r="G69" s="16">
        <f t="shared" si="7"/>
        <v>7672.4137931034484</v>
      </c>
      <c r="H69" s="16">
        <f t="shared" si="8"/>
        <v>2654.5462068965521</v>
      </c>
      <c r="I69" s="16">
        <f t="shared" si="9"/>
        <v>5358.5000000000009</v>
      </c>
      <c r="J69" s="16">
        <f t="shared" si="10"/>
        <v>13030.913793103449</v>
      </c>
      <c r="K69" s="16">
        <f t="shared" si="11"/>
        <v>141854.78</v>
      </c>
      <c r="L69" s="16">
        <f t="shared" si="12"/>
        <v>4964.9173000000001</v>
      </c>
      <c r="M69" s="9">
        <v>174630.37</v>
      </c>
      <c r="N69" s="9">
        <v>175086.21</v>
      </c>
      <c r="O69" s="9">
        <f t="shared" si="6"/>
        <v>455.83999999999651</v>
      </c>
    </row>
    <row r="70" spans="1:15">
      <c r="A70" s="5" t="s">
        <v>375</v>
      </c>
      <c r="B70" t="s">
        <v>11</v>
      </c>
      <c r="C70" s="3">
        <v>42627</v>
      </c>
      <c r="D70" s="16">
        <v>102407.72</v>
      </c>
      <c r="E70">
        <v>8500</v>
      </c>
      <c r="F70" s="16">
        <v>16967</v>
      </c>
      <c r="G70" s="16">
        <f t="shared" si="7"/>
        <v>3663.7931034482763</v>
      </c>
      <c r="H70" s="16">
        <f t="shared" si="8"/>
        <v>1901.4741379310349</v>
      </c>
      <c r="I70" s="16">
        <f t="shared" si="9"/>
        <v>3584.2702000000004</v>
      </c>
      <c r="J70" s="16">
        <f t="shared" si="10"/>
        <v>7248.0633034482762</v>
      </c>
      <c r="K70" s="16">
        <f t="shared" si="11"/>
        <v>90356.449800000002</v>
      </c>
      <c r="L70" s="16">
        <f t="shared" si="12"/>
        <v>3162.4757430000004</v>
      </c>
      <c r="M70" s="9">
        <v>109597.33</v>
      </c>
      <c r="N70" s="9">
        <v>109224.14</v>
      </c>
      <c r="O70" s="9">
        <f t="shared" si="6"/>
        <v>-373.19000000000233</v>
      </c>
    </row>
    <row r="71" spans="1:15">
      <c r="A71" s="5" t="s">
        <v>376</v>
      </c>
      <c r="B71" t="s">
        <v>52</v>
      </c>
      <c r="C71" s="3">
        <v>42626</v>
      </c>
      <c r="D71" s="16">
        <v>187200</v>
      </c>
      <c r="E71">
        <v>8400</v>
      </c>
      <c r="F71" s="16">
        <v>39795.94</v>
      </c>
      <c r="G71" s="16">
        <f t="shared" si="7"/>
        <v>3620.6896551724139</v>
      </c>
      <c r="H71" s="16">
        <f t="shared" si="8"/>
        <v>4459.8898275862075</v>
      </c>
      <c r="I71" s="16">
        <f t="shared" si="9"/>
        <v>6552.0000000000009</v>
      </c>
      <c r="J71" s="16">
        <f t="shared" si="10"/>
        <v>10172.689655172415</v>
      </c>
      <c r="K71" s="16">
        <f t="shared" si="11"/>
        <v>149252.06</v>
      </c>
      <c r="L71" s="16">
        <f t="shared" si="12"/>
        <v>5223.8221000000003</v>
      </c>
      <c r="M71" s="9">
        <v>223253.72</v>
      </c>
      <c r="N71" s="9">
        <f>265200/1.16</f>
        <v>228620.68965517243</v>
      </c>
      <c r="O71" s="9">
        <f t="shared" si="6"/>
        <v>5366.9696551724337</v>
      </c>
    </row>
    <row r="72" spans="1:15">
      <c r="A72" s="5" t="s">
        <v>377</v>
      </c>
      <c r="B72" t="s">
        <v>17</v>
      </c>
      <c r="C72" s="3">
        <v>42627</v>
      </c>
      <c r="D72" s="16">
        <v>170952.17</v>
      </c>
      <c r="E72">
        <v>8500</v>
      </c>
      <c r="F72" s="16">
        <v>18374.5</v>
      </c>
      <c r="G72" s="16">
        <f t="shared" si="7"/>
        <v>3663.7931034482763</v>
      </c>
      <c r="H72" s="16">
        <f t="shared" si="8"/>
        <v>2059.2112068965521</v>
      </c>
      <c r="I72" s="16">
        <f t="shared" si="9"/>
        <v>5983.3259500000013</v>
      </c>
      <c r="J72" s="16">
        <f t="shared" si="10"/>
        <v>9647.1190534482776</v>
      </c>
      <c r="K72" s="16">
        <f t="shared" si="11"/>
        <v>155094.34405000001</v>
      </c>
      <c r="L72" s="16">
        <f t="shared" si="12"/>
        <v>5428.3020417500011</v>
      </c>
      <c r="M72" s="9">
        <v>175086.21</v>
      </c>
      <c r="N72" s="9">
        <v>175086.21</v>
      </c>
      <c r="O72" s="9">
        <f t="shared" si="6"/>
        <v>0</v>
      </c>
    </row>
    <row r="73" spans="1:15">
      <c r="A73" s="5" t="s">
        <v>378</v>
      </c>
      <c r="B73" t="s">
        <v>11</v>
      </c>
      <c r="C73" s="3">
        <v>42628</v>
      </c>
      <c r="D73" s="16">
        <v>129760</v>
      </c>
      <c r="F73" s="16">
        <v>12788.5</v>
      </c>
      <c r="G73" s="16">
        <f t="shared" ref="G73:G104" si="13">(E73/1.16)*0.5</f>
        <v>0</v>
      </c>
      <c r="H73" s="16">
        <f t="shared" ref="H73:H104" si="14">(F73/1.16)*0.13</f>
        <v>1433.1939655172416</v>
      </c>
      <c r="I73" s="16">
        <f t="shared" ref="I73:I104" si="15">D73*3.5%</f>
        <v>4541.6000000000004</v>
      </c>
      <c r="J73" s="16">
        <f t="shared" ref="J73:J104" si="16">+G73+I73</f>
        <v>4541.6000000000004</v>
      </c>
      <c r="K73" s="16">
        <f t="shared" ref="K73:K104" si="17">SUM(+D73+E73-F73-I73)</f>
        <v>112429.9</v>
      </c>
      <c r="L73" s="16">
        <f t="shared" ref="L73:L104" si="18">K73*$L$8</f>
        <v>3935.0465000000004</v>
      </c>
      <c r="M73" s="9">
        <v>142365.78</v>
      </c>
      <c r="N73" s="9">
        <v>139827.59</v>
      </c>
      <c r="O73" s="9">
        <f t="shared" si="6"/>
        <v>-2538.1900000000023</v>
      </c>
    </row>
    <row r="74" spans="1:15">
      <c r="A74" s="5" t="s">
        <v>379</v>
      </c>
      <c r="B74" t="s">
        <v>11</v>
      </c>
      <c r="C74" s="3">
        <v>42627</v>
      </c>
      <c r="D74" s="16">
        <v>155910</v>
      </c>
      <c r="E74">
        <v>10400</v>
      </c>
      <c r="F74" s="16">
        <v>25983.56</v>
      </c>
      <c r="G74" s="16">
        <f t="shared" si="13"/>
        <v>4482.7586206896558</v>
      </c>
      <c r="H74" s="16">
        <f t="shared" si="14"/>
        <v>2911.9506896551725</v>
      </c>
      <c r="I74" s="16">
        <f t="shared" si="15"/>
        <v>5456.85</v>
      </c>
      <c r="J74" s="16">
        <f t="shared" si="16"/>
        <v>9939.6086206896562</v>
      </c>
      <c r="K74" s="16">
        <f t="shared" si="17"/>
        <v>134869.59</v>
      </c>
      <c r="L74" s="16">
        <f t="shared" si="18"/>
        <v>4720.4356500000004</v>
      </c>
      <c r="M74" s="9">
        <v>134031.94</v>
      </c>
      <c r="N74" s="9">
        <v>146465.51999999999</v>
      </c>
      <c r="O74" s="9">
        <f t="shared" ref="O74:O137" si="19">N74-M74</f>
        <v>12433.579999999987</v>
      </c>
    </row>
    <row r="75" spans="1:15">
      <c r="A75" s="5" t="s">
        <v>380</v>
      </c>
      <c r="B75" t="s">
        <v>17</v>
      </c>
      <c r="C75" s="3">
        <v>42628</v>
      </c>
      <c r="D75" s="16">
        <v>197820</v>
      </c>
      <c r="E75">
        <v>10700</v>
      </c>
      <c r="F75" s="16">
        <v>19109.87</v>
      </c>
      <c r="G75" s="16">
        <f t="shared" si="13"/>
        <v>4612.0689655172418</v>
      </c>
      <c r="H75" s="16">
        <f t="shared" si="14"/>
        <v>2141.6233620689659</v>
      </c>
      <c r="I75" s="16">
        <f t="shared" si="15"/>
        <v>6923.7000000000007</v>
      </c>
      <c r="J75" s="16">
        <f t="shared" si="16"/>
        <v>11535.768965517243</v>
      </c>
      <c r="K75" s="16">
        <f t="shared" si="17"/>
        <v>182486.43</v>
      </c>
      <c r="L75" s="16">
        <f t="shared" si="18"/>
        <v>6387.0250500000002</v>
      </c>
      <c r="M75" s="9">
        <v>189619.7</v>
      </c>
      <c r="N75" s="9">
        <v>189482.76</v>
      </c>
      <c r="O75" s="9">
        <f t="shared" si="19"/>
        <v>-136.94000000000233</v>
      </c>
    </row>
    <row r="76" spans="1:15">
      <c r="A76" s="5" t="s">
        <v>381</v>
      </c>
      <c r="B76" t="s">
        <v>17</v>
      </c>
      <c r="C76" s="3">
        <v>42628</v>
      </c>
      <c r="D76" s="16">
        <v>213930</v>
      </c>
      <c r="E76" s="16">
        <v>18500</v>
      </c>
      <c r="F76">
        <v>26307.52</v>
      </c>
      <c r="G76" s="16">
        <f t="shared" si="13"/>
        <v>7974.1379310344837</v>
      </c>
      <c r="H76" s="16">
        <f t="shared" si="14"/>
        <v>2948.2565517241383</v>
      </c>
      <c r="I76" s="16">
        <f t="shared" si="15"/>
        <v>7487.5500000000011</v>
      </c>
      <c r="J76" s="16">
        <f t="shared" si="16"/>
        <v>15461.687931034485</v>
      </c>
      <c r="K76" s="16">
        <f t="shared" si="17"/>
        <v>198634.93000000002</v>
      </c>
      <c r="L76" s="16">
        <f t="shared" si="18"/>
        <v>6952.2225500000013</v>
      </c>
      <c r="M76" s="9">
        <v>201198.75</v>
      </c>
      <c r="N76" s="9">
        <v>204913.79</v>
      </c>
      <c r="O76" s="9">
        <f t="shared" si="19"/>
        <v>3715.0400000000081</v>
      </c>
    </row>
    <row r="77" spans="1:15">
      <c r="A77" s="5" t="s">
        <v>382</v>
      </c>
      <c r="B77" t="s">
        <v>11</v>
      </c>
      <c r="C77" s="3">
        <v>42628</v>
      </c>
      <c r="D77" s="16">
        <v>95025</v>
      </c>
      <c r="E77">
        <v>12500</v>
      </c>
      <c r="F77" s="16">
        <v>22468</v>
      </c>
      <c r="G77" s="16">
        <f t="shared" si="13"/>
        <v>5387.9310344827591</v>
      </c>
      <c r="H77" s="16">
        <f t="shared" si="14"/>
        <v>2517.9655172413795</v>
      </c>
      <c r="I77" s="16">
        <f t="shared" si="15"/>
        <v>3325.8750000000005</v>
      </c>
      <c r="J77" s="16">
        <f t="shared" si="16"/>
        <v>8713.8060344827591</v>
      </c>
      <c r="K77" s="16">
        <f t="shared" si="17"/>
        <v>81731.125</v>
      </c>
      <c r="L77" s="16">
        <f t="shared" si="18"/>
        <v>2860.5893750000005</v>
      </c>
      <c r="M77" s="9">
        <v>109282.7</v>
      </c>
      <c r="N77" s="9">
        <v>109224.14</v>
      </c>
      <c r="O77" s="9">
        <f t="shared" si="19"/>
        <v>-58.559999999997672</v>
      </c>
    </row>
    <row r="78" spans="1:15">
      <c r="A78" s="5" t="s">
        <v>383</v>
      </c>
      <c r="B78" t="s">
        <v>11</v>
      </c>
      <c r="C78" s="3">
        <v>42628</v>
      </c>
      <c r="D78" s="16">
        <v>82355</v>
      </c>
      <c r="F78" s="16">
        <v>5965</v>
      </c>
      <c r="G78" s="16">
        <f t="shared" si="13"/>
        <v>0</v>
      </c>
      <c r="H78" s="16">
        <f t="shared" si="14"/>
        <v>668.49137931034488</v>
      </c>
      <c r="I78" s="16">
        <f t="shared" si="15"/>
        <v>2882.4250000000002</v>
      </c>
      <c r="J78" s="16">
        <f t="shared" si="16"/>
        <v>2882.4250000000002</v>
      </c>
      <c r="K78" s="16">
        <f t="shared" si="17"/>
        <v>73507.574999999997</v>
      </c>
      <c r="L78" s="16">
        <f t="shared" si="18"/>
        <v>2572.7651250000004</v>
      </c>
      <c r="M78" s="9">
        <v>108486.98</v>
      </c>
      <c r="N78" s="9">
        <v>109224.14</v>
      </c>
      <c r="O78" s="9">
        <f t="shared" si="19"/>
        <v>737.16000000000349</v>
      </c>
    </row>
    <row r="79" spans="1:15">
      <c r="A79" s="5" t="s">
        <v>384</v>
      </c>
      <c r="B79" t="s">
        <v>17</v>
      </c>
      <c r="C79" s="3">
        <v>42632</v>
      </c>
      <c r="D79" s="16">
        <v>166600</v>
      </c>
      <c r="E79">
        <v>8000</v>
      </c>
      <c r="F79" s="16">
        <v>24284.09</v>
      </c>
      <c r="G79" s="16">
        <f t="shared" si="13"/>
        <v>3448.2758620689656</v>
      </c>
      <c r="H79" s="16">
        <f t="shared" si="14"/>
        <v>2721.4928448275864</v>
      </c>
      <c r="I79" s="16">
        <f t="shared" si="15"/>
        <v>5831.0000000000009</v>
      </c>
      <c r="J79" s="16">
        <f t="shared" si="16"/>
        <v>9279.2758620689674</v>
      </c>
      <c r="K79" s="16">
        <f t="shared" si="17"/>
        <v>144484.91</v>
      </c>
      <c r="L79" s="16">
        <f t="shared" si="18"/>
        <v>5056.9718500000008</v>
      </c>
      <c r="M79" s="9">
        <v>175860.51</v>
      </c>
      <c r="N79" s="9">
        <v>175086.21</v>
      </c>
      <c r="O79" s="9">
        <f t="shared" si="19"/>
        <v>-774.30000000001746</v>
      </c>
    </row>
    <row r="80" spans="1:15">
      <c r="A80" s="5" t="s">
        <v>385</v>
      </c>
      <c r="B80" t="s">
        <v>386</v>
      </c>
      <c r="C80" s="3">
        <v>42632</v>
      </c>
      <c r="D80" s="16">
        <v>103686.25</v>
      </c>
      <c r="F80" s="16">
        <v>22599</v>
      </c>
      <c r="G80" s="16">
        <f t="shared" si="13"/>
        <v>0</v>
      </c>
      <c r="H80" s="16">
        <f t="shared" si="14"/>
        <v>2532.6465517241381</v>
      </c>
      <c r="I80" s="16">
        <f t="shared" si="15"/>
        <v>3629.0187500000002</v>
      </c>
      <c r="J80" s="16">
        <f t="shared" si="16"/>
        <v>3629.0187500000002</v>
      </c>
      <c r="K80" s="16">
        <f t="shared" si="17"/>
        <v>77458.231249999997</v>
      </c>
      <c r="L80" s="16">
        <f t="shared" si="18"/>
        <v>2711.0380937500004</v>
      </c>
      <c r="M80" s="9">
        <v>122000</v>
      </c>
      <c r="N80" s="9">
        <v>118275.86</v>
      </c>
      <c r="O80" s="9">
        <f t="shared" si="19"/>
        <v>-3724.1399999999994</v>
      </c>
    </row>
    <row r="81" spans="1:15">
      <c r="A81" s="5" t="s">
        <v>387</v>
      </c>
      <c r="B81" t="s">
        <v>17</v>
      </c>
      <c r="C81" s="3">
        <v>42632</v>
      </c>
      <c r="D81" s="16">
        <v>103100.69</v>
      </c>
      <c r="F81" s="16">
        <v>9172.52</v>
      </c>
      <c r="G81" s="16">
        <f t="shared" si="13"/>
        <v>0</v>
      </c>
      <c r="H81" s="16">
        <f t="shared" si="14"/>
        <v>1027.9548275862071</v>
      </c>
      <c r="I81" s="16">
        <f t="shared" si="15"/>
        <v>3608.5241500000006</v>
      </c>
      <c r="J81" s="16">
        <f t="shared" si="16"/>
        <v>3608.5241500000006</v>
      </c>
      <c r="K81" s="16">
        <f t="shared" si="17"/>
        <v>90319.645850000001</v>
      </c>
      <c r="L81" s="16">
        <f t="shared" si="18"/>
        <v>3161.1876047500004</v>
      </c>
      <c r="M81" s="9">
        <v>176375.15</v>
      </c>
      <c r="N81" s="9">
        <v>175086.21</v>
      </c>
      <c r="O81" s="9">
        <f t="shared" si="19"/>
        <v>-1288.9400000000023</v>
      </c>
    </row>
    <row r="82" spans="1:15">
      <c r="A82" s="5" t="s">
        <v>388</v>
      </c>
      <c r="B82" t="s">
        <v>17</v>
      </c>
      <c r="C82" s="3">
        <v>42632</v>
      </c>
      <c r="D82" s="16">
        <v>140500</v>
      </c>
      <c r="F82" s="16">
        <v>25470.27</v>
      </c>
      <c r="G82" s="16">
        <f t="shared" si="13"/>
        <v>0</v>
      </c>
      <c r="H82" s="16">
        <f t="shared" si="14"/>
        <v>2854.426810344828</v>
      </c>
      <c r="I82" s="16">
        <f t="shared" si="15"/>
        <v>4917.5000000000009</v>
      </c>
      <c r="J82" s="16">
        <f t="shared" si="16"/>
        <v>4917.5000000000009</v>
      </c>
      <c r="K82" s="16">
        <f t="shared" si="17"/>
        <v>110112.23</v>
      </c>
      <c r="L82" s="16">
        <f t="shared" si="18"/>
        <v>3853.9280500000004</v>
      </c>
      <c r="M82" s="9">
        <v>161940.97</v>
      </c>
      <c r="N82" s="9">
        <v>157672.41</v>
      </c>
      <c r="O82" s="9">
        <f t="shared" si="19"/>
        <v>-4268.5599999999977</v>
      </c>
    </row>
    <row r="83" spans="1:15">
      <c r="A83" s="5" t="s">
        <v>389</v>
      </c>
      <c r="B83" t="s">
        <v>22</v>
      </c>
      <c r="C83" s="3">
        <v>42632</v>
      </c>
      <c r="D83" s="16">
        <v>118300</v>
      </c>
      <c r="F83" s="16">
        <v>5449.99</v>
      </c>
      <c r="G83" s="16">
        <f t="shared" si="13"/>
        <v>0</v>
      </c>
      <c r="H83" s="16">
        <f t="shared" si="14"/>
        <v>610.7747413793104</v>
      </c>
      <c r="I83" s="16">
        <f t="shared" si="15"/>
        <v>4140.5</v>
      </c>
      <c r="J83" s="16">
        <f t="shared" si="16"/>
        <v>4140.5</v>
      </c>
      <c r="K83" s="16">
        <f t="shared" si="17"/>
        <v>108709.51</v>
      </c>
      <c r="L83" s="16">
        <f t="shared" si="18"/>
        <v>3804.8328500000002</v>
      </c>
      <c r="M83" s="9">
        <v>227240.03</v>
      </c>
      <c r="N83" s="9">
        <f>252300/1.16</f>
        <v>217500.00000000003</v>
      </c>
      <c r="O83" s="9">
        <f t="shared" si="19"/>
        <v>-9740.0299999999697</v>
      </c>
    </row>
    <row r="84" spans="1:15">
      <c r="A84" s="5" t="s">
        <v>390</v>
      </c>
      <c r="B84" t="s">
        <v>52</v>
      </c>
      <c r="C84" s="3">
        <v>42632</v>
      </c>
      <c r="D84" s="16">
        <v>165200</v>
      </c>
      <c r="E84">
        <v>13000</v>
      </c>
      <c r="F84" s="16">
        <v>10218.52</v>
      </c>
      <c r="G84" s="16">
        <f t="shared" si="13"/>
        <v>5603.4482758620697</v>
      </c>
      <c r="H84" s="16">
        <f t="shared" si="14"/>
        <v>1145.1789655172415</v>
      </c>
      <c r="I84" s="16">
        <f t="shared" si="15"/>
        <v>5782.0000000000009</v>
      </c>
      <c r="J84" s="16">
        <f t="shared" si="16"/>
        <v>11385.448275862071</v>
      </c>
      <c r="K84" s="16">
        <f t="shared" si="17"/>
        <v>162199.48000000001</v>
      </c>
      <c r="L84" s="16">
        <f t="shared" si="18"/>
        <v>5676.9818000000005</v>
      </c>
      <c r="M84" s="9">
        <v>222598.65</v>
      </c>
      <c r="N84" s="9">
        <v>228620.68</v>
      </c>
      <c r="O84" s="9">
        <f t="shared" si="19"/>
        <v>6022.0299999999988</v>
      </c>
    </row>
    <row r="85" spans="1:15">
      <c r="A85" s="5" t="s">
        <v>391</v>
      </c>
      <c r="B85" t="s">
        <v>52</v>
      </c>
      <c r="C85" s="3">
        <v>42632</v>
      </c>
      <c r="D85" s="16">
        <v>237600</v>
      </c>
      <c r="E85">
        <v>15300</v>
      </c>
      <c r="F85" s="16">
        <v>41820.67</v>
      </c>
      <c r="G85" s="16">
        <f t="shared" si="13"/>
        <v>6594.8275862068967</v>
      </c>
      <c r="H85" s="16">
        <f t="shared" si="14"/>
        <v>4686.7992241379316</v>
      </c>
      <c r="I85" s="16">
        <f t="shared" si="15"/>
        <v>8316</v>
      </c>
      <c r="J85" s="16">
        <f t="shared" si="16"/>
        <v>14910.827586206897</v>
      </c>
      <c r="K85" s="16">
        <f t="shared" si="17"/>
        <v>202763.33000000002</v>
      </c>
      <c r="L85" s="16">
        <f t="shared" si="18"/>
        <v>7096.716550000001</v>
      </c>
      <c r="M85" s="9">
        <v>232241.46</v>
      </c>
      <c r="N85" s="9">
        <f>277600/1.16</f>
        <v>239310.34482758623</v>
      </c>
      <c r="O85" s="9">
        <f t="shared" si="19"/>
        <v>7068.8848275862401</v>
      </c>
    </row>
    <row r="86" spans="1:15">
      <c r="A86" s="5" t="s">
        <v>392</v>
      </c>
      <c r="B86" t="s">
        <v>13</v>
      </c>
      <c r="C86" s="3">
        <v>42632</v>
      </c>
      <c r="D86" s="16">
        <v>153450</v>
      </c>
      <c r="E86">
        <v>15100</v>
      </c>
      <c r="F86" s="16">
        <v>17813.240000000002</v>
      </c>
      <c r="G86" s="16">
        <f t="shared" si="13"/>
        <v>6508.620689655173</v>
      </c>
      <c r="H86" s="16">
        <f t="shared" si="14"/>
        <v>1996.3113793103453</v>
      </c>
      <c r="I86" s="16">
        <f t="shared" si="15"/>
        <v>5370.7500000000009</v>
      </c>
      <c r="J86" s="16">
        <f t="shared" si="16"/>
        <v>11879.370689655174</v>
      </c>
      <c r="K86" s="16">
        <f t="shared" si="17"/>
        <v>145366.01</v>
      </c>
      <c r="L86" s="16">
        <f t="shared" si="18"/>
        <v>5087.8103500000007</v>
      </c>
      <c r="M86" s="9">
        <v>141147.85999999999</v>
      </c>
      <c r="N86" s="9">
        <v>146982.76</v>
      </c>
      <c r="O86" s="9">
        <f t="shared" si="19"/>
        <v>5834.9000000000233</v>
      </c>
    </row>
    <row r="87" spans="1:15">
      <c r="A87" s="5" t="s">
        <v>393</v>
      </c>
      <c r="B87" t="s">
        <v>13</v>
      </c>
      <c r="C87" s="3">
        <v>42632</v>
      </c>
      <c r="D87" s="16">
        <v>153450</v>
      </c>
      <c r="F87" s="16">
        <v>18784.599999999999</v>
      </c>
      <c r="G87" s="16">
        <f t="shared" si="13"/>
        <v>0</v>
      </c>
      <c r="H87" s="16">
        <f t="shared" si="14"/>
        <v>2105.1706896551723</v>
      </c>
      <c r="I87" s="16">
        <f t="shared" si="15"/>
        <v>5370.7500000000009</v>
      </c>
      <c r="J87" s="16">
        <f t="shared" si="16"/>
        <v>5370.7500000000009</v>
      </c>
      <c r="K87" s="16">
        <f t="shared" si="17"/>
        <v>129294.65</v>
      </c>
      <c r="L87" s="16">
        <f t="shared" si="18"/>
        <v>4525.3127500000001</v>
      </c>
      <c r="M87" s="9">
        <v>150679.16</v>
      </c>
      <c r="N87" s="9">
        <v>146982.76</v>
      </c>
      <c r="O87" s="9">
        <f t="shared" si="19"/>
        <v>-3696.3999999999942</v>
      </c>
    </row>
    <row r="88" spans="1:15">
      <c r="A88" s="5" t="s">
        <v>394</v>
      </c>
      <c r="B88" t="s">
        <v>17</v>
      </c>
      <c r="C88" s="3">
        <v>42633</v>
      </c>
      <c r="D88" s="16">
        <v>131100</v>
      </c>
      <c r="E88">
        <v>11000</v>
      </c>
      <c r="F88" s="16">
        <v>18521.09</v>
      </c>
      <c r="G88" s="16">
        <f t="shared" si="13"/>
        <v>4741.3793103448279</v>
      </c>
      <c r="H88" s="16">
        <f t="shared" si="14"/>
        <v>2075.6393965517241</v>
      </c>
      <c r="I88" s="16">
        <f t="shared" si="15"/>
        <v>4588.5</v>
      </c>
      <c r="J88" s="16">
        <f t="shared" si="16"/>
        <v>9329.8793103448279</v>
      </c>
      <c r="K88" s="16">
        <f t="shared" si="17"/>
        <v>118990.41</v>
      </c>
      <c r="L88" s="16">
        <f t="shared" si="18"/>
        <v>4164.6643500000009</v>
      </c>
      <c r="M88" s="9">
        <v>176375.15</v>
      </c>
      <c r="N88" s="9">
        <v>175086.21</v>
      </c>
      <c r="O88" s="9">
        <f t="shared" si="19"/>
        <v>-1288.9400000000023</v>
      </c>
    </row>
    <row r="89" spans="1:15">
      <c r="A89" s="5" t="s">
        <v>395</v>
      </c>
      <c r="B89" t="s">
        <v>22</v>
      </c>
      <c r="C89" s="3">
        <v>42633</v>
      </c>
      <c r="D89" s="16">
        <v>158723.54</v>
      </c>
      <c r="F89" s="16">
        <v>5500.72</v>
      </c>
      <c r="G89" s="16">
        <f t="shared" si="13"/>
        <v>0</v>
      </c>
      <c r="H89" s="16">
        <f t="shared" si="14"/>
        <v>616.46000000000015</v>
      </c>
      <c r="I89" s="16">
        <f t="shared" si="15"/>
        <v>5555.3239000000012</v>
      </c>
      <c r="J89" s="16">
        <f t="shared" si="16"/>
        <v>5555.3239000000012</v>
      </c>
      <c r="K89" s="16">
        <f t="shared" si="17"/>
        <v>147667.49610000002</v>
      </c>
      <c r="L89" s="16">
        <f t="shared" si="18"/>
        <v>5168.3623635000013</v>
      </c>
      <c r="M89" s="9">
        <v>224996.19</v>
      </c>
      <c r="N89" s="9">
        <v>221896.55</v>
      </c>
      <c r="O89" s="9">
        <f t="shared" si="19"/>
        <v>-3099.640000000014</v>
      </c>
    </row>
    <row r="90" spans="1:15">
      <c r="A90" s="5" t="s">
        <v>396</v>
      </c>
      <c r="B90" t="s">
        <v>17</v>
      </c>
      <c r="C90" s="3">
        <v>42632</v>
      </c>
      <c r="D90" s="16">
        <v>192750</v>
      </c>
      <c r="E90">
        <v>8500</v>
      </c>
      <c r="F90" s="16">
        <v>24806.22</v>
      </c>
      <c r="G90" s="16">
        <f t="shared" si="13"/>
        <v>3663.7931034482763</v>
      </c>
      <c r="H90" s="16">
        <f t="shared" si="14"/>
        <v>2780.0074137931038</v>
      </c>
      <c r="I90" s="16">
        <f t="shared" si="15"/>
        <v>6746.2500000000009</v>
      </c>
      <c r="J90" s="16">
        <f t="shared" si="16"/>
        <v>10410.043103448277</v>
      </c>
      <c r="K90" s="16">
        <f t="shared" si="17"/>
        <v>169697.53</v>
      </c>
      <c r="L90" s="16">
        <f t="shared" si="18"/>
        <v>5939.4135500000002</v>
      </c>
      <c r="M90" s="9">
        <v>183055.98</v>
      </c>
      <c r="N90" s="9">
        <v>184913.79</v>
      </c>
      <c r="O90" s="9">
        <f t="shared" si="19"/>
        <v>1857.8099999999977</v>
      </c>
    </row>
    <row r="91" spans="1:15">
      <c r="A91" s="5" t="s">
        <v>397</v>
      </c>
      <c r="B91" t="s">
        <v>13</v>
      </c>
      <c r="C91" s="3">
        <v>42633</v>
      </c>
      <c r="D91" s="16">
        <v>123900</v>
      </c>
      <c r="F91" s="16">
        <v>18952.03</v>
      </c>
      <c r="G91" s="16">
        <f t="shared" si="13"/>
        <v>0</v>
      </c>
      <c r="H91" s="16">
        <f t="shared" si="14"/>
        <v>2123.9343965517241</v>
      </c>
      <c r="I91" s="16">
        <f t="shared" si="15"/>
        <v>4336.5</v>
      </c>
      <c r="J91" s="16">
        <f t="shared" si="16"/>
        <v>4336.5</v>
      </c>
      <c r="K91" s="16">
        <f t="shared" si="17"/>
        <v>100611.47</v>
      </c>
      <c r="L91" s="16">
        <f t="shared" si="18"/>
        <v>3521.4014500000003</v>
      </c>
      <c r="M91" s="9">
        <v>132842.28</v>
      </c>
      <c r="N91" s="9">
        <v>129655.17</v>
      </c>
      <c r="O91" s="9">
        <f t="shared" si="19"/>
        <v>-3187.1100000000006</v>
      </c>
    </row>
    <row r="92" spans="1:15">
      <c r="A92" s="5" t="s">
        <v>398</v>
      </c>
      <c r="B92" t="s">
        <v>17</v>
      </c>
      <c r="C92" s="3">
        <v>42634</v>
      </c>
      <c r="D92" s="16">
        <v>182790</v>
      </c>
      <c r="E92">
        <v>15000</v>
      </c>
      <c r="F92" s="16">
        <v>23686.720000000001</v>
      </c>
      <c r="G92" s="16">
        <f t="shared" si="13"/>
        <v>6465.5172413793107</v>
      </c>
      <c r="H92" s="16">
        <f t="shared" si="14"/>
        <v>2654.5462068965521</v>
      </c>
      <c r="I92" s="16">
        <f t="shared" si="15"/>
        <v>6397.6500000000005</v>
      </c>
      <c r="J92" s="16">
        <f t="shared" si="16"/>
        <v>12863.167241379311</v>
      </c>
      <c r="K92" s="16">
        <f t="shared" si="17"/>
        <v>167705.63</v>
      </c>
      <c r="L92" s="16">
        <f t="shared" si="18"/>
        <v>5869.6970500000007</v>
      </c>
      <c r="M92" s="9">
        <v>176375.15</v>
      </c>
      <c r="N92" s="9">
        <v>175086.21</v>
      </c>
      <c r="O92" s="9">
        <f t="shared" si="19"/>
        <v>-1288.9400000000023</v>
      </c>
    </row>
    <row r="93" spans="1:15">
      <c r="A93" s="5" t="s">
        <v>399</v>
      </c>
      <c r="B93" t="s">
        <v>17</v>
      </c>
      <c r="C93" s="3">
        <v>42634</v>
      </c>
      <c r="D93" s="16">
        <v>182790</v>
      </c>
      <c r="E93">
        <v>13500</v>
      </c>
      <c r="F93" s="16">
        <v>23686.720000000001</v>
      </c>
      <c r="G93" s="16">
        <f t="shared" si="13"/>
        <v>5818.9655172413795</v>
      </c>
      <c r="H93" s="16">
        <f t="shared" si="14"/>
        <v>2654.5462068965521</v>
      </c>
      <c r="I93" s="16">
        <f t="shared" si="15"/>
        <v>6397.6500000000005</v>
      </c>
      <c r="J93" s="16">
        <f t="shared" si="16"/>
        <v>12216.61551724138</v>
      </c>
      <c r="K93" s="16">
        <f t="shared" si="17"/>
        <v>166205.63</v>
      </c>
      <c r="L93" s="16">
        <f t="shared" si="18"/>
        <v>5817.1970500000007</v>
      </c>
      <c r="M93" s="9">
        <v>176375.15</v>
      </c>
      <c r="N93" s="9">
        <v>175086.21</v>
      </c>
      <c r="O93" s="9">
        <f t="shared" si="19"/>
        <v>-1288.9400000000023</v>
      </c>
    </row>
    <row r="94" spans="1:15">
      <c r="A94" s="5" t="s">
        <v>400</v>
      </c>
      <c r="B94" t="s">
        <v>17</v>
      </c>
      <c r="C94" s="3">
        <v>42634</v>
      </c>
      <c r="D94" s="16">
        <v>139600</v>
      </c>
      <c r="E94">
        <v>7500</v>
      </c>
      <c r="F94" s="16">
        <v>23942.74</v>
      </c>
      <c r="G94" s="16">
        <f t="shared" si="13"/>
        <v>3232.7586206896553</v>
      </c>
      <c r="H94" s="16">
        <f t="shared" si="14"/>
        <v>2683.2381034482764</v>
      </c>
      <c r="I94" s="16">
        <f t="shared" si="15"/>
        <v>4886.0000000000009</v>
      </c>
      <c r="J94" s="16">
        <f t="shared" si="16"/>
        <v>8118.7586206896558</v>
      </c>
      <c r="K94" s="16">
        <f t="shared" si="17"/>
        <v>118271.26</v>
      </c>
      <c r="L94" s="16">
        <f t="shared" si="18"/>
        <v>4139.4940999999999</v>
      </c>
      <c r="M94" s="9">
        <v>176375.15</v>
      </c>
      <c r="N94" s="9">
        <v>175086.21</v>
      </c>
      <c r="O94" s="9">
        <f t="shared" si="19"/>
        <v>-1288.9400000000023</v>
      </c>
    </row>
    <row r="95" spans="1:15">
      <c r="A95" s="5" t="s">
        <v>401</v>
      </c>
      <c r="B95" t="s">
        <v>11</v>
      </c>
      <c r="C95" s="3">
        <v>42636</v>
      </c>
      <c r="D95" s="16">
        <v>127620</v>
      </c>
      <c r="F95" s="16">
        <v>23593.040000000001</v>
      </c>
      <c r="G95" s="16">
        <f t="shared" si="13"/>
        <v>0</v>
      </c>
      <c r="H95" s="16">
        <f t="shared" si="14"/>
        <v>2644.047586206897</v>
      </c>
      <c r="I95" s="16">
        <f t="shared" si="15"/>
        <v>4466.7000000000007</v>
      </c>
      <c r="J95" s="16">
        <f t="shared" si="16"/>
        <v>4466.7000000000007</v>
      </c>
      <c r="K95" s="16">
        <f t="shared" si="17"/>
        <v>99560.26</v>
      </c>
      <c r="L95" s="16">
        <f t="shared" si="18"/>
        <v>3484.6091000000001</v>
      </c>
      <c r="M95" s="9">
        <v>120653.67</v>
      </c>
      <c r="N95" s="9">
        <v>122241.38</v>
      </c>
      <c r="O95" s="9">
        <f t="shared" si="19"/>
        <v>1587.7100000000064</v>
      </c>
    </row>
    <row r="96" spans="1:15">
      <c r="A96" s="5" t="s">
        <v>402</v>
      </c>
      <c r="B96" t="s">
        <v>11</v>
      </c>
      <c r="C96" s="3">
        <v>42636</v>
      </c>
      <c r="D96" s="16">
        <v>127620</v>
      </c>
      <c r="E96">
        <v>8500</v>
      </c>
      <c r="F96" s="16">
        <v>23593.040000000001</v>
      </c>
      <c r="G96" s="16">
        <f t="shared" si="13"/>
        <v>3663.7931034482763</v>
      </c>
      <c r="H96" s="16">
        <f t="shared" si="14"/>
        <v>2644.047586206897</v>
      </c>
      <c r="I96" s="16">
        <f t="shared" si="15"/>
        <v>4466.7000000000007</v>
      </c>
      <c r="J96" s="16">
        <f t="shared" si="16"/>
        <v>8130.493103448277</v>
      </c>
      <c r="K96" s="16">
        <f t="shared" si="17"/>
        <v>108060.26</v>
      </c>
      <c r="L96" s="16">
        <f t="shared" si="18"/>
        <v>3782.1091000000001</v>
      </c>
      <c r="M96" s="9">
        <v>120653.68</v>
      </c>
      <c r="N96" s="9">
        <v>122241.38</v>
      </c>
      <c r="O96" s="9">
        <f t="shared" si="19"/>
        <v>1587.7000000000116</v>
      </c>
    </row>
    <row r="97" spans="1:15">
      <c r="A97" s="5" t="s">
        <v>403</v>
      </c>
      <c r="B97" t="s">
        <v>17</v>
      </c>
      <c r="C97" s="3">
        <v>40447</v>
      </c>
      <c r="D97" s="16">
        <v>132015</v>
      </c>
      <c r="F97" s="16">
        <v>6269.68</v>
      </c>
      <c r="G97" s="16">
        <f t="shared" si="13"/>
        <v>0</v>
      </c>
      <c r="H97" s="16">
        <f t="shared" si="14"/>
        <v>702.63655172413803</v>
      </c>
      <c r="I97" s="16">
        <f t="shared" si="15"/>
        <v>4620.5250000000005</v>
      </c>
      <c r="J97" s="16">
        <f t="shared" si="16"/>
        <v>4620.5250000000005</v>
      </c>
      <c r="K97" s="16">
        <f t="shared" si="17"/>
        <v>121124.79500000001</v>
      </c>
      <c r="L97" s="16">
        <f t="shared" si="18"/>
        <v>4239.3678250000012</v>
      </c>
      <c r="M97" s="9">
        <v>175860.51</v>
      </c>
      <c r="N97" s="9">
        <v>175086.21</v>
      </c>
      <c r="O97" s="9">
        <f t="shared" si="19"/>
        <v>-774.30000000001746</v>
      </c>
    </row>
    <row r="98" spans="1:15">
      <c r="A98" s="5" t="s">
        <v>404</v>
      </c>
      <c r="B98" t="s">
        <v>11</v>
      </c>
      <c r="C98" s="3">
        <v>42639</v>
      </c>
      <c r="D98" s="16">
        <v>82355</v>
      </c>
      <c r="E98">
        <v>8400</v>
      </c>
      <c r="F98" s="16">
        <v>16967</v>
      </c>
      <c r="G98" s="16">
        <f t="shared" si="13"/>
        <v>3620.6896551724139</v>
      </c>
      <c r="H98" s="16">
        <f t="shared" si="14"/>
        <v>1901.4741379310349</v>
      </c>
      <c r="I98" s="16">
        <f t="shared" si="15"/>
        <v>2882.4250000000002</v>
      </c>
      <c r="J98" s="16">
        <f t="shared" si="16"/>
        <v>6503.1146551724141</v>
      </c>
      <c r="K98" s="16">
        <f t="shared" si="17"/>
        <v>70905.574999999997</v>
      </c>
      <c r="L98" s="16">
        <f t="shared" si="18"/>
        <v>2481.6951250000002</v>
      </c>
      <c r="M98" s="9">
        <v>109282.7</v>
      </c>
      <c r="N98" s="9">
        <v>109224.14</v>
      </c>
      <c r="O98" s="9">
        <f t="shared" si="19"/>
        <v>-58.559999999997672</v>
      </c>
    </row>
    <row r="99" spans="1:15">
      <c r="A99" s="5" t="s">
        <v>405</v>
      </c>
      <c r="B99" t="s">
        <v>13</v>
      </c>
      <c r="C99" s="3">
        <v>42639</v>
      </c>
      <c r="D99" s="16">
        <v>99900</v>
      </c>
      <c r="E99">
        <v>10000</v>
      </c>
      <c r="F99" s="16">
        <v>28889.24</v>
      </c>
      <c r="G99" s="16">
        <f t="shared" si="13"/>
        <v>4310.3448275862074</v>
      </c>
      <c r="H99" s="16">
        <f t="shared" si="14"/>
        <v>3237.5872413793113</v>
      </c>
      <c r="I99" s="16">
        <f t="shared" si="15"/>
        <v>3496.5000000000005</v>
      </c>
      <c r="J99" s="16">
        <f t="shared" si="16"/>
        <v>7806.8448275862083</v>
      </c>
      <c r="K99" s="16">
        <f t="shared" si="17"/>
        <v>77514.259999999995</v>
      </c>
      <c r="L99" s="16">
        <f t="shared" si="18"/>
        <v>2712.9991</v>
      </c>
      <c r="M99" s="9">
        <v>153957.84</v>
      </c>
      <c r="N99" s="9">
        <v>157241.38</v>
      </c>
      <c r="O99" s="9">
        <f t="shared" si="19"/>
        <v>3283.5400000000081</v>
      </c>
    </row>
    <row r="100" spans="1:15">
      <c r="A100" s="5" t="s">
        <v>406</v>
      </c>
      <c r="B100" t="s">
        <v>407</v>
      </c>
      <c r="C100" s="3">
        <v>42639</v>
      </c>
      <c r="D100" s="16">
        <v>67507.02</v>
      </c>
      <c r="F100" s="16">
        <v>23662.05</v>
      </c>
      <c r="G100" s="16">
        <f t="shared" si="13"/>
        <v>0</v>
      </c>
      <c r="H100" s="16">
        <f t="shared" si="14"/>
        <v>2651.7814655172415</v>
      </c>
      <c r="I100" s="16">
        <f t="shared" si="15"/>
        <v>2362.7457000000004</v>
      </c>
      <c r="J100" s="16">
        <f t="shared" si="16"/>
        <v>2362.7457000000004</v>
      </c>
      <c r="K100" s="16">
        <f t="shared" si="17"/>
        <v>41482.224300000002</v>
      </c>
      <c r="L100" s="16">
        <f t="shared" si="18"/>
        <v>1451.8778505000002</v>
      </c>
      <c r="M100" s="9">
        <v>95000</v>
      </c>
      <c r="N100" s="9">
        <v>98344.83</v>
      </c>
      <c r="O100" s="9">
        <f t="shared" si="19"/>
        <v>3344.8300000000017</v>
      </c>
    </row>
    <row r="101" spans="1:15">
      <c r="A101" s="5" t="s">
        <v>408</v>
      </c>
      <c r="B101" t="s">
        <v>11</v>
      </c>
      <c r="C101" s="3">
        <v>42639</v>
      </c>
      <c r="D101" s="16">
        <v>71432.28</v>
      </c>
      <c r="F101" s="16">
        <v>8794.09</v>
      </c>
      <c r="G101" s="16">
        <f t="shared" si="13"/>
        <v>0</v>
      </c>
      <c r="H101" s="16">
        <f t="shared" si="14"/>
        <v>985.54456896551744</v>
      </c>
      <c r="I101" s="16">
        <f t="shared" si="15"/>
        <v>2500.1298000000002</v>
      </c>
      <c r="J101" s="16">
        <f t="shared" si="16"/>
        <v>2500.1298000000002</v>
      </c>
      <c r="K101" s="16">
        <f t="shared" si="17"/>
        <v>60138.0602</v>
      </c>
      <c r="L101" s="16">
        <f t="shared" si="18"/>
        <v>2104.8321070000002</v>
      </c>
      <c r="M101" s="9">
        <v>105919.87</v>
      </c>
      <c r="N101" s="9">
        <v>109224.14</v>
      </c>
      <c r="O101" s="9">
        <f t="shared" si="19"/>
        <v>3304.2700000000041</v>
      </c>
    </row>
    <row r="102" spans="1:15">
      <c r="A102" s="5" t="s">
        <v>409</v>
      </c>
      <c r="B102" t="s">
        <v>13</v>
      </c>
      <c r="C102" s="3">
        <v>42639</v>
      </c>
      <c r="D102" s="16">
        <v>148410</v>
      </c>
      <c r="E102">
        <v>8500</v>
      </c>
      <c r="F102" s="16">
        <v>34938.36</v>
      </c>
      <c r="G102" s="16">
        <f t="shared" si="13"/>
        <v>3663.7931034482763</v>
      </c>
      <c r="H102" s="16">
        <f t="shared" si="14"/>
        <v>3915.5058620689661</v>
      </c>
      <c r="I102" s="16">
        <f t="shared" si="15"/>
        <v>5194.3500000000004</v>
      </c>
      <c r="J102" s="16">
        <f t="shared" si="16"/>
        <v>8858.1431034482775</v>
      </c>
      <c r="K102" s="16">
        <f t="shared" si="17"/>
        <v>116777.29</v>
      </c>
      <c r="L102" s="16">
        <f t="shared" si="18"/>
        <v>4087.2051500000002</v>
      </c>
      <c r="M102" s="9">
        <v>139496.65</v>
      </c>
      <c r="N102" s="9">
        <v>142155.17000000001</v>
      </c>
      <c r="O102" s="9">
        <f t="shared" si="19"/>
        <v>2658.5200000000186</v>
      </c>
    </row>
    <row r="103" spans="1:15">
      <c r="A103" s="5" t="s">
        <v>410</v>
      </c>
      <c r="B103" t="s">
        <v>13</v>
      </c>
      <c r="C103" s="3">
        <v>42639</v>
      </c>
      <c r="D103" s="16">
        <v>115430</v>
      </c>
      <c r="F103" s="16">
        <v>13391.88</v>
      </c>
      <c r="G103" s="16">
        <f t="shared" si="13"/>
        <v>0</v>
      </c>
      <c r="H103" s="16">
        <f t="shared" si="14"/>
        <v>1500.8141379310346</v>
      </c>
      <c r="I103" s="16">
        <f t="shared" si="15"/>
        <v>4040.05</v>
      </c>
      <c r="J103" s="16">
        <f t="shared" si="16"/>
        <v>4040.05</v>
      </c>
      <c r="K103" s="16">
        <f t="shared" si="17"/>
        <v>97998.069999999992</v>
      </c>
      <c r="L103" s="16">
        <f t="shared" si="18"/>
        <v>3429.9324500000002</v>
      </c>
      <c r="M103" s="9">
        <v>138147.93</v>
      </c>
      <c r="N103" s="9">
        <v>142155.17000000001</v>
      </c>
      <c r="O103" s="9">
        <f t="shared" si="19"/>
        <v>4007.2400000000198</v>
      </c>
    </row>
    <row r="104" spans="1:15">
      <c r="A104" s="5" t="s">
        <v>411</v>
      </c>
      <c r="B104" t="s">
        <v>52</v>
      </c>
      <c r="C104" s="3">
        <v>42639</v>
      </c>
      <c r="D104" s="16">
        <v>240180</v>
      </c>
      <c r="F104" s="16">
        <v>40977.57</v>
      </c>
      <c r="G104" s="16">
        <f t="shared" si="13"/>
        <v>0</v>
      </c>
      <c r="H104" s="16">
        <f t="shared" si="14"/>
        <v>4592.3138793103453</v>
      </c>
      <c r="I104" s="16">
        <f t="shared" si="15"/>
        <v>8406.3000000000011</v>
      </c>
      <c r="J104" s="16">
        <f t="shared" si="16"/>
        <v>8406.3000000000011</v>
      </c>
      <c r="K104" s="16">
        <f t="shared" si="17"/>
        <v>190796.13</v>
      </c>
      <c r="L104" s="16">
        <f t="shared" si="18"/>
        <v>6677.8645500000011</v>
      </c>
      <c r="M104" s="9">
        <v>222598.18</v>
      </c>
      <c r="N104" s="9">
        <v>228620.68</v>
      </c>
      <c r="O104" s="9">
        <f t="shared" si="19"/>
        <v>6022.5</v>
      </c>
    </row>
    <row r="105" spans="1:15">
      <c r="A105" s="5" t="s">
        <v>412</v>
      </c>
      <c r="B105" t="s">
        <v>13</v>
      </c>
      <c r="C105" s="3">
        <v>42639</v>
      </c>
      <c r="D105" s="16">
        <v>115430</v>
      </c>
      <c r="F105" s="16">
        <v>13391.88</v>
      </c>
      <c r="G105" s="16">
        <f t="shared" ref="G105:G136" si="20">(E105/1.16)*0.5</f>
        <v>0</v>
      </c>
      <c r="H105" s="16">
        <f t="shared" ref="H105:H136" si="21">(F105/1.16)*0.13</f>
        <v>1500.8141379310346</v>
      </c>
      <c r="I105" s="16">
        <f t="shared" ref="I105:I136" si="22">D105*3.5%</f>
        <v>4040.05</v>
      </c>
      <c r="J105" s="16">
        <f t="shared" ref="J105:J136" si="23">+G105+I105</f>
        <v>4040.05</v>
      </c>
      <c r="K105" s="16">
        <f t="shared" ref="K105:K136" si="24">SUM(+D105+E105-F105-I105)</f>
        <v>97998.069999999992</v>
      </c>
      <c r="L105" s="16">
        <f t="shared" ref="L105:L136" si="25">K105*$L$8</f>
        <v>3429.9324500000002</v>
      </c>
      <c r="M105" s="9">
        <v>139496.65</v>
      </c>
      <c r="N105" s="9">
        <v>142155.17000000001</v>
      </c>
      <c r="O105" s="9">
        <f t="shared" si="19"/>
        <v>2658.5200000000186</v>
      </c>
    </row>
    <row r="106" spans="1:15">
      <c r="A106" s="5" t="s">
        <v>413</v>
      </c>
      <c r="B106" t="s">
        <v>22</v>
      </c>
      <c r="C106" s="3">
        <v>42639</v>
      </c>
      <c r="D106" s="16">
        <v>129782.21</v>
      </c>
      <c r="F106" s="16">
        <v>5500.72</v>
      </c>
      <c r="G106" s="16">
        <f t="shared" si="20"/>
        <v>0</v>
      </c>
      <c r="H106" s="16">
        <f t="shared" si="21"/>
        <v>616.46000000000015</v>
      </c>
      <c r="I106" s="16">
        <f t="shared" si="22"/>
        <v>4542.3773500000007</v>
      </c>
      <c r="J106" s="16">
        <f t="shared" si="23"/>
        <v>4542.3773500000007</v>
      </c>
      <c r="K106" s="16">
        <f t="shared" si="24"/>
        <v>119739.11265000001</v>
      </c>
      <c r="L106" s="16">
        <f t="shared" si="25"/>
        <v>4190.8689427500003</v>
      </c>
      <c r="M106" s="9">
        <v>227240.03</v>
      </c>
      <c r="N106" s="9">
        <v>221896.55</v>
      </c>
      <c r="O106" s="9">
        <f t="shared" si="19"/>
        <v>-5343.4800000000105</v>
      </c>
    </row>
    <row r="107" spans="1:15">
      <c r="A107" s="5" t="s">
        <v>414</v>
      </c>
      <c r="B107" t="s">
        <v>17</v>
      </c>
      <c r="C107" s="3">
        <v>42639</v>
      </c>
      <c r="D107" s="16">
        <v>206820</v>
      </c>
      <c r="F107" s="16">
        <v>26487.8</v>
      </c>
      <c r="G107" s="16">
        <f t="shared" si="20"/>
        <v>0</v>
      </c>
      <c r="H107" s="16">
        <f t="shared" si="21"/>
        <v>2968.4603448275866</v>
      </c>
      <c r="I107" s="16">
        <f t="shared" si="22"/>
        <v>7238.7000000000007</v>
      </c>
      <c r="J107" s="16">
        <f t="shared" si="23"/>
        <v>7238.7000000000007</v>
      </c>
      <c r="K107" s="16">
        <f t="shared" si="24"/>
        <v>173093.5</v>
      </c>
      <c r="L107" s="16">
        <f t="shared" si="25"/>
        <v>6058.2725000000009</v>
      </c>
      <c r="M107" s="9">
        <v>189619.7</v>
      </c>
      <c r="N107" s="9">
        <v>189482.76</v>
      </c>
      <c r="O107" s="9">
        <f t="shared" si="19"/>
        <v>-136.94000000000233</v>
      </c>
    </row>
    <row r="108" spans="1:15">
      <c r="A108" s="5" t="s">
        <v>415</v>
      </c>
      <c r="B108" t="s">
        <v>11</v>
      </c>
      <c r="C108" s="3">
        <v>42639</v>
      </c>
      <c r="D108" s="16">
        <v>134710</v>
      </c>
      <c r="E108">
        <v>6500</v>
      </c>
      <c r="F108" s="16">
        <v>23593.040000000001</v>
      </c>
      <c r="G108" s="16">
        <f t="shared" si="20"/>
        <v>2801.7241379310349</v>
      </c>
      <c r="H108" s="16">
        <f t="shared" si="21"/>
        <v>2644.047586206897</v>
      </c>
      <c r="I108" s="16">
        <f t="shared" si="22"/>
        <v>4714.8500000000004</v>
      </c>
      <c r="J108" s="16">
        <f t="shared" si="23"/>
        <v>7516.5741379310348</v>
      </c>
      <c r="K108" s="16">
        <f t="shared" si="24"/>
        <v>112902.10999999999</v>
      </c>
      <c r="L108" s="16">
        <f t="shared" si="25"/>
        <v>3951.5738499999998</v>
      </c>
      <c r="M108" s="9">
        <v>119988.36</v>
      </c>
      <c r="N108" s="9">
        <v>122241.38</v>
      </c>
      <c r="O108" s="9">
        <f t="shared" si="19"/>
        <v>2253.0200000000041</v>
      </c>
    </row>
    <row r="109" spans="1:15">
      <c r="A109" s="5" t="s">
        <v>416</v>
      </c>
      <c r="B109" t="s">
        <v>22</v>
      </c>
      <c r="C109" s="3">
        <v>42639</v>
      </c>
      <c r="D109" s="16">
        <v>187092.78</v>
      </c>
      <c r="F109" s="16">
        <v>5837.92</v>
      </c>
      <c r="G109" s="16">
        <f t="shared" si="20"/>
        <v>0</v>
      </c>
      <c r="H109" s="16">
        <f t="shared" si="21"/>
        <v>654.24965517241378</v>
      </c>
      <c r="I109" s="16">
        <f t="shared" si="22"/>
        <v>6548.2473000000009</v>
      </c>
      <c r="J109" s="16">
        <f t="shared" si="23"/>
        <v>6548.2473000000009</v>
      </c>
      <c r="K109" s="16">
        <f t="shared" si="24"/>
        <v>174706.6127</v>
      </c>
      <c r="L109" s="16">
        <f t="shared" si="25"/>
        <v>6114.7314445000002</v>
      </c>
      <c r="M109" s="9">
        <v>250993.94</v>
      </c>
      <c r="N109" s="9">
        <v>251120.68</v>
      </c>
      <c r="O109" s="9">
        <f t="shared" si="19"/>
        <v>126.73999999999069</v>
      </c>
    </row>
    <row r="110" spans="1:15">
      <c r="A110" s="5" t="s">
        <v>417</v>
      </c>
      <c r="B110" t="s">
        <v>11</v>
      </c>
      <c r="C110" s="3">
        <v>42640</v>
      </c>
      <c r="D110" s="16">
        <v>82355</v>
      </c>
      <c r="F110" s="16">
        <v>8538.17</v>
      </c>
      <c r="G110" s="16">
        <f t="shared" si="20"/>
        <v>0</v>
      </c>
      <c r="H110" s="16">
        <f t="shared" si="21"/>
        <v>956.86387931034494</v>
      </c>
      <c r="I110" s="16">
        <f t="shared" si="22"/>
        <v>2882.4250000000002</v>
      </c>
      <c r="J110" s="16">
        <f t="shared" si="23"/>
        <v>2882.4250000000002</v>
      </c>
      <c r="K110" s="16">
        <f t="shared" si="24"/>
        <v>70934.404999999999</v>
      </c>
      <c r="L110" s="16">
        <f t="shared" si="25"/>
        <v>2482.7041750000003</v>
      </c>
      <c r="M110" s="9">
        <v>108486.98</v>
      </c>
      <c r="N110" s="9">
        <v>109224.14</v>
      </c>
      <c r="O110" s="9">
        <f t="shared" si="19"/>
        <v>737.16000000000349</v>
      </c>
    </row>
    <row r="111" spans="1:15">
      <c r="A111" s="5" t="s">
        <v>418</v>
      </c>
      <c r="B111" t="s">
        <v>11</v>
      </c>
      <c r="C111" s="3">
        <v>42640</v>
      </c>
      <c r="D111" s="16">
        <v>148480</v>
      </c>
      <c r="E111">
        <v>8500</v>
      </c>
      <c r="F111" s="16">
        <v>25360.38</v>
      </c>
      <c r="G111" s="16">
        <f t="shared" si="20"/>
        <v>3663.7931034482763</v>
      </c>
      <c r="H111" s="16">
        <f t="shared" si="21"/>
        <v>2842.1115517241383</v>
      </c>
      <c r="I111" s="16">
        <f t="shared" si="22"/>
        <v>5196.8</v>
      </c>
      <c r="J111" s="16">
        <f t="shared" si="23"/>
        <v>8860.5931034482765</v>
      </c>
      <c r="K111" s="16">
        <f t="shared" si="24"/>
        <v>126422.81999999999</v>
      </c>
      <c r="L111" s="16">
        <f t="shared" si="25"/>
        <v>4424.7987000000003</v>
      </c>
      <c r="M111" s="9">
        <v>140944.63</v>
      </c>
      <c r="N111" s="9">
        <v>139827.59</v>
      </c>
      <c r="O111" s="9">
        <f t="shared" si="19"/>
        <v>-1117.0400000000081</v>
      </c>
    </row>
    <row r="112" spans="1:15">
      <c r="A112" s="5" t="s">
        <v>419</v>
      </c>
      <c r="B112" t="s">
        <v>22</v>
      </c>
      <c r="C112" s="3">
        <v>42640</v>
      </c>
      <c r="D112" s="16">
        <v>137400</v>
      </c>
      <c r="F112" s="16">
        <v>5500.72</v>
      </c>
      <c r="G112" s="16">
        <f t="shared" si="20"/>
        <v>0</v>
      </c>
      <c r="H112" s="16">
        <f t="shared" si="21"/>
        <v>616.46000000000015</v>
      </c>
      <c r="I112" s="16">
        <f t="shared" si="22"/>
        <v>4809.0000000000009</v>
      </c>
      <c r="J112" s="16">
        <f t="shared" si="23"/>
        <v>4809.0000000000009</v>
      </c>
      <c r="K112" s="16">
        <f t="shared" si="24"/>
        <v>127090.28</v>
      </c>
      <c r="L112" s="16">
        <f t="shared" si="25"/>
        <v>4448.1598000000004</v>
      </c>
      <c r="M112" s="9">
        <v>224996.19</v>
      </c>
      <c r="N112" s="9">
        <v>221896.55</v>
      </c>
      <c r="O112" s="9">
        <f t="shared" si="19"/>
        <v>-3099.640000000014</v>
      </c>
    </row>
    <row r="113" spans="1:15">
      <c r="A113" s="5" t="s">
        <v>420</v>
      </c>
      <c r="B113" t="s">
        <v>11</v>
      </c>
      <c r="C113" s="3">
        <v>42639</v>
      </c>
      <c r="D113" s="16">
        <v>82320</v>
      </c>
      <c r="F113" s="16">
        <v>8538.17</v>
      </c>
      <c r="G113" s="16">
        <f t="shared" si="20"/>
        <v>0</v>
      </c>
      <c r="H113" s="16">
        <f t="shared" si="21"/>
        <v>956.86387931034494</v>
      </c>
      <c r="I113" s="16">
        <f t="shared" si="22"/>
        <v>2881.2000000000003</v>
      </c>
      <c r="J113" s="16">
        <f t="shared" si="23"/>
        <v>2881.2000000000003</v>
      </c>
      <c r="K113" s="16">
        <f t="shared" si="24"/>
        <v>70900.63</v>
      </c>
      <c r="L113" s="16">
        <f t="shared" si="25"/>
        <v>2481.5220500000005</v>
      </c>
      <c r="M113" s="9">
        <v>108486.98</v>
      </c>
      <c r="N113" s="9">
        <v>109224.14</v>
      </c>
      <c r="O113" s="9">
        <f t="shared" si="19"/>
        <v>737.16000000000349</v>
      </c>
    </row>
    <row r="114" spans="1:15">
      <c r="A114" s="5" t="s">
        <v>421</v>
      </c>
      <c r="B114" t="s">
        <v>43</v>
      </c>
      <c r="C114" s="3">
        <v>42641</v>
      </c>
      <c r="D114" s="16">
        <v>308400</v>
      </c>
      <c r="E114">
        <v>10500</v>
      </c>
      <c r="F114" s="16">
        <v>26620.12</v>
      </c>
      <c r="G114" s="16">
        <f t="shared" si="20"/>
        <v>4525.8620689655172</v>
      </c>
      <c r="H114" s="16">
        <f t="shared" si="21"/>
        <v>2983.2893103448278</v>
      </c>
      <c r="I114" s="16">
        <f t="shared" si="22"/>
        <v>10794.000000000002</v>
      </c>
      <c r="J114" s="16">
        <f t="shared" si="23"/>
        <v>15319.862068965518</v>
      </c>
      <c r="K114" s="16">
        <f t="shared" si="24"/>
        <v>281485.88</v>
      </c>
      <c r="L114" s="16">
        <f t="shared" si="25"/>
        <v>9852.0058000000008</v>
      </c>
      <c r="M114" s="9">
        <v>344161.37</v>
      </c>
      <c r="N114" s="9">
        <v>369310.34</v>
      </c>
      <c r="O114" s="9">
        <f t="shared" si="19"/>
        <v>25148.97000000003</v>
      </c>
    </row>
    <row r="115" spans="1:15">
      <c r="A115" s="5" t="s">
        <v>422</v>
      </c>
      <c r="B115" t="s">
        <v>17</v>
      </c>
      <c r="C115" s="3">
        <v>42641</v>
      </c>
      <c r="D115" s="16">
        <v>129800</v>
      </c>
      <c r="E115">
        <v>13500</v>
      </c>
      <c r="F115" s="16">
        <v>23373.040000000001</v>
      </c>
      <c r="G115" s="16">
        <f t="shared" si="20"/>
        <v>5818.9655172413795</v>
      </c>
      <c r="H115" s="16">
        <f t="shared" si="21"/>
        <v>2619.392413793104</v>
      </c>
      <c r="I115" s="16">
        <f t="shared" si="22"/>
        <v>4543</v>
      </c>
      <c r="J115" s="16">
        <f t="shared" si="23"/>
        <v>10361.96551724138</v>
      </c>
      <c r="K115" s="16">
        <f t="shared" si="24"/>
        <v>115383.95999999999</v>
      </c>
      <c r="L115" s="16">
        <f t="shared" si="25"/>
        <v>4038.4386</v>
      </c>
      <c r="M115" s="9">
        <v>189619.7</v>
      </c>
      <c r="N115" s="9">
        <v>189482.76</v>
      </c>
      <c r="O115" s="9">
        <f t="shared" si="19"/>
        <v>-136.94000000000233</v>
      </c>
    </row>
    <row r="116" spans="1:15">
      <c r="A116" s="5" t="s">
        <v>423</v>
      </c>
      <c r="B116" t="s">
        <v>13</v>
      </c>
      <c r="C116" s="3">
        <v>42641</v>
      </c>
      <c r="D116" s="16">
        <v>143920</v>
      </c>
      <c r="E116">
        <v>10000</v>
      </c>
      <c r="F116" s="16">
        <v>36529.1</v>
      </c>
      <c r="G116" s="16">
        <f t="shared" si="20"/>
        <v>4310.3448275862074</v>
      </c>
      <c r="H116" s="16">
        <f t="shared" si="21"/>
        <v>4093.778448275862</v>
      </c>
      <c r="I116" s="16">
        <f t="shared" si="22"/>
        <v>5037.2000000000007</v>
      </c>
      <c r="J116" s="16">
        <f t="shared" si="23"/>
        <v>9347.5448275862072</v>
      </c>
      <c r="K116" s="16">
        <f t="shared" si="24"/>
        <v>112353.7</v>
      </c>
      <c r="L116" s="16">
        <f t="shared" si="25"/>
        <v>3932.3795000000005</v>
      </c>
      <c r="M116" s="9">
        <v>149568.85</v>
      </c>
      <c r="N116" s="9">
        <v>152931.03</v>
      </c>
      <c r="O116" s="9">
        <f t="shared" si="19"/>
        <v>3362.179999999993</v>
      </c>
    </row>
    <row r="117" spans="1:15">
      <c r="A117" s="5" t="s">
        <v>424</v>
      </c>
      <c r="B117" t="s">
        <v>17</v>
      </c>
      <c r="C117" s="3">
        <v>42641</v>
      </c>
      <c r="D117" s="16">
        <v>178989.88</v>
      </c>
      <c r="E117">
        <v>10900</v>
      </c>
      <c r="F117" s="16">
        <v>26563.54</v>
      </c>
      <c r="G117" s="16">
        <f t="shared" si="20"/>
        <v>4698.2758620689656</v>
      </c>
      <c r="H117" s="16">
        <f t="shared" si="21"/>
        <v>2976.9484482758626</v>
      </c>
      <c r="I117" s="16">
        <f t="shared" si="22"/>
        <v>6264.6458000000011</v>
      </c>
      <c r="J117" s="16">
        <f t="shared" si="23"/>
        <v>10962.921662068966</v>
      </c>
      <c r="K117" s="16">
        <f t="shared" si="24"/>
        <v>157061.6942</v>
      </c>
      <c r="L117" s="16">
        <f t="shared" si="25"/>
        <v>5497.1592970000002</v>
      </c>
      <c r="M117" s="9">
        <v>203219.1</v>
      </c>
      <c r="N117" s="9">
        <v>204913.79</v>
      </c>
      <c r="O117" s="9">
        <f t="shared" si="19"/>
        <v>1694.6900000000023</v>
      </c>
    </row>
    <row r="118" spans="1:15">
      <c r="A118" s="5" t="s">
        <v>425</v>
      </c>
      <c r="B118" t="s">
        <v>17</v>
      </c>
      <c r="C118" s="3">
        <v>42641</v>
      </c>
      <c r="D118" s="16">
        <v>184790</v>
      </c>
      <c r="E118">
        <v>8500</v>
      </c>
      <c r="F118" s="16">
        <v>24028.07</v>
      </c>
      <c r="G118" s="16">
        <f t="shared" si="20"/>
        <v>3663.7931034482763</v>
      </c>
      <c r="H118" s="16">
        <f t="shared" si="21"/>
        <v>2692.8009482758621</v>
      </c>
      <c r="I118" s="16">
        <f t="shared" si="22"/>
        <v>6467.6500000000005</v>
      </c>
      <c r="J118" s="16">
        <f t="shared" si="23"/>
        <v>10131.443103448277</v>
      </c>
      <c r="K118" s="16">
        <f t="shared" si="24"/>
        <v>162794.28</v>
      </c>
      <c r="L118" s="16">
        <f t="shared" si="25"/>
        <v>5697.7998000000007</v>
      </c>
      <c r="M118" s="9">
        <v>174630.37</v>
      </c>
      <c r="N118" s="9">
        <v>175086.21</v>
      </c>
      <c r="O118" s="9">
        <f t="shared" si="19"/>
        <v>455.83999999999651</v>
      </c>
    </row>
    <row r="119" spans="1:15">
      <c r="A119" s="5" t="s">
        <v>426</v>
      </c>
      <c r="B119" t="s">
        <v>22</v>
      </c>
      <c r="C119" s="3">
        <v>42641</v>
      </c>
      <c r="D119" s="16">
        <v>217400</v>
      </c>
      <c r="F119" s="16">
        <v>20610.88</v>
      </c>
      <c r="G119" s="16">
        <f t="shared" si="20"/>
        <v>0</v>
      </c>
      <c r="H119" s="16">
        <f t="shared" si="21"/>
        <v>2309.8400000000006</v>
      </c>
      <c r="I119" s="16">
        <f t="shared" si="22"/>
        <v>7609.0000000000009</v>
      </c>
      <c r="J119" s="16">
        <f t="shared" si="23"/>
        <v>7609.0000000000009</v>
      </c>
      <c r="K119" s="16">
        <f t="shared" si="24"/>
        <v>189180.12</v>
      </c>
      <c r="L119" s="16">
        <f t="shared" si="25"/>
        <v>6621.3042000000005</v>
      </c>
      <c r="M119" s="9">
        <v>224996.19</v>
      </c>
      <c r="N119" s="9">
        <v>221896.55</v>
      </c>
      <c r="O119" s="9">
        <f t="shared" si="19"/>
        <v>-3099.640000000014</v>
      </c>
    </row>
    <row r="120" spans="1:15">
      <c r="A120" s="5" t="s">
        <v>427</v>
      </c>
      <c r="B120" t="s">
        <v>43</v>
      </c>
      <c r="C120" s="3">
        <v>42642</v>
      </c>
      <c r="D120" s="16">
        <v>294896.23</v>
      </c>
      <c r="E120">
        <v>12000</v>
      </c>
      <c r="F120" s="16">
        <v>47060.22</v>
      </c>
      <c r="G120" s="16">
        <f t="shared" si="20"/>
        <v>5172.4137931034484</v>
      </c>
      <c r="H120" s="16">
        <f t="shared" si="21"/>
        <v>5273.9901724137935</v>
      </c>
      <c r="I120" s="16">
        <f t="shared" si="22"/>
        <v>10321.368050000001</v>
      </c>
      <c r="J120" s="16">
        <f t="shared" si="23"/>
        <v>15493.78184310345</v>
      </c>
      <c r="K120" s="16">
        <f t="shared" si="24"/>
        <v>249514.64194999999</v>
      </c>
      <c r="L120" s="16">
        <f t="shared" si="25"/>
        <v>8733.0124682500009</v>
      </c>
      <c r="M120" s="9">
        <v>290476.33</v>
      </c>
      <c r="N120">
        <f>354900/1.16</f>
        <v>305948.27586206899</v>
      </c>
      <c r="O120" s="9">
        <f t="shared" si="19"/>
        <v>15471.945862068969</v>
      </c>
    </row>
    <row r="121" spans="1:15">
      <c r="A121" s="5" t="s">
        <v>428</v>
      </c>
      <c r="B121" t="s">
        <v>17</v>
      </c>
      <c r="C121" s="3">
        <v>42642</v>
      </c>
      <c r="D121" s="16">
        <v>182790</v>
      </c>
      <c r="E121">
        <v>15400</v>
      </c>
      <c r="F121" s="16">
        <v>23686.720000000001</v>
      </c>
      <c r="G121" s="16">
        <f t="shared" si="20"/>
        <v>6637.9310344827591</v>
      </c>
      <c r="H121" s="16">
        <f t="shared" si="21"/>
        <v>2654.5462068965521</v>
      </c>
      <c r="I121" s="16">
        <f t="shared" si="22"/>
        <v>6397.6500000000005</v>
      </c>
      <c r="J121" s="16">
        <f t="shared" si="23"/>
        <v>13035.581034482759</v>
      </c>
      <c r="K121" s="16">
        <f t="shared" si="24"/>
        <v>168105.63</v>
      </c>
      <c r="L121" s="16">
        <f t="shared" si="25"/>
        <v>5883.6970500000007</v>
      </c>
      <c r="M121" s="9">
        <v>176375.15</v>
      </c>
      <c r="N121">
        <f>203100/1.16</f>
        <v>175086.20689655174</v>
      </c>
      <c r="O121" s="9">
        <f t="shared" si="19"/>
        <v>-1288.943103448255</v>
      </c>
    </row>
    <row r="122" spans="1:15">
      <c r="A122" s="5" t="s">
        <v>429</v>
      </c>
      <c r="B122" t="s">
        <v>11</v>
      </c>
      <c r="C122" s="3">
        <v>42642</v>
      </c>
      <c r="D122" s="16">
        <v>106735</v>
      </c>
      <c r="F122" s="16">
        <v>7765.04</v>
      </c>
      <c r="G122" s="16">
        <f t="shared" si="20"/>
        <v>0</v>
      </c>
      <c r="H122" s="16">
        <f t="shared" si="21"/>
        <v>870.22</v>
      </c>
      <c r="I122" s="16">
        <f t="shared" si="22"/>
        <v>3735.7250000000004</v>
      </c>
      <c r="J122" s="16">
        <f t="shared" si="23"/>
        <v>3735.7250000000004</v>
      </c>
      <c r="K122" s="16">
        <f t="shared" si="24"/>
        <v>95234.235000000001</v>
      </c>
      <c r="L122" s="16">
        <f t="shared" si="25"/>
        <v>3333.1982250000005</v>
      </c>
      <c r="M122" s="9">
        <v>133636.59</v>
      </c>
      <c r="N122" s="9">
        <v>137844.82999999999</v>
      </c>
      <c r="O122" s="9">
        <f t="shared" si="19"/>
        <v>4208.2399999999907</v>
      </c>
    </row>
    <row r="123" spans="1:15">
      <c r="A123" s="5" t="s">
        <v>430</v>
      </c>
      <c r="B123" t="s">
        <v>13</v>
      </c>
      <c r="C123" s="3">
        <v>42643</v>
      </c>
      <c r="D123" s="16">
        <v>108863.53</v>
      </c>
      <c r="F123" s="16">
        <v>9547.3799999999992</v>
      </c>
      <c r="G123" s="16">
        <f t="shared" si="20"/>
        <v>0</v>
      </c>
      <c r="H123" s="16">
        <f t="shared" si="21"/>
        <v>1069.9650000000001</v>
      </c>
      <c r="I123" s="16">
        <f t="shared" si="22"/>
        <v>3810.2235500000002</v>
      </c>
      <c r="J123" s="16">
        <f t="shared" si="23"/>
        <v>3810.2235500000002</v>
      </c>
      <c r="K123" s="16">
        <f t="shared" si="24"/>
        <v>95505.926449999999</v>
      </c>
      <c r="L123" s="16">
        <f t="shared" si="25"/>
        <v>3342.7074257500003</v>
      </c>
      <c r="M123" s="9">
        <v>153534.29</v>
      </c>
      <c r="N123" s="9">
        <v>157241.38</v>
      </c>
      <c r="O123" s="9">
        <f t="shared" si="19"/>
        <v>3707.0899999999965</v>
      </c>
    </row>
    <row r="124" spans="1:15">
      <c r="A124" s="5" t="s">
        <v>431</v>
      </c>
      <c r="B124" t="s">
        <v>11</v>
      </c>
      <c r="C124" s="3">
        <v>42643</v>
      </c>
      <c r="D124" s="16">
        <v>89375</v>
      </c>
      <c r="F124" s="16">
        <v>6166.17</v>
      </c>
      <c r="G124" s="16">
        <f t="shared" si="20"/>
        <v>0</v>
      </c>
      <c r="H124" s="16">
        <f t="shared" si="21"/>
        <v>691.03629310344832</v>
      </c>
      <c r="I124" s="16">
        <f t="shared" si="22"/>
        <v>3128.1250000000005</v>
      </c>
      <c r="J124" s="16">
        <f t="shared" si="23"/>
        <v>3128.1250000000005</v>
      </c>
      <c r="K124" s="16">
        <f t="shared" si="24"/>
        <v>80080.705000000002</v>
      </c>
      <c r="L124" s="16">
        <f t="shared" si="25"/>
        <v>2802.8246750000003</v>
      </c>
      <c r="M124" s="9">
        <v>119988.36</v>
      </c>
      <c r="N124" s="9">
        <v>118534.48</v>
      </c>
      <c r="O124" s="9">
        <f t="shared" si="19"/>
        <v>-1453.8800000000047</v>
      </c>
    </row>
    <row r="125" spans="1:15">
      <c r="G125" s="16">
        <f t="shared" si="20"/>
        <v>0</v>
      </c>
      <c r="H125" s="16">
        <f t="shared" si="21"/>
        <v>0</v>
      </c>
      <c r="I125" s="16">
        <f t="shared" si="22"/>
        <v>0</v>
      </c>
      <c r="J125" s="16">
        <f t="shared" si="23"/>
        <v>0</v>
      </c>
      <c r="K125" s="16">
        <f t="shared" si="24"/>
        <v>0</v>
      </c>
      <c r="L125" s="16">
        <f t="shared" si="25"/>
        <v>0</v>
      </c>
      <c r="O125" s="9">
        <f t="shared" si="19"/>
        <v>0</v>
      </c>
    </row>
    <row r="126" spans="1:15">
      <c r="E126" s="16"/>
      <c r="F126" s="16"/>
      <c r="G126" s="16">
        <f t="shared" si="20"/>
        <v>0</v>
      </c>
      <c r="H126" s="16">
        <f t="shared" si="21"/>
        <v>0</v>
      </c>
      <c r="I126" s="16">
        <f t="shared" si="22"/>
        <v>0</v>
      </c>
      <c r="J126" s="16">
        <f t="shared" si="23"/>
        <v>0</v>
      </c>
      <c r="K126" s="16">
        <f t="shared" si="24"/>
        <v>0</v>
      </c>
      <c r="L126" s="16">
        <f t="shared" si="25"/>
        <v>0</v>
      </c>
      <c r="O126" s="9">
        <f t="shared" si="19"/>
        <v>0</v>
      </c>
    </row>
    <row r="127" spans="1:15">
      <c r="E127" s="16"/>
      <c r="F127" s="16"/>
      <c r="G127" s="16">
        <f t="shared" si="20"/>
        <v>0</v>
      </c>
      <c r="H127" s="16">
        <f t="shared" si="21"/>
        <v>0</v>
      </c>
      <c r="I127" s="16">
        <f t="shared" si="22"/>
        <v>0</v>
      </c>
      <c r="J127" s="16">
        <f t="shared" si="23"/>
        <v>0</v>
      </c>
      <c r="K127" s="16">
        <f t="shared" si="24"/>
        <v>0</v>
      </c>
      <c r="L127" s="16">
        <f t="shared" si="25"/>
        <v>0</v>
      </c>
      <c r="O127" s="9">
        <f t="shared" si="19"/>
        <v>0</v>
      </c>
    </row>
    <row r="128" spans="1:15">
      <c r="E128" s="16"/>
      <c r="F128" s="16"/>
      <c r="G128" s="16">
        <f t="shared" si="20"/>
        <v>0</v>
      </c>
      <c r="H128" s="16">
        <f t="shared" si="21"/>
        <v>0</v>
      </c>
      <c r="I128" s="16">
        <f t="shared" si="22"/>
        <v>0</v>
      </c>
      <c r="J128" s="16">
        <f t="shared" si="23"/>
        <v>0</v>
      </c>
      <c r="K128" s="16">
        <f t="shared" si="24"/>
        <v>0</v>
      </c>
      <c r="L128" s="16">
        <f t="shared" si="25"/>
        <v>0</v>
      </c>
      <c r="M128" s="16"/>
      <c r="N128" s="16"/>
      <c r="O128" s="9">
        <f t="shared" si="19"/>
        <v>0</v>
      </c>
    </row>
    <row r="129" spans="1:15">
      <c r="E129" s="16"/>
      <c r="F129" s="16"/>
      <c r="G129" s="16">
        <f t="shared" si="20"/>
        <v>0</v>
      </c>
      <c r="H129" s="16">
        <f t="shared" si="21"/>
        <v>0</v>
      </c>
      <c r="I129" s="16">
        <f t="shared" si="22"/>
        <v>0</v>
      </c>
      <c r="J129" s="16">
        <f t="shared" si="23"/>
        <v>0</v>
      </c>
      <c r="K129" s="16">
        <f t="shared" si="24"/>
        <v>0</v>
      </c>
      <c r="L129" s="16">
        <f t="shared" si="25"/>
        <v>0</v>
      </c>
      <c r="M129" s="16"/>
      <c r="N129" s="16"/>
      <c r="O129" s="9">
        <f t="shared" si="19"/>
        <v>0</v>
      </c>
    </row>
    <row r="130" spans="1:15">
      <c r="E130" s="16"/>
      <c r="F130" s="16"/>
      <c r="G130" s="16">
        <f t="shared" si="20"/>
        <v>0</v>
      </c>
      <c r="H130" s="16">
        <f t="shared" si="21"/>
        <v>0</v>
      </c>
      <c r="I130" s="16">
        <f t="shared" si="22"/>
        <v>0</v>
      </c>
      <c r="J130" s="16">
        <f t="shared" si="23"/>
        <v>0</v>
      </c>
      <c r="K130" s="16">
        <f t="shared" si="24"/>
        <v>0</v>
      </c>
      <c r="L130" s="16">
        <f t="shared" si="25"/>
        <v>0</v>
      </c>
      <c r="M130" s="16"/>
      <c r="N130" s="16"/>
      <c r="O130" s="9">
        <f t="shared" si="19"/>
        <v>0</v>
      </c>
    </row>
    <row r="131" spans="1:15">
      <c r="E131" s="16"/>
      <c r="F131" s="16"/>
      <c r="G131" s="16">
        <f t="shared" si="20"/>
        <v>0</v>
      </c>
      <c r="H131" s="16">
        <f t="shared" si="21"/>
        <v>0</v>
      </c>
      <c r="I131" s="16">
        <f t="shared" si="22"/>
        <v>0</v>
      </c>
      <c r="J131" s="16">
        <f t="shared" si="23"/>
        <v>0</v>
      </c>
      <c r="K131" s="16">
        <f t="shared" si="24"/>
        <v>0</v>
      </c>
      <c r="L131" s="16">
        <f t="shared" si="25"/>
        <v>0</v>
      </c>
      <c r="M131" s="16"/>
      <c r="N131" s="16"/>
      <c r="O131" s="9">
        <f t="shared" si="19"/>
        <v>0</v>
      </c>
    </row>
    <row r="132" spans="1:15">
      <c r="E132" s="16"/>
      <c r="F132" s="16"/>
      <c r="G132" s="16">
        <f t="shared" si="20"/>
        <v>0</v>
      </c>
      <c r="H132" s="16">
        <f t="shared" si="21"/>
        <v>0</v>
      </c>
      <c r="I132" s="16">
        <f t="shared" si="22"/>
        <v>0</v>
      </c>
      <c r="J132" s="16">
        <f t="shared" si="23"/>
        <v>0</v>
      </c>
      <c r="K132" s="16">
        <f t="shared" si="24"/>
        <v>0</v>
      </c>
      <c r="L132" s="16">
        <f t="shared" si="25"/>
        <v>0</v>
      </c>
      <c r="M132" s="16"/>
      <c r="N132" s="16"/>
      <c r="O132" s="9">
        <f t="shared" si="19"/>
        <v>0</v>
      </c>
    </row>
    <row r="133" spans="1:15">
      <c r="E133" s="16"/>
      <c r="F133" s="16"/>
      <c r="G133" s="16">
        <f t="shared" si="20"/>
        <v>0</v>
      </c>
      <c r="H133" s="16">
        <f t="shared" si="21"/>
        <v>0</v>
      </c>
      <c r="I133" s="16">
        <f t="shared" si="22"/>
        <v>0</v>
      </c>
      <c r="J133" s="16">
        <f t="shared" si="23"/>
        <v>0</v>
      </c>
      <c r="K133" s="16">
        <f t="shared" si="24"/>
        <v>0</v>
      </c>
      <c r="L133" s="16">
        <f t="shared" si="25"/>
        <v>0</v>
      </c>
      <c r="M133" s="16"/>
      <c r="N133" s="16"/>
      <c r="O133" s="9">
        <f t="shared" si="19"/>
        <v>0</v>
      </c>
    </row>
    <row r="134" spans="1:15">
      <c r="E134" s="16"/>
      <c r="F134" s="16"/>
      <c r="G134" s="16">
        <f t="shared" si="20"/>
        <v>0</v>
      </c>
      <c r="H134" s="16">
        <f t="shared" si="21"/>
        <v>0</v>
      </c>
      <c r="I134" s="16">
        <f t="shared" si="22"/>
        <v>0</v>
      </c>
      <c r="J134" s="16">
        <f t="shared" si="23"/>
        <v>0</v>
      </c>
      <c r="K134" s="16">
        <f t="shared" si="24"/>
        <v>0</v>
      </c>
      <c r="L134" s="16">
        <f t="shared" si="25"/>
        <v>0</v>
      </c>
      <c r="M134" s="16"/>
      <c r="N134" s="16"/>
      <c r="O134" s="9">
        <f t="shared" si="19"/>
        <v>0</v>
      </c>
    </row>
    <row r="135" spans="1:15">
      <c r="A135" s="5"/>
      <c r="C135" s="3"/>
      <c r="D135" s="16"/>
      <c r="E135" s="16"/>
      <c r="F135" s="16"/>
      <c r="G135" s="16">
        <f t="shared" si="20"/>
        <v>0</v>
      </c>
      <c r="H135" s="16">
        <f t="shared" si="21"/>
        <v>0</v>
      </c>
      <c r="I135" s="16">
        <f t="shared" si="22"/>
        <v>0</v>
      </c>
      <c r="J135" s="16">
        <f t="shared" si="23"/>
        <v>0</v>
      </c>
      <c r="K135" s="16">
        <f t="shared" si="24"/>
        <v>0</v>
      </c>
      <c r="L135" s="16">
        <f t="shared" si="25"/>
        <v>0</v>
      </c>
      <c r="M135" s="16"/>
      <c r="N135" s="16"/>
      <c r="O135" s="9">
        <f t="shared" si="19"/>
        <v>0</v>
      </c>
    </row>
    <row r="136" spans="1:15">
      <c r="A136" s="5"/>
      <c r="C136" s="3"/>
      <c r="D136" s="16"/>
      <c r="E136" s="16"/>
      <c r="F136" s="16"/>
      <c r="G136" s="16">
        <f t="shared" si="20"/>
        <v>0</v>
      </c>
      <c r="H136" s="16">
        <f t="shared" si="21"/>
        <v>0</v>
      </c>
      <c r="I136" s="16">
        <f t="shared" si="22"/>
        <v>0</v>
      </c>
      <c r="J136" s="16">
        <f t="shared" si="23"/>
        <v>0</v>
      </c>
      <c r="K136" s="16">
        <f t="shared" si="24"/>
        <v>0</v>
      </c>
      <c r="L136" s="16">
        <f t="shared" si="25"/>
        <v>0</v>
      </c>
      <c r="M136" s="16"/>
      <c r="N136" s="16"/>
      <c r="O136" s="9">
        <f t="shared" si="19"/>
        <v>0</v>
      </c>
    </row>
    <row r="137" spans="1:15">
      <c r="A137" s="5"/>
      <c r="C137" s="3"/>
      <c r="D137" s="16"/>
      <c r="E137" s="16"/>
      <c r="F137" s="16"/>
      <c r="G137" s="16">
        <f t="shared" ref="G137:G156" si="26">(E137/1.16)*0.5</f>
        <v>0</v>
      </c>
      <c r="H137" s="16">
        <f t="shared" ref="H137:H156" si="27">(F137/1.16)*0.13</f>
        <v>0</v>
      </c>
      <c r="I137" s="16">
        <f t="shared" ref="I137:I156" si="28">D137*3.5%</f>
        <v>0</v>
      </c>
      <c r="J137" s="16">
        <f t="shared" ref="J137:J156" si="29">+G137+I137</f>
        <v>0</v>
      </c>
      <c r="K137" s="16">
        <f t="shared" ref="K137:K156" si="30">SUM(+D137+E137-F137-I137)</f>
        <v>0</v>
      </c>
      <c r="L137" s="16">
        <f t="shared" ref="L137:L156" si="31">K137*$L$8</f>
        <v>0</v>
      </c>
      <c r="M137" s="16"/>
      <c r="N137" s="16"/>
      <c r="O137" s="9">
        <f t="shared" si="19"/>
        <v>0</v>
      </c>
    </row>
    <row r="138" spans="1:15">
      <c r="A138" s="5"/>
      <c r="C138" s="3"/>
      <c r="D138" s="16"/>
      <c r="E138" s="16"/>
      <c r="F138" s="16"/>
      <c r="G138" s="16">
        <f t="shared" si="26"/>
        <v>0</v>
      </c>
      <c r="H138" s="16">
        <f t="shared" si="27"/>
        <v>0</v>
      </c>
      <c r="I138" s="16">
        <f t="shared" si="28"/>
        <v>0</v>
      </c>
      <c r="J138" s="16">
        <f t="shared" si="29"/>
        <v>0</v>
      </c>
      <c r="K138" s="16">
        <f t="shared" si="30"/>
        <v>0</v>
      </c>
      <c r="L138" s="16">
        <f t="shared" si="31"/>
        <v>0</v>
      </c>
      <c r="M138" s="16"/>
      <c r="N138" s="16"/>
      <c r="O138" s="9">
        <f t="shared" ref="O138:O201" si="32">N138-M138</f>
        <v>0</v>
      </c>
    </row>
    <row r="139" spans="1:15">
      <c r="A139" s="5"/>
      <c r="C139" s="3"/>
      <c r="D139" s="16"/>
      <c r="E139" s="16"/>
      <c r="F139" s="16"/>
      <c r="G139" s="16">
        <f t="shared" si="26"/>
        <v>0</v>
      </c>
      <c r="H139" s="16">
        <f t="shared" si="27"/>
        <v>0</v>
      </c>
      <c r="I139" s="16">
        <f t="shared" si="28"/>
        <v>0</v>
      </c>
      <c r="J139" s="16">
        <f t="shared" si="29"/>
        <v>0</v>
      </c>
      <c r="K139" s="16">
        <f t="shared" si="30"/>
        <v>0</v>
      </c>
      <c r="L139" s="16">
        <f t="shared" si="31"/>
        <v>0</v>
      </c>
      <c r="M139" s="16"/>
      <c r="N139" s="16"/>
      <c r="O139" s="9">
        <f t="shared" si="32"/>
        <v>0</v>
      </c>
    </row>
    <row r="140" spans="1:15">
      <c r="A140" s="5"/>
      <c r="C140" s="3"/>
      <c r="D140" s="16"/>
      <c r="E140" s="16"/>
      <c r="F140" s="16"/>
      <c r="G140" s="16">
        <f t="shared" si="26"/>
        <v>0</v>
      </c>
      <c r="H140" s="16">
        <f t="shared" si="27"/>
        <v>0</v>
      </c>
      <c r="I140" s="16">
        <f t="shared" si="28"/>
        <v>0</v>
      </c>
      <c r="J140" s="16">
        <f t="shared" si="29"/>
        <v>0</v>
      </c>
      <c r="K140" s="16">
        <f t="shared" si="30"/>
        <v>0</v>
      </c>
      <c r="L140" s="16">
        <f t="shared" si="31"/>
        <v>0</v>
      </c>
      <c r="M140" s="16"/>
      <c r="N140" s="16"/>
      <c r="O140" s="9">
        <f t="shared" si="32"/>
        <v>0</v>
      </c>
    </row>
    <row r="141" spans="1:15">
      <c r="A141" s="5"/>
      <c r="C141" s="3"/>
      <c r="D141" s="16"/>
      <c r="E141" s="16"/>
      <c r="F141" s="16"/>
      <c r="G141" s="16">
        <f t="shared" si="26"/>
        <v>0</v>
      </c>
      <c r="H141" s="16">
        <f t="shared" si="27"/>
        <v>0</v>
      </c>
      <c r="I141" s="16">
        <f t="shared" si="28"/>
        <v>0</v>
      </c>
      <c r="J141" s="16">
        <f t="shared" si="29"/>
        <v>0</v>
      </c>
      <c r="K141" s="16">
        <f t="shared" si="30"/>
        <v>0</v>
      </c>
      <c r="L141" s="16">
        <f t="shared" si="31"/>
        <v>0</v>
      </c>
      <c r="M141" s="16"/>
      <c r="N141" s="16"/>
      <c r="O141" s="9">
        <f t="shared" si="32"/>
        <v>0</v>
      </c>
    </row>
    <row r="142" spans="1:15">
      <c r="A142" s="5"/>
      <c r="C142" s="3"/>
      <c r="D142" s="16"/>
      <c r="E142" s="16"/>
      <c r="F142" s="16"/>
      <c r="G142" s="16">
        <f t="shared" si="26"/>
        <v>0</v>
      </c>
      <c r="H142" s="16">
        <f t="shared" si="27"/>
        <v>0</v>
      </c>
      <c r="I142" s="16">
        <f t="shared" si="28"/>
        <v>0</v>
      </c>
      <c r="J142" s="16">
        <f t="shared" si="29"/>
        <v>0</v>
      </c>
      <c r="K142" s="16">
        <f t="shared" si="30"/>
        <v>0</v>
      </c>
      <c r="L142" s="16">
        <f t="shared" si="31"/>
        <v>0</v>
      </c>
      <c r="M142" s="16"/>
      <c r="N142" s="16"/>
      <c r="O142" s="9">
        <f t="shared" si="32"/>
        <v>0</v>
      </c>
    </row>
    <row r="143" spans="1:15">
      <c r="A143" s="5"/>
      <c r="C143" s="3"/>
      <c r="D143" s="16"/>
      <c r="E143" s="16"/>
      <c r="F143" s="16"/>
      <c r="G143" s="16">
        <f t="shared" si="26"/>
        <v>0</v>
      </c>
      <c r="H143" s="16">
        <f t="shared" si="27"/>
        <v>0</v>
      </c>
      <c r="I143" s="16">
        <f t="shared" si="28"/>
        <v>0</v>
      </c>
      <c r="J143" s="16">
        <f t="shared" si="29"/>
        <v>0</v>
      </c>
      <c r="K143" s="16">
        <f t="shared" si="30"/>
        <v>0</v>
      </c>
      <c r="L143" s="16">
        <f t="shared" si="31"/>
        <v>0</v>
      </c>
      <c r="M143" s="16"/>
      <c r="N143" s="16"/>
      <c r="O143" s="9">
        <f t="shared" si="32"/>
        <v>0</v>
      </c>
    </row>
    <row r="144" spans="1:15">
      <c r="A144" s="5"/>
      <c r="C144" s="3"/>
      <c r="D144" s="16"/>
      <c r="E144" s="16"/>
      <c r="F144" s="16"/>
      <c r="G144" s="16">
        <f t="shared" si="26"/>
        <v>0</v>
      </c>
      <c r="H144" s="16">
        <f t="shared" si="27"/>
        <v>0</v>
      </c>
      <c r="I144" s="16">
        <f t="shared" si="28"/>
        <v>0</v>
      </c>
      <c r="J144" s="16">
        <f t="shared" si="29"/>
        <v>0</v>
      </c>
      <c r="K144" s="16">
        <f t="shared" si="30"/>
        <v>0</v>
      </c>
      <c r="L144" s="16">
        <f t="shared" si="31"/>
        <v>0</v>
      </c>
      <c r="M144" s="16"/>
      <c r="N144" s="16"/>
      <c r="O144" s="9">
        <f t="shared" si="32"/>
        <v>0</v>
      </c>
    </row>
    <row r="145" spans="1:15">
      <c r="C145" s="3"/>
      <c r="D145" s="16"/>
      <c r="E145" s="16"/>
      <c r="F145" s="16"/>
      <c r="G145" s="16">
        <f t="shared" si="26"/>
        <v>0</v>
      </c>
      <c r="H145" s="16">
        <f t="shared" si="27"/>
        <v>0</v>
      </c>
      <c r="I145" s="16">
        <f t="shared" si="28"/>
        <v>0</v>
      </c>
      <c r="J145" s="16">
        <f t="shared" si="29"/>
        <v>0</v>
      </c>
      <c r="K145" s="16">
        <f t="shared" si="30"/>
        <v>0</v>
      </c>
      <c r="L145" s="16">
        <f t="shared" si="31"/>
        <v>0</v>
      </c>
      <c r="M145" s="16"/>
      <c r="N145" s="16"/>
      <c r="O145" s="9">
        <f t="shared" si="32"/>
        <v>0</v>
      </c>
    </row>
    <row r="146" spans="1:15">
      <c r="C146" s="3"/>
      <c r="D146" s="16"/>
      <c r="E146" s="16"/>
      <c r="F146" s="16"/>
      <c r="G146" s="16">
        <f t="shared" si="26"/>
        <v>0</v>
      </c>
      <c r="H146" s="16">
        <f t="shared" si="27"/>
        <v>0</v>
      </c>
      <c r="I146" s="16">
        <f t="shared" si="28"/>
        <v>0</v>
      </c>
      <c r="J146" s="16">
        <f t="shared" si="29"/>
        <v>0</v>
      </c>
      <c r="K146" s="16">
        <f t="shared" si="30"/>
        <v>0</v>
      </c>
      <c r="L146" s="16">
        <f t="shared" si="31"/>
        <v>0</v>
      </c>
      <c r="M146" s="16"/>
      <c r="N146" s="16"/>
      <c r="O146" s="9">
        <f t="shared" si="32"/>
        <v>0</v>
      </c>
    </row>
    <row r="147" spans="1:15">
      <c r="A147" s="13"/>
      <c r="C147" s="3"/>
      <c r="D147" s="16"/>
      <c r="E147" s="16"/>
      <c r="F147" s="16"/>
      <c r="G147" s="16">
        <f t="shared" si="26"/>
        <v>0</v>
      </c>
      <c r="H147" s="16">
        <f t="shared" si="27"/>
        <v>0</v>
      </c>
      <c r="I147" s="16">
        <f t="shared" si="28"/>
        <v>0</v>
      </c>
      <c r="J147" s="16">
        <f t="shared" si="29"/>
        <v>0</v>
      </c>
      <c r="K147" s="16">
        <f t="shared" si="30"/>
        <v>0</v>
      </c>
      <c r="L147" s="16">
        <f t="shared" si="31"/>
        <v>0</v>
      </c>
      <c r="M147" s="16"/>
      <c r="N147" s="16"/>
      <c r="O147" s="9">
        <f t="shared" si="32"/>
        <v>0</v>
      </c>
    </row>
    <row r="148" spans="1:15">
      <c r="C148" s="3"/>
      <c r="D148" s="16"/>
      <c r="E148" s="16"/>
      <c r="F148" s="16"/>
      <c r="G148" s="16">
        <f t="shared" si="26"/>
        <v>0</v>
      </c>
      <c r="H148" s="16">
        <f t="shared" si="27"/>
        <v>0</v>
      </c>
      <c r="I148" s="16">
        <f t="shared" si="28"/>
        <v>0</v>
      </c>
      <c r="J148" s="16">
        <f t="shared" si="29"/>
        <v>0</v>
      </c>
      <c r="K148" s="16">
        <f t="shared" si="30"/>
        <v>0</v>
      </c>
      <c r="L148" s="16">
        <f t="shared" si="31"/>
        <v>0</v>
      </c>
      <c r="M148" s="16"/>
      <c r="N148" s="16"/>
      <c r="O148" s="9">
        <f t="shared" si="32"/>
        <v>0</v>
      </c>
    </row>
    <row r="149" spans="1:15">
      <c r="C149" s="3"/>
      <c r="D149" s="16"/>
      <c r="E149" s="16"/>
      <c r="F149" s="16"/>
      <c r="G149" s="16">
        <f t="shared" si="26"/>
        <v>0</v>
      </c>
      <c r="H149" s="16">
        <f t="shared" si="27"/>
        <v>0</v>
      </c>
      <c r="I149" s="16">
        <f t="shared" si="28"/>
        <v>0</v>
      </c>
      <c r="J149" s="16">
        <f t="shared" si="29"/>
        <v>0</v>
      </c>
      <c r="K149" s="16">
        <f t="shared" si="30"/>
        <v>0</v>
      </c>
      <c r="L149" s="16">
        <f t="shared" si="31"/>
        <v>0</v>
      </c>
      <c r="M149" s="16"/>
      <c r="N149" s="16"/>
      <c r="O149" s="9">
        <f t="shared" si="32"/>
        <v>0</v>
      </c>
    </row>
    <row r="150" spans="1:15">
      <c r="C150" s="3"/>
      <c r="D150" s="16"/>
      <c r="E150" s="16"/>
      <c r="F150" s="16"/>
      <c r="G150" s="16">
        <f t="shared" si="26"/>
        <v>0</v>
      </c>
      <c r="H150" s="16">
        <f t="shared" si="27"/>
        <v>0</v>
      </c>
      <c r="I150" s="16">
        <f t="shared" si="28"/>
        <v>0</v>
      </c>
      <c r="J150" s="16">
        <f t="shared" si="29"/>
        <v>0</v>
      </c>
      <c r="K150" s="16">
        <f t="shared" si="30"/>
        <v>0</v>
      </c>
      <c r="L150" s="16">
        <f t="shared" si="31"/>
        <v>0</v>
      </c>
      <c r="M150" s="16"/>
      <c r="N150" s="16"/>
      <c r="O150" s="9">
        <f t="shared" si="32"/>
        <v>0</v>
      </c>
    </row>
    <row r="151" spans="1:15">
      <c r="C151" s="3"/>
      <c r="D151" s="16"/>
      <c r="E151" s="16"/>
      <c r="F151" s="16"/>
      <c r="G151" s="16">
        <f t="shared" si="26"/>
        <v>0</v>
      </c>
      <c r="H151" s="16">
        <f t="shared" si="27"/>
        <v>0</v>
      </c>
      <c r="I151" s="16">
        <f t="shared" si="28"/>
        <v>0</v>
      </c>
      <c r="J151" s="16">
        <f t="shared" si="29"/>
        <v>0</v>
      </c>
      <c r="K151" s="16">
        <f t="shared" si="30"/>
        <v>0</v>
      </c>
      <c r="L151" s="16">
        <f t="shared" si="31"/>
        <v>0</v>
      </c>
      <c r="M151" s="16"/>
      <c r="N151" s="16"/>
      <c r="O151" s="9">
        <f t="shared" si="32"/>
        <v>0</v>
      </c>
    </row>
    <row r="152" spans="1:15">
      <c r="C152" s="3"/>
      <c r="D152" s="16"/>
      <c r="E152" s="16"/>
      <c r="F152" s="16"/>
      <c r="G152" s="16">
        <f t="shared" si="26"/>
        <v>0</v>
      </c>
      <c r="H152" s="16">
        <f t="shared" si="27"/>
        <v>0</v>
      </c>
      <c r="I152" s="16">
        <f t="shared" si="28"/>
        <v>0</v>
      </c>
      <c r="J152" s="16">
        <f t="shared" si="29"/>
        <v>0</v>
      </c>
      <c r="K152" s="16">
        <f t="shared" si="30"/>
        <v>0</v>
      </c>
      <c r="L152" s="16">
        <f t="shared" si="31"/>
        <v>0</v>
      </c>
      <c r="M152" s="16"/>
      <c r="N152" s="16"/>
      <c r="O152" s="9">
        <f t="shared" si="32"/>
        <v>0</v>
      </c>
    </row>
    <row r="153" spans="1:15">
      <c r="C153" s="3"/>
      <c r="D153" s="16"/>
      <c r="E153" s="16"/>
      <c r="F153" s="16"/>
      <c r="G153" s="16">
        <f t="shared" si="26"/>
        <v>0</v>
      </c>
      <c r="H153" s="16">
        <f t="shared" si="27"/>
        <v>0</v>
      </c>
      <c r="I153" s="16">
        <f t="shared" si="28"/>
        <v>0</v>
      </c>
      <c r="J153" s="16">
        <f t="shared" si="29"/>
        <v>0</v>
      </c>
      <c r="K153" s="16">
        <f t="shared" si="30"/>
        <v>0</v>
      </c>
      <c r="L153" s="16">
        <f t="shared" si="31"/>
        <v>0</v>
      </c>
      <c r="M153" s="16"/>
      <c r="N153" s="16"/>
      <c r="O153" s="9">
        <f t="shared" si="32"/>
        <v>0</v>
      </c>
    </row>
    <row r="154" spans="1:15">
      <c r="C154" s="3"/>
      <c r="D154" s="16"/>
      <c r="E154" s="16"/>
      <c r="F154" s="16"/>
      <c r="G154" s="16">
        <f t="shared" si="26"/>
        <v>0</v>
      </c>
      <c r="H154" s="16">
        <f t="shared" si="27"/>
        <v>0</v>
      </c>
      <c r="I154" s="16">
        <f t="shared" si="28"/>
        <v>0</v>
      </c>
      <c r="J154" s="16">
        <f t="shared" si="29"/>
        <v>0</v>
      </c>
      <c r="K154" s="16">
        <f t="shared" si="30"/>
        <v>0</v>
      </c>
      <c r="L154" s="16">
        <f t="shared" si="31"/>
        <v>0</v>
      </c>
      <c r="M154" s="16"/>
      <c r="N154" s="16"/>
      <c r="O154" s="9">
        <f t="shared" si="32"/>
        <v>0</v>
      </c>
    </row>
    <row r="155" spans="1:15">
      <c r="C155" s="3"/>
      <c r="D155" s="16"/>
      <c r="E155" s="16"/>
      <c r="F155" s="16"/>
      <c r="G155" s="16">
        <f t="shared" si="26"/>
        <v>0</v>
      </c>
      <c r="H155" s="16">
        <f t="shared" si="27"/>
        <v>0</v>
      </c>
      <c r="I155" s="16">
        <f t="shared" si="28"/>
        <v>0</v>
      </c>
      <c r="J155" s="16">
        <f t="shared" si="29"/>
        <v>0</v>
      </c>
      <c r="K155" s="16">
        <f t="shared" si="30"/>
        <v>0</v>
      </c>
      <c r="L155" s="16">
        <f t="shared" si="31"/>
        <v>0</v>
      </c>
      <c r="M155" s="16"/>
      <c r="N155" s="16"/>
      <c r="O155" s="9">
        <f t="shared" si="32"/>
        <v>0</v>
      </c>
    </row>
    <row r="156" spans="1:15">
      <c r="D156" s="16"/>
      <c r="E156" s="16"/>
      <c r="F156" s="16"/>
      <c r="G156" s="16">
        <f t="shared" si="26"/>
        <v>0</v>
      </c>
      <c r="H156" s="16">
        <f t="shared" si="27"/>
        <v>0</v>
      </c>
      <c r="I156" s="16">
        <f t="shared" si="28"/>
        <v>0</v>
      </c>
      <c r="J156" s="16">
        <f t="shared" si="29"/>
        <v>0</v>
      </c>
      <c r="K156" s="16">
        <f t="shared" si="30"/>
        <v>0</v>
      </c>
      <c r="L156" s="16">
        <f t="shared" si="31"/>
        <v>0</v>
      </c>
      <c r="M156" s="16"/>
      <c r="N156" s="16"/>
      <c r="O156" s="9">
        <f t="shared" si="32"/>
        <v>0</v>
      </c>
    </row>
    <row r="157" spans="1:15"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9">
        <f t="shared" si="32"/>
        <v>0</v>
      </c>
    </row>
    <row r="158" spans="1:15"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9">
        <f t="shared" si="32"/>
        <v>0</v>
      </c>
    </row>
    <row r="159" spans="1:15"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9">
        <f t="shared" si="32"/>
        <v>0</v>
      </c>
    </row>
    <row r="160" spans="1:15"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9">
        <f t="shared" si="32"/>
        <v>0</v>
      </c>
    </row>
    <row r="161" spans="4:15"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9">
        <f t="shared" si="32"/>
        <v>0</v>
      </c>
    </row>
    <row r="162" spans="4:15">
      <c r="K162" s="16"/>
      <c r="L162" s="16"/>
      <c r="M162" s="16"/>
      <c r="N162" s="16"/>
      <c r="O162" s="9">
        <f t="shared" si="32"/>
        <v>0</v>
      </c>
    </row>
    <row r="163" spans="4:15">
      <c r="L163" s="16">
        <f>K163*$L$8</f>
        <v>0</v>
      </c>
      <c r="M163" s="16"/>
      <c r="N163" s="16"/>
      <c r="O163" s="9">
        <f t="shared" si="32"/>
        <v>0</v>
      </c>
    </row>
    <row r="164" spans="4:15">
      <c r="O164" s="9">
        <f t="shared" si="32"/>
        <v>0</v>
      </c>
    </row>
    <row r="165" spans="4:15">
      <c r="O165" s="9">
        <f t="shared" si="32"/>
        <v>0</v>
      </c>
    </row>
    <row r="166" spans="4:15">
      <c r="O166" s="9">
        <f t="shared" si="32"/>
        <v>0</v>
      </c>
    </row>
    <row r="167" spans="4:15">
      <c r="O167" s="9">
        <f t="shared" si="32"/>
        <v>0</v>
      </c>
    </row>
    <row r="168" spans="4:15">
      <c r="O168" s="9">
        <f t="shared" si="32"/>
        <v>0</v>
      </c>
    </row>
    <row r="169" spans="4:15">
      <c r="O169" s="9">
        <f t="shared" si="32"/>
        <v>0</v>
      </c>
    </row>
    <row r="170" spans="4:15">
      <c r="O170" s="9">
        <f t="shared" si="32"/>
        <v>0</v>
      </c>
    </row>
    <row r="171" spans="4:15">
      <c r="O171" s="9">
        <f t="shared" si="32"/>
        <v>0</v>
      </c>
    </row>
    <row r="172" spans="4:15">
      <c r="O172" s="9">
        <f t="shared" si="32"/>
        <v>0</v>
      </c>
    </row>
    <row r="173" spans="4:15">
      <c r="O173" s="9">
        <f t="shared" si="32"/>
        <v>0</v>
      </c>
    </row>
    <row r="174" spans="4:15">
      <c r="O174" s="9">
        <f t="shared" si="32"/>
        <v>0</v>
      </c>
    </row>
    <row r="175" spans="4:15">
      <c r="O175" s="9">
        <f t="shared" si="32"/>
        <v>0</v>
      </c>
    </row>
    <row r="176" spans="4:15">
      <c r="O176" s="9">
        <f t="shared" si="32"/>
        <v>0</v>
      </c>
    </row>
    <row r="177" spans="15:15">
      <c r="O177" s="9">
        <f t="shared" si="32"/>
        <v>0</v>
      </c>
    </row>
    <row r="178" spans="15:15">
      <c r="O178" s="9">
        <f t="shared" si="32"/>
        <v>0</v>
      </c>
    </row>
    <row r="179" spans="15:15">
      <c r="O179" s="9">
        <f t="shared" si="32"/>
        <v>0</v>
      </c>
    </row>
    <row r="180" spans="15:15">
      <c r="O180" s="9">
        <f t="shared" si="32"/>
        <v>0</v>
      </c>
    </row>
    <row r="181" spans="15:15">
      <c r="O181" s="9">
        <f t="shared" si="32"/>
        <v>0</v>
      </c>
    </row>
    <row r="182" spans="15:15">
      <c r="O182" s="9">
        <f t="shared" si="32"/>
        <v>0</v>
      </c>
    </row>
    <row r="183" spans="15:15">
      <c r="O183" s="9">
        <f t="shared" si="32"/>
        <v>0</v>
      </c>
    </row>
    <row r="184" spans="15:15">
      <c r="O184" s="9">
        <f t="shared" si="32"/>
        <v>0</v>
      </c>
    </row>
    <row r="185" spans="15:15">
      <c r="O185" s="9">
        <f t="shared" si="32"/>
        <v>0</v>
      </c>
    </row>
    <row r="186" spans="15:15">
      <c r="O186" s="9">
        <f t="shared" si="32"/>
        <v>0</v>
      </c>
    </row>
    <row r="187" spans="15:15">
      <c r="O187" s="9">
        <f t="shared" si="32"/>
        <v>0</v>
      </c>
    </row>
    <row r="188" spans="15:15">
      <c r="O188" s="9">
        <f t="shared" si="32"/>
        <v>0</v>
      </c>
    </row>
    <row r="189" spans="15:15">
      <c r="O189" s="9">
        <f t="shared" si="32"/>
        <v>0</v>
      </c>
    </row>
    <row r="190" spans="15:15">
      <c r="O190" s="9">
        <f t="shared" si="32"/>
        <v>0</v>
      </c>
    </row>
    <row r="191" spans="15:15">
      <c r="O191" s="9">
        <f t="shared" si="32"/>
        <v>0</v>
      </c>
    </row>
    <row r="192" spans="15:15">
      <c r="O192" s="9">
        <f t="shared" si="32"/>
        <v>0</v>
      </c>
    </row>
    <row r="193" spans="15:15">
      <c r="O193" s="9">
        <f t="shared" si="32"/>
        <v>0</v>
      </c>
    </row>
    <row r="194" spans="15:15">
      <c r="O194" s="9">
        <f t="shared" si="32"/>
        <v>0</v>
      </c>
    </row>
    <row r="195" spans="15:15">
      <c r="O195" s="9">
        <f t="shared" si="32"/>
        <v>0</v>
      </c>
    </row>
    <row r="196" spans="15:15">
      <c r="O196" s="9">
        <f t="shared" si="32"/>
        <v>0</v>
      </c>
    </row>
    <row r="197" spans="15:15">
      <c r="O197" s="9">
        <f t="shared" si="32"/>
        <v>0</v>
      </c>
    </row>
    <row r="198" spans="15:15">
      <c r="O198" s="9">
        <f t="shared" si="32"/>
        <v>0</v>
      </c>
    </row>
    <row r="199" spans="15:15">
      <c r="O199" s="9">
        <f t="shared" si="32"/>
        <v>0</v>
      </c>
    </row>
    <row r="200" spans="15:15">
      <c r="O200" s="9">
        <f t="shared" si="32"/>
        <v>0</v>
      </c>
    </row>
    <row r="201" spans="15:15">
      <c r="O201" s="9">
        <f t="shared" si="32"/>
        <v>0</v>
      </c>
    </row>
    <row r="202" spans="15:15">
      <c r="O202" s="9">
        <f>N202-M202</f>
        <v>0</v>
      </c>
    </row>
  </sheetData>
  <mergeCells count="3">
    <mergeCell ref="A3:L3"/>
    <mergeCell ref="A2:L2"/>
    <mergeCell ref="A4:L4"/>
  </mergeCells>
  <phoneticPr fontId="10" type="noConversion"/>
  <pageMargins left="0.7" right="0.7" top="0.75" bottom="0.75" header="0.3" footer="0.3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</vt:lpstr>
      <vt:lpstr>AGOSTO</vt:lpstr>
      <vt:lpstr>SEPTIEMBRE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dcterms:created xsi:type="dcterms:W3CDTF">2016-07-07T13:56:15Z</dcterms:created>
  <dcterms:modified xsi:type="dcterms:W3CDTF">2016-10-01T14:31:22Z</dcterms:modified>
</cp:coreProperties>
</file>