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3" i="1" l="1"/>
  <c r="E32" i="1"/>
  <c r="I21" i="1"/>
  <c r="J21" i="1" s="1"/>
  <c r="I18" i="1"/>
  <c r="I17" i="1"/>
  <c r="I20" i="1"/>
  <c r="I14" i="1"/>
  <c r="M14" i="1" s="1"/>
  <c r="I10" i="1"/>
  <c r="M10" i="1" s="1"/>
  <c r="I8" i="1"/>
  <c r="E21" i="1"/>
  <c r="E18" i="1"/>
  <c r="E19" i="1"/>
  <c r="F19" i="1" s="1"/>
  <c r="M18" i="1"/>
  <c r="E17" i="1"/>
  <c r="E20" i="1"/>
  <c r="E23" i="1"/>
  <c r="M23" i="1" s="1"/>
  <c r="E16" i="1"/>
  <c r="E14" i="1"/>
  <c r="E10" i="1"/>
  <c r="E7" i="1"/>
  <c r="F7" i="1" s="1"/>
  <c r="E8" i="1"/>
  <c r="D7" i="1"/>
  <c r="D8" i="1"/>
  <c r="D34" i="1"/>
  <c r="D33" i="1"/>
  <c r="D32" i="1"/>
  <c r="H18" i="1"/>
  <c r="L18" i="1" s="1"/>
  <c r="H17" i="1"/>
  <c r="H20" i="1"/>
  <c r="H14" i="1"/>
  <c r="H10" i="1"/>
  <c r="H8" i="1"/>
  <c r="D21" i="1"/>
  <c r="D19" i="1"/>
  <c r="D18" i="1"/>
  <c r="F18" i="1" s="1"/>
  <c r="D17" i="1"/>
  <c r="D20" i="1"/>
  <c r="D23" i="1"/>
  <c r="D16" i="1"/>
  <c r="D14" i="1"/>
  <c r="D10" i="1"/>
  <c r="F35" i="1"/>
  <c r="E34" i="1"/>
  <c r="C34" i="1"/>
  <c r="F33" i="1"/>
  <c r="G27" i="1"/>
  <c r="C27" i="1"/>
  <c r="M26" i="1"/>
  <c r="K26" i="1"/>
  <c r="F26" i="1"/>
  <c r="M25" i="1"/>
  <c r="L25" i="1"/>
  <c r="N25" i="1" s="1"/>
  <c r="K25" i="1"/>
  <c r="J25" i="1"/>
  <c r="F25" i="1"/>
  <c r="M24" i="1"/>
  <c r="L24" i="1"/>
  <c r="K24" i="1"/>
  <c r="J24" i="1"/>
  <c r="F24" i="1"/>
  <c r="K23" i="1"/>
  <c r="J23" i="1"/>
  <c r="L23" i="1"/>
  <c r="M22" i="1"/>
  <c r="L22" i="1"/>
  <c r="N22" i="1" s="1"/>
  <c r="K22" i="1"/>
  <c r="J22" i="1"/>
  <c r="F22" i="1"/>
  <c r="K21" i="1"/>
  <c r="M21" i="1"/>
  <c r="F21" i="1"/>
  <c r="K20" i="1"/>
  <c r="J20" i="1"/>
  <c r="M20" i="1"/>
  <c r="L19" i="1"/>
  <c r="K19" i="1"/>
  <c r="J19" i="1"/>
  <c r="K18" i="1"/>
  <c r="J18" i="1"/>
  <c r="K17" i="1"/>
  <c r="J17" i="1"/>
  <c r="L17" i="1"/>
  <c r="K16" i="1"/>
  <c r="J16" i="1"/>
  <c r="F16" i="1"/>
  <c r="M15" i="1"/>
  <c r="L15" i="1"/>
  <c r="K15" i="1"/>
  <c r="J15" i="1"/>
  <c r="F15" i="1"/>
  <c r="K14" i="1"/>
  <c r="J14" i="1"/>
  <c r="F14" i="1"/>
  <c r="M13" i="1"/>
  <c r="L13" i="1"/>
  <c r="N13" i="1" s="1"/>
  <c r="K13" i="1"/>
  <c r="J13" i="1"/>
  <c r="F13" i="1"/>
  <c r="M12" i="1"/>
  <c r="L12" i="1"/>
  <c r="N12" i="1" s="1"/>
  <c r="K12" i="1"/>
  <c r="J12" i="1"/>
  <c r="F12" i="1"/>
  <c r="M11" i="1"/>
  <c r="L11" i="1"/>
  <c r="K11" i="1"/>
  <c r="J11" i="1"/>
  <c r="F11" i="1"/>
  <c r="K10" i="1"/>
  <c r="J10" i="1"/>
  <c r="M9" i="1"/>
  <c r="L9" i="1"/>
  <c r="K9" i="1"/>
  <c r="J9" i="1"/>
  <c r="F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K8" i="1"/>
  <c r="J8" i="1"/>
  <c r="M8" i="1"/>
  <c r="K7" i="1"/>
  <c r="M7" i="1"/>
  <c r="N18" i="1" l="1"/>
  <c r="F20" i="1"/>
  <c r="F17" i="1"/>
  <c r="H27" i="1"/>
  <c r="H29" i="1" s="1"/>
  <c r="L10" i="1"/>
  <c r="N10" i="1" s="1"/>
  <c r="D27" i="1"/>
  <c r="D29" i="1" s="1"/>
  <c r="C36" i="1"/>
  <c r="K27" i="1"/>
  <c r="N24" i="1"/>
  <c r="N9" i="1"/>
  <c r="N11" i="1"/>
  <c r="N15" i="1"/>
  <c r="N23" i="1"/>
  <c r="L8" i="1"/>
  <c r="N8" i="1" s="1"/>
  <c r="L14" i="1"/>
  <c r="N14" i="1" s="1"/>
  <c r="M19" i="1"/>
  <c r="N19" i="1" s="1"/>
  <c r="L20" i="1"/>
  <c r="N20" i="1" s="1"/>
  <c r="F8" i="1"/>
  <c r="F10" i="1"/>
  <c r="L21" i="1"/>
  <c r="N21" i="1" s="1"/>
  <c r="J7" i="1"/>
  <c r="J27" i="1" s="1"/>
  <c r="L16" i="1"/>
  <c r="M17" i="1"/>
  <c r="N17" i="1" s="1"/>
  <c r="F23" i="1"/>
  <c r="E27" i="1"/>
  <c r="I27" i="1"/>
  <c r="I29" i="1" s="1"/>
  <c r="M16" i="1"/>
  <c r="L7" i="1"/>
  <c r="F32" i="1"/>
  <c r="F34" i="1" s="1"/>
  <c r="M27" i="1" l="1"/>
  <c r="D36" i="1"/>
  <c r="F27" i="1"/>
  <c r="F36" i="1" s="1"/>
  <c r="G34" i="1" s="1"/>
  <c r="L27" i="1"/>
  <c r="N7" i="1"/>
  <c r="N16" i="1"/>
  <c r="E29" i="1"/>
  <c r="E36" i="1"/>
  <c r="N27" i="1" l="1"/>
</calcChain>
</file>

<file path=xl/sharedStrings.xml><?xml version="1.0" encoding="utf-8"?>
<sst xmlns="http://schemas.openxmlformats.org/spreadsheetml/2006/main" count="47" uniqueCount="39">
  <si>
    <t>ALECSA CELAYA S DE RL DE CV</t>
  </si>
  <si>
    <t>ESTADO FINANCIERO TOYOTA</t>
  </si>
  <si>
    <t>INTERCAMBIO</t>
  </si>
  <si>
    <t>TOTAL</t>
  </si>
  <si>
    <t>TIPO</t>
  </si>
  <si>
    <t>No</t>
  </si>
  <si>
    <t>VENTA</t>
  </si>
  <si>
    <t>COSTO</t>
  </si>
  <si>
    <t>UTILIDAD</t>
  </si>
  <si>
    <t>CAMRY</t>
  </si>
  <si>
    <t>COROLLA</t>
  </si>
  <si>
    <t>MATRIX</t>
  </si>
  <si>
    <t>PRIUS</t>
  </si>
  <si>
    <t>MR2 SPYDER</t>
  </si>
  <si>
    <t>SOLARA</t>
  </si>
  <si>
    <t>4RUNNER</t>
  </si>
  <si>
    <t>SIENNA</t>
  </si>
  <si>
    <t>LAND CRUISER</t>
  </si>
  <si>
    <t>RAV4</t>
  </si>
  <si>
    <t>YARIS</t>
  </si>
  <si>
    <t>HILUX</t>
  </si>
  <si>
    <t>HIACE</t>
  </si>
  <si>
    <t>TACOMA</t>
  </si>
  <si>
    <t>AVANZA</t>
  </si>
  <si>
    <t>TUNDRA</t>
  </si>
  <si>
    <t>HIGHLANDER</t>
  </si>
  <si>
    <t>FJ CRUISER</t>
  </si>
  <si>
    <t>SEQUOIA</t>
  </si>
  <si>
    <t>RUSH</t>
  </si>
  <si>
    <t>T. NUEVOS</t>
  </si>
  <si>
    <t>edo. Res</t>
  </si>
  <si>
    <t>T. AUTOS NVOS</t>
  </si>
  <si>
    <t>USADOS COMO NUEVOS</t>
  </si>
  <si>
    <t>USADOS TOYOTA</t>
  </si>
  <si>
    <t>USADOS OTROS</t>
  </si>
  <si>
    <t>T. AUTOS USADOS</t>
  </si>
  <si>
    <t>F&amp;i</t>
  </si>
  <si>
    <t xml:space="preserve">T. AUTOS </t>
  </si>
  <si>
    <t>ENERO.2018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</si>
</sst>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\-??_-;_-@_-"/>
    <numFmt numFmtId="165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11"/>
        <bgColor indexed="49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Fill="1" applyBorder="1" applyAlignment="1" applyProtection="1"/>
    <xf numFmtId="43" fontId="2" fillId="0" borderId="0" xfId="0" applyNumberFormat="1" applyFont="1" applyBorder="1" applyAlignment="1">
      <alignment horizontal="center"/>
    </xf>
    <xf numFmtId="0" fontId="4" fillId="2" borderId="0" xfId="0" applyFont="1" applyFill="1" applyBorder="1"/>
    <xf numFmtId="43" fontId="5" fillId="0" borderId="0" xfId="3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43" fontId="6" fillId="0" borderId="0" xfId="1" applyFont="1" applyBorder="1"/>
    <xf numFmtId="43" fontId="6" fillId="0" borderId="0" xfId="1" applyFont="1"/>
    <xf numFmtId="4" fontId="7" fillId="0" borderId="0" xfId="4" applyNumberFormat="1" applyFont="1" applyBorder="1"/>
    <xf numFmtId="4" fontId="7" fillId="0" borderId="0" xfId="5" applyNumberFormat="1" applyFont="1" applyBorder="1"/>
    <xf numFmtId="164" fontId="2" fillId="0" borderId="0" xfId="0" applyNumberFormat="1" applyFont="1" applyBorder="1"/>
    <xf numFmtId="4" fontId="7" fillId="0" borderId="0" xfId="6" applyNumberFormat="1" applyFont="1" applyBorder="1"/>
    <xf numFmtId="43" fontId="7" fillId="0" borderId="0" xfId="1" applyFont="1" applyBorder="1"/>
    <xf numFmtId="165" fontId="2" fillId="0" borderId="0" xfId="1" applyNumberFormat="1" applyFont="1" applyFill="1" applyBorder="1" applyAlignment="1" applyProtection="1"/>
    <xf numFmtId="4" fontId="2" fillId="0" borderId="0" xfId="0" applyNumberFormat="1" applyFont="1" applyBorder="1"/>
    <xf numFmtId="4" fontId="7" fillId="0" borderId="0" xfId="7" applyNumberFormat="1" applyFont="1" applyBorder="1"/>
    <xf numFmtId="43" fontId="2" fillId="0" borderId="0" xfId="1" applyFont="1" applyBorder="1"/>
    <xf numFmtId="43" fontId="7" fillId="0" borderId="0" xfId="1" applyFont="1" applyFill="1" applyBorder="1"/>
    <xf numFmtId="43" fontId="6" fillId="0" borderId="0" xfId="1" applyFont="1" applyFill="1"/>
    <xf numFmtId="0" fontId="2" fillId="0" borderId="0" xfId="0" applyFont="1" applyFill="1" applyBorder="1" applyAlignment="1">
      <alignment horizontal="center"/>
    </xf>
    <xf numFmtId="4" fontId="7" fillId="0" borderId="0" xfId="8" applyNumberFormat="1" applyFont="1" applyFill="1" applyBorder="1"/>
    <xf numFmtId="4" fontId="7" fillId="0" borderId="0" xfId="9" applyNumberFormat="1" applyFont="1" applyFill="1" applyBorder="1"/>
    <xf numFmtId="4" fontId="7" fillId="0" borderId="0" xfId="10" applyNumberFormat="1" applyFont="1" applyFill="1" applyBorder="1"/>
    <xf numFmtId="43" fontId="3" fillId="0" borderId="0" xfId="1" applyFont="1" applyFill="1" applyBorder="1" applyAlignment="1" applyProtection="1"/>
    <xf numFmtId="4" fontId="7" fillId="0" borderId="0" xfId="11" applyNumberFormat="1" applyFont="1" applyBorder="1"/>
    <xf numFmtId="4" fontId="7" fillId="0" borderId="0" xfId="12" applyNumberFormat="1" applyFont="1" applyBorder="1"/>
    <xf numFmtId="43" fontId="3" fillId="3" borderId="0" xfId="1" applyFont="1" applyFill="1" applyBorder="1" applyAlignment="1" applyProtection="1"/>
    <xf numFmtId="164" fontId="2" fillId="0" borderId="0" xfId="0" applyNumberFormat="1" applyFont="1" applyBorder="1" applyAlignment="1">
      <alignment horizontal="center"/>
    </xf>
    <xf numFmtId="164" fontId="8" fillId="0" borderId="0" xfId="1" applyNumberFormat="1" applyFont="1" applyFill="1" applyBorder="1" applyAlignment="1" applyProtection="1"/>
    <xf numFmtId="164" fontId="3" fillId="0" borderId="0" xfId="0" applyNumberFormat="1" applyFont="1" applyBorder="1"/>
    <xf numFmtId="9" fontId="3" fillId="0" borderId="0" xfId="2" applyFont="1" applyFill="1" applyBorder="1" applyAlignment="1" applyProtection="1">
      <alignment horizontal="center"/>
    </xf>
    <xf numFmtId="4" fontId="7" fillId="0" borderId="0" xfId="13" applyNumberFormat="1" applyFont="1" applyBorder="1"/>
    <xf numFmtId="4" fontId="7" fillId="0" borderId="0" xfId="14" applyNumberFormat="1" applyFont="1" applyBorder="1"/>
    <xf numFmtId="9" fontId="2" fillId="0" borderId="0" xfId="2" applyFont="1" applyFill="1" applyBorder="1" applyAlignment="1" applyProtection="1">
      <alignment horizontal="center"/>
    </xf>
  </cellXfs>
  <cellStyles count="15">
    <cellStyle name="Millares" xfId="1" builtinId="3"/>
    <cellStyle name="Millares 3" xfId="3"/>
    <cellStyle name="Normal" xfId="0" builtinId="0"/>
    <cellStyle name="Normal 16" xfId="4"/>
    <cellStyle name="Normal 17" xfId="8"/>
    <cellStyle name="Normal 19" xfId="9"/>
    <cellStyle name="Normal 20" xfId="10"/>
    <cellStyle name="Normal 21" xfId="11"/>
    <cellStyle name="Normal 31" xfId="12"/>
    <cellStyle name="Normal 37" xfId="6"/>
    <cellStyle name="Normal 38" xfId="5"/>
    <cellStyle name="Normal 39" xfId="7"/>
    <cellStyle name="Normal 47" xfId="13"/>
    <cellStyle name="Normal 48" xfId="1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13" workbookViewId="0">
      <selection activeCell="J25" sqref="J25"/>
    </sheetView>
  </sheetViews>
  <sheetFormatPr baseColWidth="10" defaultRowHeight="15" x14ac:dyDescent="0.25"/>
  <cols>
    <col min="1" max="1" width="3" bestFit="1" customWidth="1"/>
    <col min="2" max="2" width="30.7109375" bestFit="1" customWidth="1"/>
    <col min="3" max="3" width="4" bestFit="1" customWidth="1"/>
    <col min="4" max="5" width="13.85546875" bestFit="1" customWidth="1"/>
    <col min="6" max="6" width="12.85546875" bestFit="1" customWidth="1"/>
    <col min="7" max="7" width="4.42578125" bestFit="1" customWidth="1"/>
    <col min="8" max="9" width="13.85546875" bestFit="1" customWidth="1"/>
    <col min="10" max="10" width="12.85546875" bestFit="1" customWidth="1"/>
    <col min="11" max="11" width="4" bestFit="1" customWidth="1"/>
    <col min="12" max="13" width="13.85546875" bestFit="1" customWidth="1"/>
    <col min="14" max="14" width="12.85546875" bestFit="1" customWidth="1"/>
  </cols>
  <sheetData>
    <row r="1" spans="1:14" x14ac:dyDescent="0.25">
      <c r="A1" s="1"/>
      <c r="B1" s="2" t="s">
        <v>0</v>
      </c>
      <c r="C1" s="3"/>
      <c r="D1" s="4"/>
      <c r="E1" s="4"/>
      <c r="F1" s="4"/>
      <c r="G1" s="3"/>
      <c r="H1" s="1"/>
      <c r="I1" s="1"/>
      <c r="J1" s="1"/>
      <c r="K1" s="1"/>
      <c r="L1" s="1"/>
      <c r="M1" s="1"/>
      <c r="N1" s="1"/>
    </row>
    <row r="2" spans="1:14" x14ac:dyDescent="0.25">
      <c r="A2" s="1"/>
      <c r="B2" s="2" t="s">
        <v>1</v>
      </c>
      <c r="C2" s="3"/>
      <c r="D2" s="4"/>
      <c r="E2" s="4"/>
      <c r="F2" s="4"/>
      <c r="G2" s="3"/>
      <c r="H2" s="1"/>
      <c r="I2" s="1"/>
      <c r="J2" s="1"/>
      <c r="K2" s="1"/>
      <c r="L2" s="1"/>
      <c r="M2" s="1"/>
      <c r="N2" s="1"/>
    </row>
    <row r="3" spans="1:14" x14ac:dyDescent="0.25">
      <c r="A3" s="1"/>
      <c r="B3" s="2"/>
      <c r="C3" s="3"/>
      <c r="D3" s="4"/>
      <c r="E3" s="4"/>
      <c r="F3" s="4"/>
      <c r="G3" s="5"/>
      <c r="H3" s="1"/>
      <c r="I3" s="1"/>
      <c r="J3" s="1"/>
      <c r="K3" s="1"/>
      <c r="L3" s="1"/>
      <c r="M3" s="1"/>
      <c r="N3" s="1"/>
    </row>
    <row r="4" spans="1:14" x14ac:dyDescent="0.25">
      <c r="A4" s="1"/>
      <c r="B4" s="6" t="s">
        <v>38</v>
      </c>
      <c r="C4" s="3"/>
      <c r="D4" s="4"/>
      <c r="E4" s="7"/>
      <c r="F4" s="4"/>
      <c r="G4" s="3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3"/>
      <c r="D5" s="4"/>
      <c r="E5" s="4"/>
      <c r="F5" s="4"/>
      <c r="G5" s="8" t="s">
        <v>2</v>
      </c>
      <c r="H5" s="8"/>
      <c r="I5" s="8"/>
      <c r="J5" s="8"/>
      <c r="K5" s="8" t="s">
        <v>3</v>
      </c>
      <c r="L5" s="8"/>
      <c r="M5" s="8"/>
      <c r="N5" s="8"/>
    </row>
    <row r="6" spans="1:14" x14ac:dyDescent="0.25">
      <c r="A6" s="9"/>
      <c r="B6" s="9" t="s">
        <v>4</v>
      </c>
      <c r="C6" s="9" t="s">
        <v>5</v>
      </c>
      <c r="D6" s="10" t="s">
        <v>6</v>
      </c>
      <c r="E6" s="10" t="s">
        <v>7</v>
      </c>
      <c r="F6" s="10" t="s">
        <v>8</v>
      </c>
      <c r="G6" s="9" t="s">
        <v>5</v>
      </c>
      <c r="H6" s="10" t="s">
        <v>6</v>
      </c>
      <c r="I6" s="10" t="s">
        <v>7</v>
      </c>
      <c r="J6" s="10" t="s">
        <v>8</v>
      </c>
      <c r="K6" s="9" t="s">
        <v>5</v>
      </c>
      <c r="L6" s="10" t="s">
        <v>6</v>
      </c>
      <c r="M6" s="10" t="s">
        <v>7</v>
      </c>
      <c r="N6" s="10" t="s">
        <v>8</v>
      </c>
    </row>
    <row r="7" spans="1:14" x14ac:dyDescent="0.25">
      <c r="A7" s="1">
        <v>1</v>
      </c>
      <c r="B7" s="1" t="s">
        <v>9</v>
      </c>
      <c r="C7" s="3">
        <v>7</v>
      </c>
      <c r="D7" s="11">
        <f>3257702.98-747450.72</f>
        <v>2510252.2599999998</v>
      </c>
      <c r="E7" s="12">
        <f>2865578.86-643701.08</f>
        <v>2221877.7799999998</v>
      </c>
      <c r="F7" s="4">
        <f>+D7-E7</f>
        <v>288374.48</v>
      </c>
      <c r="G7" s="3">
        <v>2</v>
      </c>
      <c r="H7" s="13">
        <v>665041.46</v>
      </c>
      <c r="I7" s="14">
        <v>664330.76</v>
      </c>
      <c r="J7" s="4">
        <f>+H7-I7</f>
        <v>710.69999999995343</v>
      </c>
      <c r="K7" s="3">
        <f t="shared" ref="K7:L26" si="0">+C7+G7</f>
        <v>9</v>
      </c>
      <c r="L7" s="4">
        <f>+D7+H7</f>
        <v>3175293.7199999997</v>
      </c>
      <c r="M7" s="4">
        <f>E7+I7</f>
        <v>2886208.54</v>
      </c>
      <c r="N7" s="15">
        <f>+L7-M7</f>
        <v>289085.1799999997</v>
      </c>
    </row>
    <row r="8" spans="1:14" x14ac:dyDescent="0.25">
      <c r="A8" s="1">
        <v>2</v>
      </c>
      <c r="B8" s="1" t="s">
        <v>10</v>
      </c>
      <c r="C8" s="3">
        <v>7</v>
      </c>
      <c r="D8" s="11">
        <f>2411405.7-852858.28</f>
        <v>1558547.4200000002</v>
      </c>
      <c r="E8" s="12">
        <f>2171178.79-778933.79</f>
        <v>1392245</v>
      </c>
      <c r="F8" s="4">
        <f t="shared" ref="F8:F26" si="1">+D8-E8</f>
        <v>166302.42000000016</v>
      </c>
      <c r="G8" s="3">
        <v>8</v>
      </c>
      <c r="H8" s="13">
        <f>2737393.63-894409.56</f>
        <v>1842984.0699999998</v>
      </c>
      <c r="I8" s="16">
        <f>2733483.92-892988.16</f>
        <v>1840495.7599999998</v>
      </c>
      <c r="J8" s="4">
        <f>+H8-I8</f>
        <v>2488.3100000000559</v>
      </c>
      <c r="K8" s="3">
        <f t="shared" si="0"/>
        <v>15</v>
      </c>
      <c r="L8" s="4">
        <f t="shared" si="0"/>
        <v>3401531.49</v>
      </c>
      <c r="M8" s="4">
        <f t="shared" ref="M8:M23" si="2">E8+I8</f>
        <v>3232740.76</v>
      </c>
      <c r="N8" s="15">
        <f t="shared" ref="N8:N25" si="3">+L8-M8</f>
        <v>168790.73000000045</v>
      </c>
    </row>
    <row r="9" spans="1:14" x14ac:dyDescent="0.25">
      <c r="A9" s="1">
        <f t="shared" ref="A9:A26" si="4">+A8+1</f>
        <v>3</v>
      </c>
      <c r="B9" s="1" t="s">
        <v>11</v>
      </c>
      <c r="C9" s="3"/>
      <c r="D9" s="17"/>
      <c r="E9" s="4"/>
      <c r="F9" s="4">
        <f t="shared" si="1"/>
        <v>0</v>
      </c>
      <c r="G9" s="3"/>
      <c r="H9" s="18"/>
      <c r="I9" s="18"/>
      <c r="J9" s="4">
        <f t="shared" ref="J9:J25" si="5">+H9-I9</f>
        <v>0</v>
      </c>
      <c r="K9" s="3">
        <f t="shared" si="0"/>
        <v>0</v>
      </c>
      <c r="L9" s="4">
        <f t="shared" si="0"/>
        <v>0</v>
      </c>
      <c r="M9" s="4">
        <f t="shared" si="2"/>
        <v>0</v>
      </c>
      <c r="N9" s="15">
        <f t="shared" si="3"/>
        <v>0</v>
      </c>
    </row>
    <row r="10" spans="1:14" x14ac:dyDescent="0.25">
      <c r="A10" s="1">
        <f>+A9+1</f>
        <v>4</v>
      </c>
      <c r="B10" s="1" t="s">
        <v>12</v>
      </c>
      <c r="C10" s="3">
        <v>7</v>
      </c>
      <c r="D10" s="17">
        <f>3761420.95-1614310.36</f>
        <v>2147110.59</v>
      </c>
      <c r="E10" s="12">
        <f>3522603.14-1557630.5</f>
        <v>1964972.6400000001</v>
      </c>
      <c r="F10" s="4">
        <f t="shared" si="1"/>
        <v>182137.94999999972</v>
      </c>
      <c r="G10" s="3">
        <v>3</v>
      </c>
      <c r="H10" s="19">
        <f>2071138.2-1035569.1</f>
        <v>1035569.1</v>
      </c>
      <c r="I10" s="20">
        <f>2069006.1-1034503.05</f>
        <v>1034503.05</v>
      </c>
      <c r="J10" s="4">
        <f t="shared" si="5"/>
        <v>1066.0499999999302</v>
      </c>
      <c r="K10" s="3">
        <f t="shared" si="0"/>
        <v>10</v>
      </c>
      <c r="L10" s="4">
        <f t="shared" si="0"/>
        <v>3182679.69</v>
      </c>
      <c r="M10" s="4">
        <f t="shared" si="2"/>
        <v>2999475.6900000004</v>
      </c>
      <c r="N10" s="15">
        <f t="shared" si="3"/>
        <v>183203.99999999953</v>
      </c>
    </row>
    <row r="11" spans="1:14" x14ac:dyDescent="0.25">
      <c r="A11" s="1">
        <f t="shared" si="4"/>
        <v>5</v>
      </c>
      <c r="B11" s="1" t="s">
        <v>13</v>
      </c>
      <c r="C11" s="3"/>
      <c r="D11" s="4"/>
      <c r="E11" s="4"/>
      <c r="F11" s="4">
        <f t="shared" si="1"/>
        <v>0</v>
      </c>
      <c r="G11" s="3"/>
      <c r="H11" s="18"/>
      <c r="I11" s="18"/>
      <c r="J11" s="4">
        <f t="shared" si="5"/>
        <v>0</v>
      </c>
      <c r="K11" s="3">
        <f t="shared" si="0"/>
        <v>0</v>
      </c>
      <c r="L11" s="4">
        <f t="shared" si="0"/>
        <v>0</v>
      </c>
      <c r="M11" s="4">
        <f t="shared" si="2"/>
        <v>0</v>
      </c>
      <c r="N11" s="15">
        <f t="shared" si="3"/>
        <v>0</v>
      </c>
    </row>
    <row r="12" spans="1:14" x14ac:dyDescent="0.25">
      <c r="A12" s="1">
        <f t="shared" si="4"/>
        <v>6</v>
      </c>
      <c r="B12" s="1" t="s">
        <v>14</v>
      </c>
      <c r="C12" s="3"/>
      <c r="D12" s="4"/>
      <c r="E12" s="4"/>
      <c r="F12" s="4">
        <f t="shared" si="1"/>
        <v>0</v>
      </c>
      <c r="G12" s="3"/>
      <c r="H12" s="18"/>
      <c r="I12" s="18"/>
      <c r="J12" s="4">
        <f t="shared" si="5"/>
        <v>0</v>
      </c>
      <c r="K12" s="3">
        <f t="shared" si="0"/>
        <v>0</v>
      </c>
      <c r="L12" s="4">
        <f t="shared" si="0"/>
        <v>0</v>
      </c>
      <c r="M12" s="4">
        <f t="shared" si="2"/>
        <v>0</v>
      </c>
      <c r="N12" s="15">
        <f t="shared" si="3"/>
        <v>0</v>
      </c>
    </row>
    <row r="13" spans="1:14" x14ac:dyDescent="0.25">
      <c r="A13" s="1">
        <f t="shared" si="4"/>
        <v>7</v>
      </c>
      <c r="B13" s="1" t="s">
        <v>15</v>
      </c>
      <c r="C13" s="3"/>
      <c r="D13" s="4"/>
      <c r="E13" s="4"/>
      <c r="F13" s="4">
        <f t="shared" si="1"/>
        <v>0</v>
      </c>
      <c r="G13" s="3"/>
      <c r="H13" s="18"/>
      <c r="I13" s="4"/>
      <c r="J13" s="4">
        <f t="shared" si="5"/>
        <v>0</v>
      </c>
      <c r="K13" s="3">
        <f t="shared" si="0"/>
        <v>0</v>
      </c>
      <c r="L13" s="4">
        <f t="shared" si="0"/>
        <v>0</v>
      </c>
      <c r="M13" s="4">
        <f t="shared" si="2"/>
        <v>0</v>
      </c>
      <c r="N13" s="15">
        <f t="shared" si="3"/>
        <v>0</v>
      </c>
    </row>
    <row r="14" spans="1:14" x14ac:dyDescent="0.25">
      <c r="A14" s="1">
        <f t="shared" si="4"/>
        <v>8</v>
      </c>
      <c r="B14" s="1" t="s">
        <v>16</v>
      </c>
      <c r="C14" s="3">
        <v>9</v>
      </c>
      <c r="D14" s="17">
        <f>6476804.33-2080360.68</f>
        <v>4396443.6500000004</v>
      </c>
      <c r="E14" s="17">
        <f>6012598.86-1943691.21</f>
        <v>4068907.6500000004</v>
      </c>
      <c r="F14" s="4">
        <f t="shared" si="1"/>
        <v>327536</v>
      </c>
      <c r="G14" s="3">
        <v>7</v>
      </c>
      <c r="H14" s="19">
        <f>4735414.29-1377725.66</f>
        <v>3357688.63</v>
      </c>
      <c r="I14" s="21">
        <f>5249092.54-1893891.33</f>
        <v>3355201.21</v>
      </c>
      <c r="J14" s="4">
        <f t="shared" si="5"/>
        <v>2487.4199999999255</v>
      </c>
      <c r="K14" s="3">
        <f t="shared" si="0"/>
        <v>16</v>
      </c>
      <c r="L14" s="4">
        <f t="shared" si="0"/>
        <v>7754132.2800000003</v>
      </c>
      <c r="M14" s="4">
        <f t="shared" si="2"/>
        <v>7424108.8600000003</v>
      </c>
      <c r="N14" s="15">
        <f t="shared" si="3"/>
        <v>330023.41999999993</v>
      </c>
    </row>
    <row r="15" spans="1:14" x14ac:dyDescent="0.25">
      <c r="A15" s="1">
        <f t="shared" si="4"/>
        <v>9</v>
      </c>
      <c r="B15" s="1" t="s">
        <v>17</v>
      </c>
      <c r="C15" s="3"/>
      <c r="D15" s="4"/>
      <c r="E15" s="4"/>
      <c r="F15" s="4">
        <f t="shared" si="1"/>
        <v>0</v>
      </c>
      <c r="G15" s="3"/>
      <c r="H15" s="18"/>
      <c r="I15" s="4"/>
      <c r="J15" s="4">
        <f t="shared" si="5"/>
        <v>0</v>
      </c>
      <c r="K15" s="3">
        <f t="shared" si="0"/>
        <v>0</v>
      </c>
      <c r="L15" s="4">
        <f t="shared" si="0"/>
        <v>0</v>
      </c>
      <c r="M15" s="4">
        <f t="shared" si="2"/>
        <v>0</v>
      </c>
      <c r="N15" s="15">
        <f t="shared" si="3"/>
        <v>0</v>
      </c>
    </row>
    <row r="16" spans="1:14" x14ac:dyDescent="0.25">
      <c r="A16" s="1">
        <f t="shared" si="4"/>
        <v>10</v>
      </c>
      <c r="B16" s="1" t="s">
        <v>18</v>
      </c>
      <c r="C16" s="3">
        <v>6</v>
      </c>
      <c r="D16" s="22">
        <f>4611971.77-2396185.85</f>
        <v>2215785.9199999995</v>
      </c>
      <c r="E16" s="23">
        <f>4098980.58-2137396.69</f>
        <v>1961583.8900000001</v>
      </c>
      <c r="F16" s="4">
        <f t="shared" si="1"/>
        <v>254202.02999999933</v>
      </c>
      <c r="G16" s="24">
        <v>1</v>
      </c>
      <c r="H16" s="25">
        <v>315881.38</v>
      </c>
      <c r="I16" s="22">
        <v>317185.37</v>
      </c>
      <c r="J16" s="4">
        <f t="shared" si="5"/>
        <v>-1303.9899999999907</v>
      </c>
      <c r="K16" s="3">
        <f t="shared" si="0"/>
        <v>7</v>
      </c>
      <c r="L16" s="4">
        <f t="shared" si="0"/>
        <v>2531667.2999999993</v>
      </c>
      <c r="M16" s="4">
        <f t="shared" si="2"/>
        <v>2278769.2600000002</v>
      </c>
      <c r="N16" s="15">
        <f t="shared" si="3"/>
        <v>252898.03999999911</v>
      </c>
    </row>
    <row r="17" spans="1:14" x14ac:dyDescent="0.25">
      <c r="A17" s="1">
        <f t="shared" si="4"/>
        <v>11</v>
      </c>
      <c r="B17" s="1" t="s">
        <v>19</v>
      </c>
      <c r="C17" s="3">
        <v>10</v>
      </c>
      <c r="D17" s="22">
        <f>458275.86-229137.93+2431034.5-814482.76</f>
        <v>1845689.6700000002</v>
      </c>
      <c r="E17" s="23">
        <f>415143.66-207571.83+2291053.43-815568.9</f>
        <v>1683056.3600000003</v>
      </c>
      <c r="F17" s="4">
        <f t="shared" si="1"/>
        <v>162633.30999999982</v>
      </c>
      <c r="G17" s="24">
        <v>17</v>
      </c>
      <c r="H17" s="26">
        <f>193868.47+3913654.09-791475.45</f>
        <v>3316047.1100000003</v>
      </c>
      <c r="I17" s="22">
        <f>193513.12+3907296.48-790094.07</f>
        <v>3310715.5300000003</v>
      </c>
      <c r="J17" s="4">
        <f t="shared" si="5"/>
        <v>5331.5800000000745</v>
      </c>
      <c r="K17" s="3">
        <f t="shared" si="0"/>
        <v>27</v>
      </c>
      <c r="L17" s="4">
        <f t="shared" si="0"/>
        <v>5161736.78</v>
      </c>
      <c r="M17" s="4">
        <f t="shared" si="2"/>
        <v>4993771.8900000006</v>
      </c>
      <c r="N17" s="15">
        <f t="shared" si="3"/>
        <v>167964.88999999966</v>
      </c>
    </row>
    <row r="18" spans="1:14" x14ac:dyDescent="0.25">
      <c r="A18" s="1">
        <f t="shared" si="4"/>
        <v>12</v>
      </c>
      <c r="B18" s="1" t="s">
        <v>20</v>
      </c>
      <c r="C18" s="3">
        <v>29</v>
      </c>
      <c r="D18" s="22">
        <f>13536513.12-4480559.84</f>
        <v>9055953.2799999993</v>
      </c>
      <c r="E18" s="23">
        <f>11887696.03-3938433.67</f>
        <v>7949262.3599999994</v>
      </c>
      <c r="F18" s="4">
        <f t="shared" si="1"/>
        <v>1106690.92</v>
      </c>
      <c r="G18" s="24">
        <v>15</v>
      </c>
      <c r="H18" s="27">
        <f>6102511.19-2470594.77</f>
        <v>3631916.4200000004</v>
      </c>
      <c r="I18" s="22">
        <f>6096963.18-2468602.67</f>
        <v>3628360.51</v>
      </c>
      <c r="J18" s="4">
        <f t="shared" si="5"/>
        <v>3555.9100000006147</v>
      </c>
      <c r="K18" s="24">
        <f t="shared" si="0"/>
        <v>44</v>
      </c>
      <c r="L18" s="4">
        <f t="shared" si="0"/>
        <v>12687869.699999999</v>
      </c>
      <c r="M18" s="4">
        <f t="shared" si="2"/>
        <v>11577622.869999999</v>
      </c>
      <c r="N18" s="15">
        <f t="shared" si="3"/>
        <v>1110246.83</v>
      </c>
    </row>
    <row r="19" spans="1:14" x14ac:dyDescent="0.25">
      <c r="A19" s="1">
        <f t="shared" si="4"/>
        <v>13</v>
      </c>
      <c r="B19" s="1" t="s">
        <v>21</v>
      </c>
      <c r="C19" s="3">
        <v>10</v>
      </c>
      <c r="D19" s="17">
        <f>6583635.3-2775073</f>
        <v>3808562.3</v>
      </c>
      <c r="E19" s="12">
        <f>5821466.87-2446970.41</f>
        <v>3374496.46</v>
      </c>
      <c r="F19" s="4">
        <f t="shared" si="1"/>
        <v>434065.83999999985</v>
      </c>
      <c r="G19" s="3"/>
      <c r="H19" s="29"/>
      <c r="I19" s="17"/>
      <c r="J19" s="4">
        <f t="shared" si="5"/>
        <v>0</v>
      </c>
      <c r="K19" s="3">
        <f t="shared" si="0"/>
        <v>10</v>
      </c>
      <c r="L19" s="4">
        <f t="shared" si="0"/>
        <v>3808562.3</v>
      </c>
      <c r="M19" s="4">
        <f t="shared" si="2"/>
        <v>3374496.46</v>
      </c>
      <c r="N19" s="15">
        <f t="shared" si="3"/>
        <v>434065.83999999985</v>
      </c>
    </row>
    <row r="20" spans="1:14" x14ac:dyDescent="0.25">
      <c r="A20" s="1">
        <f t="shared" si="4"/>
        <v>14</v>
      </c>
      <c r="B20" s="1" t="s">
        <v>22</v>
      </c>
      <c r="C20" s="3">
        <v>11</v>
      </c>
      <c r="D20" s="21">
        <f>8378489.32-2636781.6</f>
        <v>5741707.7200000007</v>
      </c>
      <c r="E20" s="21">
        <f>7490185.87-2382895.43</f>
        <v>5107290.4399999995</v>
      </c>
      <c r="F20" s="4">
        <f t="shared" si="1"/>
        <v>634417.28000000119</v>
      </c>
      <c r="G20" s="3">
        <v>2</v>
      </c>
      <c r="H20" s="19">
        <f>1574453.2-527515.05</f>
        <v>1046938.1499999999</v>
      </c>
      <c r="I20" s="21">
        <f>1573741.66-527159.71</f>
        <v>1046581.95</v>
      </c>
      <c r="J20" s="4">
        <f t="shared" si="5"/>
        <v>356.19999999995343</v>
      </c>
      <c r="K20" s="3">
        <f t="shared" si="0"/>
        <v>13</v>
      </c>
      <c r="L20" s="4">
        <f t="shared" si="0"/>
        <v>6788645.870000001</v>
      </c>
      <c r="M20" s="4">
        <f t="shared" si="2"/>
        <v>6153872.3899999997</v>
      </c>
      <c r="N20" s="15">
        <f t="shared" si="3"/>
        <v>634773.48000000138</v>
      </c>
    </row>
    <row r="21" spans="1:14" x14ac:dyDescent="0.25">
      <c r="A21" s="1">
        <f t="shared" si="4"/>
        <v>15</v>
      </c>
      <c r="B21" s="1" t="s">
        <v>23</v>
      </c>
      <c r="C21" s="3">
        <v>3</v>
      </c>
      <c r="D21" s="17">
        <f>1221172.82-469482.76</f>
        <v>751690.06</v>
      </c>
      <c r="E21" s="12">
        <f>1098103.16-423271.58</f>
        <v>674831.57999999984</v>
      </c>
      <c r="F21" s="4">
        <f t="shared" si="1"/>
        <v>76858.480000000214</v>
      </c>
      <c r="G21" s="3">
        <v>4</v>
      </c>
      <c r="H21" s="19">
        <v>768599.12</v>
      </c>
      <c r="I21" s="17">
        <f>771687.64-2846.47</f>
        <v>768841.17</v>
      </c>
      <c r="J21" s="4">
        <f t="shared" si="5"/>
        <v>-242.05000000004657</v>
      </c>
      <c r="K21" s="3">
        <f t="shared" si="0"/>
        <v>7</v>
      </c>
      <c r="L21" s="4">
        <f t="shared" si="0"/>
        <v>1520289.1800000002</v>
      </c>
      <c r="M21" s="4">
        <f t="shared" si="2"/>
        <v>1443672.75</v>
      </c>
      <c r="N21" s="15">
        <f t="shared" si="3"/>
        <v>76616.430000000168</v>
      </c>
    </row>
    <row r="22" spans="1:14" x14ac:dyDescent="0.25">
      <c r="A22" s="1">
        <f t="shared" si="4"/>
        <v>16</v>
      </c>
      <c r="B22" s="1" t="s">
        <v>24</v>
      </c>
      <c r="C22" s="3"/>
      <c r="D22" s="4"/>
      <c r="E22" s="12"/>
      <c r="F22" s="4">
        <f t="shared" si="1"/>
        <v>0</v>
      </c>
      <c r="G22" s="3"/>
      <c r="H22" s="18"/>
      <c r="I22" s="4"/>
      <c r="J22" s="4">
        <f t="shared" si="5"/>
        <v>0</v>
      </c>
      <c r="K22" s="3">
        <f t="shared" si="0"/>
        <v>0</v>
      </c>
      <c r="L22" s="4">
        <f t="shared" si="0"/>
        <v>0</v>
      </c>
      <c r="M22" s="4">
        <f t="shared" si="2"/>
        <v>0</v>
      </c>
      <c r="N22" s="15">
        <f t="shared" si="3"/>
        <v>0</v>
      </c>
    </row>
    <row r="23" spans="1:14" x14ac:dyDescent="0.25">
      <c r="A23" s="1">
        <f t="shared" si="4"/>
        <v>17</v>
      </c>
      <c r="B23" s="1" t="s">
        <v>25</v>
      </c>
      <c r="C23" s="3">
        <v>2</v>
      </c>
      <c r="D23" s="4">
        <f>1661499.74-569257.16</f>
        <v>1092242.58</v>
      </c>
      <c r="E23" s="12">
        <f>1464793.93-501686.66</f>
        <v>963107.27</v>
      </c>
      <c r="F23" s="4">
        <f t="shared" si="1"/>
        <v>129135.31000000006</v>
      </c>
      <c r="G23" s="3">
        <v>3</v>
      </c>
      <c r="H23" s="18">
        <v>1424272.74</v>
      </c>
      <c r="I23" s="17">
        <v>1423206.69</v>
      </c>
      <c r="J23" s="4">
        <f t="shared" si="5"/>
        <v>1066.0500000000466</v>
      </c>
      <c r="K23" s="3">
        <f t="shared" si="0"/>
        <v>5</v>
      </c>
      <c r="L23" s="4">
        <f t="shared" si="0"/>
        <v>2516515.3200000003</v>
      </c>
      <c r="M23" s="4">
        <f t="shared" si="2"/>
        <v>2386313.96</v>
      </c>
      <c r="N23" s="15">
        <f t="shared" si="3"/>
        <v>130201.36000000034</v>
      </c>
    </row>
    <row r="24" spans="1:14" x14ac:dyDescent="0.25">
      <c r="A24" s="1">
        <f t="shared" si="4"/>
        <v>18</v>
      </c>
      <c r="B24" s="1" t="s">
        <v>26</v>
      </c>
      <c r="C24" s="3"/>
      <c r="D24" s="4"/>
      <c r="E24" s="18"/>
      <c r="F24" s="4">
        <f t="shared" si="1"/>
        <v>0</v>
      </c>
      <c r="G24" s="3"/>
      <c r="H24" s="18"/>
      <c r="I24" s="4"/>
      <c r="J24" s="4">
        <f t="shared" si="5"/>
        <v>0</v>
      </c>
      <c r="K24" s="3">
        <f t="shared" si="0"/>
        <v>0</v>
      </c>
      <c r="L24" s="4">
        <f t="shared" si="0"/>
        <v>0</v>
      </c>
      <c r="M24" s="4">
        <f>+E24+I24</f>
        <v>0</v>
      </c>
      <c r="N24" s="15">
        <f t="shared" si="3"/>
        <v>0</v>
      </c>
    </row>
    <row r="25" spans="1:14" x14ac:dyDescent="0.25">
      <c r="A25" s="1">
        <f t="shared" si="4"/>
        <v>19</v>
      </c>
      <c r="B25" s="1" t="s">
        <v>27</v>
      </c>
      <c r="C25" s="3"/>
      <c r="D25" s="17"/>
      <c r="E25" s="30"/>
      <c r="F25" s="4">
        <f t="shared" si="1"/>
        <v>0</v>
      </c>
      <c r="G25" s="3">
        <v>1</v>
      </c>
      <c r="H25" s="4">
        <v>637884.53</v>
      </c>
      <c r="I25" s="4">
        <v>637529.18000000005</v>
      </c>
      <c r="J25" s="4">
        <f t="shared" si="5"/>
        <v>355.34999999997672</v>
      </c>
      <c r="K25" s="3">
        <f t="shared" si="0"/>
        <v>1</v>
      </c>
      <c r="L25" s="4">
        <f t="shared" si="0"/>
        <v>637884.53</v>
      </c>
      <c r="M25" s="4">
        <f>+E25+I25</f>
        <v>637529.18000000005</v>
      </c>
      <c r="N25" s="15">
        <f t="shared" si="3"/>
        <v>355.34999999997672</v>
      </c>
    </row>
    <row r="26" spans="1:14" x14ac:dyDescent="0.25">
      <c r="A26" s="1">
        <f t="shared" si="4"/>
        <v>20</v>
      </c>
      <c r="B26" s="1" t="s">
        <v>28</v>
      </c>
      <c r="C26" s="3"/>
      <c r="D26" s="18"/>
      <c r="E26" s="18"/>
      <c r="F26" s="4">
        <f t="shared" si="1"/>
        <v>0</v>
      </c>
      <c r="G26" s="3"/>
      <c r="H26" s="18"/>
      <c r="I26" s="18"/>
      <c r="J26" s="4"/>
      <c r="K26" s="3">
        <f t="shared" si="0"/>
        <v>0</v>
      </c>
      <c r="L26" s="4"/>
      <c r="M26" s="4">
        <f>+E26+I26</f>
        <v>0</v>
      </c>
      <c r="N26" s="15"/>
    </row>
    <row r="27" spans="1:14" x14ac:dyDescent="0.25">
      <c r="A27" s="2"/>
      <c r="B27" s="2" t="s">
        <v>29</v>
      </c>
      <c r="C27" s="9">
        <f t="shared" ref="C27" si="6">+SUM(C7:C26)</f>
        <v>101</v>
      </c>
      <c r="D27" s="31">
        <f>+SUM(D7:D26)</f>
        <v>35123985.450000003</v>
      </c>
      <c r="E27" s="31">
        <f t="shared" ref="E27:I27" si="7">+SUM(E7:E26)</f>
        <v>31361631.429999996</v>
      </c>
      <c r="F27" s="31">
        <f t="shared" si="7"/>
        <v>3762354.02</v>
      </c>
      <c r="G27" s="9">
        <f t="shared" si="7"/>
        <v>63</v>
      </c>
      <c r="H27" s="31">
        <f t="shared" si="7"/>
        <v>18042822.710000001</v>
      </c>
      <c r="I27" s="31">
        <f t="shared" si="7"/>
        <v>18026951.18</v>
      </c>
      <c r="J27" s="28">
        <f>SUM(J7:J26)</f>
        <v>15871.530000000494</v>
      </c>
      <c r="K27" s="9">
        <f>SUM(K7:K26)</f>
        <v>164</v>
      </c>
      <c r="L27" s="31">
        <f>SUM(L7:L26)</f>
        <v>53166808.159999996</v>
      </c>
      <c r="M27" s="31">
        <f>SUM(M7:M26)</f>
        <v>49388582.610000007</v>
      </c>
      <c r="N27" s="28">
        <f>SUM(N7:N26)</f>
        <v>3778225.5500000003</v>
      </c>
    </row>
    <row r="28" spans="1:14" x14ac:dyDescent="0.25">
      <c r="A28" s="1"/>
      <c r="B28" s="1" t="s">
        <v>30</v>
      </c>
      <c r="C28" s="32"/>
      <c r="D28" s="33">
        <v>35123985.450000003</v>
      </c>
      <c r="E28" s="33">
        <v>31361631.43</v>
      </c>
      <c r="F28" s="28"/>
      <c r="G28" s="3"/>
      <c r="H28" s="33">
        <v>18042822.710000001</v>
      </c>
      <c r="I28" s="33">
        <v>18026951.18</v>
      </c>
      <c r="J28" s="4"/>
      <c r="K28" s="1"/>
      <c r="L28" s="1"/>
      <c r="M28" s="1"/>
      <c r="N28" s="1"/>
    </row>
    <row r="29" spans="1:14" x14ac:dyDescent="0.25">
      <c r="A29" s="2"/>
      <c r="B29" s="2" t="s">
        <v>31</v>
      </c>
      <c r="C29" s="9"/>
      <c r="D29" s="28">
        <f>+D28-D27</f>
        <v>0</v>
      </c>
      <c r="E29" s="28">
        <f>+E27-E28</f>
        <v>0</v>
      </c>
      <c r="F29" s="28"/>
      <c r="G29" s="9"/>
      <c r="H29" s="28">
        <f>+H27-H28</f>
        <v>0</v>
      </c>
      <c r="I29" s="28">
        <f>+I27-I28</f>
        <v>0</v>
      </c>
      <c r="J29" s="2"/>
      <c r="K29" s="2"/>
      <c r="L29" s="28"/>
      <c r="M29" s="28"/>
      <c r="N29" s="2"/>
    </row>
    <row r="30" spans="1:14" x14ac:dyDescent="0.25">
      <c r="A30" s="2"/>
      <c r="B30" s="2"/>
      <c r="C30" s="9"/>
      <c r="D30" s="28"/>
      <c r="E30" s="28"/>
      <c r="F30" s="28"/>
      <c r="G30" s="9"/>
      <c r="H30" s="2"/>
      <c r="I30" s="2"/>
      <c r="J30" s="2"/>
      <c r="K30" s="2"/>
      <c r="L30" s="34"/>
      <c r="M30" s="34"/>
      <c r="N30" s="2"/>
    </row>
    <row r="31" spans="1:14" x14ac:dyDescent="0.25">
      <c r="A31" s="2"/>
      <c r="B31" s="1" t="s">
        <v>32</v>
      </c>
      <c r="C31" s="3"/>
      <c r="D31" s="4"/>
      <c r="E31" s="18"/>
      <c r="F31" s="4"/>
      <c r="G31" s="35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1" t="s">
        <v>33</v>
      </c>
      <c r="C32" s="3">
        <v>12</v>
      </c>
      <c r="D32" s="4">
        <f>5455327.58-2552793.1</f>
        <v>2902534.48</v>
      </c>
      <c r="E32" s="36">
        <f>4632356.98-2055379.32</f>
        <v>2576977.66</v>
      </c>
      <c r="F32" s="4">
        <f>+D32-E32</f>
        <v>325556.81999999983</v>
      </c>
      <c r="G32" s="35"/>
      <c r="H32" s="2"/>
      <c r="I32" s="2"/>
      <c r="J32" s="2"/>
      <c r="K32" s="2"/>
      <c r="L32" s="2"/>
      <c r="M32" s="2"/>
      <c r="N32" s="2"/>
    </row>
    <row r="33" spans="1:14" x14ac:dyDescent="0.25">
      <c r="A33" s="1"/>
      <c r="B33" s="1" t="s">
        <v>34</v>
      </c>
      <c r="C33" s="3">
        <v>9</v>
      </c>
      <c r="D33" s="17">
        <f>2179551.7-646896.54</f>
        <v>1532655.1600000001</v>
      </c>
      <c r="E33" s="37">
        <f>2045496.9-599482.76</f>
        <v>1446014.14</v>
      </c>
      <c r="F33" s="4">
        <f>+D33-E33</f>
        <v>86641.020000000251</v>
      </c>
      <c r="G33" s="38"/>
      <c r="H33" s="4"/>
      <c r="I33" s="4"/>
      <c r="J33" s="4"/>
      <c r="K33" s="1"/>
      <c r="L33" s="1"/>
      <c r="M33" s="1"/>
      <c r="N33" s="1"/>
    </row>
    <row r="34" spans="1:14" x14ac:dyDescent="0.25">
      <c r="A34" s="2"/>
      <c r="B34" s="2" t="s">
        <v>35</v>
      </c>
      <c r="C34" s="9">
        <f>+C32+C33</f>
        <v>21</v>
      </c>
      <c r="D34" s="31">
        <f>+D33+D32</f>
        <v>4435189.6400000006</v>
      </c>
      <c r="E34" s="31">
        <f>SUM(E31:E33)</f>
        <v>4022991.8</v>
      </c>
      <c r="F34" s="28">
        <f>SUM(F31:F33)</f>
        <v>412197.84000000008</v>
      </c>
      <c r="G34" s="35">
        <f>+F34/F36</f>
        <v>9.8740620268638862E-2</v>
      </c>
      <c r="H34" s="2"/>
      <c r="I34" s="2"/>
      <c r="J34" s="2"/>
      <c r="K34" s="2"/>
      <c r="L34" s="2"/>
      <c r="M34" s="2"/>
      <c r="N34" s="2"/>
    </row>
    <row r="35" spans="1:14" x14ac:dyDescent="0.25">
      <c r="A35" s="1"/>
      <c r="B35" s="1"/>
      <c r="C35" s="3"/>
      <c r="D35" s="33"/>
      <c r="E35" s="33"/>
      <c r="F35" s="4">
        <f>+D35-E35</f>
        <v>0</v>
      </c>
      <c r="G35" s="3"/>
      <c r="H35" s="2" t="s">
        <v>36</v>
      </c>
      <c r="I35" s="1"/>
      <c r="J35" s="1"/>
      <c r="K35" s="1"/>
      <c r="L35" s="1"/>
      <c r="M35" s="1"/>
      <c r="N35" s="1"/>
    </row>
    <row r="36" spans="1:14" x14ac:dyDescent="0.25">
      <c r="A36" s="2"/>
      <c r="B36" s="2" t="s">
        <v>37</v>
      </c>
      <c r="C36" s="9">
        <f>+C34+C27</f>
        <v>122</v>
      </c>
      <c r="D36" s="28">
        <f>+D27+D34</f>
        <v>39559175.090000004</v>
      </c>
      <c r="E36" s="28">
        <f>+E27+E34</f>
        <v>35384623.229999997</v>
      </c>
      <c r="F36" s="28">
        <f>+F34+F27</f>
        <v>4174551.8600000003</v>
      </c>
      <c r="G36" s="9"/>
      <c r="H36" s="2"/>
      <c r="I36" s="2"/>
      <c r="J36" s="2"/>
      <c r="K36" s="2"/>
      <c r="L36" s="2"/>
      <c r="M36" s="2"/>
      <c r="N36" s="2"/>
    </row>
  </sheetData>
  <mergeCells count="2">
    <mergeCell ref="G5:J5"/>
    <mergeCell ref="K5:N5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2018-02-12T20:58:44Z</cp:lastPrinted>
  <dcterms:created xsi:type="dcterms:W3CDTF">2018-02-12T20:13:26Z</dcterms:created>
  <dcterms:modified xsi:type="dcterms:W3CDTF">2018-02-12T20:59:25Z</dcterms:modified>
</cp:coreProperties>
</file>