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05" windowWidth="17010" windowHeight="7350" activeTab="3"/>
  </bookViews>
  <sheets>
    <sheet name="FACTURACION" sheetId="1" r:id="rId1"/>
    <sheet name="FISCAL" sheetId="2" r:id="rId2"/>
    <sheet name="ARCHIVO BANCO" sheetId="3" r:id="rId3"/>
    <sheet name="POLIZA" sheetId="4" r:id="rId4"/>
  </sheets>
  <externalReferences>
    <externalReference r:id="rId5"/>
  </externalReferences>
  <definedNames>
    <definedName name="_xlnm._FilterDatabase" localSheetId="0" hidden="1">FACTURACION!$A$11:$AY$78</definedName>
    <definedName name="_xlnm.Print_Area" localSheetId="1">FISCAL!$A$1:$T$85</definedName>
  </definedNames>
  <calcPr calcId="124519"/>
</workbook>
</file>

<file path=xl/calcChain.xml><?xml version="1.0" encoding="utf-8"?>
<calcChain xmlns="http://schemas.openxmlformats.org/spreadsheetml/2006/main">
  <c r="B14" i="4"/>
  <c r="B15" s="1"/>
  <c r="B16" s="1"/>
  <c r="B18" s="1"/>
  <c r="D78" i="3" l="1"/>
  <c r="D76"/>
  <c r="D70"/>
  <c r="M20" i="2" l="1"/>
  <c r="N20"/>
  <c r="G20"/>
  <c r="P20"/>
  <c r="R20"/>
  <c r="Q20"/>
  <c r="M81"/>
  <c r="G81"/>
  <c r="F81" l="1"/>
  <c r="S20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12"/>
  <c r="AU81" i="1"/>
  <c r="AY81"/>
  <c r="AY13"/>
  <c r="AY14"/>
  <c r="AY15"/>
  <c r="AY16"/>
  <c r="AY17"/>
  <c r="AY18"/>
  <c r="AY19"/>
  <c r="AT19" s="1"/>
  <c r="AY20"/>
  <c r="AY21"/>
  <c r="AY22"/>
  <c r="AY23"/>
  <c r="AY24"/>
  <c r="AY25"/>
  <c r="AY26"/>
  <c r="AY27"/>
  <c r="AY28"/>
  <c r="AT28" s="1"/>
  <c r="AY29"/>
  <c r="AT29" s="1"/>
  <c r="AY30"/>
  <c r="AT30" s="1"/>
  <c r="AY31"/>
  <c r="AY32"/>
  <c r="AY33"/>
  <c r="AY34"/>
  <c r="AY35"/>
  <c r="AY36"/>
  <c r="AT36" s="1"/>
  <c r="AY37"/>
  <c r="AY38"/>
  <c r="AT38" s="1"/>
  <c r="AY39"/>
  <c r="AT39" s="1"/>
  <c r="AY40"/>
  <c r="AY41"/>
  <c r="AY42"/>
  <c r="AT42" s="1"/>
  <c r="AY43"/>
  <c r="AT43" s="1"/>
  <c r="AY44"/>
  <c r="AY45"/>
  <c r="AY46"/>
  <c r="AT46" s="1"/>
  <c r="AY47"/>
  <c r="AY48"/>
  <c r="AY49"/>
  <c r="AT49" s="1"/>
  <c r="AY50"/>
  <c r="AY51"/>
  <c r="AY52"/>
  <c r="AY53"/>
  <c r="AY54"/>
  <c r="AY55"/>
  <c r="AY56"/>
  <c r="AY57"/>
  <c r="AY58"/>
  <c r="AY59"/>
  <c r="AY60"/>
  <c r="AY61"/>
  <c r="AY62"/>
  <c r="AY63"/>
  <c r="AY64"/>
  <c r="AY65"/>
  <c r="AY66"/>
  <c r="AY67"/>
  <c r="AY68"/>
  <c r="AY69"/>
  <c r="AY70"/>
  <c r="AY71"/>
  <c r="AY72"/>
  <c r="AY73"/>
  <c r="AY74"/>
  <c r="AY75"/>
  <c r="AY12"/>
  <c r="AU58"/>
  <c r="AU59"/>
  <c r="AU60"/>
  <c r="AU61"/>
  <c r="AU62"/>
  <c r="AU63"/>
  <c r="AU64"/>
  <c r="AU65"/>
  <c r="AU66"/>
  <c r="AU67"/>
  <c r="AU68"/>
  <c r="AU69"/>
  <c r="AU70"/>
  <c r="AU71"/>
  <c r="AU72"/>
  <c r="AU73"/>
  <c r="AU74"/>
  <c r="AU75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U47"/>
  <c r="AU48"/>
  <c r="AU49"/>
  <c r="AU50"/>
  <c r="AU51"/>
  <c r="AU52"/>
  <c r="AU53"/>
  <c r="AU54"/>
  <c r="AU55"/>
  <c r="AU56"/>
  <c r="AU57"/>
  <c r="AU12"/>
  <c r="G81"/>
  <c r="G36" l="1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13"/>
  <c r="G14"/>
  <c r="G15"/>
  <c r="G16"/>
  <c r="G17"/>
  <c r="G18"/>
  <c r="G19"/>
  <c r="G21"/>
  <c r="G22"/>
  <c r="G23"/>
  <c r="G24"/>
  <c r="G25"/>
  <c r="G26"/>
  <c r="G27"/>
  <c r="G28"/>
  <c r="G29"/>
  <c r="G30"/>
  <c r="G31"/>
  <c r="G32"/>
  <c r="G33"/>
  <c r="G34"/>
  <c r="G35"/>
  <c r="G12"/>
  <c r="H78" i="2" l="1"/>
  <c r="J78"/>
  <c r="K78"/>
  <c r="L78"/>
  <c r="O78"/>
  <c r="E78"/>
  <c r="H84"/>
  <c r="J84"/>
  <c r="K84"/>
  <c r="L84"/>
  <c r="O84"/>
  <c r="E84"/>
  <c r="G84"/>
  <c r="N81"/>
  <c r="N84" s="1"/>
  <c r="N13"/>
  <c r="N14"/>
  <c r="N15"/>
  <c r="N16"/>
  <c r="N17"/>
  <c r="N18"/>
  <c r="N19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12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13"/>
  <c r="P14"/>
  <c r="P15"/>
  <c r="P16"/>
  <c r="P17"/>
  <c r="P18"/>
  <c r="P19"/>
  <c r="P21"/>
  <c r="P22"/>
  <c r="P23"/>
  <c r="P24"/>
  <c r="P25"/>
  <c r="P26"/>
  <c r="P27"/>
  <c r="P28"/>
  <c r="P29"/>
  <c r="P30"/>
  <c r="P31"/>
  <c r="P32"/>
  <c r="P33"/>
  <c r="P34"/>
  <c r="P35"/>
  <c r="P12"/>
  <c r="M13"/>
  <c r="M14"/>
  <c r="M15"/>
  <c r="M16"/>
  <c r="M17"/>
  <c r="M18"/>
  <c r="M19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12"/>
  <c r="Q13"/>
  <c r="Q14"/>
  <c r="Q15"/>
  <c r="Q16"/>
  <c r="Q17"/>
  <c r="Q18"/>
  <c r="Q19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12"/>
  <c r="G13"/>
  <c r="G14"/>
  <c r="G15"/>
  <c r="G17"/>
  <c r="G18"/>
  <c r="G19"/>
  <c r="G21"/>
  <c r="G22"/>
  <c r="G23"/>
  <c r="G25"/>
  <c r="G26"/>
  <c r="G27"/>
  <c r="G28"/>
  <c r="G29"/>
  <c r="G30"/>
  <c r="G31"/>
  <c r="G33"/>
  <c r="G34"/>
  <c r="G35"/>
  <c r="G36"/>
  <c r="G37"/>
  <c r="G38"/>
  <c r="G39"/>
  <c r="G40"/>
  <c r="G41"/>
  <c r="G42"/>
  <c r="G43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12"/>
  <c r="F13"/>
  <c r="F14"/>
  <c r="F15"/>
  <c r="F16"/>
  <c r="F17"/>
  <c r="I17" s="1"/>
  <c r="F18"/>
  <c r="I18" s="1"/>
  <c r="F19"/>
  <c r="I19" s="1"/>
  <c r="F20"/>
  <c r="I20" s="1"/>
  <c r="T20" s="1"/>
  <c r="F21"/>
  <c r="F22"/>
  <c r="F23"/>
  <c r="F24"/>
  <c r="F25"/>
  <c r="F26"/>
  <c r="F27"/>
  <c r="I27" s="1"/>
  <c r="F28"/>
  <c r="F29"/>
  <c r="F30"/>
  <c r="F31"/>
  <c r="I31" s="1"/>
  <c r="F32"/>
  <c r="F33"/>
  <c r="F34"/>
  <c r="F35"/>
  <c r="F36"/>
  <c r="F37"/>
  <c r="F38"/>
  <c r="F39"/>
  <c r="F40"/>
  <c r="F41"/>
  <c r="F42"/>
  <c r="F43"/>
  <c r="F44"/>
  <c r="F45"/>
  <c r="I45" s="1"/>
  <c r="F46"/>
  <c r="I46" s="1"/>
  <c r="F47"/>
  <c r="I47" s="1"/>
  <c r="F48"/>
  <c r="I48" s="1"/>
  <c r="F49"/>
  <c r="I49" s="1"/>
  <c r="F50"/>
  <c r="I50" s="1"/>
  <c r="F51"/>
  <c r="I51" s="1"/>
  <c r="F52"/>
  <c r="I52" s="1"/>
  <c r="F53"/>
  <c r="I53" s="1"/>
  <c r="F54"/>
  <c r="I54" s="1"/>
  <c r="F55"/>
  <c r="I55" s="1"/>
  <c r="C55" i="1" s="1"/>
  <c r="F56" i="2"/>
  <c r="I56" s="1"/>
  <c r="F57"/>
  <c r="I57" s="1"/>
  <c r="F58"/>
  <c r="I58" s="1"/>
  <c r="F59"/>
  <c r="I59" s="1"/>
  <c r="F60"/>
  <c r="I60" s="1"/>
  <c r="F61"/>
  <c r="I61" s="1"/>
  <c r="F62"/>
  <c r="I62" s="1"/>
  <c r="F63"/>
  <c r="I63" s="1"/>
  <c r="F64"/>
  <c r="I64" s="1"/>
  <c r="F65"/>
  <c r="I65" s="1"/>
  <c r="F66"/>
  <c r="I66" s="1"/>
  <c r="F67"/>
  <c r="I67" s="1"/>
  <c r="F68"/>
  <c r="I68" s="1"/>
  <c r="F69"/>
  <c r="I69" s="1"/>
  <c r="F70"/>
  <c r="I70" s="1"/>
  <c r="F71"/>
  <c r="I71" s="1"/>
  <c r="F72"/>
  <c r="I72" s="1"/>
  <c r="F73"/>
  <c r="I73" s="1"/>
  <c r="F74"/>
  <c r="I74" s="1"/>
  <c r="F75"/>
  <c r="I75" s="1"/>
  <c r="F76"/>
  <c r="I76" s="1"/>
  <c r="F12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AS13" i="1"/>
  <c r="AT13" s="1"/>
  <c r="AS14"/>
  <c r="AT14" s="1"/>
  <c r="AS15"/>
  <c r="AT15" s="1"/>
  <c r="AS16"/>
  <c r="AT16" s="1"/>
  <c r="AS18"/>
  <c r="AT18" s="1"/>
  <c r="AS20"/>
  <c r="AT20" s="1"/>
  <c r="AS21"/>
  <c r="AT21" s="1"/>
  <c r="AS22"/>
  <c r="AT22" s="1"/>
  <c r="AS23"/>
  <c r="AT23" s="1"/>
  <c r="AS24"/>
  <c r="AT24" s="1"/>
  <c r="AS25"/>
  <c r="AT25" s="1"/>
  <c r="AS26"/>
  <c r="AT26" s="1"/>
  <c r="AS27"/>
  <c r="AT27" s="1"/>
  <c r="AS31"/>
  <c r="AT31" s="1"/>
  <c r="AS32"/>
  <c r="AT32" s="1"/>
  <c r="AS33"/>
  <c r="AT33" s="1"/>
  <c r="AS34"/>
  <c r="AT34" s="1"/>
  <c r="AS35"/>
  <c r="AT35" s="1"/>
  <c r="AS37"/>
  <c r="AT37" s="1"/>
  <c r="AS40"/>
  <c r="AT40" s="1"/>
  <c r="AS41"/>
  <c r="AT41" s="1"/>
  <c r="AS44"/>
  <c r="AT44" s="1"/>
  <c r="AS45"/>
  <c r="AT45" s="1"/>
  <c r="AS47"/>
  <c r="AT47" s="1"/>
  <c r="AS48"/>
  <c r="AT48" s="1"/>
  <c r="AS50"/>
  <c r="AT50" s="1"/>
  <c r="AS51"/>
  <c r="AT51" s="1"/>
  <c r="AS52"/>
  <c r="AT52" s="1"/>
  <c r="AS54"/>
  <c r="AT54" s="1"/>
  <c r="AS55"/>
  <c r="AT55" s="1"/>
  <c r="AS56"/>
  <c r="AT56" s="1"/>
  <c r="AS57"/>
  <c r="AT57" s="1"/>
  <c r="AS58"/>
  <c r="AT58" s="1"/>
  <c r="AS59"/>
  <c r="AT59" s="1"/>
  <c r="AS60"/>
  <c r="AT60" s="1"/>
  <c r="AS61"/>
  <c r="AT61" s="1"/>
  <c r="AS62"/>
  <c r="AT62" s="1"/>
  <c r="AS63"/>
  <c r="AT63" s="1"/>
  <c r="AS64"/>
  <c r="AT64" s="1"/>
  <c r="AS66"/>
  <c r="AT66" s="1"/>
  <c r="AS67"/>
  <c r="AT67" s="1"/>
  <c r="AS68"/>
  <c r="AT68" s="1"/>
  <c r="AS69"/>
  <c r="AT69" s="1"/>
  <c r="AS70"/>
  <c r="AT70" s="1"/>
  <c r="AS71"/>
  <c r="AT71" s="1"/>
  <c r="AS72"/>
  <c r="AT72" s="1"/>
  <c r="AS73"/>
  <c r="AT73" s="1"/>
  <c r="AS74"/>
  <c r="AT74" s="1"/>
  <c r="AS75"/>
  <c r="AT75" s="1"/>
  <c r="AS81"/>
  <c r="AS12"/>
  <c r="AT12" s="1"/>
  <c r="N81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Y82"/>
  <c r="AH82" s="1"/>
  <c r="AK82" s="1"/>
  <c r="Y81"/>
  <c r="AH81" s="1"/>
  <c r="AF78"/>
  <c r="AE78"/>
  <c r="AD78"/>
  <c r="AC78"/>
  <c r="AB78"/>
  <c r="AA78"/>
  <c r="Z78"/>
  <c r="X78"/>
  <c r="W78"/>
  <c r="V78"/>
  <c r="AK77"/>
  <c r="AM77" s="1"/>
  <c r="Y76"/>
  <c r="AH76" s="1"/>
  <c r="AL75"/>
  <c r="Y75"/>
  <c r="AH75" s="1"/>
  <c r="AL74"/>
  <c r="Y74"/>
  <c r="AH74" s="1"/>
  <c r="Y73"/>
  <c r="AH73" s="1"/>
  <c r="Y72"/>
  <c r="AH72" s="1"/>
  <c r="AL71"/>
  <c r="Y71"/>
  <c r="AH71" s="1"/>
  <c r="Y70"/>
  <c r="AK70" s="1"/>
  <c r="Y69"/>
  <c r="AL68"/>
  <c r="Y68"/>
  <c r="AL67"/>
  <c r="Y67"/>
  <c r="AH67" s="1"/>
  <c r="Y66"/>
  <c r="AH66" s="1"/>
  <c r="AJ66" s="1"/>
  <c r="Y65"/>
  <c r="AH65" s="1"/>
  <c r="AJ65" s="1"/>
  <c r="T65"/>
  <c r="AS65" s="1"/>
  <c r="AT65" s="1"/>
  <c r="AL64"/>
  <c r="Y64"/>
  <c r="AK64" s="1"/>
  <c r="Y63"/>
  <c r="AI63" s="1"/>
  <c r="AL62"/>
  <c r="Y62"/>
  <c r="AK62" s="1"/>
  <c r="AL61"/>
  <c r="Y61"/>
  <c r="AK61" s="1"/>
  <c r="AL60"/>
  <c r="Y60"/>
  <c r="AK60" s="1"/>
  <c r="AL59"/>
  <c r="Y59"/>
  <c r="AK59" s="1"/>
  <c r="AL58"/>
  <c r="Y58"/>
  <c r="AK58" s="1"/>
  <c r="Y57"/>
  <c r="AI57" s="1"/>
  <c r="AL56"/>
  <c r="Y56"/>
  <c r="AK56" s="1"/>
  <c r="Y55"/>
  <c r="AH55" s="1"/>
  <c r="AL54"/>
  <c r="Y54"/>
  <c r="AH54" s="1"/>
  <c r="Y53"/>
  <c r="AI53" s="1"/>
  <c r="T53"/>
  <c r="AS53" s="1"/>
  <c r="AT53" s="1"/>
  <c r="AL52"/>
  <c r="Y52"/>
  <c r="AK52" s="1"/>
  <c r="AL51"/>
  <c r="Y51"/>
  <c r="AL50"/>
  <c r="Y50"/>
  <c r="AK50" s="1"/>
  <c r="Y49"/>
  <c r="AH49" s="1"/>
  <c r="AJ49" s="1"/>
  <c r="AL48"/>
  <c r="Y48"/>
  <c r="Y47"/>
  <c r="AI47" s="1"/>
  <c r="AL46"/>
  <c r="Y46"/>
  <c r="AH46" s="1"/>
  <c r="AL45"/>
  <c r="Y45"/>
  <c r="AH45" s="1"/>
  <c r="AL44"/>
  <c r="U44"/>
  <c r="Y44" s="1"/>
  <c r="AL43"/>
  <c r="Y43"/>
  <c r="AK43" s="1"/>
  <c r="AL42"/>
  <c r="Y42"/>
  <c r="Y41"/>
  <c r="AI41" s="1"/>
  <c r="AL40"/>
  <c r="Y40"/>
  <c r="AK40" s="1"/>
  <c r="AL39"/>
  <c r="Y39"/>
  <c r="Y38"/>
  <c r="AI38" s="1"/>
  <c r="AL37"/>
  <c r="Y37"/>
  <c r="AK37" s="1"/>
  <c r="Y36"/>
  <c r="AI36" s="1"/>
  <c r="AL35"/>
  <c r="Y35"/>
  <c r="AH35" s="1"/>
  <c r="Y34"/>
  <c r="AH34" s="1"/>
  <c r="AJ34" s="1"/>
  <c r="AL33"/>
  <c r="Y33"/>
  <c r="AK33" s="1"/>
  <c r="AL32"/>
  <c r="U32"/>
  <c r="Y32" s="1"/>
  <c r="AK32" s="1"/>
  <c r="AL31"/>
  <c r="Y31"/>
  <c r="AH31" s="1"/>
  <c r="AL30"/>
  <c r="Y30"/>
  <c r="AK30" s="1"/>
  <c r="AL29"/>
  <c r="Y29"/>
  <c r="AK29" s="1"/>
  <c r="Y28"/>
  <c r="AH28" s="1"/>
  <c r="AL27"/>
  <c r="Y27"/>
  <c r="AK27" s="1"/>
  <c r="Y26"/>
  <c r="AH26" s="1"/>
  <c r="Y25"/>
  <c r="AI25" s="1"/>
  <c r="U24"/>
  <c r="Y24" s="1"/>
  <c r="AH24" s="1"/>
  <c r="AL23"/>
  <c r="Y23"/>
  <c r="AH23" s="1"/>
  <c r="Y22"/>
  <c r="AH22" s="1"/>
  <c r="AJ22" s="1"/>
  <c r="Y21"/>
  <c r="AH21" s="1"/>
  <c r="AJ21" s="1"/>
  <c r="AL20"/>
  <c r="Y20"/>
  <c r="AI20" s="1"/>
  <c r="Y19"/>
  <c r="AH19" s="1"/>
  <c r="AL18"/>
  <c r="Y18"/>
  <c r="Y17"/>
  <c r="AH17" s="1"/>
  <c r="AJ17" s="1"/>
  <c r="T17"/>
  <c r="AS17" s="1"/>
  <c r="AT17" s="1"/>
  <c r="AL16"/>
  <c r="U16"/>
  <c r="Y16" s="1"/>
  <c r="AL15"/>
  <c r="AL78" s="1"/>
  <c r="Y15"/>
  <c r="AK15" s="1"/>
  <c r="Y14"/>
  <c r="AI14" s="1"/>
  <c r="AL13"/>
  <c r="Y13"/>
  <c r="AK13" s="1"/>
  <c r="Y12"/>
  <c r="AH12" s="1"/>
  <c r="AJ12" s="1"/>
  <c r="I30" i="2" l="1"/>
  <c r="I26"/>
  <c r="I28"/>
  <c r="I29"/>
  <c r="I25"/>
  <c r="I41"/>
  <c r="I37"/>
  <c r="I33"/>
  <c r="I21"/>
  <c r="I13"/>
  <c r="I43"/>
  <c r="I39"/>
  <c r="I35"/>
  <c r="I23"/>
  <c r="I15"/>
  <c r="I42"/>
  <c r="I38"/>
  <c r="I34"/>
  <c r="I22"/>
  <c r="I14"/>
  <c r="S55"/>
  <c r="T55" s="1"/>
  <c r="Z55" s="1"/>
  <c r="I40"/>
  <c r="I36"/>
  <c r="C36" i="1" s="1"/>
  <c r="I36" s="1"/>
  <c r="S76" i="2"/>
  <c r="T76" s="1"/>
  <c r="S36"/>
  <c r="E87"/>
  <c r="F55" i="1"/>
  <c r="I55"/>
  <c r="D55"/>
  <c r="H55"/>
  <c r="Q78" i="2"/>
  <c r="L87"/>
  <c r="K87"/>
  <c r="J87"/>
  <c r="O87"/>
  <c r="H87"/>
  <c r="M78"/>
  <c r="P78"/>
  <c r="F78"/>
  <c r="N78"/>
  <c r="N87" s="1"/>
  <c r="G44"/>
  <c r="I44" s="1"/>
  <c r="G32"/>
  <c r="I32" s="1"/>
  <c r="G24"/>
  <c r="I24" s="1"/>
  <c r="G16"/>
  <c r="I16" s="1"/>
  <c r="AH38" i="1"/>
  <c r="AJ38" s="1"/>
  <c r="AI58"/>
  <c r="AH40"/>
  <c r="AI50"/>
  <c r="AH20"/>
  <c r="AJ20" s="1"/>
  <c r="AP20" s="1"/>
  <c r="AH37"/>
  <c r="AK54"/>
  <c r="AM54" s="1"/>
  <c r="AK23"/>
  <c r="AM23" s="1"/>
  <c r="AI27"/>
  <c r="AI28"/>
  <c r="AJ28" s="1"/>
  <c r="AK20"/>
  <c r="AM20" s="1"/>
  <c r="AI40"/>
  <c r="AK46"/>
  <c r="AM46" s="1"/>
  <c r="AI54"/>
  <c r="AJ54" s="1"/>
  <c r="AP54" s="1"/>
  <c r="AM56"/>
  <c r="AH58"/>
  <c r="AI61"/>
  <c r="AI23"/>
  <c r="AJ23" s="1"/>
  <c r="AH27"/>
  <c r="AM40"/>
  <c r="AH30"/>
  <c r="AI64"/>
  <c r="AI29"/>
  <c r="AI30"/>
  <c r="AH63"/>
  <c r="AJ63" s="1"/>
  <c r="AI76"/>
  <c r="AJ76" s="1"/>
  <c r="AI33"/>
  <c r="AK45"/>
  <c r="AM45" s="1"/>
  <c r="AM59"/>
  <c r="AI62"/>
  <c r="Y78"/>
  <c r="AH16"/>
  <c r="AK16"/>
  <c r="AM16" s="1"/>
  <c r="AI16"/>
  <c r="AM15"/>
  <c r="AM78" s="1"/>
  <c r="AM32"/>
  <c r="AH56"/>
  <c r="AH57"/>
  <c r="AJ57" s="1"/>
  <c r="AH59"/>
  <c r="AI72"/>
  <c r="AJ72" s="1"/>
  <c r="AH13"/>
  <c r="AH14"/>
  <c r="AJ14" s="1"/>
  <c r="AI15"/>
  <c r="AH25"/>
  <c r="AJ25" s="1"/>
  <c r="AI26"/>
  <c r="AJ26" s="1"/>
  <c r="AM29"/>
  <c r="AH32"/>
  <c r="AM33"/>
  <c r="AH41"/>
  <c r="AJ41" s="1"/>
  <c r="AI43"/>
  <c r="AK53"/>
  <c r="AI56"/>
  <c r="AI59"/>
  <c r="AI60"/>
  <c r="AM61"/>
  <c r="AM62"/>
  <c r="AM64"/>
  <c r="AI71"/>
  <c r="AJ71" s="1"/>
  <c r="AP71" s="1"/>
  <c r="AI74"/>
  <c r="AM13"/>
  <c r="AH15"/>
  <c r="AI19"/>
  <c r="AJ19" s="1"/>
  <c r="AI52"/>
  <c r="AH53"/>
  <c r="AJ53" s="1"/>
  <c r="AH60"/>
  <c r="AM60"/>
  <c r="AJ74"/>
  <c r="AP74" s="1"/>
  <c r="AI75"/>
  <c r="AJ75" s="1"/>
  <c r="AP75" s="1"/>
  <c r="AI13"/>
  <c r="U78"/>
  <c r="AM27"/>
  <c r="AH29"/>
  <c r="AM30"/>
  <c r="AI32"/>
  <c r="AH33"/>
  <c r="AH47"/>
  <c r="AJ47" s="1"/>
  <c r="AM58"/>
  <c r="AH61"/>
  <c r="AH62"/>
  <c r="AH64"/>
  <c r="AI73"/>
  <c r="AJ73" s="1"/>
  <c r="AJ82"/>
  <c r="AI44"/>
  <c r="AK44"/>
  <c r="AM44" s="1"/>
  <c r="AH44"/>
  <c r="AI18"/>
  <c r="AI39"/>
  <c r="AI42"/>
  <c r="AI48"/>
  <c r="AI51"/>
  <c r="AI68"/>
  <c r="AI70"/>
  <c r="AH70"/>
  <c r="AK81"/>
  <c r="AM81" s="1"/>
  <c r="AJ81"/>
  <c r="AK18"/>
  <c r="AM18" s="1"/>
  <c r="AK24"/>
  <c r="AK31"/>
  <c r="AM31" s="1"/>
  <c r="AK35"/>
  <c r="AM35" s="1"/>
  <c r="AH36"/>
  <c r="AJ36" s="1"/>
  <c r="AH39"/>
  <c r="AK42"/>
  <c r="AM42" s="1"/>
  <c r="AH43"/>
  <c r="AM43"/>
  <c r="AI45"/>
  <c r="AJ45" s="1"/>
  <c r="AP45" s="1"/>
  <c r="AH48"/>
  <c r="AH50"/>
  <c r="AM50"/>
  <c r="AK51"/>
  <c r="AM51" s="1"/>
  <c r="AH52"/>
  <c r="AM52"/>
  <c r="AK55"/>
  <c r="AK67"/>
  <c r="AM67" s="1"/>
  <c r="AH68"/>
  <c r="AI81"/>
  <c r="AI69"/>
  <c r="AH69"/>
  <c r="AH18"/>
  <c r="AI24"/>
  <c r="AJ24" s="1"/>
  <c r="AI31"/>
  <c r="AJ31" s="1"/>
  <c r="AP31" s="1"/>
  <c r="AI35"/>
  <c r="AJ35" s="1"/>
  <c r="AM37"/>
  <c r="AI37"/>
  <c r="AK39"/>
  <c r="AM39" s="1"/>
  <c r="AH42"/>
  <c r="AI46"/>
  <c r="AJ46" s="1"/>
  <c r="AP46" s="1"/>
  <c r="AK48"/>
  <c r="AM48" s="1"/>
  <c r="AH51"/>
  <c r="AI55"/>
  <c r="AJ55" s="1"/>
  <c r="AI67"/>
  <c r="AJ67" s="1"/>
  <c r="AK68"/>
  <c r="AM68" s="1"/>
  <c r="AI82"/>
  <c r="AM82"/>
  <c r="AK71"/>
  <c r="AM71" s="1"/>
  <c r="AK74"/>
  <c r="AM74" s="1"/>
  <c r="AK75"/>
  <c r="AM75" s="1"/>
  <c r="F36" l="1"/>
  <c r="AJ61"/>
  <c r="AP61" s="1"/>
  <c r="D36"/>
  <c r="H36"/>
  <c r="J36" s="1"/>
  <c r="K36" s="1"/>
  <c r="L36" s="1"/>
  <c r="T36" i="2"/>
  <c r="Z36" s="1"/>
  <c r="J55" i="1"/>
  <c r="AJ51"/>
  <c r="AP51" s="1"/>
  <c r="AJ30"/>
  <c r="G78" i="2"/>
  <c r="G87" s="1"/>
  <c r="AJ50" i="1"/>
  <c r="AP50" s="1"/>
  <c r="AJ43"/>
  <c r="AP43" s="1"/>
  <c r="AJ58"/>
  <c r="AP58" s="1"/>
  <c r="AJ40"/>
  <c r="AP40" s="1"/>
  <c r="AJ59"/>
  <c r="AP59" s="1"/>
  <c r="AJ42"/>
  <c r="AP42" s="1"/>
  <c r="AJ18"/>
  <c r="AP18" s="1"/>
  <c r="AJ15"/>
  <c r="AP15" s="1"/>
  <c r="AJ13"/>
  <c r="AJ52"/>
  <c r="AP52" s="1"/>
  <c r="AJ48"/>
  <c r="AP48" s="1"/>
  <c r="AJ37"/>
  <c r="AP37" s="1"/>
  <c r="AJ39"/>
  <c r="AJ29"/>
  <c r="AP29" s="1"/>
  <c r="AJ62"/>
  <c r="AP62" s="1"/>
  <c r="AJ33"/>
  <c r="AP33" s="1"/>
  <c r="AJ27"/>
  <c r="AP27" s="1"/>
  <c r="AJ64"/>
  <c r="AP64" s="1"/>
  <c r="AK78"/>
  <c r="AI78"/>
  <c r="AI80" s="1"/>
  <c r="AJ70"/>
  <c r="AJ44"/>
  <c r="AP44" s="1"/>
  <c r="AJ60"/>
  <c r="AP60" s="1"/>
  <c r="AJ32"/>
  <c r="AP32" s="1"/>
  <c r="AJ56"/>
  <c r="AP56" s="1"/>
  <c r="AJ16"/>
  <c r="AP16" s="1"/>
  <c r="AH78"/>
  <c r="AM83"/>
  <c r="AJ68"/>
  <c r="AP68" s="1"/>
  <c r="AJ69"/>
  <c r="AP13"/>
  <c r="K55" l="1"/>
  <c r="L55" s="1"/>
  <c r="AJ78"/>
  <c r="AM84"/>
  <c r="AM85" s="1"/>
  <c r="F84" i="2" l="1"/>
  <c r="F87" s="1"/>
  <c r="M84"/>
  <c r="M87" s="1"/>
  <c r="R81"/>
  <c r="R84" s="1"/>
  <c r="Q81"/>
  <c r="Q84" s="1"/>
  <c r="Q87" s="1"/>
  <c r="P81"/>
  <c r="P84" s="1"/>
  <c r="P87" s="1"/>
  <c r="R29"/>
  <c r="S29" s="1"/>
  <c r="T29" s="1"/>
  <c r="R30"/>
  <c r="S30" s="1"/>
  <c r="T30" s="1"/>
  <c r="R38"/>
  <c r="S38" s="1"/>
  <c r="T38" s="1"/>
  <c r="R39"/>
  <c r="S39" s="1"/>
  <c r="T39" s="1"/>
  <c r="R42"/>
  <c r="S42" s="1"/>
  <c r="T42" s="1"/>
  <c r="R43"/>
  <c r="S43" s="1"/>
  <c r="T43" s="1"/>
  <c r="R54"/>
  <c r="S54" s="1"/>
  <c r="T54" s="1"/>
  <c r="R58"/>
  <c r="S58" s="1"/>
  <c r="T58" s="1"/>
  <c r="R59"/>
  <c r="S59" s="1"/>
  <c r="T59" s="1"/>
  <c r="R61"/>
  <c r="S61" s="1"/>
  <c r="T61" s="1"/>
  <c r="R73"/>
  <c r="S73" s="1"/>
  <c r="T73" s="1"/>
  <c r="R75"/>
  <c r="S75" s="1"/>
  <c r="T75" s="1"/>
  <c r="R69"/>
  <c r="S69" s="1"/>
  <c r="T69" s="1"/>
  <c r="R63"/>
  <c r="S63" s="1"/>
  <c r="T63" s="1"/>
  <c r="R28"/>
  <c r="S28" s="1"/>
  <c r="T28" s="1"/>
  <c r="R13"/>
  <c r="S13" s="1"/>
  <c r="T13" s="1"/>
  <c r="R14"/>
  <c r="S14" s="1"/>
  <c r="T14" s="1"/>
  <c r="R15"/>
  <c r="S15" s="1"/>
  <c r="T15" s="1"/>
  <c r="R16"/>
  <c r="S16" s="1"/>
  <c r="T16" s="1"/>
  <c r="R17"/>
  <c r="S17" s="1"/>
  <c r="T17" s="1"/>
  <c r="R18"/>
  <c r="S18" s="1"/>
  <c r="T18" s="1"/>
  <c r="R19"/>
  <c r="S19" s="1"/>
  <c r="T19" s="1"/>
  <c r="R21"/>
  <c r="S21" s="1"/>
  <c r="T21" s="1"/>
  <c r="R22"/>
  <c r="S22" s="1"/>
  <c r="T22" s="1"/>
  <c r="R23"/>
  <c r="S23" s="1"/>
  <c r="T23" s="1"/>
  <c r="R24"/>
  <c r="S24" s="1"/>
  <c r="T24" s="1"/>
  <c r="R25"/>
  <c r="S25" s="1"/>
  <c r="T25" s="1"/>
  <c r="R26"/>
  <c r="S26" s="1"/>
  <c r="T26" s="1"/>
  <c r="R27"/>
  <c r="S27" s="1"/>
  <c r="T27" s="1"/>
  <c r="R31"/>
  <c r="S31" s="1"/>
  <c r="T31" s="1"/>
  <c r="R32"/>
  <c r="S32" s="1"/>
  <c r="T32" s="1"/>
  <c r="R33"/>
  <c r="S33" s="1"/>
  <c r="T33" s="1"/>
  <c r="R34"/>
  <c r="S34" s="1"/>
  <c r="T34" s="1"/>
  <c r="R35"/>
  <c r="S35" s="1"/>
  <c r="T35" s="1"/>
  <c r="R37"/>
  <c r="S37" s="1"/>
  <c r="T37" s="1"/>
  <c r="R40"/>
  <c r="S40" s="1"/>
  <c r="T40" s="1"/>
  <c r="R41"/>
  <c r="S41" s="1"/>
  <c r="T41" s="1"/>
  <c r="R44"/>
  <c r="S44" s="1"/>
  <c r="T44" s="1"/>
  <c r="R45"/>
  <c r="S45" s="1"/>
  <c r="T45" s="1"/>
  <c r="R46"/>
  <c r="S46" s="1"/>
  <c r="T46" s="1"/>
  <c r="R47"/>
  <c r="S47" s="1"/>
  <c r="T47" s="1"/>
  <c r="R48"/>
  <c r="S48" s="1"/>
  <c r="T48" s="1"/>
  <c r="R49"/>
  <c r="S49" s="1"/>
  <c r="T49" s="1"/>
  <c r="R50"/>
  <c r="S50" s="1"/>
  <c r="T50" s="1"/>
  <c r="R51"/>
  <c r="S51" s="1"/>
  <c r="T51" s="1"/>
  <c r="R52"/>
  <c r="S52" s="1"/>
  <c r="T52" s="1"/>
  <c r="R53"/>
  <c r="S53" s="1"/>
  <c r="T53" s="1"/>
  <c r="R56"/>
  <c r="S56" s="1"/>
  <c r="T56" s="1"/>
  <c r="R57"/>
  <c r="S57" s="1"/>
  <c r="T57" s="1"/>
  <c r="R60"/>
  <c r="S60" s="1"/>
  <c r="T60" s="1"/>
  <c r="R62"/>
  <c r="S62" s="1"/>
  <c r="T62" s="1"/>
  <c r="R64"/>
  <c r="S64" s="1"/>
  <c r="T64" s="1"/>
  <c r="R65"/>
  <c r="S65" s="1"/>
  <c r="T65" s="1"/>
  <c r="R66"/>
  <c r="S66" s="1"/>
  <c r="T66" s="1"/>
  <c r="R67"/>
  <c r="S67" s="1"/>
  <c r="T67" s="1"/>
  <c r="R68"/>
  <c r="S68" s="1"/>
  <c r="T68" s="1"/>
  <c r="R70"/>
  <c r="S70" s="1"/>
  <c r="T70" s="1"/>
  <c r="R71"/>
  <c r="S71" s="1"/>
  <c r="T71" s="1"/>
  <c r="R72"/>
  <c r="S72" s="1"/>
  <c r="T72" s="1"/>
  <c r="R74"/>
  <c r="S74" s="1"/>
  <c r="T74" s="1"/>
  <c r="C73" i="1"/>
  <c r="C69"/>
  <c r="C63"/>
  <c r="C13"/>
  <c r="C14"/>
  <c r="C15"/>
  <c r="C16"/>
  <c r="C17"/>
  <c r="C18"/>
  <c r="C19"/>
  <c r="C20"/>
  <c r="C21"/>
  <c r="C22"/>
  <c r="C23"/>
  <c r="C24"/>
  <c r="C25"/>
  <c r="C26"/>
  <c r="C27"/>
  <c r="C31"/>
  <c r="C32"/>
  <c r="C33"/>
  <c r="C34"/>
  <c r="C35"/>
  <c r="C37"/>
  <c r="C40"/>
  <c r="C41"/>
  <c r="C44"/>
  <c r="C45"/>
  <c r="C46"/>
  <c r="C47"/>
  <c r="C48"/>
  <c r="C49"/>
  <c r="C50"/>
  <c r="C51"/>
  <c r="C52"/>
  <c r="C53"/>
  <c r="C56"/>
  <c r="C57"/>
  <c r="C60"/>
  <c r="C62"/>
  <c r="C64"/>
  <c r="C65"/>
  <c r="C66"/>
  <c r="C67"/>
  <c r="C68"/>
  <c r="C70"/>
  <c r="C71"/>
  <c r="C72"/>
  <c r="C74"/>
  <c r="B29" i="2"/>
  <c r="B30"/>
  <c r="B28"/>
  <c r="B13"/>
  <c r="B14"/>
  <c r="B15"/>
  <c r="B16"/>
  <c r="B17"/>
  <c r="B18"/>
  <c r="B19"/>
  <c r="B20"/>
  <c r="B21"/>
  <c r="B22"/>
  <c r="B23"/>
  <c r="B24"/>
  <c r="B25"/>
  <c r="B26"/>
  <c r="B27"/>
  <c r="B31"/>
  <c r="B32"/>
  <c r="B33"/>
  <c r="B34"/>
  <c r="B35"/>
  <c r="B12"/>
  <c r="N13" i="1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I70" l="1"/>
  <c r="H70"/>
  <c r="F70"/>
  <c r="D70"/>
  <c r="H65"/>
  <c r="I65"/>
  <c r="D65"/>
  <c r="F65"/>
  <c r="H57"/>
  <c r="I57"/>
  <c r="F57"/>
  <c r="D57"/>
  <c r="F51"/>
  <c r="I51"/>
  <c r="H51"/>
  <c r="D51"/>
  <c r="F47"/>
  <c r="I47"/>
  <c r="D47"/>
  <c r="H47"/>
  <c r="H41"/>
  <c r="I41"/>
  <c r="F41"/>
  <c r="D41"/>
  <c r="I34"/>
  <c r="H34"/>
  <c r="D34"/>
  <c r="F34"/>
  <c r="F27"/>
  <c r="I27"/>
  <c r="H27"/>
  <c r="D27"/>
  <c r="F23"/>
  <c r="I23"/>
  <c r="D23"/>
  <c r="H23"/>
  <c r="F19"/>
  <c r="I19"/>
  <c r="H19"/>
  <c r="D19"/>
  <c r="F15"/>
  <c r="I15"/>
  <c r="D15"/>
  <c r="H15"/>
  <c r="H69"/>
  <c r="I69"/>
  <c r="D69"/>
  <c r="F69"/>
  <c r="I74"/>
  <c r="H74"/>
  <c r="F74"/>
  <c r="D74"/>
  <c r="H68"/>
  <c r="F68"/>
  <c r="I68"/>
  <c r="D68"/>
  <c r="H64"/>
  <c r="I64"/>
  <c r="F64"/>
  <c r="D64"/>
  <c r="H56"/>
  <c r="I56"/>
  <c r="F56"/>
  <c r="D56"/>
  <c r="I50"/>
  <c r="H50"/>
  <c r="F50"/>
  <c r="D50"/>
  <c r="I46"/>
  <c r="H46"/>
  <c r="F46"/>
  <c r="D46"/>
  <c r="H40"/>
  <c r="I40"/>
  <c r="F40"/>
  <c r="D40"/>
  <c r="H33"/>
  <c r="I33"/>
  <c r="D33"/>
  <c r="F33"/>
  <c r="I26"/>
  <c r="H26"/>
  <c r="F26"/>
  <c r="D26"/>
  <c r="I22"/>
  <c r="H22"/>
  <c r="F22"/>
  <c r="D22"/>
  <c r="I18"/>
  <c r="H18"/>
  <c r="F18"/>
  <c r="D18"/>
  <c r="I14"/>
  <c r="H14"/>
  <c r="F14"/>
  <c r="D14"/>
  <c r="H73"/>
  <c r="I73"/>
  <c r="F73"/>
  <c r="D73"/>
  <c r="H72"/>
  <c r="I72"/>
  <c r="F72"/>
  <c r="D72"/>
  <c r="F67"/>
  <c r="I67"/>
  <c r="H67"/>
  <c r="D67"/>
  <c r="I62"/>
  <c r="H62"/>
  <c r="F62"/>
  <c r="D62"/>
  <c r="H53"/>
  <c r="I53"/>
  <c r="D53"/>
  <c r="F53"/>
  <c r="H49"/>
  <c r="I49"/>
  <c r="D49"/>
  <c r="F49"/>
  <c r="H45"/>
  <c r="I45"/>
  <c r="D45"/>
  <c r="F45"/>
  <c r="H37"/>
  <c r="I37"/>
  <c r="D37"/>
  <c r="F37"/>
  <c r="F32"/>
  <c r="H32"/>
  <c r="D32"/>
  <c r="I32"/>
  <c r="H25"/>
  <c r="I25"/>
  <c r="D25"/>
  <c r="F25"/>
  <c r="H21"/>
  <c r="I21"/>
  <c r="F21"/>
  <c r="D21"/>
  <c r="H17"/>
  <c r="I17"/>
  <c r="D17"/>
  <c r="F17"/>
  <c r="H13"/>
  <c r="I13"/>
  <c r="D13"/>
  <c r="F13"/>
  <c r="F71"/>
  <c r="I71"/>
  <c r="D71"/>
  <c r="H71"/>
  <c r="I66"/>
  <c r="H66"/>
  <c r="D66"/>
  <c r="F66"/>
  <c r="H60"/>
  <c r="I60"/>
  <c r="F60"/>
  <c r="D60"/>
  <c r="H52"/>
  <c r="F52"/>
  <c r="I52"/>
  <c r="D52"/>
  <c r="H48"/>
  <c r="D48"/>
  <c r="I48"/>
  <c r="F48"/>
  <c r="H44"/>
  <c r="I44"/>
  <c r="F44"/>
  <c r="D44"/>
  <c r="F35"/>
  <c r="I35"/>
  <c r="H35"/>
  <c r="D35"/>
  <c r="F31"/>
  <c r="I31"/>
  <c r="D31"/>
  <c r="H31"/>
  <c r="F24"/>
  <c r="H24"/>
  <c r="D24"/>
  <c r="I24"/>
  <c r="F20"/>
  <c r="H20"/>
  <c r="I20"/>
  <c r="D20"/>
  <c r="F16"/>
  <c r="H16"/>
  <c r="D16"/>
  <c r="I16"/>
  <c r="F63"/>
  <c r="I63"/>
  <c r="D63"/>
  <c r="H63"/>
  <c r="C54"/>
  <c r="C38"/>
  <c r="C42"/>
  <c r="C29"/>
  <c r="Z74" i="2"/>
  <c r="Z71"/>
  <c r="Z66"/>
  <c r="Z60"/>
  <c r="Z52"/>
  <c r="Z48"/>
  <c r="Z44"/>
  <c r="Z35"/>
  <c r="Z31"/>
  <c r="Z24"/>
  <c r="Z20"/>
  <c r="Z16"/>
  <c r="Z70"/>
  <c r="Z65"/>
  <c r="Z57"/>
  <c r="Z51"/>
  <c r="Z47"/>
  <c r="Z41"/>
  <c r="Z34"/>
  <c r="Z27"/>
  <c r="Z23"/>
  <c r="Z19"/>
  <c r="Z15"/>
  <c r="Z63"/>
  <c r="Z73"/>
  <c r="Z68"/>
  <c r="Z64"/>
  <c r="Z56"/>
  <c r="Z50"/>
  <c r="Z46"/>
  <c r="Z40"/>
  <c r="Z33"/>
  <c r="Z26"/>
  <c r="Z22"/>
  <c r="Z18"/>
  <c r="Z14"/>
  <c r="Z72"/>
  <c r="Z67"/>
  <c r="Z62"/>
  <c r="Z53"/>
  <c r="Z49"/>
  <c r="Z45"/>
  <c r="Z37"/>
  <c r="Z32"/>
  <c r="Z25"/>
  <c r="Z21"/>
  <c r="Z17"/>
  <c r="Z13"/>
  <c r="Z69"/>
  <c r="S81"/>
  <c r="S84" s="1"/>
  <c r="C75" i="1"/>
  <c r="C58"/>
  <c r="C39"/>
  <c r="C76"/>
  <c r="C61"/>
  <c r="C43"/>
  <c r="C30"/>
  <c r="R12" i="2"/>
  <c r="R78" l="1"/>
  <c r="R87" s="1"/>
  <c r="S12"/>
  <c r="J48" i="1"/>
  <c r="K48" s="1"/>
  <c r="L48" s="1"/>
  <c r="J66"/>
  <c r="K66" s="1"/>
  <c r="L66" s="1"/>
  <c r="J13"/>
  <c r="K13" s="1"/>
  <c r="L13" s="1"/>
  <c r="J17"/>
  <c r="K17" s="1"/>
  <c r="L17" s="1"/>
  <c r="J25"/>
  <c r="K25" s="1"/>
  <c r="L25" s="1"/>
  <c r="J37"/>
  <c r="K37" s="1"/>
  <c r="L37" s="1"/>
  <c r="J45"/>
  <c r="K45" s="1"/>
  <c r="L45" s="1"/>
  <c r="J52"/>
  <c r="K52" s="1"/>
  <c r="J68"/>
  <c r="K68" s="1"/>
  <c r="L68" s="1"/>
  <c r="I42"/>
  <c r="H42"/>
  <c r="F42"/>
  <c r="D42"/>
  <c r="J49"/>
  <c r="J53"/>
  <c r="J33"/>
  <c r="J69"/>
  <c r="J34"/>
  <c r="J65"/>
  <c r="I30"/>
  <c r="H30"/>
  <c r="F30"/>
  <c r="D30"/>
  <c r="F39"/>
  <c r="I39"/>
  <c r="D39"/>
  <c r="H39"/>
  <c r="J44"/>
  <c r="J60"/>
  <c r="J21"/>
  <c r="J62"/>
  <c r="J72"/>
  <c r="J73"/>
  <c r="J14"/>
  <c r="J18"/>
  <c r="J22"/>
  <c r="J26"/>
  <c r="J40"/>
  <c r="J46"/>
  <c r="J50"/>
  <c r="J56"/>
  <c r="J64"/>
  <c r="J74"/>
  <c r="J41"/>
  <c r="J57"/>
  <c r="J70"/>
  <c r="H76"/>
  <c r="I76"/>
  <c r="F76"/>
  <c r="D76"/>
  <c r="F43"/>
  <c r="I43"/>
  <c r="H43"/>
  <c r="D43"/>
  <c r="I58"/>
  <c r="H58"/>
  <c r="F58"/>
  <c r="D58"/>
  <c r="I38"/>
  <c r="H38"/>
  <c r="F38"/>
  <c r="D38"/>
  <c r="H61"/>
  <c r="I61"/>
  <c r="D61"/>
  <c r="F61"/>
  <c r="F75"/>
  <c r="I75"/>
  <c r="H75"/>
  <c r="D75"/>
  <c r="H29"/>
  <c r="I29"/>
  <c r="F29"/>
  <c r="D29"/>
  <c r="I54"/>
  <c r="H54"/>
  <c r="D54"/>
  <c r="F54"/>
  <c r="J63"/>
  <c r="J16"/>
  <c r="J20"/>
  <c r="J24"/>
  <c r="J31"/>
  <c r="J35"/>
  <c r="J71"/>
  <c r="J32"/>
  <c r="J67"/>
  <c r="J15"/>
  <c r="J19"/>
  <c r="J23"/>
  <c r="J27"/>
  <c r="J47"/>
  <c r="J51"/>
  <c r="G83"/>
  <c r="C59"/>
  <c r="Z54" i="2"/>
  <c r="Z38"/>
  <c r="Z29"/>
  <c r="Z59"/>
  <c r="Z42"/>
  <c r="G78" i="1"/>
  <c r="G86" s="1"/>
  <c r="Z61" i="2"/>
  <c r="Z30"/>
  <c r="Z76"/>
  <c r="Z39"/>
  <c r="Z43"/>
  <c r="Z75"/>
  <c r="Z58"/>
  <c r="J30" i="1" l="1"/>
  <c r="L52"/>
  <c r="J43"/>
  <c r="J75"/>
  <c r="K75" s="1"/>
  <c r="L75" s="1"/>
  <c r="J42"/>
  <c r="K42" s="1"/>
  <c r="L42" s="1"/>
  <c r="K67"/>
  <c r="L67" s="1"/>
  <c r="K63"/>
  <c r="L63" s="1"/>
  <c r="K46"/>
  <c r="L46" s="1"/>
  <c r="K62"/>
  <c r="L62" s="1"/>
  <c r="K65"/>
  <c r="L65" s="1"/>
  <c r="K23"/>
  <c r="L23" s="1"/>
  <c r="J54"/>
  <c r="K70"/>
  <c r="L70" s="1"/>
  <c r="K40"/>
  <c r="L40" s="1"/>
  <c r="K21"/>
  <c r="L21" s="1"/>
  <c r="K34"/>
  <c r="L34" s="1"/>
  <c r="K51"/>
  <c r="L51" s="1"/>
  <c r="K19"/>
  <c r="L19" s="1"/>
  <c r="K71"/>
  <c r="L71" s="1"/>
  <c r="K20"/>
  <c r="L20" s="1"/>
  <c r="J29"/>
  <c r="J38"/>
  <c r="J58"/>
  <c r="J76"/>
  <c r="K57"/>
  <c r="L57" s="1"/>
  <c r="K56"/>
  <c r="L56" s="1"/>
  <c r="K26"/>
  <c r="L26" s="1"/>
  <c r="K73"/>
  <c r="L73" s="1"/>
  <c r="K60"/>
  <c r="L60" s="1"/>
  <c r="K69"/>
  <c r="L69" s="1"/>
  <c r="K27"/>
  <c r="L27" s="1"/>
  <c r="K31"/>
  <c r="L31" s="1"/>
  <c r="K74"/>
  <c r="L74" s="1"/>
  <c r="K18"/>
  <c r="L18" s="1"/>
  <c r="K53"/>
  <c r="L53" s="1"/>
  <c r="K32"/>
  <c r="L32" s="1"/>
  <c r="K24"/>
  <c r="L24" s="1"/>
  <c r="J61"/>
  <c r="K64"/>
  <c r="L64" s="1"/>
  <c r="K14"/>
  <c r="L14" s="1"/>
  <c r="K30"/>
  <c r="L30" s="1"/>
  <c r="K49"/>
  <c r="L49" s="1"/>
  <c r="F59"/>
  <c r="I59"/>
  <c r="H59"/>
  <c r="D59"/>
  <c r="K47"/>
  <c r="L47" s="1"/>
  <c r="K15"/>
  <c r="L15" s="1"/>
  <c r="K35"/>
  <c r="L35" s="1"/>
  <c r="K16"/>
  <c r="L16" s="1"/>
  <c r="K41"/>
  <c r="L41" s="1"/>
  <c r="K50"/>
  <c r="L50" s="1"/>
  <c r="K22"/>
  <c r="L22" s="1"/>
  <c r="K72"/>
  <c r="L72" s="1"/>
  <c r="K44"/>
  <c r="L44" s="1"/>
  <c r="J39"/>
  <c r="K33"/>
  <c r="L33" s="1"/>
  <c r="D4" i="2"/>
  <c r="K43" i="1" l="1"/>
  <c r="L43" s="1"/>
  <c r="K61"/>
  <c r="L61" s="1"/>
  <c r="K29"/>
  <c r="L29" s="1"/>
  <c r="J59"/>
  <c r="K76"/>
  <c r="L76" s="1"/>
  <c r="K54"/>
  <c r="L54" s="1"/>
  <c r="K58"/>
  <c r="L58" s="1"/>
  <c r="K39"/>
  <c r="L39" s="1"/>
  <c r="K38"/>
  <c r="L38" s="1"/>
  <c r="I12" i="2"/>
  <c r="K59" i="1" l="1"/>
  <c r="L59" s="1"/>
  <c r="S78" i="2"/>
  <c r="S87" s="1"/>
  <c r="I81"/>
  <c r="C28" i="1"/>
  <c r="N12"/>
  <c r="I84" i="2" l="1"/>
  <c r="C81" i="1"/>
  <c r="F28"/>
  <c r="H28"/>
  <c r="I28"/>
  <c r="D28"/>
  <c r="I78" i="2"/>
  <c r="I87" s="1"/>
  <c r="Z28"/>
  <c r="T81"/>
  <c r="T84" s="1"/>
  <c r="C12" i="1"/>
  <c r="I12" s="1"/>
  <c r="T12" i="2"/>
  <c r="Z12" s="1"/>
  <c r="C83" i="1" l="1"/>
  <c r="I81"/>
  <c r="I83" s="1"/>
  <c r="H81"/>
  <c r="H83" s="1"/>
  <c r="F81"/>
  <c r="J81" s="1"/>
  <c r="K81" s="1"/>
  <c r="L81" s="1"/>
  <c r="D81"/>
  <c r="D83" s="1"/>
  <c r="D12"/>
  <c r="F12"/>
  <c r="J28"/>
  <c r="C78"/>
  <c r="C86" s="1"/>
  <c r="T78" i="2"/>
  <c r="T87" s="1"/>
  <c r="D80" i="3" s="1"/>
  <c r="H12" i="1"/>
  <c r="F83" l="1"/>
  <c r="K28"/>
  <c r="L28" s="1"/>
  <c r="F78"/>
  <c r="F86" s="1"/>
  <c r="J83"/>
  <c r="L83"/>
  <c r="D78"/>
  <c r="D86" s="1"/>
  <c r="I78"/>
  <c r="I86" s="1"/>
  <c r="H78"/>
  <c r="H86" s="1"/>
  <c r="K83"/>
  <c r="J12"/>
  <c r="J78" l="1"/>
  <c r="J86" s="1"/>
  <c r="K12"/>
  <c r="K78" l="1"/>
  <c r="K86" s="1"/>
  <c r="L12"/>
  <c r="L78" s="1"/>
  <c r="L86" s="1"/>
</calcChain>
</file>

<file path=xl/sharedStrings.xml><?xml version="1.0" encoding="utf-8"?>
<sst xmlns="http://schemas.openxmlformats.org/spreadsheetml/2006/main" count="1385" uniqueCount="395">
  <si>
    <t>CONTPAQ i</t>
  </si>
  <si>
    <t xml:space="preserve">      NÓMINAS</t>
  </si>
  <si>
    <t>05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</si>
  <si>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</si>
  <si>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</si>
  <si>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</si>
  <si>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</si>
  <si>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</si>
  <si>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</si>
  <si>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</si>
  <si>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*TOTAL* *PERCEPCIONES*</t>
  </si>
  <si>
    <t>Subsidio al Empleo (sp)</t>
  </si>
  <si>
    <t>I.S.R. (sp)</t>
  </si>
  <si>
    <t>I.M.S.S.</t>
  </si>
  <si>
    <t>Préstamo Infonavit</t>
  </si>
  <si>
    <t>Ajuste al neto</t>
  </si>
  <si>
    <t>Dtos Cta 254</t>
  </si>
  <si>
    <t>SEG GTS MED MAY</t>
  </si>
  <si>
    <t>*TOTAL* *DEDUCCIONES*</t>
  </si>
  <si>
    <t>*NETO*</t>
  </si>
  <si>
    <t xml:space="preserve">    Reg. Pat. IMSS:  Z3422423106</t>
  </si>
  <si>
    <t>Departamento 1 1200X05</t>
  </si>
  <si>
    <t>AMM19</t>
  </si>
  <si>
    <t>Almanza Martinez Maribel</t>
  </si>
  <si>
    <t>BM29</t>
  </si>
  <si>
    <t>Baez Monroy Elizabeth</t>
  </si>
  <si>
    <t>0BC09</t>
  </si>
  <si>
    <t>Baltazar Cruz Desiree De Jesus</t>
  </si>
  <si>
    <t>0CR21</t>
  </si>
  <si>
    <t>Camacho Rivera Martha Sarahi</t>
  </si>
  <si>
    <t>0CS27</t>
  </si>
  <si>
    <t>Campos Sancen Luis Felipe</t>
  </si>
  <si>
    <t>0CG02</t>
  </si>
  <si>
    <t>Castillo Galindo Marlene Samantha Graciela</t>
  </si>
  <si>
    <t>CMS29</t>
  </si>
  <si>
    <t>Cruz Mendoza Salomon</t>
  </si>
  <si>
    <t>0AC03</t>
  </si>
  <si>
    <t>Del Alto Castellanos Xochitl</t>
  </si>
  <si>
    <t>DRR01</t>
  </si>
  <si>
    <t>Diaz Rojas Rocio Janet</t>
  </si>
  <si>
    <t>ELR26</t>
  </si>
  <si>
    <t>Escamilla Lopez Rogelio</t>
  </si>
  <si>
    <t>GMR01</t>
  </si>
  <si>
    <t>Gallegos Morales Roberto</t>
  </si>
  <si>
    <t>GRO05</t>
  </si>
  <si>
    <t>Gallegos Rios Octavio Alberto</t>
  </si>
  <si>
    <t>0GA21</t>
  </si>
  <si>
    <t>Guerra Aguilar Alejandro</t>
  </si>
  <si>
    <t>GA003</t>
  </si>
  <si>
    <t>Guillen Ayala Juan Carlos</t>
  </si>
  <si>
    <t>0HE04</t>
  </si>
  <si>
    <t>0HA01</t>
  </si>
  <si>
    <t>Herrera Almaraz Blanca Sofia</t>
  </si>
  <si>
    <t>00003</t>
  </si>
  <si>
    <t>Jimenez Suarez Ludivina</t>
  </si>
  <si>
    <t>0LU18</t>
  </si>
  <si>
    <t>Lizardi Urzua Arizbeth</t>
  </si>
  <si>
    <t>00LA2</t>
  </si>
  <si>
    <t>Loyola Acosta Carlos Alberto</t>
  </si>
  <si>
    <t>0ME05</t>
  </si>
  <si>
    <t>Mandujano Estrada  Ilse Georgina</t>
  </si>
  <si>
    <t>MMJ10</t>
  </si>
  <si>
    <t>Manjarrez Moreno Julio Cesar</t>
  </si>
  <si>
    <t>MOJ09</t>
  </si>
  <si>
    <t>Martinez Ortiz Josue Alejandro</t>
  </si>
  <si>
    <t>0MV23</t>
  </si>
  <si>
    <t>Mejia Villegas Nallely Beatriz</t>
  </si>
  <si>
    <t>0MN09</t>
  </si>
  <si>
    <t>Morales Naif Diana</t>
  </si>
  <si>
    <t>00056</t>
  </si>
  <si>
    <t>Muñoz Macias Marco Alfredo</t>
  </si>
  <si>
    <t>MMP08</t>
  </si>
  <si>
    <t>Muñoz Martinez Patricia Vanessa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</si>
  <si>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</si>
  <si>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</si>
  <si>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</si>
  <si>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</si>
  <si>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</si>
  <si>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</si>
  <si>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</si>
  <si>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</si>
  <si>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009</t>
  </si>
  <si>
    <t>Patiño Muñoz Ana Laura</t>
  </si>
  <si>
    <t>0SM06</t>
  </si>
  <si>
    <t>Salcedo Moreno Janitzy Xochitl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</si>
  <si>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</si>
  <si>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</si>
  <si>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</si>
  <si>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</si>
  <si>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</si>
  <si>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</si>
  <si>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SMD19</t>
  </si>
  <si>
    <t>Segura Mejia Diana Janette</t>
  </si>
  <si>
    <t>SJM18</t>
  </si>
  <si>
    <t>Solorzano Juarez Monica Elisa</t>
  </si>
  <si>
    <t>00018</t>
  </si>
  <si>
    <t>Tierrablanca Sanchez Victor Hugo</t>
  </si>
  <si>
    <t>VAG26</t>
  </si>
  <si>
    <t>Vazquez Amezcua Gilberto Ramon</t>
  </si>
  <si>
    <t>0VF00</t>
  </si>
  <si>
    <t>Vega Fernandez Amalia</t>
  </si>
  <si>
    <t>YMC14</t>
  </si>
  <si>
    <t>Yerena Martinez Cinthia Guadalupe</t>
  </si>
  <si>
    <t>Total Depto</t>
  </si>
  <si>
    <t xml:space="preserve">  -----------------------</t>
  </si>
  <si>
    <t>GFJ22</t>
  </si>
  <si>
    <t>GHJ29</t>
  </si>
  <si>
    <t>Guerrero Hernandez Juan Carlos</t>
  </si>
  <si>
    <t>GMJ15</t>
  </si>
  <si>
    <t>Guerrero Martinez Juan Pablo</t>
  </si>
  <si>
    <t>LNJ17</t>
  </si>
  <si>
    <t>Luna Nieto Jose Enrique</t>
  </si>
  <si>
    <t>MCC15</t>
  </si>
  <si>
    <t>Maldonado Cruz Carlos Ivan</t>
  </si>
  <si>
    <t>MDL04</t>
  </si>
  <si>
    <t>Martinez Diaz Leobardo Adrian</t>
  </si>
  <si>
    <t>0MH02</t>
  </si>
  <si>
    <t>Martinez Herrera Cristian</t>
  </si>
  <si>
    <t>0NO05</t>
  </si>
  <si>
    <t>Nieves Osornio Silvestre</t>
  </si>
  <si>
    <t>PLL19</t>
  </si>
  <si>
    <t>Prieto Lopez Leobigildo</t>
  </si>
  <si>
    <t>00033</t>
  </si>
  <si>
    <t>Rodriguez Nuñez Jose Antonio</t>
  </si>
  <si>
    <t>SCV29</t>
  </si>
  <si>
    <t>Salas Correa Victor Eduardo</t>
  </si>
  <si>
    <t>0SV03</t>
  </si>
  <si>
    <t>VDA19</t>
  </si>
  <si>
    <t>Villegas Alonso Diego Armando</t>
  </si>
  <si>
    <t>0YV27</t>
  </si>
  <si>
    <t>Yerena Vazquez Alejandro</t>
  </si>
  <si>
    <t>Total Gral.</t>
  </si>
  <si>
    <t xml:space="preserve"> </t>
  </si>
  <si>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</si>
  <si>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</si>
  <si>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</si>
  <si>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</si>
  <si>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</si>
  <si>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</si>
  <si>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</si>
  <si>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</si>
  <si>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</si>
  <si>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</si>
  <si>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</si>
  <si>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</si>
  <si>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</si>
  <si>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</si>
  <si>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</si>
  <si>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</si>
  <si>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</si>
  <si>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</si>
  <si>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</si>
  <si>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</si>
  <si>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</si>
  <si>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</si>
  <si>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</si>
  <si>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</si>
  <si>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</si>
  <si>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</si>
  <si>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</si>
  <si>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</si>
  <si>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</si>
  <si>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</si>
  <si>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</si>
  <si>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ADMINISTRACION</t>
  </si>
  <si>
    <t>ALMANZA MARTINEZ MARIBEL</t>
  </si>
  <si>
    <t>SERVICIO</t>
  </si>
  <si>
    <t>VIGILANTE</t>
  </si>
  <si>
    <t>SEMINUEVOS</t>
  </si>
  <si>
    <t>BAEZ MONROY ELIZABETH</t>
  </si>
  <si>
    <t>GREETER SEMINUEVOS</t>
  </si>
  <si>
    <t>BALTAZAR CRUZ DESIREE DE JESUS</t>
  </si>
  <si>
    <t>BC09</t>
  </si>
  <si>
    <t>FACTURACION</t>
  </si>
  <si>
    <t>CAMACHO RIVERA MARTHA SARAHI</t>
  </si>
  <si>
    <t>CR21</t>
  </si>
  <si>
    <t>ENTREGAS/CITAS</t>
  </si>
  <si>
    <t>CAMPOS SANCEN LUIS FELIPE</t>
  </si>
  <si>
    <t>CS27</t>
  </si>
  <si>
    <t>AUX CONTABLE</t>
  </si>
  <si>
    <t>CASTILLO GALINDO MARLENE SAMANTHA GRACIELA</t>
  </si>
  <si>
    <t>CG02</t>
  </si>
  <si>
    <t>INTENDENCIA</t>
  </si>
  <si>
    <t>CRUZ MENDOZA SALOMON</t>
  </si>
  <si>
    <t>KAIZEN</t>
  </si>
  <si>
    <t>2896758940</t>
  </si>
  <si>
    <t>DEL ALTO CASTELLANOS XOCHITL</t>
  </si>
  <si>
    <t>AC03</t>
  </si>
  <si>
    <t>VENTAS</t>
  </si>
  <si>
    <t>DIAZ ROJAS ROCIO JANET</t>
  </si>
  <si>
    <t>GERENTE POST-VENTA</t>
  </si>
  <si>
    <t>ESCAMILLA LOPEZ ROGELIO</t>
  </si>
  <si>
    <t>GALLEGOS MORALES ROBERTO</t>
  </si>
  <si>
    <t>GALLEGOS RIOS OCTAVIO ALBERTO</t>
  </si>
  <si>
    <t>GERENTE DE VENTAS</t>
  </si>
  <si>
    <t>GA21</t>
  </si>
  <si>
    <t>AUXILIAR DE PROCESOS</t>
  </si>
  <si>
    <t>GUERRA FRANCO JOSE MANUEL</t>
  </si>
  <si>
    <t>LAVADOR</t>
  </si>
  <si>
    <t>COSTO</t>
  </si>
  <si>
    <t>GUERRERO HERNANDEZ JUAN CARLOS</t>
  </si>
  <si>
    <t>GUERRERO MARTINEZ JUAN PABLO</t>
  </si>
  <si>
    <t>GUILLEN AYALA JUAN CARLOS</t>
  </si>
  <si>
    <t>VALUADOR SEMINUEVOS</t>
  </si>
  <si>
    <t>HERNANDEZ ESPINOZA VICTOR BENJAMIN</t>
  </si>
  <si>
    <t>HE04</t>
  </si>
  <si>
    <t>GERENTE GENERAL</t>
  </si>
  <si>
    <t>HERRERA ALMARAZ BLANCA SOFIA</t>
  </si>
  <si>
    <t>HA01</t>
  </si>
  <si>
    <t>VDQI</t>
  </si>
  <si>
    <t>JIMENEZ SUAREZ LUDIVINA</t>
  </si>
  <si>
    <t>GERENTE ADMINISTRATIVO</t>
  </si>
  <si>
    <t>LIZARDI URZUA ARIZBETH</t>
  </si>
  <si>
    <t>AUXILIAR ADMINISTRAT</t>
  </si>
  <si>
    <t>LOYOLA ACOSTA CARLOS ALBERTO</t>
  </si>
  <si>
    <t>LA02</t>
  </si>
  <si>
    <t>MENSAJERO</t>
  </si>
  <si>
    <t>LUNA NIETO JOSE ENRIQUE</t>
  </si>
  <si>
    <t>TECNICO</t>
  </si>
  <si>
    <t>MALDONADO CRUZ CARLOS IVAN</t>
  </si>
  <si>
    <t>ESTETICAS</t>
  </si>
  <si>
    <t>ME05</t>
  </si>
  <si>
    <t>GREETER</t>
  </si>
  <si>
    <t>MANJARREZ MORENO JULIO CESAR</t>
  </si>
  <si>
    <t>MANTENIMIENTO</t>
  </si>
  <si>
    <t>MARTINEZ DIAZ LEOBARDO ADRIAN</t>
  </si>
  <si>
    <t>MARTINEZ HERRERA CRISTIAN</t>
  </si>
  <si>
    <t>MH02</t>
  </si>
  <si>
    <t>MARTINEZ ORTIZ JOSUE ALEJANDRO</t>
  </si>
  <si>
    <t>ENCARGADO DE SISTEMAS</t>
  </si>
  <si>
    <t>MEJIA VILLEGAS NALLELY BEATRIZ</t>
  </si>
  <si>
    <t>MV23</t>
  </si>
  <si>
    <t>CITAS</t>
  </si>
  <si>
    <t>MORALES NAIF DIANA</t>
  </si>
  <si>
    <t>MN09</t>
  </si>
  <si>
    <t>MUÑOZ MACIAS MARCO ALFREDO</t>
  </si>
  <si>
    <t>TRASLADISTA</t>
  </si>
  <si>
    <t>MUÑOZ MARTINEZ PATRICIA VANESSA</t>
  </si>
  <si>
    <t>CAJERA</t>
  </si>
  <si>
    <t>NAVA AMBRIZ THANIA</t>
  </si>
  <si>
    <t>NA28</t>
  </si>
  <si>
    <t>NAVARRETE RODRIGUEZ MARIA TERESA</t>
  </si>
  <si>
    <t>INTERCAMBIOS</t>
  </si>
  <si>
    <t>NAVARRETE RODRIGUEZ MIGUEL ANGEL</t>
  </si>
  <si>
    <t>NM17</t>
  </si>
  <si>
    <t>AUX ADMINISTRATIVO</t>
  </si>
  <si>
    <t>NIEVES OSORNIO SILVESTRE</t>
  </si>
  <si>
    <t>NO05</t>
  </si>
  <si>
    <t>F&amp;I</t>
  </si>
  <si>
    <t>PATIÑO MUÑOZ ANA LAURA</t>
  </si>
  <si>
    <t>RODRIGUEZ NUÑEZ JOSE ANTONIO</t>
  </si>
  <si>
    <t>PREVIADOR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</si>
  <si>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</si>
  <si>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</si>
  <si>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</si>
  <si>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</si>
  <si>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</si>
  <si>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</si>
  <si>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MDT</t>
  </si>
  <si>
    <t>SANCHEZ ESCAMILLA ROSALBA</t>
  </si>
  <si>
    <t>SE03</t>
  </si>
  <si>
    <t>GARANTIAS</t>
  </si>
  <si>
    <t>REFACCIONES</t>
  </si>
  <si>
    <t>SANCHEZ VEANA JAVIER</t>
  </si>
  <si>
    <t>GERENTE DE REFACCION</t>
  </si>
  <si>
    <t>SANTANA ANAYA GILDARDO ENRIQUE</t>
  </si>
  <si>
    <t>SA03</t>
  </si>
  <si>
    <t>GERENTE DE SISTEMAS</t>
  </si>
  <si>
    <t>SEGURA MEJIA DIANA JANETTE</t>
  </si>
  <si>
    <t>SOLORZANO JUAREZ MONICA ELISA</t>
  </si>
  <si>
    <t>RECURSOS HUMANOS</t>
  </si>
  <si>
    <t>TIERRABLANCA SANCHEZ VICTOR HUGO</t>
  </si>
  <si>
    <t>JEFE DE SERVICIO</t>
  </si>
  <si>
    <t>VAZQUEZ AMEZCUA GILBERTO RAMON</t>
  </si>
  <si>
    <t>VEGA FERNANDEZ AMALIA</t>
  </si>
  <si>
    <t>VF00</t>
  </si>
  <si>
    <t>VILLEGAS ALONSO DIEGO ARMANDO</t>
  </si>
  <si>
    <t>YERENA MARTINEZ CINTHIA GUADALUPE</t>
  </si>
  <si>
    <t>YERENA VAZQUEZ ALEJANDRO</t>
  </si>
  <si>
    <t>YV27</t>
  </si>
  <si>
    <t>TOTAL NOMINA</t>
  </si>
  <si>
    <t>ESPECIAL</t>
  </si>
  <si>
    <t>Hernandez Espinoza Victor BenjamiN</t>
  </si>
  <si>
    <t>Guerra Franco Jose Manuel</t>
  </si>
  <si>
    <t>Sambrano Villarreal Hernan Andres</t>
  </si>
  <si>
    <t>NOTA: SE REALIZARAN DOS DEPOSITOS Y FACURAS</t>
  </si>
  <si>
    <t>FACTURA 1</t>
  </si>
  <si>
    <t>SGV Y SGMM</t>
  </si>
  <si>
    <t>2% NOMINA</t>
  </si>
  <si>
    <t>7.5 % COMISIÓN</t>
  </si>
  <si>
    <t>SUBTOTAL</t>
  </si>
  <si>
    <t>IVA</t>
  </si>
  <si>
    <t>TOTAL</t>
  </si>
  <si>
    <t>Compesación</t>
  </si>
  <si>
    <t>PASA A NOMINA SEMANAL</t>
  </si>
  <si>
    <t>Hernandez Espinoza Victor Benjami</t>
  </si>
  <si>
    <t xml:space="preserve">Sambrano Villarreal Hernan Andres </t>
  </si>
  <si>
    <t>Guerra Franco José Manuel</t>
  </si>
  <si>
    <t>SGV</t>
  </si>
  <si>
    <t>GARCIA RENTERIA GABRIELA</t>
  </si>
  <si>
    <t>1501459155</t>
  </si>
  <si>
    <t>GONZALEZ OLALDE YADIRA JANETH</t>
  </si>
  <si>
    <t>1500835080</t>
  </si>
  <si>
    <t>GUERRA AGUILAR ALEJANDRO</t>
  </si>
  <si>
    <t>MANDUJANO ESTRADA ILSE GEORGINA</t>
  </si>
  <si>
    <t>NAVARRO MACIAS JENIFER</t>
  </si>
  <si>
    <t>PATIÑO VERA JOSE ANGEL</t>
  </si>
  <si>
    <t>TOVAR CHAVEZ JOSE CARMEN</t>
  </si>
  <si>
    <t>VENTURA SANTAMARIA EFRAIN ENRIQUE</t>
  </si>
  <si>
    <t>TRAINER</t>
  </si>
  <si>
    <t>ZAMORA SOLANO ROBERTO AARON</t>
  </si>
  <si>
    <t>1501586211</t>
  </si>
  <si>
    <t xml:space="preserve">PRIETO LOPEZ LEOBIGILDO </t>
  </si>
  <si>
    <t>700-070 VENTAS</t>
  </si>
  <si>
    <t>701-070 USADOS</t>
  </si>
  <si>
    <t>703-070 ADMON</t>
  </si>
  <si>
    <t>704-070 REFACC</t>
  </si>
  <si>
    <t>705-001-070 SERV</t>
  </si>
  <si>
    <t>683-001-001 COSTO</t>
  </si>
  <si>
    <t>PRIMA VAC</t>
  </si>
  <si>
    <t>PVJ18</t>
  </si>
  <si>
    <t>Patiño Vera Jose Angel</t>
  </si>
  <si>
    <t>GOY21</t>
  </si>
  <si>
    <t>Gonzalez Olalde Yadira Janeth</t>
  </si>
  <si>
    <t>GRG21</t>
  </si>
  <si>
    <t>Garcia Renteria Gabriela</t>
  </si>
  <si>
    <t>TCJ21</t>
  </si>
  <si>
    <t>Tovar Chavez Jose Carmen</t>
  </si>
  <si>
    <t>VSE16</t>
  </si>
  <si>
    <t>Ventura Santamaria Efrain Enrique</t>
  </si>
  <si>
    <t>ZSR16</t>
  </si>
  <si>
    <t>Zamora Solano Roberto Aaron</t>
  </si>
  <si>
    <t>SERV</t>
  </si>
  <si>
    <t>BALBUENA SALAZAR PATRICIA</t>
  </si>
  <si>
    <t>MOSQUEDA GASCA TOMAS</t>
  </si>
  <si>
    <t>BSP01</t>
  </si>
  <si>
    <t>Balbuena Salazar Patricia</t>
  </si>
  <si>
    <t>MGT02</t>
  </si>
  <si>
    <t>Mosqueda Gasca Tomas</t>
  </si>
  <si>
    <t>DESCUENTO CTA 254 POR CONCEPTO DE FACTURA</t>
  </si>
  <si>
    <t>SANCHEZ RIOS ARIANA</t>
  </si>
  <si>
    <t>Periodo 24 al 24 Quincenal del 16/12/2016 AL 31/12/2016</t>
  </si>
  <si>
    <t>incapacidad</t>
  </si>
  <si>
    <t>BASE</t>
  </si>
  <si>
    <t>ISR</t>
  </si>
  <si>
    <t>Periodo 1RA QUINCENA</t>
  </si>
  <si>
    <t>01/01/2017 AL 15/01/2017</t>
  </si>
  <si>
    <t>SINIESTROS H Y P</t>
  </si>
  <si>
    <t>BAJA - RENUNCIA VOLUNTARIA</t>
  </si>
  <si>
    <t>INCAPACIDAD POR ENFERMEDAD GRAL (CIRUGIA) A PARTIR DEL 10 DE ENERO 2017, DURARÁ APROX 28 DIAS.</t>
  </si>
  <si>
    <t>COMISION POR 5 DIAS ADICIONALES</t>
  </si>
  <si>
    <t xml:space="preserve">          </t>
  </si>
  <si>
    <t>LOPEZ TORRES PATRICIA GUADALUPE</t>
  </si>
  <si>
    <t xml:space="preserve">BAJA </t>
  </si>
  <si>
    <t>PACHECO LEON JUANA</t>
  </si>
  <si>
    <t>NUEVO INGRESO 05/01/2017 PAGAR 11 DIAS. SUELDO QUINCENAL $2,800</t>
  </si>
  <si>
    <t>DESCUENTO CTA 254 POR FACTURA</t>
  </si>
  <si>
    <t>CUENTA BANCOMER</t>
  </si>
  <si>
    <t>BAJA</t>
  </si>
  <si>
    <t>SRA21</t>
  </si>
  <si>
    <t>NUEVO INGRESO 05/01/2017. PAGAR 11 DIAS. SUELDO QUINCENAL $3,500</t>
  </si>
  <si>
    <t>LTP05</t>
  </si>
  <si>
    <t>Lopez Torres Patricia</t>
  </si>
  <si>
    <t>PLJ05</t>
  </si>
  <si>
    <t>Pacheco Leon Juana</t>
  </si>
  <si>
    <t>Sanchez Rios Ariana</t>
  </si>
  <si>
    <t>SALARIO</t>
  </si>
  <si>
    <t>Lopez Torres Patricia Guadalupe</t>
  </si>
  <si>
    <t>==============</t>
  </si>
  <si>
    <t>Periodo 01 al 01 Quincenal del 01/01/2017 AL 15/01/2017</t>
  </si>
  <si>
    <t>Codigo</t>
  </si>
  <si>
    <t>Metodo de pago</t>
  </si>
  <si>
    <t>Importe</t>
  </si>
  <si>
    <t>28 Tarjeta de Débito</t>
  </si>
  <si>
    <t>Total Tarjeta de Débito</t>
  </si>
  <si>
    <t>Total de movimientos 61</t>
  </si>
  <si>
    <t>Total Efectivo</t>
  </si>
  <si>
    <t>Periodo Quincenal-1 del 2017-01-01 al 2017-01-15</t>
  </si>
  <si>
    <t xml:space="preserve">01 Efectivo </t>
  </si>
  <si>
    <t>Efectivo</t>
  </si>
  <si>
    <t>Total de movimientos 62</t>
  </si>
  <si>
    <t>Total de movimientos 1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</si>
  <si>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</si>
  <si>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</si>
  <si>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</si>
  <si>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</si>
  <si>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</si>
  <si>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</si>
  <si>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</si>
  <si>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</si>
  <si>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</si>
  <si>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</si>
  <si>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</si>
  <si>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</si>
  <si>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1RA QUINCENA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</si>
</sst>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indexed="40"/>
      <name val="Calibri"/>
      <family val="2"/>
    </font>
    <font>
      <sz val="12"/>
      <color rgb="FFFF0000"/>
      <name val="Calibri"/>
      <family val="2"/>
    </font>
    <font>
      <sz val="11"/>
      <name val="Calibri  "/>
    </font>
    <font>
      <sz val="11"/>
      <name val="Calibri"/>
      <family val="2"/>
      <scheme val="minor"/>
    </font>
    <font>
      <b/>
      <sz val="12"/>
      <name val="Calibri  "/>
    </font>
    <font>
      <b/>
      <sz val="11"/>
      <color theme="1"/>
      <name val="Calibri"/>
      <family val="2"/>
      <scheme val="minor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49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" fillId="0" borderId="0"/>
    <xf numFmtId="0" fontId="26" fillId="0" borderId="0"/>
    <xf numFmtId="0" fontId="22" fillId="0" borderId="0"/>
    <xf numFmtId="0" fontId="22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7" fontId="22" fillId="0" borderId="0" applyFill="0" applyBorder="0" applyAlignment="0" applyProtection="0"/>
    <xf numFmtId="167" fontId="22" fillId="0" borderId="0" applyFill="0" applyBorder="0" applyAlignment="0" applyProtection="0"/>
    <xf numFmtId="168" fontId="25" fillId="0" borderId="0" applyFont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166" fontId="22" fillId="0" borderId="0" applyFill="0" applyBorder="0" applyAlignment="0" applyProtection="0"/>
    <xf numFmtId="166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ill="0" applyBorder="0" applyAlignment="0" applyProtection="0"/>
    <xf numFmtId="167" fontId="26" fillId="0" borderId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0" fontId="1" fillId="0" borderId="0"/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1" fillId="0" borderId="0"/>
    <xf numFmtId="2" fontId="17" fillId="0" borderId="0">
      <alignment horizontal="center"/>
    </xf>
    <xf numFmtId="0" fontId="1" fillId="0" borderId="0"/>
    <xf numFmtId="0" fontId="1" fillId="0" borderId="0"/>
    <xf numFmtId="2" fontId="17" fillId="0" borderId="0">
      <alignment horizontal="center"/>
    </xf>
    <xf numFmtId="0" fontId="25" fillId="0" borderId="0"/>
    <xf numFmtId="0" fontId="25" fillId="0" borderId="0"/>
    <xf numFmtId="2" fontId="17" fillId="0" borderId="0">
      <alignment horizontal="center"/>
    </xf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1" fillId="0" borderId="0"/>
    <xf numFmtId="0" fontId="25" fillId="0" borderId="0"/>
    <xf numFmtId="0" fontId="25" fillId="0" borderId="0"/>
    <xf numFmtId="0" fontId="1" fillId="0" borderId="0"/>
    <xf numFmtId="2" fontId="17" fillId="0" borderId="0">
      <alignment horizontal="center"/>
    </xf>
    <xf numFmtId="0" fontId="1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0" fontId="22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1" fillId="0" borderId="0"/>
    <xf numFmtId="0" fontId="1" fillId="0" borderId="0"/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2" fontId="17" fillId="0" borderId="0">
      <alignment horizontal="center"/>
    </xf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2" fontId="17" fillId="0" borderId="0">
      <alignment horizontal="center"/>
    </xf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2" fontId="17" fillId="0" borderId="0">
      <alignment horizontal="center"/>
    </xf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0" fontId="1" fillId="0" borderId="0"/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0" fontId="22" fillId="0" borderId="0"/>
    <xf numFmtId="0" fontId="1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43" fontId="22" fillId="0" borderId="0" applyFill="0" applyBorder="0" applyAlignment="0" applyProtection="0"/>
    <xf numFmtId="0" fontId="22" fillId="0" borderId="0"/>
    <xf numFmtId="0" fontId="22" fillId="0" borderId="0"/>
    <xf numFmtId="0" fontId="22" fillId="0" borderId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</cellStyleXfs>
  <cellXfs count="31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0" fontId="5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wrapText="1"/>
    </xf>
    <xf numFmtId="0" fontId="2" fillId="0" borderId="0" xfId="0" applyFont="1" applyFill="1" applyBorder="1"/>
    <xf numFmtId="0" fontId="0" fillId="0" borderId="0" xfId="0"/>
    <xf numFmtId="164" fontId="2" fillId="0" borderId="0" xfId="0" applyNumberFormat="1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43" fontId="2" fillId="0" borderId="0" xfId="0" applyNumberFormat="1" applyFont="1"/>
    <xf numFmtId="0" fontId="2" fillId="0" borderId="0" xfId="0" applyFont="1" applyFill="1"/>
    <xf numFmtId="0" fontId="0" fillId="0" borderId="0" xfId="0" applyFill="1"/>
    <xf numFmtId="0" fontId="2" fillId="12" borderId="0" xfId="0" applyFont="1" applyFill="1"/>
    <xf numFmtId="0" fontId="2" fillId="1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horizontal="left"/>
    </xf>
    <xf numFmtId="0" fontId="9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2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/>
    <xf numFmtId="49" fontId="2" fillId="12" borderId="0" xfId="0" applyNumberFormat="1" applyFont="1" applyFill="1"/>
    <xf numFmtId="0" fontId="2" fillId="12" borderId="0" xfId="0" applyFont="1" applyFill="1"/>
    <xf numFmtId="49" fontId="2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2" fontId="2" fillId="0" borderId="0" xfId="0" applyNumberFormat="1" applyFont="1"/>
    <xf numFmtId="0" fontId="2" fillId="0" borderId="0" xfId="0" applyFont="1"/>
    <xf numFmtId="0" fontId="2" fillId="0" borderId="0" xfId="0" applyFont="1"/>
    <xf numFmtId="49" fontId="2" fillId="0" borderId="0" xfId="0" applyNumberFormat="1" applyFont="1"/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/>
    <xf numFmtId="49" fontId="2" fillId="0" borderId="0" xfId="0" applyNumberFormat="1" applyFont="1" applyFill="1"/>
    <xf numFmtId="0" fontId="0" fillId="0" borderId="0" xfId="0"/>
    <xf numFmtId="0" fontId="2" fillId="13" borderId="0" xfId="0" applyFont="1" applyFill="1"/>
    <xf numFmtId="0" fontId="2" fillId="0" borderId="0" xfId="0" applyFont="1"/>
    <xf numFmtId="49" fontId="2" fillId="0" borderId="0" xfId="0" applyNumberFormat="1" applyFont="1"/>
    <xf numFmtId="164" fontId="9" fillId="0" borderId="0" xfId="0" applyNumberFormat="1" applyFont="1"/>
    <xf numFmtId="0" fontId="2" fillId="0" borderId="0" xfId="0" applyFont="1"/>
    <xf numFmtId="0" fontId="15" fillId="0" borderId="0" xfId="0" applyFont="1" applyFill="1" applyBorder="1"/>
    <xf numFmtId="0" fontId="14" fillId="0" borderId="0" xfId="3" applyFont="1" applyFill="1" applyAlignment="1" applyProtection="1">
      <alignment horizontal="left"/>
    </xf>
    <xf numFmtId="0" fontId="14" fillId="0" borderId="0" xfId="3" applyFont="1" applyFill="1" applyAlignment="1" applyProtection="1">
      <alignment horizontal="center"/>
    </xf>
    <xf numFmtId="43" fontId="15" fillId="0" borderId="0" xfId="1" applyFont="1" applyFill="1" applyAlignment="1" applyProtection="1">
      <alignment horizontal="center"/>
    </xf>
    <xf numFmtId="43" fontId="16" fillId="0" borderId="0" xfId="1" applyFont="1" applyFill="1" applyAlignment="1" applyProtection="1">
      <alignment horizontal="center"/>
    </xf>
    <xf numFmtId="43" fontId="1" fillId="0" borderId="0" xfId="1" applyProtection="1"/>
    <xf numFmtId="0" fontId="15" fillId="0" borderId="0" xfId="0" applyFont="1" applyProtection="1"/>
    <xf numFmtId="0" fontId="18" fillId="0" borderId="0" xfId="3" applyFont="1" applyFill="1" applyAlignment="1" applyProtection="1">
      <alignment horizontal="left"/>
    </xf>
    <xf numFmtId="0" fontId="18" fillId="0" borderId="0" xfId="3" applyFont="1" applyFill="1" applyAlignment="1" applyProtection="1">
      <alignment horizontal="center"/>
    </xf>
    <xf numFmtId="15" fontId="14" fillId="0" borderId="0" xfId="3" applyNumberFormat="1" applyFont="1" applyFill="1" applyAlignment="1" applyProtection="1">
      <alignment horizontal="left"/>
    </xf>
    <xf numFmtId="15" fontId="14" fillId="0" borderId="0" xfId="3" applyNumberFormat="1" applyFont="1" applyFill="1" applyAlignment="1" applyProtection="1">
      <alignment horizontal="center"/>
    </xf>
    <xf numFmtId="0" fontId="16" fillId="0" borderId="0" xfId="0" applyFont="1"/>
    <xf numFmtId="43" fontId="15" fillId="0" borderId="0" xfId="1" applyFont="1"/>
    <xf numFmtId="43" fontId="16" fillId="0" borderId="0" xfId="1" applyFont="1"/>
    <xf numFmtId="43" fontId="1" fillId="0" borderId="0" xfId="1"/>
    <xf numFmtId="0" fontId="15" fillId="0" borderId="0" xfId="0" applyFont="1"/>
    <xf numFmtId="0" fontId="15" fillId="0" borderId="0" xfId="0" applyFont="1" applyFill="1"/>
    <xf numFmtId="43" fontId="16" fillId="3" borderId="6" xfId="1" applyFont="1" applyFill="1" applyBorder="1" applyAlignment="1">
      <alignment horizontal="center" wrapText="1"/>
    </xf>
    <xf numFmtId="43" fontId="1" fillId="3" borderId="3" xfId="1" applyFill="1" applyBorder="1" applyAlignment="1">
      <alignment horizontal="center" wrapText="1"/>
    </xf>
    <xf numFmtId="0" fontId="15" fillId="0" borderId="8" xfId="0" applyFont="1" applyBorder="1"/>
    <xf numFmtId="0" fontId="15" fillId="4" borderId="8" xfId="0" applyFont="1" applyFill="1" applyBorder="1"/>
    <xf numFmtId="0" fontId="15" fillId="0" borderId="8" xfId="0" applyFont="1" applyBorder="1" applyAlignment="1">
      <alignment horizontal="right"/>
    </xf>
    <xf numFmtId="165" fontId="19" fillId="0" borderId="8" xfId="0" applyNumberFormat="1" applyFont="1" applyBorder="1" applyAlignment="1">
      <alignment horizontal="left" vertical="center"/>
    </xf>
    <xf numFmtId="43" fontId="15" fillId="0" borderId="8" xfId="1" applyFont="1" applyBorder="1"/>
    <xf numFmtId="43" fontId="15" fillId="0" borderId="8" xfId="1" applyFont="1" applyFill="1" applyBorder="1"/>
    <xf numFmtId="43" fontId="20" fillId="5" borderId="8" xfId="1" applyFont="1" applyFill="1" applyBorder="1"/>
    <xf numFmtId="43" fontId="15" fillId="8" borderId="8" xfId="1" applyFont="1" applyFill="1" applyBorder="1" applyAlignment="1">
      <alignment horizontal="center"/>
    </xf>
    <xf numFmtId="43" fontId="1" fillId="0" borderId="8" xfId="1" applyFont="1" applyBorder="1"/>
    <xf numFmtId="43" fontId="22" fillId="0" borderId="8" xfId="1" applyFont="1" applyBorder="1"/>
    <xf numFmtId="43" fontId="16" fillId="6" borderId="8" xfId="1" applyFont="1" applyFill="1" applyBorder="1"/>
    <xf numFmtId="43" fontId="15" fillId="0" borderId="8" xfId="1" applyFont="1" applyFill="1" applyBorder="1" applyAlignment="1">
      <alignment horizontal="center"/>
    </xf>
    <xf numFmtId="43" fontId="15" fillId="9" borderId="8" xfId="1" applyFont="1" applyFill="1" applyBorder="1" applyAlignment="1">
      <alignment horizontal="center"/>
    </xf>
    <xf numFmtId="4" fontId="19" fillId="0" borderId="8" xfId="0" applyNumberFormat="1" applyFont="1" applyBorder="1" applyAlignment="1">
      <alignment wrapText="1"/>
    </xf>
    <xf numFmtId="0" fontId="23" fillId="5" borderId="8" xfId="0" applyFont="1" applyFill="1" applyBorder="1" applyAlignment="1">
      <alignment horizontal="right" wrapText="1"/>
    </xf>
    <xf numFmtId="43" fontId="19" fillId="0" borderId="8" xfId="0" applyNumberFormat="1" applyFont="1" applyFill="1" applyBorder="1"/>
    <xf numFmtId="43" fontId="15" fillId="7" borderId="8" xfId="1" applyFont="1" applyFill="1" applyBorder="1"/>
    <xf numFmtId="0" fontId="15" fillId="0" borderId="8" xfId="0" applyFont="1" applyFill="1" applyBorder="1"/>
    <xf numFmtId="4" fontId="23" fillId="5" borderId="8" xfId="0" applyNumberFormat="1" applyFont="1" applyFill="1" applyBorder="1" applyAlignment="1">
      <alignment horizontal="right" wrapText="1"/>
    </xf>
    <xf numFmtId="0" fontId="16" fillId="0" borderId="8" xfId="0" applyFont="1" applyFill="1" applyBorder="1" applyAlignment="1"/>
    <xf numFmtId="0" fontId="16" fillId="0" borderId="8" xfId="0" applyFont="1" applyFill="1" applyBorder="1"/>
    <xf numFmtId="12" fontId="15" fillId="0" borderId="8" xfId="1" applyNumberFormat="1" applyFont="1" applyFill="1" applyBorder="1"/>
    <xf numFmtId="165" fontId="19" fillId="0" borderId="8" xfId="0" applyNumberFormat="1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right"/>
    </xf>
    <xf numFmtId="43" fontId="22" fillId="0" borderId="8" xfId="1" applyFont="1" applyFill="1" applyBorder="1"/>
    <xf numFmtId="0" fontId="21" fillId="0" borderId="9" xfId="4" applyFont="1" applyFill="1" applyBorder="1"/>
    <xf numFmtId="4" fontId="19" fillId="0" borderId="8" xfId="0" applyNumberFormat="1" applyFont="1" applyFill="1" applyBorder="1"/>
    <xf numFmtId="4" fontId="23" fillId="0" borderId="8" xfId="0" applyNumberFormat="1" applyFont="1" applyFill="1" applyBorder="1"/>
    <xf numFmtId="0" fontId="21" fillId="0" borderId="8" xfId="0" applyNumberFormat="1" applyFont="1" applyFill="1" applyBorder="1"/>
    <xf numFmtId="0" fontId="16" fillId="0" borderId="8" xfId="0" applyFont="1" applyFill="1" applyBorder="1" applyAlignment="1">
      <alignment horizontal="center"/>
    </xf>
    <xf numFmtId="4" fontId="23" fillId="0" borderId="8" xfId="0" applyNumberFormat="1" applyFont="1" applyBorder="1"/>
    <xf numFmtId="49" fontId="19" fillId="0" borderId="8" xfId="0" applyNumberFormat="1" applyFont="1" applyFill="1" applyBorder="1"/>
    <xf numFmtId="0" fontId="15" fillId="5" borderId="8" xfId="0" applyFont="1" applyFill="1" applyBorder="1"/>
    <xf numFmtId="43" fontId="19" fillId="0" borderId="8" xfId="1" applyFont="1" applyFill="1" applyBorder="1"/>
    <xf numFmtId="0" fontId="16" fillId="0" borderId="10" xfId="0" applyFont="1" applyFill="1" applyBorder="1"/>
    <xf numFmtId="43" fontId="15" fillId="0" borderId="10" xfId="1" applyFont="1" applyFill="1" applyBorder="1" applyAlignment="1">
      <alignment horizontal="center"/>
    </xf>
    <xf numFmtId="43" fontId="1" fillId="0" borderId="0" xfId="1" applyFill="1"/>
    <xf numFmtId="0" fontId="16" fillId="0" borderId="11" xfId="0" applyFont="1" applyBorder="1"/>
    <xf numFmtId="43" fontId="16" fillId="0" borderId="11" xfId="1" applyFont="1" applyBorder="1"/>
    <xf numFmtId="43" fontId="16" fillId="0" borderId="8" xfId="1" applyFont="1" applyBorder="1"/>
    <xf numFmtId="43" fontId="1" fillId="0" borderId="8" xfId="1" applyBorder="1"/>
    <xf numFmtId="0" fontId="15" fillId="5" borderId="10" xfId="0" applyFont="1" applyFill="1" applyBorder="1"/>
    <xf numFmtId="43" fontId="15" fillId="5" borderId="10" xfId="1" applyFont="1" applyFill="1" applyBorder="1"/>
    <xf numFmtId="43" fontId="16" fillId="6" borderId="10" xfId="1" applyFont="1" applyFill="1" applyBorder="1"/>
    <xf numFmtId="43" fontId="15" fillId="7" borderId="10" xfId="1" applyFont="1" applyFill="1" applyBorder="1"/>
    <xf numFmtId="43" fontId="15" fillId="8" borderId="10" xfId="1" applyFont="1" applyFill="1" applyBorder="1" applyAlignment="1">
      <alignment horizontal="center"/>
    </xf>
    <xf numFmtId="43" fontId="15" fillId="9" borderId="10" xfId="1" applyFont="1" applyFill="1" applyBorder="1" applyAlignment="1">
      <alignment horizontal="center"/>
    </xf>
    <xf numFmtId="0" fontId="31" fillId="0" borderId="0" xfId="0" applyFont="1"/>
    <xf numFmtId="43" fontId="15" fillId="0" borderId="0" xfId="1" applyFont="1" applyAlignment="1">
      <alignment horizontal="center"/>
    </xf>
    <xf numFmtId="0" fontId="15" fillId="7" borderId="8" xfId="1" applyNumberFormat="1" applyFont="1" applyFill="1" applyBorder="1" applyAlignment="1">
      <alignment horizontal="center"/>
    </xf>
    <xf numFmtId="0" fontId="16" fillId="7" borderId="8" xfId="1" applyNumberFormat="1" applyFont="1" applyFill="1" applyBorder="1" applyAlignment="1">
      <alignment horizontal="center"/>
    </xf>
    <xf numFmtId="43" fontId="16" fillId="0" borderId="11" xfId="1" applyFont="1" applyBorder="1" applyAlignment="1">
      <alignment horizontal="center"/>
    </xf>
    <xf numFmtId="43" fontId="15" fillId="0" borderId="8" xfId="1" applyFont="1" applyBorder="1" applyAlignment="1">
      <alignment horizontal="center"/>
    </xf>
    <xf numFmtId="43" fontId="15" fillId="7" borderId="8" xfId="1" applyFont="1" applyFill="1" applyBorder="1" applyAlignment="1">
      <alignment horizontal="center"/>
    </xf>
    <xf numFmtId="43" fontId="15" fillId="7" borderId="10" xfId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44" fontId="15" fillId="0" borderId="0" xfId="2" applyFont="1" applyFill="1" applyAlignment="1" applyProtection="1">
      <alignment horizontal="center"/>
    </xf>
    <xf numFmtId="44" fontId="15" fillId="0" borderId="0" xfId="2" applyFont="1"/>
    <xf numFmtId="44" fontId="16" fillId="3" borderId="3" xfId="2" applyFont="1" applyFill="1" applyBorder="1" applyAlignment="1">
      <alignment horizontal="center" wrapText="1"/>
    </xf>
    <xf numFmtId="44" fontId="16" fillId="3" borderId="7" xfId="2" applyFont="1" applyFill="1" applyBorder="1" applyAlignment="1">
      <alignment horizontal="center" wrapText="1"/>
    </xf>
    <xf numFmtId="44" fontId="15" fillId="0" borderId="8" xfId="2" applyFont="1" applyBorder="1"/>
    <xf numFmtId="44" fontId="15" fillId="0" borderId="8" xfId="2" applyFont="1" applyFill="1" applyBorder="1"/>
    <xf numFmtId="44" fontId="16" fillId="0" borderId="11" xfId="2" applyFont="1" applyBorder="1"/>
    <xf numFmtId="44" fontId="15" fillId="5" borderId="10" xfId="2" applyFont="1" applyFill="1" applyBorder="1"/>
    <xf numFmtId="0" fontId="15" fillId="11" borderId="8" xfId="0" applyFont="1" applyFill="1" applyBorder="1"/>
    <xf numFmtId="43" fontId="0" fillId="0" borderId="8" xfId="1" applyFont="1" applyBorder="1"/>
    <xf numFmtId="0" fontId="21" fillId="0" borderId="8" xfId="0" applyFont="1" applyBorder="1"/>
    <xf numFmtId="0" fontId="19" fillId="0" borderId="8" xfId="0" applyNumberFormat="1" applyFont="1" applyFill="1" applyBorder="1"/>
    <xf numFmtId="0" fontId="15" fillId="4" borderId="8" xfId="0" applyFont="1" applyFill="1" applyBorder="1" applyAlignment="1">
      <alignment horizontal="right"/>
    </xf>
    <xf numFmtId="44" fontId="15" fillId="4" borderId="8" xfId="2" applyFont="1" applyFill="1" applyBorder="1"/>
    <xf numFmtId="43" fontId="15" fillId="4" borderId="8" xfId="1" applyFont="1" applyFill="1" applyBorder="1"/>
    <xf numFmtId="43" fontId="15" fillId="4" borderId="8" xfId="1" applyFont="1" applyFill="1" applyBorder="1" applyAlignment="1">
      <alignment horizontal="center"/>
    </xf>
    <xf numFmtId="43" fontId="22" fillId="4" borderId="8" xfId="1" applyFont="1" applyFill="1" applyBorder="1"/>
    <xf numFmtId="0" fontId="16" fillId="4" borderId="8" xfId="1" applyNumberFormat="1" applyFont="1" applyFill="1" applyBorder="1" applyAlignment="1">
      <alignment horizontal="center"/>
    </xf>
    <xf numFmtId="0" fontId="16" fillId="0" borderId="8" xfId="0" applyFont="1" applyBorder="1"/>
    <xf numFmtId="43" fontId="20" fillId="4" borderId="8" xfId="1" applyFont="1" applyFill="1" applyBorder="1"/>
    <xf numFmtId="43" fontId="16" fillId="4" borderId="8" xfId="1" applyFont="1" applyFill="1" applyBorder="1"/>
    <xf numFmtId="43" fontId="1" fillId="4" borderId="8" xfId="1" applyFont="1" applyFill="1" applyBorder="1"/>
    <xf numFmtId="4" fontId="19" fillId="4" borderId="8" xfId="0" applyNumberFormat="1" applyFont="1" applyFill="1" applyBorder="1" applyAlignment="1">
      <alignment wrapText="1"/>
    </xf>
    <xf numFmtId="0" fontId="23" fillId="4" borderId="8" xfId="0" applyFont="1" applyFill="1" applyBorder="1" applyAlignment="1">
      <alignment horizontal="right" wrapText="1"/>
    </xf>
    <xf numFmtId="43" fontId="19" fillId="4" borderId="8" xfId="0" applyNumberFormat="1" applyFont="1" applyFill="1" applyBorder="1"/>
    <xf numFmtId="0" fontId="19" fillId="0" borderId="8" xfId="0" applyNumberFormat="1" applyFont="1" applyFill="1" applyBorder="1" applyAlignment="1">
      <alignment horizontal="left"/>
    </xf>
    <xf numFmtId="43" fontId="16" fillId="7" borderId="8" xfId="1" applyFont="1" applyFill="1" applyBorder="1" applyAlignment="1">
      <alignment horizontal="center"/>
    </xf>
    <xf numFmtId="44" fontId="32" fillId="0" borderId="8" xfId="2" applyFont="1" applyBorder="1"/>
    <xf numFmtId="44" fontId="32" fillId="0" borderId="8" xfId="2" applyFont="1" applyFill="1" applyBorder="1"/>
    <xf numFmtId="165" fontId="33" fillId="0" borderId="8" xfId="0" applyNumberFormat="1" applyFont="1" applyBorder="1" applyAlignment="1">
      <alignment horizontal="left" vertical="center"/>
    </xf>
    <xf numFmtId="0" fontId="34" fillId="0" borderId="8" xfId="0" applyFont="1" applyBorder="1"/>
    <xf numFmtId="0" fontId="15" fillId="10" borderId="8" xfId="0" applyFont="1" applyFill="1" applyBorder="1"/>
    <xf numFmtId="0" fontId="15" fillId="10" borderId="8" xfId="0" applyFont="1" applyFill="1" applyBorder="1" applyAlignment="1">
      <alignment horizontal="right"/>
    </xf>
    <xf numFmtId="165" fontId="19" fillId="10" borderId="8" xfId="0" applyNumberFormat="1" applyFont="1" applyFill="1" applyBorder="1" applyAlignment="1">
      <alignment horizontal="left" vertical="center"/>
    </xf>
    <xf numFmtId="44" fontId="15" fillId="10" borderId="8" xfId="2" applyFont="1" applyFill="1" applyBorder="1"/>
    <xf numFmtId="43" fontId="15" fillId="10" borderId="8" xfId="1" applyFont="1" applyFill="1" applyBorder="1"/>
    <xf numFmtId="0" fontId="16" fillId="10" borderId="8" xfId="0" applyFont="1" applyFill="1" applyBorder="1"/>
    <xf numFmtId="49" fontId="2" fillId="0" borderId="0" xfId="0" applyNumberFormat="1" applyFont="1" applyFill="1" applyBorder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 applyFill="1"/>
    <xf numFmtId="4" fontId="9" fillId="0" borderId="0" xfId="0" applyNumberFormat="1" applyFont="1"/>
    <xf numFmtId="0" fontId="2" fillId="0" borderId="0" xfId="0" applyFont="1"/>
    <xf numFmtId="49" fontId="2" fillId="0" borderId="0" xfId="0" applyNumberFormat="1" applyFont="1"/>
    <xf numFmtId="4" fontId="0" fillId="0" borderId="0" xfId="0" applyNumberFormat="1"/>
    <xf numFmtId="4" fontId="2" fillId="12" borderId="0" xfId="0" applyNumberFormat="1" applyFont="1" applyFill="1"/>
    <xf numFmtId="0" fontId="2" fillId="0" borderId="0" xfId="0" applyFont="1"/>
    <xf numFmtId="3" fontId="16" fillId="3" borderId="0" xfId="0" applyNumberFormat="1" applyFont="1" applyFill="1" applyBorder="1"/>
    <xf numFmtId="44" fontId="16" fillId="3" borderId="0" xfId="2" applyFont="1" applyFill="1" applyBorder="1" applyAlignment="1">
      <alignment horizontal="center" wrapText="1"/>
    </xf>
    <xf numFmtId="43" fontId="16" fillId="3" borderId="0" xfId="1" applyFont="1" applyFill="1" applyBorder="1" applyAlignment="1">
      <alignment horizontal="center" wrapText="1"/>
    </xf>
    <xf numFmtId="43" fontId="1" fillId="3" borderId="0" xfId="1" applyFill="1" applyBorder="1" applyAlignment="1">
      <alignment horizontal="center" wrapText="1"/>
    </xf>
    <xf numFmtId="0" fontId="2" fillId="0" borderId="0" xfId="0" applyFont="1"/>
    <xf numFmtId="49" fontId="2" fillId="0" borderId="0" xfId="0" applyNumberFormat="1" applyFont="1"/>
    <xf numFmtId="0" fontId="9" fillId="2" borderId="1" xfId="0" applyFont="1" applyFill="1" applyBorder="1" applyAlignment="1">
      <alignment horizontal="center" wrapText="1"/>
    </xf>
    <xf numFmtId="164" fontId="2" fillId="0" borderId="0" xfId="0" applyNumberFormat="1" applyFont="1"/>
    <xf numFmtId="49" fontId="2" fillId="10" borderId="0" xfId="0" applyNumberFormat="1" applyFont="1" applyFill="1"/>
    <xf numFmtId="4" fontId="2" fillId="10" borderId="0" xfId="0" applyNumberFormat="1" applyFont="1" applyFill="1"/>
    <xf numFmtId="4" fontId="0" fillId="10" borderId="0" xfId="0" applyNumberFormat="1" applyFill="1"/>
    <xf numFmtId="0" fontId="16" fillId="4" borderId="8" xfId="0" applyFont="1" applyFill="1" applyBorder="1" applyAlignment="1"/>
    <xf numFmtId="43" fontId="16" fillId="3" borderId="3" xfId="1" applyFont="1" applyFill="1" applyBorder="1" applyAlignment="1">
      <alignment horizontal="center" wrapText="1"/>
    </xf>
    <xf numFmtId="43" fontId="16" fillId="3" borderId="7" xfId="1" applyFont="1" applyFill="1" applyBorder="1" applyAlignment="1">
      <alignment horizontal="center" wrapText="1"/>
    </xf>
    <xf numFmtId="3" fontId="16" fillId="3" borderId="2" xfId="0" applyNumberFormat="1" applyFont="1" applyFill="1" applyBorder="1"/>
    <xf numFmtId="3" fontId="16" fillId="3" borderId="3" xfId="0" applyNumberFormat="1" applyFont="1" applyFill="1" applyBorder="1"/>
    <xf numFmtId="0" fontId="5" fillId="0" borderId="0" xfId="0" applyFont="1" applyAlignment="1">
      <alignment horizontal="center"/>
    </xf>
    <xf numFmtId="3" fontId="16" fillId="3" borderId="7" xfId="0" applyNumberFormat="1" applyFont="1" applyFill="1" applyBorder="1" applyAlignment="1">
      <alignment horizontal="center"/>
    </xf>
    <xf numFmtId="3" fontId="16" fillId="3" borderId="0" xfId="0" applyNumberFormat="1" applyFont="1" applyFill="1" applyBorder="1" applyAlignment="1">
      <alignment horizontal="center"/>
    </xf>
    <xf numFmtId="44" fontId="34" fillId="0" borderId="8" xfId="2" applyFont="1" applyBorder="1"/>
    <xf numFmtId="0" fontId="15" fillId="12" borderId="8" xfId="0" applyFont="1" applyFill="1" applyBorder="1"/>
    <xf numFmtId="0" fontId="15" fillId="12" borderId="8" xfId="0" applyFont="1" applyFill="1" applyBorder="1" applyAlignment="1">
      <alignment horizontal="right"/>
    </xf>
    <xf numFmtId="165" fontId="19" fillId="12" borderId="8" xfId="0" applyNumberFormat="1" applyFont="1" applyFill="1" applyBorder="1" applyAlignment="1">
      <alignment horizontal="left" vertical="center"/>
    </xf>
    <xf numFmtId="44" fontId="15" fillId="12" borderId="8" xfId="2" applyFont="1" applyFill="1" applyBorder="1"/>
    <xf numFmtId="43" fontId="15" fillId="12" borderId="8" xfId="1" applyFont="1" applyFill="1" applyBorder="1"/>
    <xf numFmtId="43" fontId="20" fillId="12" borderId="8" xfId="1" applyFont="1" applyFill="1" applyBorder="1"/>
    <xf numFmtId="43" fontId="16" fillId="12" borderId="8" xfId="1" applyFont="1" applyFill="1" applyBorder="1"/>
    <xf numFmtId="0" fontId="16" fillId="12" borderId="8" xfId="1" applyNumberFormat="1" applyFont="1" applyFill="1" applyBorder="1" applyAlignment="1">
      <alignment horizontal="center"/>
    </xf>
    <xf numFmtId="43" fontId="15" fillId="12" borderId="8" xfId="1" applyFont="1" applyFill="1" applyBorder="1" applyAlignment="1">
      <alignment horizontal="center"/>
    </xf>
    <xf numFmtId="43" fontId="1" fillId="12" borderId="8" xfId="1" applyFont="1" applyFill="1" applyBorder="1"/>
    <xf numFmtId="43" fontId="22" fillId="12" borderId="8" xfId="1" applyFont="1" applyFill="1" applyBorder="1"/>
    <xf numFmtId="4" fontId="19" fillId="12" borderId="8" xfId="0" applyNumberFormat="1" applyFont="1" applyFill="1" applyBorder="1" applyAlignment="1">
      <alignment wrapText="1"/>
    </xf>
    <xf numFmtId="0" fontId="23" fillId="12" borderId="8" xfId="0" applyFont="1" applyFill="1" applyBorder="1" applyAlignment="1">
      <alignment horizontal="right" wrapText="1"/>
    </xf>
    <xf numFmtId="43" fontId="19" fillId="12" borderId="8" xfId="0" applyNumberFormat="1" applyFont="1" applyFill="1" applyBorder="1"/>
    <xf numFmtId="0" fontId="16" fillId="12" borderId="8" xfId="0" applyFont="1" applyFill="1" applyBorder="1"/>
    <xf numFmtId="165" fontId="19" fillId="4" borderId="8" xfId="0" applyNumberFormat="1" applyFont="1" applyFill="1" applyBorder="1" applyAlignment="1">
      <alignment horizontal="left" vertical="center"/>
    </xf>
    <xf numFmtId="44" fontId="21" fillId="0" borderId="8" xfId="2" applyFont="1" applyBorder="1"/>
    <xf numFmtId="0" fontId="35" fillId="10" borderId="8" xfId="0" applyNumberFormat="1" applyFont="1" applyFill="1" applyBorder="1"/>
    <xf numFmtId="165" fontId="19" fillId="12" borderId="8" xfId="0" applyNumberFormat="1" applyFont="1" applyFill="1" applyBorder="1" applyAlignment="1">
      <alignment horizontal="left"/>
    </xf>
    <xf numFmtId="0" fontId="16" fillId="12" borderId="8" xfId="0" applyFont="1" applyFill="1" applyBorder="1" applyAlignment="1">
      <alignment wrapText="1"/>
    </xf>
    <xf numFmtId="0" fontId="35" fillId="0" borderId="8" xfId="0" applyNumberFormat="1" applyFont="1" applyFill="1" applyBorder="1"/>
    <xf numFmtId="0" fontId="15" fillId="12" borderId="8" xfId="1" applyNumberFormat="1" applyFont="1" applyFill="1" applyBorder="1" applyAlignment="1">
      <alignment horizontal="center"/>
    </xf>
    <xf numFmtId="4" fontId="23" fillId="12" borderId="8" xfId="0" applyNumberFormat="1" applyFont="1" applyFill="1" applyBorder="1" applyAlignment="1">
      <alignment horizontal="right" wrapText="1"/>
    </xf>
    <xf numFmtId="0" fontId="15" fillId="4" borderId="0" xfId="0" applyFont="1" applyFill="1" applyBorder="1"/>
    <xf numFmtId="0" fontId="2" fillId="4" borderId="0" xfId="0" applyFont="1" applyFill="1"/>
    <xf numFmtId="0" fontId="2" fillId="4" borderId="8" xfId="0" applyFont="1" applyFill="1" applyBorder="1"/>
    <xf numFmtId="0" fontId="16" fillId="10" borderId="8" xfId="1" applyNumberFormat="1" applyFont="1" applyFill="1" applyBorder="1" applyAlignment="1">
      <alignment horizontal="center"/>
    </xf>
    <xf numFmtId="2" fontId="2" fillId="10" borderId="0" xfId="0" applyNumberFormat="1" applyFont="1" applyFill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/>
    <xf numFmtId="2" fontId="2" fillId="12" borderId="0" xfId="0" applyNumberFormat="1" applyFont="1" applyFill="1"/>
    <xf numFmtId="49" fontId="9" fillId="2" borderId="0" xfId="0" applyNumberFormat="1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9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164" fontId="37" fillId="0" borderId="0" xfId="0" applyNumberFormat="1" applyFont="1"/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4" fontId="36" fillId="0" borderId="0" xfId="0" applyNumberFormat="1" applyFont="1"/>
    <xf numFmtId="4" fontId="0" fillId="0" borderId="0" xfId="0" quotePrefix="1" applyNumberFormat="1"/>
    <xf numFmtId="43" fontId="12" fillId="0" borderId="0" xfId="0" applyNumberFormat="1" applyFont="1"/>
    <xf numFmtId="43" fontId="2" fillId="0" borderId="0" xfId="0" applyNumberFormat="1" applyFont="1" applyFill="1"/>
    <xf numFmtId="43" fontId="2" fillId="0" borderId="0" xfId="0" applyNumberFormat="1" applyFont="1" applyAlignment="1">
      <alignment horizontal="right"/>
    </xf>
    <xf numFmtId="43" fontId="9" fillId="0" borderId="0" xfId="0" applyNumberFormat="1" applyFont="1"/>
    <xf numFmtId="43" fontId="2" fillId="14" borderId="0" xfId="0" applyNumberFormat="1" applyFont="1" applyFill="1"/>
    <xf numFmtId="0" fontId="0" fillId="0" borderId="0" xfId="0"/>
    <xf numFmtId="49" fontId="0" fillId="0" borderId="0" xfId="0" applyNumberFormat="1"/>
    <xf numFmtId="43" fontId="0" fillId="0" borderId="0" xfId="0" applyNumberFormat="1"/>
    <xf numFmtId="0" fontId="0" fillId="0" borderId="0" xfId="0"/>
    <xf numFmtId="0" fontId="38" fillId="0" borderId="0" xfId="0" applyFont="1"/>
    <xf numFmtId="0" fontId="39" fillId="0" borderId="0" xfId="0" applyFont="1"/>
    <xf numFmtId="0" fontId="36" fillId="0" borderId="0" xfId="0" applyFont="1"/>
    <xf numFmtId="0" fontId="40" fillId="0" borderId="0" xfId="0" applyFont="1"/>
    <xf numFmtId="0" fontId="36" fillId="0" borderId="0" xfId="0" applyFont="1" applyAlignment="1">
      <alignment horizontal="centerContinuous"/>
    </xf>
    <xf numFmtId="0" fontId="41" fillId="0" borderId="0" xfId="0" applyFont="1"/>
    <xf numFmtId="0" fontId="42" fillId="0" borderId="0" xfId="0" applyFont="1" applyAlignment="1">
      <alignment horizontal="centerContinuous"/>
    </xf>
    <xf numFmtId="0" fontId="43" fillId="0" borderId="0" xfId="0" applyFont="1"/>
    <xf numFmtId="0" fontId="44" fillId="0" borderId="9" xfId="0" applyFont="1" applyFill="1" applyBorder="1" applyAlignment="1">
      <alignment horizontal="centerContinuous"/>
    </xf>
    <xf numFmtId="169" fontId="44" fillId="0" borderId="9" xfId="0" applyNumberFormat="1" applyFont="1" applyFill="1" applyBorder="1" applyAlignment="1">
      <alignment horizontal="centerContinuous"/>
    </xf>
    <xf numFmtId="49" fontId="0" fillId="0" borderId="0" xfId="0" applyNumberFormat="1"/>
    <xf numFmtId="169" fontId="36" fillId="0" borderId="0" xfId="0" applyNumberFormat="1" applyFont="1"/>
    <xf numFmtId="0" fontId="45" fillId="0" borderId="0" xfId="0" applyFont="1"/>
    <xf numFmtId="169" fontId="45" fillId="0" borderId="0" xfId="0" applyNumberFormat="1" applyFont="1"/>
    <xf numFmtId="43" fontId="16" fillId="3" borderId="2" xfId="1" applyFont="1" applyFill="1" applyBorder="1" applyAlignment="1">
      <alignment horizontal="center" wrapText="1"/>
    </xf>
    <xf numFmtId="43" fontId="16" fillId="3" borderId="3" xfId="1" applyFont="1" applyFill="1" applyBorder="1" applyAlignment="1">
      <alignment horizontal="center" wrapText="1"/>
    </xf>
    <xf numFmtId="43" fontId="16" fillId="3" borderId="7" xfId="1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center"/>
    </xf>
    <xf numFmtId="43" fontId="1" fillId="3" borderId="4" xfId="1" applyFill="1" applyBorder="1" applyAlignment="1">
      <alignment horizontal="center" wrapText="1"/>
    </xf>
    <xf numFmtId="43" fontId="1" fillId="3" borderId="5" xfId="1" applyFill="1" applyBorder="1" applyAlignment="1">
      <alignment horizontal="center" wrapText="1"/>
    </xf>
    <xf numFmtId="0" fontId="30" fillId="0" borderId="12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3" fontId="16" fillId="3" borderId="2" xfId="0" applyNumberFormat="1" applyFont="1" applyFill="1" applyBorder="1"/>
    <xf numFmtId="3" fontId="16" fillId="3" borderId="3" xfId="0" applyNumberFormat="1" applyFont="1" applyFill="1" applyBorder="1"/>
    <xf numFmtId="0" fontId="5" fillId="0" borderId="0" xfId="0" applyFont="1" applyAlignment="1">
      <alignment horizontal="center"/>
    </xf>
    <xf numFmtId="0" fontId="0" fillId="0" borderId="0" xfId="0" applyAlignment="1"/>
    <xf numFmtId="0" fontId="46" fillId="0" borderId="17" xfId="0" applyFont="1" applyBorder="1"/>
    <xf numFmtId="0" fontId="36" fillId="0" borderId="17" xfId="0" applyFont="1" applyBorder="1"/>
    <xf numFmtId="0" fontId="0" fillId="0" borderId="17" xfId="0" applyFont="1" applyBorder="1"/>
    <xf numFmtId="14" fontId="46" fillId="0" borderId="17" xfId="0" applyNumberFormat="1" applyFont="1" applyBorder="1"/>
    <xf numFmtId="43" fontId="1" fillId="0" borderId="17" xfId="1" applyFont="1" applyBorder="1"/>
    <xf numFmtId="0" fontId="0" fillId="0" borderId="17" xfId="0" applyBorder="1"/>
    <xf numFmtId="43" fontId="1" fillId="0" borderId="18" xfId="1" applyFont="1" applyBorder="1"/>
    <xf numFmtId="43" fontId="1" fillId="0" borderId="19" xfId="1" applyFont="1" applyBorder="1"/>
    <xf numFmtId="43" fontId="1" fillId="0" borderId="20" xfId="1" applyFont="1" applyBorder="1"/>
    <xf numFmtId="43" fontId="1" fillId="0" borderId="21" xfId="1" applyFont="1" applyBorder="1"/>
    <xf numFmtId="43" fontId="36" fillId="0" borderId="20" xfId="1" applyFont="1" applyBorder="1"/>
  </cellXfs>
  <cellStyles count="498">
    <cellStyle name="Excel Built-in Normal" xfId="5"/>
    <cellStyle name="Excel Built-in Normal 2" xfId="6"/>
    <cellStyle name="Excel Built-in Normal 3" xfId="7"/>
    <cellStyle name="Followed Hyperlink" xfId="8"/>
    <cellStyle name="Followed Hyperlink 10" xfId="9"/>
    <cellStyle name="Followed Hyperlink 11" xfId="10"/>
    <cellStyle name="Followed Hyperlink 12" xfId="11"/>
    <cellStyle name="Followed Hyperlink 12 2" xfId="12"/>
    <cellStyle name="Followed Hyperlink 13" xfId="13"/>
    <cellStyle name="Followed Hyperlink 14" xfId="14"/>
    <cellStyle name="Followed Hyperlink 15" xfId="15"/>
    <cellStyle name="Followed Hyperlink 15 2" xfId="16"/>
    <cellStyle name="Followed Hyperlink 16" xfId="17"/>
    <cellStyle name="Followed Hyperlink 17" xfId="18"/>
    <cellStyle name="Followed Hyperlink 17 2" xfId="19"/>
    <cellStyle name="Followed Hyperlink 18" xfId="20"/>
    <cellStyle name="Followed Hyperlink 19" xfId="21"/>
    <cellStyle name="Followed Hyperlink 19 2" xfId="22"/>
    <cellStyle name="Followed Hyperlink 2" xfId="23"/>
    <cellStyle name="Followed Hyperlink 2 2" xfId="24"/>
    <cellStyle name="Followed Hyperlink 3" xfId="25"/>
    <cellStyle name="Followed Hyperlink 4" xfId="26"/>
    <cellStyle name="Followed Hyperlink 4 2" xfId="27"/>
    <cellStyle name="Followed Hyperlink 5" xfId="28"/>
    <cellStyle name="Followed Hyperlink 6" xfId="29"/>
    <cellStyle name="Followed Hyperlink 6 2" xfId="30"/>
    <cellStyle name="Followed Hyperlink 7" xfId="31"/>
    <cellStyle name="Followed Hyperlink 8" xfId="32"/>
    <cellStyle name="Followed Hyperlink 9" xfId="33"/>
    <cellStyle name="Hyperlink" xfId="34"/>
    <cellStyle name="Hyperlink 10" xfId="35"/>
    <cellStyle name="Hyperlink 11" xfId="36"/>
    <cellStyle name="Hyperlink 12" xfId="37"/>
    <cellStyle name="Hyperlink 12 2" xfId="38"/>
    <cellStyle name="Hyperlink 13" xfId="39"/>
    <cellStyle name="Hyperlink 14" xfId="40"/>
    <cellStyle name="Hyperlink 15" xfId="41"/>
    <cellStyle name="Hyperlink 15 2" xfId="42"/>
    <cellStyle name="Hyperlink 16" xfId="43"/>
    <cellStyle name="Hyperlink 17" xfId="44"/>
    <cellStyle name="Hyperlink 17 2" xfId="45"/>
    <cellStyle name="Hyperlink 18" xfId="46"/>
    <cellStyle name="Hyperlink 19" xfId="47"/>
    <cellStyle name="Hyperlink 19 2" xfId="48"/>
    <cellStyle name="Hyperlink 2" xfId="49"/>
    <cellStyle name="Hyperlink 2 2" xfId="50"/>
    <cellStyle name="Hyperlink 3" xfId="51"/>
    <cellStyle name="Hyperlink 4" xfId="52"/>
    <cellStyle name="Hyperlink 4 2" xfId="53"/>
    <cellStyle name="Hyperlink 5" xfId="54"/>
    <cellStyle name="Hyperlink 6" xfId="55"/>
    <cellStyle name="Hyperlink 6 2" xfId="56"/>
    <cellStyle name="Hyperlink 7" xfId="57"/>
    <cellStyle name="Hyperlink 8" xfId="58"/>
    <cellStyle name="Hyperlink 9" xfId="59"/>
    <cellStyle name="Millares" xfId="1" builtinId="3"/>
    <cellStyle name="Millares 2" xfId="60"/>
    <cellStyle name="Millares 2 2" xfId="61"/>
    <cellStyle name="Millares 2 2 2" xfId="62"/>
    <cellStyle name="Millares 2 2 3" xfId="495"/>
    <cellStyle name="Millares 2 3" xfId="63"/>
    <cellStyle name="Millares 2 3 2" xfId="497"/>
    <cellStyle name="Millares 2 4" xfId="64"/>
    <cellStyle name="Millares 2 5" xfId="65"/>
    <cellStyle name="Millares 2 6" xfId="66"/>
    <cellStyle name="Millares 3" xfId="67"/>
    <cellStyle name="Millares 3 2" xfId="68"/>
    <cellStyle name="Millares 3 3" xfId="69"/>
    <cellStyle name="Millares 3 4" xfId="490"/>
    <cellStyle name="Millares 4" xfId="70"/>
    <cellStyle name="Millares 4 2" xfId="71"/>
    <cellStyle name="Millares 4 2 2" xfId="72"/>
    <cellStyle name="Millares 4 3" xfId="73"/>
    <cellStyle name="Millares 4 3 2" xfId="74"/>
    <cellStyle name="Millares 4 4" xfId="75"/>
    <cellStyle name="Millares 5" xfId="76"/>
    <cellStyle name="Millares 5 2" xfId="77"/>
    <cellStyle name="Millares 6" xfId="78"/>
    <cellStyle name="Millares 6 2" xfId="494"/>
    <cellStyle name="Millares 7" xfId="79"/>
    <cellStyle name="Millares 7 2" xfId="496"/>
    <cellStyle name="Millares 8" xfId="80"/>
    <cellStyle name="Moneda" xfId="2" builtinId="4"/>
    <cellStyle name="Moneda 2" xfId="81"/>
    <cellStyle name="Moneda 2 2" xfId="82"/>
    <cellStyle name="Moneda 3" xfId="83"/>
    <cellStyle name="Moneda 4" xfId="84"/>
    <cellStyle name="Moneda 5" xfId="85"/>
    <cellStyle name="Moneda 5 2" xfId="86"/>
    <cellStyle name="Moneda 6" xfId="87"/>
    <cellStyle name="Moneda 7" xfId="88"/>
    <cellStyle name="Moneda 7 2" xfId="89"/>
    <cellStyle name="Moneda 8" xfId="90"/>
    <cellStyle name="Normal" xfId="0" builtinId="0"/>
    <cellStyle name="Normal 10" xfId="91"/>
    <cellStyle name="Normal 10 2" xfId="92"/>
    <cellStyle name="Normal 10 3" xfId="93"/>
    <cellStyle name="Normal 11" xfId="94"/>
    <cellStyle name="Normal 11 2" xfId="95"/>
    <cellStyle name="Normal 11 3" xfId="96"/>
    <cellStyle name="Normal 12" xfId="97"/>
    <cellStyle name="Normal 12 2" xfId="98"/>
    <cellStyle name="Normal 12 3" xfId="99"/>
    <cellStyle name="Normal 12 4" xfId="100"/>
    <cellStyle name="Normal 12 4 2" xfId="101"/>
    <cellStyle name="Normal 12 5" xfId="102"/>
    <cellStyle name="Normal 13" xfId="103"/>
    <cellStyle name="Normal 14" xfId="104"/>
    <cellStyle name="Normal 15" xfId="105"/>
    <cellStyle name="Normal 15 2" xfId="106"/>
    <cellStyle name="Normal 15 3" xfId="107"/>
    <cellStyle name="Normal 16" xfId="108"/>
    <cellStyle name="Normal 16 2" xfId="109"/>
    <cellStyle name="Normal 16 3" xfId="110"/>
    <cellStyle name="Normal 16 4" xfId="111"/>
    <cellStyle name="Normal 17" xfId="112"/>
    <cellStyle name="Normal 17 2" xfId="113"/>
    <cellStyle name="Normal 17 3" xfId="114"/>
    <cellStyle name="Normal 18" xfId="115"/>
    <cellStyle name="Normal 19" xfId="116"/>
    <cellStyle name="Normal 19 2" xfId="117"/>
    <cellStyle name="Normal 2" xfId="118"/>
    <cellStyle name="Normal 2 10" xfId="119"/>
    <cellStyle name="Normal 2 11" xfId="120"/>
    <cellStyle name="Normal 2 11 2" xfId="121"/>
    <cellStyle name="Normal 2 12" xfId="122"/>
    <cellStyle name="Normal 2 13" xfId="123"/>
    <cellStyle name="Normal 2 2" xfId="4"/>
    <cellStyle name="Normal 2 2 10" xfId="124"/>
    <cellStyle name="Normal 2 2 11" xfId="125"/>
    <cellStyle name="Normal 2 2 12" xfId="126"/>
    <cellStyle name="Normal 2 2 14" xfId="127"/>
    <cellStyle name="Normal 2 2 2" xfId="128"/>
    <cellStyle name="Normal 2 2 2 10" xfId="129"/>
    <cellStyle name="Normal 2 2 2 11" xfId="130"/>
    <cellStyle name="Normal 2 2 2 2" xfId="131"/>
    <cellStyle name="Normal 2 2 2 2 10" xfId="132"/>
    <cellStyle name="Normal 2 2 2 2 2" xfId="133"/>
    <cellStyle name="Normal 2 2 2 2 2 2" xfId="134"/>
    <cellStyle name="Normal 2 2 2 2 2 2 2" xfId="135"/>
    <cellStyle name="Normal 2 2 2 2 2 2 2 2" xfId="136"/>
    <cellStyle name="Normal 2 2 2 2 2 2 2 2 2" xfId="137"/>
    <cellStyle name="Normal 2 2 2 2 2 2 2 3" xfId="138"/>
    <cellStyle name="Normal 2 2 2 2 2 2 3" xfId="139"/>
    <cellStyle name="Normal 2 2 2 2 2 2 3 2" xfId="140"/>
    <cellStyle name="Normal 2 2 2 2 2 3" xfId="141"/>
    <cellStyle name="Normal 2 2 2 2 2 4" xfId="142"/>
    <cellStyle name="Normal 2 2 2 2 2 5" xfId="143"/>
    <cellStyle name="Normal 2 2 2 2 2 6" xfId="144"/>
    <cellStyle name="Normal 2 2 2 2 2 7" xfId="145"/>
    <cellStyle name="Normal 2 2 2 2 2 7 2" xfId="146"/>
    <cellStyle name="Normal 2 2 2 2 2 8" xfId="147"/>
    <cellStyle name="Normal 2 2 2 2 3" xfId="148"/>
    <cellStyle name="Normal 2 2 2 2 3 2" xfId="149"/>
    <cellStyle name="Normal 2 2 2 2 3 2 2" xfId="150"/>
    <cellStyle name="Normal 2 2 2 2 3 2 2 2" xfId="151"/>
    <cellStyle name="Normal 2 2 2 2 3 2 3" xfId="152"/>
    <cellStyle name="Normal 2 2 2 2 3 3" xfId="153"/>
    <cellStyle name="Normal 2 2 2 2 3 3 2" xfId="154"/>
    <cellStyle name="Normal 2 2 2 2 3 4" xfId="155"/>
    <cellStyle name="Normal 2 2 2 2 3 5" xfId="156"/>
    <cellStyle name="Normal 2 2 2 2 4" xfId="157"/>
    <cellStyle name="Normal 2 2 2 2 5" xfId="158"/>
    <cellStyle name="Normal 2 2 2 2 6" xfId="159"/>
    <cellStyle name="Normal 2 2 2 2 7" xfId="160"/>
    <cellStyle name="Normal 2 2 2 2 7 2" xfId="161"/>
    <cellStyle name="Normal 2 2 2 2 8" xfId="162"/>
    <cellStyle name="Normal 2 2 2 2 9" xfId="163"/>
    <cellStyle name="Normal 2 2 2 3" xfId="164"/>
    <cellStyle name="Normal 2 2 2 4" xfId="165"/>
    <cellStyle name="Normal 2 2 2 4 2" xfId="166"/>
    <cellStyle name="Normal 2 2 2 4 2 2" xfId="167"/>
    <cellStyle name="Normal 2 2 2 4 2 2 2" xfId="168"/>
    <cellStyle name="Normal 2 2 2 4 2 3" xfId="169"/>
    <cellStyle name="Normal 2 2 2 4 3" xfId="170"/>
    <cellStyle name="Normal 2 2 2 4 3 2" xfId="171"/>
    <cellStyle name="Normal 2 2 2 4 4" xfId="172"/>
    <cellStyle name="Normal 2 2 2 5" xfId="173"/>
    <cellStyle name="Normal 2 2 2 6" xfId="174"/>
    <cellStyle name="Normal 2 2 2 7" xfId="175"/>
    <cellStyle name="Normal 2 2 2 8" xfId="176"/>
    <cellStyle name="Normal 2 2 2 9" xfId="177"/>
    <cellStyle name="Normal 2 2 2 9 2" xfId="178"/>
    <cellStyle name="Normal 2 2 3" xfId="179"/>
    <cellStyle name="Normal 2 2 3 2" xfId="180"/>
    <cellStyle name="Normal 2 2 3 2 2" xfId="181"/>
    <cellStyle name="Normal 2 2 3 2 2 2" xfId="182"/>
    <cellStyle name="Normal 2 2 3 2 2 2 2" xfId="183"/>
    <cellStyle name="Normal 2 2 3 2 2 2 2 2" xfId="184"/>
    <cellStyle name="Normal 2 2 3 2 2 2 3" xfId="185"/>
    <cellStyle name="Normal 2 2 3 2 2 3" xfId="186"/>
    <cellStyle name="Normal 2 2 3 2 2 3 2" xfId="187"/>
    <cellStyle name="Normal 2 2 3 2 3" xfId="188"/>
    <cellStyle name="Normal 2 2 3 2 4" xfId="189"/>
    <cellStyle name="Normal 2 2 3 2 5" xfId="190"/>
    <cellStyle name="Normal 2 2 3 2 6" xfId="191"/>
    <cellStyle name="Normal 2 2 3 2 7" xfId="192"/>
    <cellStyle name="Normal 2 2 3 2 7 2" xfId="193"/>
    <cellStyle name="Normal 2 2 3 2 8" xfId="194"/>
    <cellStyle name="Normal 2 2 3 3" xfId="195"/>
    <cellStyle name="Normal 2 2 3 3 2" xfId="196"/>
    <cellStyle name="Normal 2 2 3 3 2 2" xfId="197"/>
    <cellStyle name="Normal 2 2 3 3 2 2 2" xfId="198"/>
    <cellStyle name="Normal 2 2 3 3 2 3" xfId="199"/>
    <cellStyle name="Normal 2 2 3 3 3" xfId="200"/>
    <cellStyle name="Normal 2 2 3 3 3 2" xfId="201"/>
    <cellStyle name="Normal 2 2 3 4" xfId="202"/>
    <cellStyle name="Normal 2 2 3 5" xfId="203"/>
    <cellStyle name="Normal 2 2 3 6" xfId="204"/>
    <cellStyle name="Normal 2 2 3 7" xfId="205"/>
    <cellStyle name="Normal 2 2 3 7 2" xfId="206"/>
    <cellStyle name="Normal 2 2 3 8" xfId="207"/>
    <cellStyle name="Normal 2 2 4" xfId="208"/>
    <cellStyle name="Normal 2 2 4 2" xfId="209"/>
    <cellStyle name="Normal 2 2 4 2 2" xfId="210"/>
    <cellStyle name="Normal 2 2 4 2 2 2" xfId="211"/>
    <cellStyle name="Normal 2 2 4 2 3" xfId="212"/>
    <cellStyle name="Normal 2 2 4 3" xfId="213"/>
    <cellStyle name="Normal 2 2 4 3 2" xfId="214"/>
    <cellStyle name="Normal 2 2 5" xfId="215"/>
    <cellStyle name="Normal 2 2 5 2" xfId="216"/>
    <cellStyle name="Normal 2 2 5 2 2" xfId="217"/>
    <cellStyle name="Normal 2 2 5 3" xfId="218"/>
    <cellStyle name="Normal 2 2 5 4" xfId="219"/>
    <cellStyle name="Normal 2 2 6" xfId="220"/>
    <cellStyle name="Normal 2 2 6 2" xfId="221"/>
    <cellStyle name="Normal 2 2 6 3" xfId="222"/>
    <cellStyle name="Normal 2 2 6 4" xfId="223"/>
    <cellStyle name="Normal 2 2 7" xfId="224"/>
    <cellStyle name="Normal 2 2 7 2" xfId="225"/>
    <cellStyle name="Normal 2 2 7 3" xfId="226"/>
    <cellStyle name="Normal 2 2 7 4" xfId="227"/>
    <cellStyle name="Normal 2 2 8" xfId="228"/>
    <cellStyle name="Normal 2 2 8 2" xfId="229"/>
    <cellStyle name="Normal 2 2 8 3" xfId="230"/>
    <cellStyle name="Normal 2 2 9" xfId="231"/>
    <cellStyle name="Normal 2 2 9 2" xfId="232"/>
    <cellStyle name="Normal 2 2 9 3" xfId="233"/>
    <cellStyle name="Normal 2 2 9 4" xfId="234"/>
    <cellStyle name="Normal 2 3" xfId="235"/>
    <cellStyle name="Normal 2 3 2" xfId="236"/>
    <cellStyle name="Normal 2 4" xfId="237"/>
    <cellStyle name="Normal 2 4 2" xfId="238"/>
    <cellStyle name="Normal 2 4 2 2" xfId="239"/>
    <cellStyle name="Normal 2 4 2 2 2" xfId="240"/>
    <cellStyle name="Normal 2 4 2 2 2 2" xfId="241"/>
    <cellStyle name="Normal 2 4 2 2 2 2 2" xfId="242"/>
    <cellStyle name="Normal 2 4 2 2 2 3" xfId="243"/>
    <cellStyle name="Normal 2 4 2 2 3" xfId="244"/>
    <cellStyle name="Normal 2 4 2 2 3 2" xfId="245"/>
    <cellStyle name="Normal 2 4 2 3" xfId="246"/>
    <cellStyle name="Normal 2 4 2 4" xfId="247"/>
    <cellStyle name="Normal 2 4 2 5" xfId="248"/>
    <cellStyle name="Normal 2 4 2 6" xfId="249"/>
    <cellStyle name="Normal 2 4 2 7" xfId="250"/>
    <cellStyle name="Normal 2 4 2 7 2" xfId="251"/>
    <cellStyle name="Normal 2 4 2 8" xfId="252"/>
    <cellStyle name="Normal 2 4 2 9" xfId="253"/>
    <cellStyle name="Normal 2 4 3" xfId="254"/>
    <cellStyle name="Normal 2 4 3 2" xfId="255"/>
    <cellStyle name="Normal 2 4 3 2 2" xfId="256"/>
    <cellStyle name="Normal 2 4 3 2 2 2" xfId="257"/>
    <cellStyle name="Normal 2 4 3 2 3" xfId="258"/>
    <cellStyle name="Normal 2 4 3 3" xfId="259"/>
    <cellStyle name="Normal 2 4 3 3 2" xfId="260"/>
    <cellStyle name="Normal 2 4 4" xfId="261"/>
    <cellStyle name="Normal 2 4 5" xfId="262"/>
    <cellStyle name="Normal 2 4 6" xfId="263"/>
    <cellStyle name="Normal 2 4 7" xfId="264"/>
    <cellStyle name="Normal 2 4 7 2" xfId="265"/>
    <cellStyle name="Normal 2 4 8" xfId="266"/>
    <cellStyle name="Normal 2 5" xfId="267"/>
    <cellStyle name="Normal 2 5 2" xfId="268"/>
    <cellStyle name="Normal 2 5 3" xfId="269"/>
    <cellStyle name="Normal 2 5 4" xfId="270"/>
    <cellStyle name="Normal 2 6" xfId="271"/>
    <cellStyle name="Normal 2 6 2" xfId="272"/>
    <cellStyle name="Normal 2 6 2 2" xfId="273"/>
    <cellStyle name="Normal 2 6 2 2 2" xfId="274"/>
    <cellStyle name="Normal 2 6 2 3" xfId="275"/>
    <cellStyle name="Normal 2 6 2 4" xfId="276"/>
    <cellStyle name="Normal 2 6 3" xfId="277"/>
    <cellStyle name="Normal 2 6 3 2" xfId="278"/>
    <cellStyle name="Normal 2 7" xfId="279"/>
    <cellStyle name="Normal 2 7 2" xfId="280"/>
    <cellStyle name="Normal 2 7 2 2" xfId="281"/>
    <cellStyle name="Normal 2 7 3" xfId="282"/>
    <cellStyle name="Normal 2 7 4" xfId="283"/>
    <cellStyle name="Normal 2 7 5" xfId="284"/>
    <cellStyle name="Normal 2 7 6" xfId="285"/>
    <cellStyle name="Normal 2 8" xfId="286"/>
    <cellStyle name="Normal 2 8 2" xfId="287"/>
    <cellStyle name="Normal 2 8 3" xfId="288"/>
    <cellStyle name="Normal 2 9" xfId="289"/>
    <cellStyle name="Normal 20" xfId="290"/>
    <cellStyle name="Normal 20 2" xfId="291"/>
    <cellStyle name="Normal 21" xfId="292"/>
    <cellStyle name="Normal 22" xfId="293"/>
    <cellStyle name="Normal 22 2" xfId="294"/>
    <cellStyle name="Normal 23" xfId="295"/>
    <cellStyle name="Normal 24" xfId="296"/>
    <cellStyle name="Normal 24 2" xfId="297"/>
    <cellStyle name="Normal 27" xfId="298"/>
    <cellStyle name="Normal 3" xfId="299"/>
    <cellStyle name="Normal 3 10" xfId="300"/>
    <cellStyle name="Normal 3 11" xfId="301"/>
    <cellStyle name="Normal 3 12" xfId="302"/>
    <cellStyle name="Normal 3 2" xfId="303"/>
    <cellStyle name="Normal 3 2 10" xfId="304"/>
    <cellStyle name="Normal 3 2 11" xfId="305"/>
    <cellStyle name="Normal 3 2 2" xfId="306"/>
    <cellStyle name="Normal 3 2 2 2" xfId="307"/>
    <cellStyle name="Normal 3 2 2 2 2" xfId="308"/>
    <cellStyle name="Normal 3 2 2 2 2 2" xfId="309"/>
    <cellStyle name="Normal 3 2 2 2 2 2 2" xfId="310"/>
    <cellStyle name="Normal 3 2 2 2 2 2 2 2" xfId="311"/>
    <cellStyle name="Normal 3 2 2 2 2 2 3" xfId="312"/>
    <cellStyle name="Normal 3 2 2 2 2 3" xfId="313"/>
    <cellStyle name="Normal 3 2 2 2 2 3 2" xfId="314"/>
    <cellStyle name="Normal 3 2 2 2 3" xfId="315"/>
    <cellStyle name="Normal 3 2 2 2 4" xfId="316"/>
    <cellStyle name="Normal 3 2 2 2 5" xfId="317"/>
    <cellStyle name="Normal 3 2 2 2 6" xfId="318"/>
    <cellStyle name="Normal 3 2 2 2 7" xfId="319"/>
    <cellStyle name="Normal 3 2 2 2 7 2" xfId="320"/>
    <cellStyle name="Normal 3 2 2 2 8" xfId="321"/>
    <cellStyle name="Normal 3 2 2 3" xfId="322"/>
    <cellStyle name="Normal 3 2 2 3 2" xfId="323"/>
    <cellStyle name="Normal 3 2 2 3 2 2" xfId="324"/>
    <cellStyle name="Normal 3 2 2 3 2 2 2" xfId="325"/>
    <cellStyle name="Normal 3 2 2 3 2 3" xfId="326"/>
    <cellStyle name="Normal 3 2 2 3 3" xfId="327"/>
    <cellStyle name="Normal 3 2 2 3 3 2" xfId="328"/>
    <cellStyle name="Normal 3 2 2 4" xfId="329"/>
    <cellStyle name="Normal 3 2 2 5" xfId="330"/>
    <cellStyle name="Normal 3 2 2 6" xfId="331"/>
    <cellStyle name="Normal 3 2 2 7" xfId="332"/>
    <cellStyle name="Normal 3 2 2 7 2" xfId="333"/>
    <cellStyle name="Normal 3 2 2 8" xfId="334"/>
    <cellStyle name="Normal 3 2 2 9" xfId="335"/>
    <cellStyle name="Normal 3 2 3" xfId="336"/>
    <cellStyle name="Normal 3 2 4" xfId="337"/>
    <cellStyle name="Normal 3 2 4 2" xfId="338"/>
    <cellStyle name="Normal 3 2 4 2 2" xfId="339"/>
    <cellStyle name="Normal 3 2 4 2 2 2" xfId="340"/>
    <cellStyle name="Normal 3 2 4 2 3" xfId="341"/>
    <cellStyle name="Normal 3 2 4 3" xfId="342"/>
    <cellStyle name="Normal 3 2 4 3 2" xfId="343"/>
    <cellStyle name="Normal 3 2 5" xfId="344"/>
    <cellStyle name="Normal 3 2 6" xfId="345"/>
    <cellStyle name="Normal 3 2 7" xfId="346"/>
    <cellStyle name="Normal 3 2 8" xfId="347"/>
    <cellStyle name="Normal 3 2 9" xfId="348"/>
    <cellStyle name="Normal 3 2 9 2" xfId="349"/>
    <cellStyle name="Normal 3 3" xfId="350"/>
    <cellStyle name="Normal 3 3 2" xfId="351"/>
    <cellStyle name="Normal 3 3 2 2" xfId="352"/>
    <cellStyle name="Normal 3 3 2 2 2" xfId="353"/>
    <cellStyle name="Normal 3 3 2 2 2 2" xfId="354"/>
    <cellStyle name="Normal 3 3 2 2 2 2 2" xfId="355"/>
    <cellStyle name="Normal 3 3 2 2 2 3" xfId="356"/>
    <cellStyle name="Normal 3 3 2 2 3" xfId="357"/>
    <cellStyle name="Normal 3 3 2 2 3 2" xfId="358"/>
    <cellStyle name="Normal 3 3 2 3" xfId="359"/>
    <cellStyle name="Normal 3 3 2 4" xfId="360"/>
    <cellStyle name="Normal 3 3 2 5" xfId="361"/>
    <cellStyle name="Normal 3 3 2 6" xfId="362"/>
    <cellStyle name="Normal 3 3 2 7" xfId="363"/>
    <cellStyle name="Normal 3 3 2 7 2" xfId="364"/>
    <cellStyle name="Normal 3 3 2 8" xfId="365"/>
    <cellStyle name="Normal 3 3 2 9" xfId="366"/>
    <cellStyle name="Normal 3 3 3" xfId="367"/>
    <cellStyle name="Normal 3 3 3 2" xfId="368"/>
    <cellStyle name="Normal 3 3 3 2 2" xfId="369"/>
    <cellStyle name="Normal 3 3 3 2 2 2" xfId="370"/>
    <cellStyle name="Normal 3 3 3 2 3" xfId="371"/>
    <cellStyle name="Normal 3 3 3 3" xfId="372"/>
    <cellStyle name="Normal 3 3 3 3 2" xfId="373"/>
    <cellStyle name="Normal 3 3 4" xfId="374"/>
    <cellStyle name="Normal 3 3 5" xfId="375"/>
    <cellStyle name="Normal 3 3 6" xfId="376"/>
    <cellStyle name="Normal 3 3 7" xfId="377"/>
    <cellStyle name="Normal 3 3 7 2" xfId="378"/>
    <cellStyle name="Normal 3 3 8" xfId="379"/>
    <cellStyle name="Normal 3 3 9" xfId="380"/>
    <cellStyle name="Normal 3 4" xfId="381"/>
    <cellStyle name="Normal 3 4 2" xfId="382"/>
    <cellStyle name="Normal 3 4 2 2" xfId="383"/>
    <cellStyle name="Normal 3 4 2 2 2" xfId="384"/>
    <cellStyle name="Normal 3 4 2 3" xfId="385"/>
    <cellStyle name="Normal 3 4 3" xfId="386"/>
    <cellStyle name="Normal 3 4 3 2" xfId="387"/>
    <cellStyle name="Normal 3 5" xfId="388"/>
    <cellStyle name="Normal 3 6" xfId="389"/>
    <cellStyle name="Normal 3 7" xfId="390"/>
    <cellStyle name="Normal 3 8" xfId="391"/>
    <cellStyle name="Normal 3 9" xfId="392"/>
    <cellStyle name="Normal 3 9 2" xfId="393"/>
    <cellStyle name="Normal 4" xfId="394"/>
    <cellStyle name="Normal 4 10" xfId="491"/>
    <cellStyle name="Normal 4 2" xfId="395"/>
    <cellStyle name="Normal 4 2 2" xfId="396"/>
    <cellStyle name="Normal 4 2 2 2" xfId="397"/>
    <cellStyle name="Normal 4 2 2 2 2" xfId="398"/>
    <cellStyle name="Normal 4 2 2 3" xfId="399"/>
    <cellStyle name="Normal 4 2 2 4" xfId="400"/>
    <cellStyle name="Normal 4 2 2 5" xfId="401"/>
    <cellStyle name="Normal 4 2 3" xfId="402"/>
    <cellStyle name="Normal 4 2 4" xfId="403"/>
    <cellStyle name="Normal 4 2 5" xfId="404"/>
    <cellStyle name="Normal 4 2 5 2" xfId="405"/>
    <cellStyle name="Normal 4 2 6" xfId="406"/>
    <cellStyle name="Normal 4 2 7" xfId="407"/>
    <cellStyle name="Normal 4 2 8" xfId="408"/>
    <cellStyle name="Normal 4 3" xfId="409"/>
    <cellStyle name="Normal 4 3 2" xfId="410"/>
    <cellStyle name="Normal 4 3 2 2" xfId="411"/>
    <cellStyle name="Normal 4 3 3" xfId="412"/>
    <cellStyle name="Normal 4 3 4" xfId="413"/>
    <cellStyle name="Normal 4 3 5" xfId="414"/>
    <cellStyle name="Normal 4 3 6" xfId="415"/>
    <cellStyle name="Normal 4 4" xfId="416"/>
    <cellStyle name="Normal 4 5" xfId="417"/>
    <cellStyle name="Normal 4 5 2" xfId="418"/>
    <cellStyle name="Normal 4 6" xfId="419"/>
    <cellStyle name="Normal 4 7" xfId="420"/>
    <cellStyle name="Normal 4 8" xfId="421"/>
    <cellStyle name="Normal 4 9" xfId="422"/>
    <cellStyle name="Normal 5" xfId="423"/>
    <cellStyle name="Normal 5 2" xfId="424"/>
    <cellStyle name="Normal 5 2 2" xfId="425"/>
    <cellStyle name="Normal 5 3" xfId="426"/>
    <cellStyle name="Normal 5 4" xfId="492"/>
    <cellStyle name="Normal 6" xfId="427"/>
    <cellStyle name="Normal 6 10" xfId="428"/>
    <cellStyle name="Normal 6 11" xfId="493"/>
    <cellStyle name="Normal 6 2" xfId="429"/>
    <cellStyle name="Normal 6 2 2" xfId="430"/>
    <cellStyle name="Normal 6 3" xfId="431"/>
    <cellStyle name="Normal 6 4" xfId="432"/>
    <cellStyle name="Normal 6 5" xfId="433"/>
    <cellStyle name="Normal 6 6" xfId="434"/>
    <cellStyle name="Normal 6 7" xfId="435"/>
    <cellStyle name="Normal 6 8" xfId="436"/>
    <cellStyle name="Normal 6 9" xfId="437"/>
    <cellStyle name="Normal 7" xfId="438"/>
    <cellStyle name="Normal 7 10" xfId="439"/>
    <cellStyle name="Normal 7 11" xfId="440"/>
    <cellStyle name="Normal 7 2" xfId="441"/>
    <cellStyle name="Normal 7 2 2" xfId="442"/>
    <cellStyle name="Normal 7 2 2 2" xfId="443"/>
    <cellStyle name="Normal 7 2 2 2 2" xfId="444"/>
    <cellStyle name="Normal 7 2 2 2 2 2" xfId="445"/>
    <cellStyle name="Normal 7 2 2 2 3" xfId="446"/>
    <cellStyle name="Normal 7 2 2 3" xfId="447"/>
    <cellStyle name="Normal 7 2 2 3 2" xfId="448"/>
    <cellStyle name="Normal 7 2 3" xfId="449"/>
    <cellStyle name="Normal 7 2 4" xfId="450"/>
    <cellStyle name="Normal 7 2 5" xfId="451"/>
    <cellStyle name="Normal 7 2 6" xfId="452"/>
    <cellStyle name="Normal 7 2 7" xfId="453"/>
    <cellStyle name="Normal 7 2 7 2" xfId="454"/>
    <cellStyle name="Normal 7 2 8" xfId="455"/>
    <cellStyle name="Normal 7 3" xfId="456"/>
    <cellStyle name="Normal 7 3 2" xfId="457"/>
    <cellStyle name="Normal 7 3 2 2" xfId="458"/>
    <cellStyle name="Normal 7 3 2 2 2" xfId="459"/>
    <cellStyle name="Normal 7 3 2 3" xfId="460"/>
    <cellStyle name="Normal 7 3 3" xfId="461"/>
    <cellStyle name="Normal 7 3 3 2" xfId="462"/>
    <cellStyle name="Normal 7 3 4" xfId="463"/>
    <cellStyle name="Normal 7 3 5" xfId="464"/>
    <cellStyle name="Normal 7 4" xfId="465"/>
    <cellStyle name="Normal 7 4 2" xfId="466"/>
    <cellStyle name="Normal 7 4 3" xfId="467"/>
    <cellStyle name="Normal 7 5" xfId="468"/>
    <cellStyle name="Normal 7 5 2" xfId="469"/>
    <cellStyle name="Normal 7 5 3" xfId="470"/>
    <cellStyle name="Normal 7 5 4" xfId="471"/>
    <cellStyle name="Normal 7 6" xfId="472"/>
    <cellStyle name="Normal 7 7" xfId="473"/>
    <cellStyle name="Normal 7 7 2" xfId="474"/>
    <cellStyle name="Normal 7 8" xfId="475"/>
    <cellStyle name="Normal 7 9" xfId="476"/>
    <cellStyle name="Normal 8" xfId="477"/>
    <cellStyle name="Normal 8 2" xfId="478"/>
    <cellStyle name="Normal 8 2 2" xfId="479"/>
    <cellStyle name="Normal 8 2 2 2" xfId="480"/>
    <cellStyle name="Normal 8 2 3" xfId="481"/>
    <cellStyle name="Normal 8 2 4" xfId="482"/>
    <cellStyle name="Normal 8 3" xfId="483"/>
    <cellStyle name="Normal 8 3 2" xfId="484"/>
    <cellStyle name="Normal 8 3 3" xfId="485"/>
    <cellStyle name="Normal 8 4" xfId="486"/>
    <cellStyle name="Normal 9" xfId="487"/>
    <cellStyle name="Normal 9 2" xfId="488"/>
    <cellStyle name="Normal 9 3" xfId="489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313"/>
  <sheetViews>
    <sheetView workbookViewId="0">
      <pane xSplit="2" ySplit="11" topLeftCell="I72" activePane="bottomRight" state="frozen"/>
      <selection pane="topRight" activeCell="C1" sqref="C1"/>
      <selection pane="bottomLeft" activeCell="A12" sqref="A12"/>
      <selection pane="bottomRight" activeCell="O54" sqref="O54"/>
    </sheetView>
  </sheetViews>
  <sheetFormatPr baseColWidth="10" defaultRowHeight="15.75"/>
  <cols>
    <col min="1" max="1" width="5.85546875" style="2" customWidth="1"/>
    <col min="2" max="2" width="29.140625" style="1" customWidth="1"/>
    <col min="3" max="3" width="17" style="1" bestFit="1" customWidth="1"/>
    <col min="4" max="4" width="18.5703125" style="17" customWidth="1"/>
    <col min="5" max="5" width="7" style="17" hidden="1" customWidth="1"/>
    <col min="6" max="6" width="18.5703125" style="17" bestFit="1" customWidth="1"/>
    <col min="7" max="11" width="15" style="17" bestFit="1" customWidth="1"/>
    <col min="12" max="12" width="18.5703125" style="17" bestFit="1" customWidth="1"/>
    <col min="13" max="13" width="6" style="244" customWidth="1"/>
    <col min="14" max="14" width="2.42578125" style="1" bestFit="1" customWidth="1"/>
    <col min="15" max="15" width="53.85546875" style="80" bestFit="1" customWidth="1"/>
    <col min="16" max="16" width="51.42578125" style="80" bestFit="1" customWidth="1"/>
    <col min="17" max="17" width="6.85546875" style="80" bestFit="1" customWidth="1"/>
    <col min="18" max="18" width="17.5703125" style="80" bestFit="1" customWidth="1"/>
    <col min="19" max="19" width="27.7109375" style="80" bestFit="1" customWidth="1"/>
    <col min="20" max="20" width="13" style="80" bestFit="1" customWidth="1"/>
    <col min="21" max="21" width="15.85546875" style="141" bestFit="1" customWidth="1"/>
    <col min="22" max="22" width="11.42578125" style="77" bestFit="1" customWidth="1"/>
    <col min="23" max="23" width="12" style="77" bestFit="1" customWidth="1"/>
    <col min="24" max="24" width="12.85546875" style="77" bestFit="1" customWidth="1"/>
    <col min="25" max="25" width="14.7109375" style="78" bestFit="1" customWidth="1"/>
    <col min="26" max="26" width="20.85546875" style="77" bestFit="1" customWidth="1"/>
    <col min="27" max="27" width="8.7109375" style="132" bestFit="1" customWidth="1"/>
    <col min="28" max="28" width="13.28515625" style="77" bestFit="1" customWidth="1"/>
    <col min="29" max="29" width="9.5703125" style="77" bestFit="1" customWidth="1"/>
    <col min="30" max="30" width="9.28515625" style="77" bestFit="1" customWidth="1"/>
    <col min="31" max="31" width="10.7109375" style="77" bestFit="1" customWidth="1"/>
    <col min="32" max="32" width="11.85546875" style="77" bestFit="1" customWidth="1"/>
    <col min="33" max="33" width="4.7109375" style="77" bestFit="1" customWidth="1"/>
    <col min="34" max="34" width="14.7109375" style="78" bestFit="1" customWidth="1"/>
    <col min="35" max="35" width="13" style="77" bestFit="1" customWidth="1"/>
    <col min="36" max="36" width="15.140625" style="78" bestFit="1" customWidth="1"/>
    <col min="37" max="37" width="11.5703125" style="77" bestFit="1" customWidth="1"/>
    <col min="38" max="38" width="8.7109375" style="77" bestFit="1" customWidth="1"/>
    <col min="39" max="39" width="10.7109375" style="78" bestFit="1" customWidth="1"/>
    <col min="40" max="40" width="14.28515625" style="79" bestFit="1" customWidth="1"/>
    <col min="41" max="41" width="11.28515625" style="79" bestFit="1" customWidth="1"/>
    <col min="42" max="42" width="14.5703125" style="80" bestFit="1" customWidth="1"/>
    <col min="43" max="43" width="15.85546875" style="80" bestFit="1" customWidth="1"/>
    <col min="44" max="44" width="111.42578125" style="80" bestFit="1" customWidth="1"/>
    <col min="45" max="45" width="6.5703125" style="1" hidden="1" customWidth="1"/>
    <col min="46" max="46" width="0" style="1" hidden="1" customWidth="1"/>
    <col min="47" max="47" width="0" style="235" hidden="1" customWidth="1"/>
    <col min="48" max="48" width="0" style="1" hidden="1" customWidth="1"/>
    <col min="49" max="49" width="22.85546875" style="1" hidden="1" customWidth="1"/>
    <col min="50" max="51" width="11.42578125" style="1" hidden="1" customWidth="1"/>
    <col min="52" max="16384" width="11.42578125" style="1"/>
  </cols>
  <sheetData>
    <row r="1" spans="1:51" ht="12.75" customHeight="1">
      <c r="A1" s="3" t="s">
        <v>0</v>
      </c>
      <c r="B1" s="15" t="s">
        <v>132</v>
      </c>
      <c r="D1" s="18"/>
      <c r="E1" s="18"/>
      <c r="F1" s="18"/>
      <c r="G1" s="18"/>
      <c r="H1" s="18"/>
      <c r="I1" s="18"/>
      <c r="J1" s="18"/>
      <c r="K1" s="18"/>
      <c r="L1" s="18"/>
      <c r="O1" s="66" t="s">
        <v>133</v>
      </c>
      <c r="P1" s="66"/>
      <c r="Q1" s="66"/>
      <c r="R1" s="66"/>
      <c r="S1" s="67"/>
      <c r="T1" s="67"/>
      <c r="U1" s="140"/>
      <c r="V1" s="68"/>
      <c r="W1" s="68"/>
      <c r="X1" s="68"/>
      <c r="Y1" s="69"/>
      <c r="Z1" s="68"/>
      <c r="AA1" s="68"/>
      <c r="AB1" s="68"/>
      <c r="AC1" s="68"/>
      <c r="AD1" s="68"/>
      <c r="AE1" s="68"/>
      <c r="AF1" s="68"/>
      <c r="AG1" s="68"/>
      <c r="AH1" s="69"/>
      <c r="AI1" s="68"/>
      <c r="AJ1" s="69"/>
      <c r="AK1" s="68"/>
      <c r="AL1" s="68"/>
      <c r="AM1" s="69"/>
      <c r="AN1" s="70"/>
      <c r="AO1" s="70"/>
      <c r="AP1" s="71"/>
      <c r="AQ1" s="71"/>
      <c r="AR1" s="71"/>
    </row>
    <row r="2" spans="1:51" ht="12.75" customHeight="1">
      <c r="A2" s="4" t="s">
        <v>1</v>
      </c>
      <c r="B2" s="47" t="s">
        <v>2</v>
      </c>
      <c r="D2" s="18"/>
      <c r="E2" s="18"/>
      <c r="F2" s="18"/>
      <c r="G2" s="18"/>
      <c r="H2" s="18"/>
      <c r="I2" s="18"/>
      <c r="J2" s="18"/>
      <c r="K2" s="18"/>
      <c r="L2" s="18"/>
      <c r="O2" s="72" t="s">
        <v>134</v>
      </c>
      <c r="P2" s="72"/>
      <c r="Q2" s="72"/>
      <c r="R2" s="72"/>
      <c r="S2" s="73"/>
      <c r="T2" s="73"/>
      <c r="U2" s="140"/>
      <c r="V2" s="68"/>
      <c r="W2" s="68"/>
      <c r="X2" s="68"/>
      <c r="Y2" s="69"/>
      <c r="Z2" s="68" t="s">
        <v>135</v>
      </c>
      <c r="AA2" s="68"/>
      <c r="AB2" s="68"/>
      <c r="AC2" s="68"/>
      <c r="AD2" s="68"/>
      <c r="AE2" s="68"/>
      <c r="AF2" s="68"/>
      <c r="AG2" s="68"/>
      <c r="AH2" s="69"/>
      <c r="AI2" s="68"/>
      <c r="AJ2" s="69"/>
      <c r="AK2" s="68"/>
      <c r="AL2" s="68"/>
      <c r="AM2" s="69"/>
      <c r="AN2" s="70"/>
      <c r="AO2" s="70"/>
      <c r="AP2" s="71"/>
      <c r="AQ2" s="71"/>
      <c r="AR2" s="71"/>
    </row>
    <row r="3" spans="1:51" ht="12.75" customHeight="1">
      <c r="B3" s="46" t="s">
        <v>3</v>
      </c>
      <c r="D3" s="18"/>
      <c r="E3" s="18"/>
      <c r="F3" s="18"/>
      <c r="G3" s="18"/>
      <c r="H3" s="18"/>
      <c r="I3" s="18"/>
      <c r="J3" s="18"/>
      <c r="K3" s="18"/>
      <c r="L3" s="18"/>
      <c r="O3" s="74" t="s">
        <v>345</v>
      </c>
      <c r="P3" s="74" t="s">
        <v>346</v>
      </c>
      <c r="Q3" s="74"/>
      <c r="R3" s="74"/>
      <c r="S3" s="75"/>
      <c r="T3" s="75"/>
      <c r="U3" s="140"/>
      <c r="V3" s="68"/>
      <c r="W3" s="68"/>
      <c r="X3" s="68"/>
      <c r="Y3" s="69"/>
      <c r="Z3" s="68"/>
      <c r="AA3" s="68"/>
      <c r="AB3" s="68"/>
      <c r="AC3" s="68"/>
      <c r="AD3" s="68"/>
      <c r="AE3" s="68"/>
      <c r="AF3" s="68"/>
      <c r="AG3" s="68"/>
      <c r="AH3" s="69"/>
      <c r="AI3" s="68"/>
      <c r="AJ3" s="69"/>
      <c r="AK3" s="68"/>
      <c r="AL3" s="68"/>
      <c r="AM3" s="69"/>
      <c r="AN3" s="70"/>
      <c r="AO3" s="70"/>
      <c r="AP3" s="71"/>
      <c r="AQ3" s="71"/>
      <c r="AR3" s="71"/>
    </row>
    <row r="4" spans="1:51" ht="24" customHeight="1">
      <c r="A4" s="44"/>
      <c r="B4" s="45" t="s">
        <v>369</v>
      </c>
      <c r="D4" s="18"/>
      <c r="E4" s="18"/>
      <c r="F4" s="18"/>
      <c r="G4" s="18"/>
      <c r="H4" s="18"/>
      <c r="I4" s="18"/>
      <c r="J4" s="18"/>
      <c r="K4" s="18"/>
      <c r="L4" s="18"/>
      <c r="O4" s="74"/>
      <c r="P4" s="74"/>
      <c r="Q4" s="74"/>
      <c r="R4" s="74"/>
      <c r="S4" s="75"/>
      <c r="T4" s="75"/>
      <c r="U4" s="140"/>
      <c r="V4" s="68"/>
      <c r="W4" s="68"/>
      <c r="X4" s="68"/>
      <c r="Y4" s="69"/>
      <c r="Z4" s="68"/>
      <c r="AA4" s="68"/>
      <c r="AB4" s="68"/>
      <c r="AC4" s="68"/>
      <c r="AD4" s="68"/>
      <c r="AE4" s="68"/>
      <c r="AF4" s="68"/>
      <c r="AG4" s="68"/>
      <c r="AH4" s="69"/>
      <c r="AI4" s="68"/>
      <c r="AJ4" s="69"/>
      <c r="AK4" s="68"/>
      <c r="AL4" s="68"/>
      <c r="AM4" s="69"/>
      <c r="AN4" s="70"/>
      <c r="AO4" s="70"/>
      <c r="AP4" s="71"/>
      <c r="AQ4" s="71"/>
      <c r="AR4" s="71"/>
    </row>
    <row r="5" spans="1:51" ht="12.75" customHeight="1">
      <c r="B5" s="6" t="s">
        <v>4</v>
      </c>
      <c r="D5" s="18"/>
      <c r="E5" s="18"/>
      <c r="F5" s="18"/>
      <c r="G5" s="18"/>
      <c r="H5" s="18"/>
      <c r="I5" s="18"/>
      <c r="J5" s="18"/>
      <c r="K5" s="18"/>
      <c r="L5" s="18"/>
      <c r="O5" s="74"/>
      <c r="P5" s="74"/>
      <c r="Q5" s="74"/>
      <c r="R5" s="74"/>
      <c r="S5" s="75"/>
      <c r="T5" s="75"/>
      <c r="U5" s="140"/>
      <c r="V5" s="68"/>
      <c r="W5" s="68"/>
      <c r="X5" s="68"/>
      <c r="Y5" s="69"/>
      <c r="Z5" s="68"/>
      <c r="AA5" s="68"/>
      <c r="AB5" s="68"/>
      <c r="AC5" s="68"/>
      <c r="AD5" s="68"/>
      <c r="AE5" s="68"/>
      <c r="AF5" s="68"/>
      <c r="AG5" s="68"/>
      <c r="AH5" s="69"/>
      <c r="AI5" s="68"/>
      <c r="AJ5" s="69"/>
      <c r="AK5" s="68"/>
      <c r="AL5" s="68"/>
      <c r="AM5" s="69"/>
      <c r="AN5" s="70"/>
      <c r="AO5" s="70"/>
      <c r="AP5" s="71"/>
      <c r="AQ5" s="71"/>
      <c r="AR5" s="71"/>
    </row>
    <row r="6" spans="1:51" ht="12.75" customHeight="1">
      <c r="B6" s="6" t="s">
        <v>5</v>
      </c>
      <c r="D6" s="18"/>
      <c r="E6" s="18"/>
      <c r="F6" s="294" t="s">
        <v>285</v>
      </c>
      <c r="G6" s="294"/>
      <c r="H6" s="294"/>
      <c r="I6" s="294"/>
      <c r="J6" s="294"/>
      <c r="K6" s="294"/>
      <c r="L6" s="294"/>
      <c r="O6" s="76"/>
      <c r="P6" s="76"/>
      <c r="Q6" s="76"/>
      <c r="R6" s="76"/>
      <c r="S6" s="76"/>
      <c r="T6" s="76"/>
      <c r="AR6" s="76"/>
    </row>
    <row r="7" spans="1:51" ht="12.75" customHeight="1">
      <c r="D7" s="18"/>
      <c r="E7" s="18"/>
      <c r="F7" s="291" t="s">
        <v>286</v>
      </c>
      <c r="G7" s="292"/>
      <c r="H7" s="292"/>
      <c r="I7" s="292"/>
      <c r="J7" s="292"/>
      <c r="K7" s="292"/>
      <c r="L7" s="293"/>
      <c r="O7" s="295" t="s">
        <v>136</v>
      </c>
      <c r="P7" s="295" t="s">
        <v>137</v>
      </c>
      <c r="Q7" s="295" t="s">
        <v>138</v>
      </c>
      <c r="R7" s="201"/>
      <c r="S7" s="295" t="s">
        <v>139</v>
      </c>
      <c r="T7" s="202"/>
      <c r="U7" s="142"/>
      <c r="V7" s="286" t="s">
        <v>140</v>
      </c>
      <c r="W7" s="286" t="s">
        <v>141</v>
      </c>
      <c r="X7" s="286" t="s">
        <v>142</v>
      </c>
      <c r="Y7" s="286" t="s">
        <v>143</v>
      </c>
      <c r="Z7" s="286" t="s">
        <v>144</v>
      </c>
      <c r="AA7" s="199"/>
      <c r="AB7" s="286" t="s">
        <v>145</v>
      </c>
      <c r="AC7" s="286" t="s">
        <v>146</v>
      </c>
      <c r="AD7" s="286" t="s">
        <v>147</v>
      </c>
      <c r="AE7" s="286" t="s">
        <v>17</v>
      </c>
      <c r="AF7" s="286" t="s">
        <v>148</v>
      </c>
      <c r="AG7" s="199"/>
      <c r="AH7" s="286" t="s">
        <v>149</v>
      </c>
      <c r="AI7" s="286" t="s">
        <v>150</v>
      </c>
      <c r="AJ7" s="286" t="s">
        <v>151</v>
      </c>
      <c r="AK7" s="286" t="s">
        <v>152</v>
      </c>
      <c r="AL7" s="286" t="s">
        <v>153</v>
      </c>
      <c r="AM7" s="286" t="s">
        <v>154</v>
      </c>
      <c r="AN7" s="289" t="s">
        <v>155</v>
      </c>
      <c r="AO7" s="290"/>
      <c r="AP7" s="285" t="s">
        <v>156</v>
      </c>
      <c r="AQ7" s="82"/>
      <c r="AR7" s="82" t="s">
        <v>157</v>
      </c>
    </row>
    <row r="8" spans="1:51" s="5" customFormat="1" ht="27" customHeight="1" thickBot="1">
      <c r="A8" s="8" t="s">
        <v>6</v>
      </c>
      <c r="B8" s="9" t="s">
        <v>7</v>
      </c>
      <c r="C8" s="16" t="s">
        <v>10</v>
      </c>
      <c r="D8" s="20" t="s">
        <v>10</v>
      </c>
      <c r="E8" s="18"/>
      <c r="F8" s="21" t="s">
        <v>10</v>
      </c>
      <c r="G8" s="21" t="s">
        <v>287</v>
      </c>
      <c r="H8" s="21" t="s">
        <v>288</v>
      </c>
      <c r="I8" s="21" t="s">
        <v>289</v>
      </c>
      <c r="J8" s="21" t="s">
        <v>290</v>
      </c>
      <c r="K8" s="21" t="s">
        <v>291</v>
      </c>
      <c r="L8" s="21" t="s">
        <v>292</v>
      </c>
      <c r="M8" s="27"/>
      <c r="O8" s="296"/>
      <c r="P8" s="296"/>
      <c r="Q8" s="296"/>
      <c r="R8" s="202" t="s">
        <v>158</v>
      </c>
      <c r="S8" s="296"/>
      <c r="T8" s="204" t="s">
        <v>343</v>
      </c>
      <c r="U8" s="143" t="s">
        <v>159</v>
      </c>
      <c r="V8" s="287"/>
      <c r="W8" s="287"/>
      <c r="X8" s="287"/>
      <c r="Y8" s="287"/>
      <c r="Z8" s="287"/>
      <c r="AA8" s="200" t="s">
        <v>160</v>
      </c>
      <c r="AB8" s="287"/>
      <c r="AC8" s="287"/>
      <c r="AD8" s="287"/>
      <c r="AE8" s="287"/>
      <c r="AF8" s="287"/>
      <c r="AG8" s="200" t="s">
        <v>344</v>
      </c>
      <c r="AH8" s="287"/>
      <c r="AI8" s="287"/>
      <c r="AJ8" s="287"/>
      <c r="AK8" s="287"/>
      <c r="AL8" s="287"/>
      <c r="AM8" s="287"/>
      <c r="AN8" s="83" t="s">
        <v>161</v>
      </c>
      <c r="AO8" s="83" t="s">
        <v>162</v>
      </c>
      <c r="AP8" s="286"/>
      <c r="AQ8" s="82" t="s">
        <v>163</v>
      </c>
      <c r="AR8" s="82"/>
      <c r="AU8" s="237"/>
    </row>
    <row r="9" spans="1:51" ht="8.25" hidden="1" customHeight="1" thickTop="1">
      <c r="A9" s="11" t="s">
        <v>20</v>
      </c>
      <c r="D9" s="18"/>
      <c r="E9" s="18"/>
      <c r="F9" s="18"/>
      <c r="G9" s="18"/>
      <c r="H9" s="18"/>
      <c r="I9" s="18"/>
      <c r="J9" s="18"/>
      <c r="K9" s="18"/>
      <c r="L9" s="18"/>
      <c r="O9" s="187"/>
      <c r="P9" s="187"/>
      <c r="Q9" s="187"/>
      <c r="R9" s="187"/>
      <c r="S9" s="187"/>
      <c r="T9" s="205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90"/>
      <c r="AO9" s="190"/>
      <c r="AP9" s="189"/>
      <c r="AQ9" s="189"/>
      <c r="AR9" s="189"/>
    </row>
    <row r="10" spans="1:51" ht="8.25" hidden="1" customHeight="1">
      <c r="D10" s="18"/>
      <c r="E10" s="18"/>
      <c r="F10" s="18"/>
      <c r="G10" s="18"/>
      <c r="H10" s="18"/>
      <c r="I10" s="18"/>
      <c r="J10" s="18"/>
      <c r="K10" s="18"/>
      <c r="L10" s="18"/>
      <c r="O10" s="187"/>
      <c r="P10" s="187"/>
      <c r="Q10" s="187"/>
      <c r="R10" s="187"/>
      <c r="S10" s="187"/>
      <c r="T10" s="205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90"/>
      <c r="AP10" s="189"/>
      <c r="AQ10" s="189"/>
      <c r="AR10" s="189"/>
    </row>
    <row r="11" spans="1:51" ht="16.5" thickTop="1">
      <c r="A11" s="10" t="s">
        <v>21</v>
      </c>
      <c r="D11" s="18"/>
      <c r="E11" s="18"/>
      <c r="F11" s="18"/>
      <c r="G11" s="18"/>
      <c r="H11" s="18"/>
      <c r="I11" s="18"/>
      <c r="J11" s="18"/>
      <c r="K11" s="18"/>
      <c r="L11" s="18"/>
      <c r="O11" s="187"/>
      <c r="P11" s="187"/>
      <c r="Q11" s="187"/>
      <c r="R11" s="187"/>
      <c r="S11" s="187"/>
      <c r="T11" s="205"/>
      <c r="U11" s="188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90"/>
      <c r="AO11" s="190"/>
      <c r="AP11" s="189"/>
      <c r="AQ11" s="189"/>
      <c r="AR11" s="189"/>
    </row>
    <row r="12" spans="1:51">
      <c r="A12" s="2" t="s">
        <v>22</v>
      </c>
      <c r="B12" s="1" t="s">
        <v>23</v>
      </c>
      <c r="C12" s="178">
        <f>+FISCAL!I12</f>
        <v>23670.449999999997</v>
      </c>
      <c r="D12" s="178">
        <f>SUM(C12:C12)</f>
        <v>23670.449999999997</v>
      </c>
      <c r="E12" s="184"/>
      <c r="F12" s="178">
        <f>+C12</f>
        <v>23670.449999999997</v>
      </c>
      <c r="G12" s="178">
        <f>-X12</f>
        <v>-45.13</v>
      </c>
      <c r="H12" s="178">
        <f>+C12*0.02</f>
        <v>473.40899999999993</v>
      </c>
      <c r="I12" s="178">
        <f>+C12*7.5%</f>
        <v>1775.2837499999998</v>
      </c>
      <c r="J12" s="178">
        <f>SUM(F12:I12)</f>
        <v>25874.012749999994</v>
      </c>
      <c r="K12" s="178">
        <f>+J12*0.16</f>
        <v>4139.8420399999995</v>
      </c>
      <c r="L12" s="178">
        <f>+J12+K12</f>
        <v>30013.854789999994</v>
      </c>
      <c r="N12" s="1" t="str">
        <f t="shared" ref="N12:N43" si="0">IF(B12=P12,"SI","NO")</f>
        <v>SI</v>
      </c>
      <c r="O12" s="84" t="s">
        <v>164</v>
      </c>
      <c r="P12" s="84" t="s">
        <v>165</v>
      </c>
      <c r="Q12" s="86"/>
      <c r="R12" s="87">
        <v>42632</v>
      </c>
      <c r="S12" s="84" t="s">
        <v>347</v>
      </c>
      <c r="T12" s="144">
        <v>2750</v>
      </c>
      <c r="U12" s="144">
        <v>20920.349999999999</v>
      </c>
      <c r="V12" s="105"/>
      <c r="W12" s="89"/>
      <c r="X12" s="90">
        <v>45.13</v>
      </c>
      <c r="Y12" s="94">
        <f>+T12+U12+V12+W12+X12</f>
        <v>23715.48</v>
      </c>
      <c r="Z12" s="100"/>
      <c r="AA12" s="133"/>
      <c r="AB12" s="91"/>
      <c r="AC12" s="91"/>
      <c r="AD12" s="91"/>
      <c r="AE12" s="92"/>
      <c r="AF12" s="93">
        <v>1435.81</v>
      </c>
      <c r="AG12" s="93"/>
      <c r="AH12" s="94">
        <f>+Y12-SUM(Z12:AG12)</f>
        <v>22279.67</v>
      </c>
      <c r="AI12" s="95"/>
      <c r="AJ12" s="94">
        <f>+AH12-AI12</f>
        <v>22279.67</v>
      </c>
      <c r="AK12" s="96"/>
      <c r="AL12" s="95"/>
      <c r="AM12" s="94"/>
      <c r="AN12" s="97"/>
      <c r="AO12" s="98"/>
      <c r="AP12" s="99"/>
      <c r="AQ12" s="151">
        <v>2744500016</v>
      </c>
      <c r="AR12" s="101"/>
      <c r="AS12" s="48">
        <f>+T12/15</f>
        <v>183.33333333333334</v>
      </c>
      <c r="AT12" s="48">
        <f>+AS12-AY12</f>
        <v>-6.6666666666606034E-3</v>
      </c>
      <c r="AU12" s="1" t="b">
        <f>AW12=B12</f>
        <v>1</v>
      </c>
      <c r="AV12" s="236" t="s">
        <v>22</v>
      </c>
      <c r="AW12" s="235" t="s">
        <v>23</v>
      </c>
      <c r="AX12" s="239">
        <v>2750.1</v>
      </c>
      <c r="AY12" s="1">
        <f>+AX12/15</f>
        <v>183.34</v>
      </c>
    </row>
    <row r="13" spans="1:51">
      <c r="A13" s="2" t="s">
        <v>24</v>
      </c>
      <c r="B13" s="1" t="s">
        <v>25</v>
      </c>
      <c r="C13" s="178">
        <f>+FISCAL!I13</f>
        <v>6293.38</v>
      </c>
      <c r="D13" s="178">
        <f t="shared" ref="D13:D76" si="1">SUM(C13:C13)</f>
        <v>6293.38</v>
      </c>
      <c r="E13" s="184"/>
      <c r="F13" s="178">
        <f t="shared" ref="F13:F76" si="2">+C13</f>
        <v>6293.38</v>
      </c>
      <c r="G13" s="178">
        <f t="shared" ref="G13:G76" si="3">-X13</f>
        <v>-45.13</v>
      </c>
      <c r="H13" s="178">
        <f t="shared" ref="H13:H76" si="4">+C13*0.02</f>
        <v>125.86760000000001</v>
      </c>
      <c r="I13" s="178">
        <f t="shared" ref="I13:I76" si="5">+C13*7.5%</f>
        <v>472.00349999999997</v>
      </c>
      <c r="J13" s="178">
        <f t="shared" ref="J13:J76" si="6">SUM(F13:I13)</f>
        <v>6846.1210999999994</v>
      </c>
      <c r="K13" s="178">
        <f t="shared" ref="K13:K76" si="7">+J13*0.16</f>
        <v>1095.3793759999999</v>
      </c>
      <c r="L13" s="178">
        <f t="shared" ref="L13:L76" si="8">+J13+K13</f>
        <v>7941.5004759999993</v>
      </c>
      <c r="N13" s="186" t="str">
        <f t="shared" si="0"/>
        <v>SI</v>
      </c>
      <c r="O13" s="84" t="s">
        <v>168</v>
      </c>
      <c r="P13" s="84" t="s">
        <v>169</v>
      </c>
      <c r="Q13" s="86"/>
      <c r="R13" s="106">
        <v>42409</v>
      </c>
      <c r="S13" s="84" t="s">
        <v>170</v>
      </c>
      <c r="T13" s="144">
        <v>2500</v>
      </c>
      <c r="U13" s="144">
        <v>3960</v>
      </c>
      <c r="V13" s="105"/>
      <c r="W13" s="89"/>
      <c r="X13" s="90">
        <v>45.13</v>
      </c>
      <c r="Y13" s="94">
        <f t="shared" ref="Y13:Y55" si="9">SUM(U13:W13)-X13</f>
        <v>3914.87</v>
      </c>
      <c r="Z13" s="100"/>
      <c r="AA13" s="233">
        <v>1</v>
      </c>
      <c r="AB13" s="91"/>
      <c r="AC13" s="91"/>
      <c r="AD13" s="91"/>
      <c r="AE13" s="92"/>
      <c r="AF13" s="93">
        <v>0</v>
      </c>
      <c r="AG13" s="93"/>
      <c r="AH13" s="94">
        <f>+Y13-SUM(Z13:AF13)</f>
        <v>3913.87</v>
      </c>
      <c r="AI13" s="95">
        <f>IF(Y13&gt;4500,Y13*0.1,0)</f>
        <v>0</v>
      </c>
      <c r="AJ13" s="94">
        <f>+AH13-AI13</f>
        <v>3913.87</v>
      </c>
      <c r="AK13" s="96">
        <f>IF(Y13&lt;4500,Y13*0.1,0)</f>
        <v>391.48700000000002</v>
      </c>
      <c r="AL13" s="95" t="e">
        <f>+'[1]C&amp;A'!X12*0.02</f>
        <v>#REF!</v>
      </c>
      <c r="AM13" s="94" t="e">
        <f>+Y13+AK13+AL13</f>
        <v>#REF!</v>
      </c>
      <c r="AN13" s="97"/>
      <c r="AO13" s="98"/>
      <c r="AP13" s="99">
        <f>+AN13+AO13-AJ13</f>
        <v>-3913.87</v>
      </c>
      <c r="AQ13" s="151"/>
      <c r="AR13" s="101"/>
      <c r="AS13" s="48">
        <f t="shared" ref="AS13:AS75" si="10">+T13/15</f>
        <v>166.66666666666666</v>
      </c>
      <c r="AT13" s="48">
        <f t="shared" ref="AT13:AT75" si="11">+AS13-AY13</f>
        <v>-3.3333333333587234E-3</v>
      </c>
      <c r="AU13" s="235" t="b">
        <f t="shared" ref="AU13:AU75" si="12">AW13=B13</f>
        <v>1</v>
      </c>
      <c r="AV13" s="236" t="s">
        <v>24</v>
      </c>
      <c r="AW13" s="235" t="s">
        <v>25</v>
      </c>
      <c r="AX13" s="239">
        <v>2500.0500000000002</v>
      </c>
      <c r="AY13" s="235">
        <f t="shared" ref="AY13:AY75" si="13">+AX13/15</f>
        <v>166.67000000000002</v>
      </c>
    </row>
    <row r="14" spans="1:51">
      <c r="A14" s="62"/>
      <c r="B14" s="186" t="s">
        <v>333</v>
      </c>
      <c r="C14" s="178">
        <f>+FISCAL!I14</f>
        <v>22735.870000000003</v>
      </c>
      <c r="D14" s="178">
        <f t="shared" si="1"/>
        <v>22735.870000000003</v>
      </c>
      <c r="E14" s="184"/>
      <c r="F14" s="178">
        <f t="shared" si="2"/>
        <v>22735.870000000003</v>
      </c>
      <c r="G14" s="178">
        <f t="shared" si="3"/>
        <v>-45.13</v>
      </c>
      <c r="H14" s="178">
        <f t="shared" si="4"/>
        <v>454.71740000000005</v>
      </c>
      <c r="I14" s="178">
        <f t="shared" si="5"/>
        <v>1705.1902500000001</v>
      </c>
      <c r="J14" s="178">
        <f t="shared" si="6"/>
        <v>24850.647650000003</v>
      </c>
      <c r="K14" s="178">
        <f t="shared" si="7"/>
        <v>3976.1036240000003</v>
      </c>
      <c r="L14" s="178">
        <f t="shared" si="8"/>
        <v>28826.751274000002</v>
      </c>
      <c r="N14" s="186" t="str">
        <f t="shared" si="0"/>
        <v>SI</v>
      </c>
      <c r="O14" s="84" t="s">
        <v>164</v>
      </c>
      <c r="P14" s="84" t="s">
        <v>333</v>
      </c>
      <c r="Q14" s="86"/>
      <c r="R14" s="169">
        <v>40701</v>
      </c>
      <c r="S14" s="170" t="s">
        <v>245</v>
      </c>
      <c r="T14" s="206">
        <v>5000</v>
      </c>
      <c r="U14" s="144">
        <v>17735.77</v>
      </c>
      <c r="V14" s="105"/>
      <c r="W14" s="89"/>
      <c r="X14" s="90">
        <v>45.13</v>
      </c>
      <c r="Y14" s="94">
        <f t="shared" si="9"/>
        <v>17690.64</v>
      </c>
      <c r="Z14" s="100"/>
      <c r="AA14" s="134"/>
      <c r="AB14" s="91"/>
      <c r="AC14" s="91"/>
      <c r="AD14" s="91"/>
      <c r="AE14" s="92"/>
      <c r="AF14" s="93">
        <v>2386</v>
      </c>
      <c r="AG14" s="93"/>
      <c r="AH14" s="94">
        <f>+Y14-SUM(Z14:AF14)</f>
        <v>15304.64</v>
      </c>
      <c r="AI14" s="95">
        <f>IF(Y14&gt;4500,Y14*0.1,0)</f>
        <v>1769.0640000000001</v>
      </c>
      <c r="AJ14" s="94">
        <f>+AH14-AI14</f>
        <v>13535.575999999999</v>
      </c>
      <c r="AK14" s="96"/>
      <c r="AL14" s="95"/>
      <c r="AM14" s="94"/>
      <c r="AN14" s="97"/>
      <c r="AO14" s="98"/>
      <c r="AP14" s="99"/>
      <c r="AQ14" s="151"/>
      <c r="AR14" s="101"/>
      <c r="AS14" s="48">
        <f t="shared" si="10"/>
        <v>333.33333333333331</v>
      </c>
      <c r="AT14" s="48">
        <f t="shared" si="11"/>
        <v>-6.6666666667174468E-3</v>
      </c>
      <c r="AU14" s="235" t="b">
        <f t="shared" si="12"/>
        <v>1</v>
      </c>
      <c r="AV14" s="236" t="s">
        <v>335</v>
      </c>
      <c r="AW14" s="235" t="s">
        <v>336</v>
      </c>
      <c r="AX14" s="239">
        <v>5000.1000000000004</v>
      </c>
      <c r="AY14" s="235">
        <f t="shared" si="13"/>
        <v>333.34000000000003</v>
      </c>
    </row>
    <row r="15" spans="1:51">
      <c r="A15" s="2" t="s">
        <v>26</v>
      </c>
      <c r="B15" s="1" t="s">
        <v>27</v>
      </c>
      <c r="C15" s="178">
        <f>+FISCAL!I15</f>
        <v>7535</v>
      </c>
      <c r="D15" s="178">
        <f t="shared" si="1"/>
        <v>7535</v>
      </c>
      <c r="E15" s="184"/>
      <c r="F15" s="178">
        <f t="shared" si="2"/>
        <v>7535</v>
      </c>
      <c r="G15" s="178">
        <f t="shared" si="3"/>
        <v>-45.13</v>
      </c>
      <c r="H15" s="178">
        <f t="shared" si="4"/>
        <v>150.70000000000002</v>
      </c>
      <c r="I15" s="178">
        <f t="shared" si="5"/>
        <v>565.125</v>
      </c>
      <c r="J15" s="178">
        <f t="shared" si="6"/>
        <v>8205.6949999999997</v>
      </c>
      <c r="K15" s="178">
        <f t="shared" si="7"/>
        <v>1312.9112</v>
      </c>
      <c r="L15" s="178">
        <f t="shared" si="8"/>
        <v>9518.6062000000002</v>
      </c>
      <c r="N15" s="186" t="str">
        <f t="shared" si="0"/>
        <v>SI</v>
      </c>
      <c r="O15" s="84" t="s">
        <v>164</v>
      </c>
      <c r="P15" s="84" t="s">
        <v>171</v>
      </c>
      <c r="Q15" s="86" t="s">
        <v>172</v>
      </c>
      <c r="R15" s="87">
        <v>42072</v>
      </c>
      <c r="S15" s="84" t="s">
        <v>173</v>
      </c>
      <c r="T15" s="144">
        <v>3000</v>
      </c>
      <c r="U15" s="144">
        <v>4535</v>
      </c>
      <c r="V15" s="89"/>
      <c r="W15" s="89"/>
      <c r="X15" s="90">
        <v>45.13</v>
      </c>
      <c r="Y15" s="94">
        <f t="shared" si="9"/>
        <v>4489.87</v>
      </c>
      <c r="Z15" s="100"/>
      <c r="AA15" s="134"/>
      <c r="AB15" s="91"/>
      <c r="AC15" s="91"/>
      <c r="AD15" s="91"/>
      <c r="AE15" s="92"/>
      <c r="AF15" s="93">
        <v>984.32</v>
      </c>
      <c r="AG15" s="93"/>
      <c r="AH15" s="94">
        <f>+Y15-SUM(Z15:AF15)</f>
        <v>3505.5499999999997</v>
      </c>
      <c r="AI15" s="95">
        <f>IF(Y15&gt;4500,Y15*0.1,0)</f>
        <v>0</v>
      </c>
      <c r="AJ15" s="94">
        <f>+AH15-AI15</f>
        <v>3505.5499999999997</v>
      </c>
      <c r="AK15" s="96">
        <f>IF(Y15&lt;4500,Y15*0.1,0)</f>
        <v>448.98700000000002</v>
      </c>
      <c r="AL15" s="95" t="e">
        <f>+'[1]C&amp;A'!X14*0.02</f>
        <v>#REF!</v>
      </c>
      <c r="AM15" s="94" t="e">
        <f>+Y15+AK15+AL15</f>
        <v>#REF!</v>
      </c>
      <c r="AN15" s="97"/>
      <c r="AO15" s="98"/>
      <c r="AP15" s="99">
        <f>+AN15+AO15-AJ15</f>
        <v>-3505.5499999999997</v>
      </c>
      <c r="AQ15" s="99"/>
      <c r="AR15" s="101"/>
      <c r="AS15" s="48">
        <f t="shared" si="10"/>
        <v>200</v>
      </c>
      <c r="AT15" s="48">
        <f t="shared" si="11"/>
        <v>0</v>
      </c>
      <c r="AU15" s="235" t="b">
        <f t="shared" si="12"/>
        <v>1</v>
      </c>
      <c r="AV15" s="236" t="s">
        <v>26</v>
      </c>
      <c r="AW15" s="235" t="s">
        <v>27</v>
      </c>
      <c r="AX15" s="239">
        <v>3000</v>
      </c>
      <c r="AY15" s="235">
        <f t="shared" si="13"/>
        <v>200</v>
      </c>
    </row>
    <row r="16" spans="1:51">
      <c r="A16" s="2" t="s">
        <v>28</v>
      </c>
      <c r="B16" s="1" t="s">
        <v>29</v>
      </c>
      <c r="C16" s="178">
        <f>+FISCAL!I16</f>
        <v>19417.75</v>
      </c>
      <c r="D16" s="178">
        <f t="shared" si="1"/>
        <v>19417.75</v>
      </c>
      <c r="E16" s="184"/>
      <c r="F16" s="178">
        <f t="shared" si="2"/>
        <v>19417.75</v>
      </c>
      <c r="G16" s="178">
        <f t="shared" si="3"/>
        <v>-45.13</v>
      </c>
      <c r="H16" s="178">
        <f t="shared" si="4"/>
        <v>388.35500000000002</v>
      </c>
      <c r="I16" s="178">
        <f t="shared" si="5"/>
        <v>1456.33125</v>
      </c>
      <c r="J16" s="178">
        <f t="shared" si="6"/>
        <v>21217.306249999998</v>
      </c>
      <c r="K16" s="178">
        <f t="shared" si="7"/>
        <v>3394.7689999999998</v>
      </c>
      <c r="L16" s="178">
        <f t="shared" si="8"/>
        <v>24612.075249999998</v>
      </c>
      <c r="N16" s="186" t="str">
        <f t="shared" si="0"/>
        <v>SI</v>
      </c>
      <c r="O16" s="84" t="s">
        <v>164</v>
      </c>
      <c r="P16" s="84" t="s">
        <v>174</v>
      </c>
      <c r="Q16" s="86" t="s">
        <v>175</v>
      </c>
      <c r="R16" s="87">
        <v>42298</v>
      </c>
      <c r="S16" s="84" t="s">
        <v>176</v>
      </c>
      <c r="T16" s="144">
        <v>2500</v>
      </c>
      <c r="U16" s="144">
        <f>11377.7+2040+3500</f>
        <v>16917.7</v>
      </c>
      <c r="V16" s="89"/>
      <c r="W16" s="89"/>
      <c r="X16" s="90">
        <v>45.13</v>
      </c>
      <c r="Y16" s="94">
        <f t="shared" si="9"/>
        <v>16872.57</v>
      </c>
      <c r="Z16" s="100"/>
      <c r="AA16" s="134"/>
      <c r="AB16" s="91"/>
      <c r="AC16" s="91"/>
      <c r="AD16" s="91"/>
      <c r="AE16" s="92"/>
      <c r="AF16" s="93">
        <v>0</v>
      </c>
      <c r="AG16" s="93"/>
      <c r="AH16" s="94">
        <f>+Y16-SUM(Z16:AF16)</f>
        <v>16872.57</v>
      </c>
      <c r="AI16" s="95">
        <f>IF(Y16&gt;4500,Y16*0.1,0)</f>
        <v>1687.2570000000001</v>
      </c>
      <c r="AJ16" s="94">
        <f>+AH16-AI16</f>
        <v>15185.313</v>
      </c>
      <c r="AK16" s="96">
        <f>IF(Y16&lt;4500,Y16*0.1,0)</f>
        <v>0</v>
      </c>
      <c r="AL16" s="95" t="e">
        <f>+'[1]C&amp;A'!X15*0.02</f>
        <v>#REF!</v>
      </c>
      <c r="AM16" s="94" t="e">
        <f>+Y16+AK16+AL16</f>
        <v>#REF!</v>
      </c>
      <c r="AN16" s="97"/>
      <c r="AO16" s="102"/>
      <c r="AP16" s="99">
        <f>+AN16+AO16-AJ16</f>
        <v>-15185.313</v>
      </c>
      <c r="AQ16" s="99"/>
      <c r="AR16" s="101"/>
      <c r="AS16" s="48">
        <f t="shared" si="10"/>
        <v>166.66666666666666</v>
      </c>
      <c r="AT16" s="48">
        <f t="shared" si="11"/>
        <v>-3.3333333333587234E-3</v>
      </c>
      <c r="AU16" s="235" t="b">
        <f t="shared" si="12"/>
        <v>1</v>
      </c>
      <c r="AV16" s="236" t="s">
        <v>28</v>
      </c>
      <c r="AW16" s="235" t="s">
        <v>29</v>
      </c>
      <c r="AX16" s="239">
        <v>2500.0500000000002</v>
      </c>
      <c r="AY16" s="235">
        <f t="shared" si="13"/>
        <v>166.67000000000002</v>
      </c>
    </row>
    <row r="17" spans="1:51">
      <c r="A17" s="2" t="s">
        <v>30</v>
      </c>
      <c r="B17" s="1" t="s">
        <v>31</v>
      </c>
      <c r="C17" s="178">
        <f>+FISCAL!I17</f>
        <v>7500</v>
      </c>
      <c r="D17" s="178">
        <f t="shared" si="1"/>
        <v>7500</v>
      </c>
      <c r="E17" s="184"/>
      <c r="F17" s="178">
        <f t="shared" si="2"/>
        <v>7500</v>
      </c>
      <c r="G17" s="178">
        <f t="shared" si="3"/>
        <v>-45.13</v>
      </c>
      <c r="H17" s="178">
        <f t="shared" si="4"/>
        <v>150</v>
      </c>
      <c r="I17" s="178">
        <f t="shared" si="5"/>
        <v>562.5</v>
      </c>
      <c r="J17" s="178">
        <f t="shared" si="6"/>
        <v>8167.37</v>
      </c>
      <c r="K17" s="178">
        <f t="shared" si="7"/>
        <v>1306.7791999999999</v>
      </c>
      <c r="L17" s="178">
        <f t="shared" si="8"/>
        <v>9474.1491999999998</v>
      </c>
      <c r="N17" s="186" t="str">
        <f t="shared" si="0"/>
        <v>SI</v>
      </c>
      <c r="O17" s="84" t="s">
        <v>164</v>
      </c>
      <c r="P17" s="148" t="s">
        <v>177</v>
      </c>
      <c r="Q17" s="86" t="s">
        <v>178</v>
      </c>
      <c r="R17" s="87">
        <v>41939</v>
      </c>
      <c r="S17" s="84" t="s">
        <v>179</v>
      </c>
      <c r="T17" s="144">
        <f>6500+1000</f>
        <v>7500</v>
      </c>
      <c r="U17" s="144">
        <v>0</v>
      </c>
      <c r="V17" s="89"/>
      <c r="W17" s="89"/>
      <c r="X17" s="90">
        <v>45.13</v>
      </c>
      <c r="Y17" s="94">
        <f t="shared" si="9"/>
        <v>-45.13</v>
      </c>
      <c r="Z17" s="100"/>
      <c r="AA17" s="134"/>
      <c r="AB17" s="91"/>
      <c r="AC17" s="91"/>
      <c r="AD17" s="91"/>
      <c r="AE17" s="92"/>
      <c r="AF17" s="93">
        <v>0</v>
      </c>
      <c r="AG17" s="93"/>
      <c r="AH17" s="94">
        <f t="shared" ref="AH17:AH76" si="14">+Y17-SUM(Z17:AF17)</f>
        <v>-45.13</v>
      </c>
      <c r="AI17" s="95"/>
      <c r="AJ17" s="94">
        <f t="shared" ref="AJ17:AJ76" si="15">+AH17-AI17</f>
        <v>-45.13</v>
      </c>
      <c r="AK17" s="96"/>
      <c r="AL17" s="95"/>
      <c r="AM17" s="94"/>
      <c r="AN17" s="97"/>
      <c r="AO17" s="102"/>
      <c r="AP17" s="99"/>
      <c r="AQ17" s="99"/>
      <c r="AR17" s="101"/>
      <c r="AS17" s="234">
        <f t="shared" si="10"/>
        <v>500</v>
      </c>
      <c r="AT17" s="48">
        <f t="shared" si="11"/>
        <v>66.659999999999968</v>
      </c>
      <c r="AU17" s="235" t="b">
        <f t="shared" si="12"/>
        <v>1</v>
      </c>
      <c r="AV17" s="236" t="s">
        <v>30</v>
      </c>
      <c r="AW17" s="235" t="s">
        <v>31</v>
      </c>
      <c r="AX17" s="239">
        <v>6500.1</v>
      </c>
      <c r="AY17" s="235">
        <f t="shared" si="13"/>
        <v>433.34000000000003</v>
      </c>
    </row>
    <row r="18" spans="1:51">
      <c r="A18" s="2" t="s">
        <v>32</v>
      </c>
      <c r="B18" s="1" t="s">
        <v>33</v>
      </c>
      <c r="C18" s="178">
        <f>+FISCAL!I18</f>
        <v>2800.05</v>
      </c>
      <c r="D18" s="178">
        <f t="shared" si="1"/>
        <v>2800.05</v>
      </c>
      <c r="E18" s="184"/>
      <c r="F18" s="178">
        <f t="shared" si="2"/>
        <v>2800.05</v>
      </c>
      <c r="G18" s="178">
        <f t="shared" si="3"/>
        <v>-45.13</v>
      </c>
      <c r="H18" s="178">
        <f t="shared" si="4"/>
        <v>56.001000000000005</v>
      </c>
      <c r="I18" s="178">
        <f t="shared" si="5"/>
        <v>210.00375</v>
      </c>
      <c r="J18" s="178">
        <f t="shared" si="6"/>
        <v>3020.9247500000001</v>
      </c>
      <c r="K18" s="178">
        <f t="shared" si="7"/>
        <v>483.34796000000006</v>
      </c>
      <c r="L18" s="178">
        <f t="shared" si="8"/>
        <v>3504.2727100000002</v>
      </c>
      <c r="N18" s="186" t="str">
        <f t="shared" si="0"/>
        <v>SI</v>
      </c>
      <c r="O18" s="84" t="s">
        <v>166</v>
      </c>
      <c r="P18" s="84" t="s">
        <v>180</v>
      </c>
      <c r="Q18" s="86" t="s">
        <v>181</v>
      </c>
      <c r="R18" s="87">
        <v>41822</v>
      </c>
      <c r="S18" s="84" t="s">
        <v>182</v>
      </c>
      <c r="T18" s="144">
        <v>2800</v>
      </c>
      <c r="U18" s="144">
        <v>0</v>
      </c>
      <c r="V18" s="89"/>
      <c r="W18" s="89"/>
      <c r="X18" s="90">
        <v>45.13</v>
      </c>
      <c r="Y18" s="94">
        <f t="shared" si="9"/>
        <v>-45.13</v>
      </c>
      <c r="Z18" s="100"/>
      <c r="AA18" s="134"/>
      <c r="AB18" s="91"/>
      <c r="AC18" s="91"/>
      <c r="AD18" s="91"/>
      <c r="AE18" s="92"/>
      <c r="AF18" s="93">
        <v>0</v>
      </c>
      <c r="AG18" s="93"/>
      <c r="AH18" s="94">
        <f t="shared" si="14"/>
        <v>-45.13</v>
      </c>
      <c r="AI18" s="95">
        <f>IF(Y18&gt;4500,Y18*0.1,0)</f>
        <v>0</v>
      </c>
      <c r="AJ18" s="94">
        <f t="shared" si="15"/>
        <v>-45.13</v>
      </c>
      <c r="AK18" s="96">
        <f>IF(Y18&lt;4500,Y18*0.1,0)</f>
        <v>-4.5130000000000008</v>
      </c>
      <c r="AL18" s="95" t="e">
        <f>+'[1]C&amp;A'!X17*0.02</f>
        <v>#REF!</v>
      </c>
      <c r="AM18" s="94" t="e">
        <f>+Y18+AK18+AL18</f>
        <v>#REF!</v>
      </c>
      <c r="AN18" s="97"/>
      <c r="AO18" s="98"/>
      <c r="AP18" s="99">
        <f>+AN18+AO18-AJ18</f>
        <v>45.13</v>
      </c>
      <c r="AQ18" s="99"/>
      <c r="AR18" s="101"/>
      <c r="AS18" s="48">
        <f t="shared" si="10"/>
        <v>186.66666666666666</v>
      </c>
      <c r="AT18" s="48">
        <f t="shared" si="11"/>
        <v>-3.3333333333587234E-3</v>
      </c>
      <c r="AU18" s="235" t="b">
        <f t="shared" si="12"/>
        <v>1</v>
      </c>
      <c r="AV18" s="236" t="s">
        <v>32</v>
      </c>
      <c r="AW18" s="235" t="s">
        <v>33</v>
      </c>
      <c r="AX18" s="239">
        <v>2800.05</v>
      </c>
      <c r="AY18" s="235">
        <f t="shared" si="13"/>
        <v>186.67000000000002</v>
      </c>
    </row>
    <row r="19" spans="1:51">
      <c r="A19" s="2" t="s">
        <v>34</v>
      </c>
      <c r="B19" s="1" t="s">
        <v>35</v>
      </c>
      <c r="C19" s="178">
        <f>+FISCAL!I19</f>
        <v>0</v>
      </c>
      <c r="D19" s="178">
        <f t="shared" si="1"/>
        <v>0</v>
      </c>
      <c r="E19" s="184"/>
      <c r="F19" s="178">
        <f t="shared" si="2"/>
        <v>0</v>
      </c>
      <c r="G19" s="178">
        <f t="shared" si="3"/>
        <v>0</v>
      </c>
      <c r="H19" s="178">
        <f t="shared" si="4"/>
        <v>0</v>
      </c>
      <c r="I19" s="178">
        <f t="shared" si="5"/>
        <v>0</v>
      </c>
      <c r="J19" s="178">
        <f t="shared" si="6"/>
        <v>0</v>
      </c>
      <c r="K19" s="178">
        <f t="shared" si="7"/>
        <v>0</v>
      </c>
      <c r="L19" s="178">
        <f t="shared" si="8"/>
        <v>0</v>
      </c>
      <c r="M19" s="43" t="s">
        <v>358</v>
      </c>
      <c r="N19" s="186" t="str">
        <f t="shared" si="0"/>
        <v>SI</v>
      </c>
      <c r="O19" s="207" t="s">
        <v>166</v>
      </c>
      <c r="P19" s="207" t="s">
        <v>183</v>
      </c>
      <c r="Q19" s="208"/>
      <c r="R19" s="209">
        <v>42611</v>
      </c>
      <c r="S19" s="207" t="s">
        <v>184</v>
      </c>
      <c r="T19" s="210"/>
      <c r="U19" s="210"/>
      <c r="V19" s="211"/>
      <c r="W19" s="211"/>
      <c r="X19" s="212"/>
      <c r="Y19" s="213">
        <f t="shared" si="9"/>
        <v>0</v>
      </c>
      <c r="Z19" s="211"/>
      <c r="AA19" s="214"/>
      <c r="AB19" s="215"/>
      <c r="AC19" s="215"/>
      <c r="AD19" s="215"/>
      <c r="AE19" s="216"/>
      <c r="AF19" s="217">
        <v>0</v>
      </c>
      <c r="AG19" s="217"/>
      <c r="AH19" s="213">
        <f t="shared" si="14"/>
        <v>0</v>
      </c>
      <c r="AI19" s="215">
        <f>IF(Y19&gt;4500,Y19*0.1,0)</f>
        <v>0</v>
      </c>
      <c r="AJ19" s="213">
        <f t="shared" si="15"/>
        <v>0</v>
      </c>
      <c r="AK19" s="215"/>
      <c r="AL19" s="215"/>
      <c r="AM19" s="213"/>
      <c r="AN19" s="218"/>
      <c r="AO19" s="219"/>
      <c r="AP19" s="220"/>
      <c r="AQ19" s="220" t="s">
        <v>185</v>
      </c>
      <c r="AR19" s="221" t="s">
        <v>348</v>
      </c>
      <c r="AS19" s="241" t="s">
        <v>358</v>
      </c>
      <c r="AT19" s="48" t="e">
        <f t="shared" si="11"/>
        <v>#VALUE!</v>
      </c>
      <c r="AU19" s="235" t="b">
        <f t="shared" si="12"/>
        <v>1</v>
      </c>
      <c r="AV19" s="236" t="s">
        <v>34</v>
      </c>
      <c r="AW19" s="235" t="s">
        <v>35</v>
      </c>
      <c r="AX19" s="239">
        <v>3499.95</v>
      </c>
      <c r="AY19" s="235">
        <f t="shared" si="13"/>
        <v>233.32999999999998</v>
      </c>
    </row>
    <row r="20" spans="1:51">
      <c r="A20" s="2" t="s">
        <v>36</v>
      </c>
      <c r="B20" s="1" t="s">
        <v>37</v>
      </c>
      <c r="C20" s="178">
        <f>+FISCAL!I20</f>
        <v>1680.03</v>
      </c>
      <c r="D20" s="178">
        <f t="shared" si="1"/>
        <v>1680.03</v>
      </c>
      <c r="E20" s="184"/>
      <c r="F20" s="178">
        <f t="shared" si="2"/>
        <v>1680.03</v>
      </c>
      <c r="G20" s="178">
        <v>0</v>
      </c>
      <c r="H20" s="178">
        <f t="shared" si="4"/>
        <v>33.6006</v>
      </c>
      <c r="I20" s="178">
        <f t="shared" si="5"/>
        <v>126.00224999999999</v>
      </c>
      <c r="J20" s="178">
        <f t="shared" si="6"/>
        <v>1839.63285</v>
      </c>
      <c r="K20" s="178">
        <f t="shared" si="7"/>
        <v>294.34125599999999</v>
      </c>
      <c r="L20" s="178">
        <f t="shared" si="8"/>
        <v>2133.9741060000001</v>
      </c>
      <c r="M20" s="231" t="s">
        <v>342</v>
      </c>
      <c r="N20" s="186" t="str">
        <f t="shared" si="0"/>
        <v>SI</v>
      </c>
      <c r="O20" s="85" t="s">
        <v>166</v>
      </c>
      <c r="P20" s="85" t="s">
        <v>186</v>
      </c>
      <c r="Q20" s="152" t="s">
        <v>187</v>
      </c>
      <c r="R20" s="222">
        <v>41474</v>
      </c>
      <c r="S20" s="85" t="s">
        <v>182</v>
      </c>
      <c r="T20" s="153">
        <v>2800</v>
      </c>
      <c r="U20" s="153">
        <v>0</v>
      </c>
      <c r="V20" s="154"/>
      <c r="W20" s="154"/>
      <c r="X20" s="159">
        <v>45.13</v>
      </c>
      <c r="Y20" s="160">
        <f t="shared" si="9"/>
        <v>-45.13</v>
      </c>
      <c r="Z20" s="154"/>
      <c r="AA20" s="157"/>
      <c r="AB20" s="155"/>
      <c r="AC20" s="155"/>
      <c r="AD20" s="155"/>
      <c r="AE20" s="161"/>
      <c r="AF20" s="156">
        <v>0</v>
      </c>
      <c r="AG20" s="156"/>
      <c r="AH20" s="160">
        <f t="shared" si="14"/>
        <v>-45.13</v>
      </c>
      <c r="AI20" s="155">
        <f>IF(Y20&gt;4500,Y20*0.1,0)</f>
        <v>0</v>
      </c>
      <c r="AJ20" s="160">
        <f t="shared" si="15"/>
        <v>-45.13</v>
      </c>
      <c r="AK20" s="155">
        <f>IF(Y20&lt;4500,Y20*0.1,0)</f>
        <v>-4.5130000000000008</v>
      </c>
      <c r="AL20" s="155" t="e">
        <f>+'[1]C&amp;A'!X18*0.02</f>
        <v>#REF!</v>
      </c>
      <c r="AM20" s="160" t="e">
        <f>+Y20+AK20+AL20</f>
        <v>#REF!</v>
      </c>
      <c r="AN20" s="162"/>
      <c r="AO20" s="163"/>
      <c r="AP20" s="164">
        <f>+AN20+AO20-AJ20</f>
        <v>45.13</v>
      </c>
      <c r="AQ20" s="164"/>
      <c r="AR20" s="198" t="s">
        <v>349</v>
      </c>
      <c r="AS20" s="48">
        <f t="shared" si="10"/>
        <v>186.66666666666666</v>
      </c>
      <c r="AT20" s="48">
        <f t="shared" si="11"/>
        <v>-3.3333333333587234E-3</v>
      </c>
      <c r="AU20" s="235" t="b">
        <f t="shared" si="12"/>
        <v>1</v>
      </c>
      <c r="AV20" s="236" t="s">
        <v>36</v>
      </c>
      <c r="AW20" s="235" t="s">
        <v>37</v>
      </c>
      <c r="AX20" s="239">
        <v>2800.05</v>
      </c>
      <c r="AY20" s="235">
        <f t="shared" si="13"/>
        <v>186.67000000000002</v>
      </c>
    </row>
    <row r="21" spans="1:51" ht="16.5" customHeight="1">
      <c r="A21" s="2" t="s">
        <v>38</v>
      </c>
      <c r="B21" s="1" t="s">
        <v>39</v>
      </c>
      <c r="C21" s="178">
        <f>+FISCAL!I21</f>
        <v>52982.479999999996</v>
      </c>
      <c r="D21" s="178">
        <f t="shared" si="1"/>
        <v>52982.479999999996</v>
      </c>
      <c r="E21" s="184"/>
      <c r="F21" s="178">
        <f t="shared" si="2"/>
        <v>52982.479999999996</v>
      </c>
      <c r="G21" s="178">
        <f t="shared" si="3"/>
        <v>-45.13</v>
      </c>
      <c r="H21" s="178">
        <f t="shared" si="4"/>
        <v>1059.6496</v>
      </c>
      <c r="I21" s="178">
        <f t="shared" si="5"/>
        <v>3973.6859999999997</v>
      </c>
      <c r="J21" s="178">
        <f t="shared" si="6"/>
        <v>57970.685599999997</v>
      </c>
      <c r="K21" s="178">
        <f t="shared" si="7"/>
        <v>9275.3096960000003</v>
      </c>
      <c r="L21" s="178">
        <f t="shared" si="8"/>
        <v>67245.995295999994</v>
      </c>
      <c r="N21" s="186" t="str">
        <f t="shared" si="0"/>
        <v>SI</v>
      </c>
      <c r="O21" s="84" t="s">
        <v>188</v>
      </c>
      <c r="P21" s="101" t="s">
        <v>189</v>
      </c>
      <c r="Q21" s="86"/>
      <c r="R21" s="87">
        <v>42583</v>
      </c>
      <c r="S21" s="84" t="s">
        <v>190</v>
      </c>
      <c r="T21" s="144">
        <v>10000</v>
      </c>
      <c r="U21" s="144">
        <v>42982.43</v>
      </c>
      <c r="V21" s="89"/>
      <c r="W21" s="89"/>
      <c r="X21" s="90">
        <v>45.13</v>
      </c>
      <c r="Y21" s="94">
        <f t="shared" si="9"/>
        <v>42937.3</v>
      </c>
      <c r="Z21" s="100"/>
      <c r="AA21" s="134"/>
      <c r="AB21" s="91"/>
      <c r="AC21" s="91"/>
      <c r="AD21" s="91"/>
      <c r="AE21" s="92"/>
      <c r="AF21" s="93">
        <v>4060.94</v>
      </c>
      <c r="AG21" s="93"/>
      <c r="AH21" s="94">
        <f t="shared" si="14"/>
        <v>38876.36</v>
      </c>
      <c r="AI21" s="95"/>
      <c r="AJ21" s="94">
        <f t="shared" si="15"/>
        <v>38876.36</v>
      </c>
      <c r="AK21" s="96"/>
      <c r="AL21" s="95"/>
      <c r="AM21" s="94"/>
      <c r="AN21" s="97"/>
      <c r="AO21" s="98"/>
      <c r="AP21" s="99"/>
      <c r="AQ21" s="99"/>
      <c r="AR21" s="103"/>
      <c r="AS21" s="48">
        <f t="shared" si="10"/>
        <v>666.66666666666663</v>
      </c>
      <c r="AT21" s="48">
        <f t="shared" si="11"/>
        <v>-3.3333333333303017E-3</v>
      </c>
      <c r="AU21" s="235" t="b">
        <f t="shared" si="12"/>
        <v>1</v>
      </c>
      <c r="AV21" s="236" t="s">
        <v>38</v>
      </c>
      <c r="AW21" s="235" t="s">
        <v>39</v>
      </c>
      <c r="AX21" s="239">
        <v>10000.049999999999</v>
      </c>
      <c r="AY21" s="235">
        <f t="shared" si="13"/>
        <v>666.67</v>
      </c>
    </row>
    <row r="22" spans="1:51">
      <c r="A22" s="2" t="s">
        <v>40</v>
      </c>
      <c r="B22" s="1" t="s">
        <v>41</v>
      </c>
      <c r="C22" s="178">
        <f>+FISCAL!I22</f>
        <v>4550.04</v>
      </c>
      <c r="D22" s="178">
        <f t="shared" si="1"/>
        <v>4550.04</v>
      </c>
      <c r="E22" s="184"/>
      <c r="F22" s="178">
        <f t="shared" si="2"/>
        <v>4550.04</v>
      </c>
      <c r="G22" s="178">
        <f t="shared" si="3"/>
        <v>-45.13</v>
      </c>
      <c r="H22" s="178">
        <f t="shared" si="4"/>
        <v>91.000799999999998</v>
      </c>
      <c r="I22" s="178">
        <f t="shared" si="5"/>
        <v>341.25299999999999</v>
      </c>
      <c r="J22" s="178">
        <f t="shared" si="6"/>
        <v>4937.1637999999994</v>
      </c>
      <c r="K22" s="178">
        <f t="shared" si="7"/>
        <v>789.94620799999996</v>
      </c>
      <c r="L22" s="178">
        <f t="shared" si="8"/>
        <v>5727.1100079999997</v>
      </c>
      <c r="N22" s="186" t="str">
        <f t="shared" si="0"/>
        <v>SI</v>
      </c>
      <c r="O22" s="84" t="s">
        <v>164</v>
      </c>
      <c r="P22" s="101" t="s">
        <v>191</v>
      </c>
      <c r="Q22" s="86"/>
      <c r="R22" s="87">
        <v>42608</v>
      </c>
      <c r="S22" s="84" t="s">
        <v>167</v>
      </c>
      <c r="T22" s="144">
        <v>3250</v>
      </c>
      <c r="U22" s="144">
        <v>1299.99</v>
      </c>
      <c r="V22" s="89"/>
      <c r="W22" s="89"/>
      <c r="X22" s="90">
        <v>45.13</v>
      </c>
      <c r="Y22" s="94">
        <f t="shared" si="9"/>
        <v>1254.8599999999999</v>
      </c>
      <c r="Z22" s="100"/>
      <c r="AA22" s="134"/>
      <c r="AB22" s="91"/>
      <c r="AC22" s="91"/>
      <c r="AD22" s="91"/>
      <c r="AE22" s="92"/>
      <c r="AF22" s="93">
        <v>0</v>
      </c>
      <c r="AG22" s="93"/>
      <c r="AH22" s="94">
        <f t="shared" si="14"/>
        <v>1254.8599999999999</v>
      </c>
      <c r="AI22" s="95"/>
      <c r="AJ22" s="94">
        <f t="shared" si="15"/>
        <v>1254.8599999999999</v>
      </c>
      <c r="AK22" s="96"/>
      <c r="AL22" s="95"/>
      <c r="AM22" s="94"/>
      <c r="AN22" s="97"/>
      <c r="AO22" s="98"/>
      <c r="AP22" s="99"/>
      <c r="AQ22" s="99"/>
      <c r="AR22" s="104" t="s">
        <v>350</v>
      </c>
      <c r="AS22" s="48">
        <f t="shared" si="10"/>
        <v>216.66666666666666</v>
      </c>
      <c r="AT22" s="48">
        <f t="shared" si="11"/>
        <v>-3.3333333333587234E-3</v>
      </c>
      <c r="AU22" s="235" t="b">
        <f t="shared" si="12"/>
        <v>1</v>
      </c>
      <c r="AV22" s="236" t="s">
        <v>40</v>
      </c>
      <c r="AW22" s="235" t="s">
        <v>41</v>
      </c>
      <c r="AX22" s="239">
        <v>3250.05</v>
      </c>
      <c r="AY22" s="235">
        <f t="shared" si="13"/>
        <v>216.67000000000002</v>
      </c>
    </row>
    <row r="23" spans="1:51" s="25" customFormat="1">
      <c r="A23" s="2" t="s">
        <v>42</v>
      </c>
      <c r="B23" s="1" t="s">
        <v>43</v>
      </c>
      <c r="C23" s="178">
        <f>+FISCAL!I23</f>
        <v>4550.04</v>
      </c>
      <c r="D23" s="178">
        <f t="shared" si="1"/>
        <v>4550.04</v>
      </c>
      <c r="E23" s="184"/>
      <c r="F23" s="178">
        <f t="shared" si="2"/>
        <v>4550.04</v>
      </c>
      <c r="G23" s="178">
        <f t="shared" si="3"/>
        <v>-45.13</v>
      </c>
      <c r="H23" s="178">
        <f t="shared" si="4"/>
        <v>91.000799999999998</v>
      </c>
      <c r="I23" s="178">
        <f t="shared" si="5"/>
        <v>341.25299999999999</v>
      </c>
      <c r="J23" s="178">
        <f t="shared" si="6"/>
        <v>4937.1637999999994</v>
      </c>
      <c r="K23" s="178">
        <f t="shared" si="7"/>
        <v>789.94620799999996</v>
      </c>
      <c r="L23" s="178">
        <f t="shared" si="8"/>
        <v>5727.1100079999997</v>
      </c>
      <c r="M23" s="244"/>
      <c r="N23" s="186" t="str">
        <f t="shared" si="0"/>
        <v>SI</v>
      </c>
      <c r="O23" s="84" t="s">
        <v>164</v>
      </c>
      <c r="P23" s="101" t="s">
        <v>192</v>
      </c>
      <c r="Q23" s="86"/>
      <c r="R23" s="87">
        <v>42552</v>
      </c>
      <c r="S23" s="84" t="s">
        <v>167</v>
      </c>
      <c r="T23" s="144">
        <v>3250</v>
      </c>
      <c r="U23" s="144">
        <v>1299.99</v>
      </c>
      <c r="V23" s="89"/>
      <c r="W23" s="89"/>
      <c r="X23" s="90">
        <v>45.13</v>
      </c>
      <c r="Y23" s="94">
        <f t="shared" si="9"/>
        <v>1254.8599999999999</v>
      </c>
      <c r="Z23" s="100"/>
      <c r="AA23" s="134"/>
      <c r="AB23" s="91"/>
      <c r="AC23" s="91"/>
      <c r="AD23" s="91"/>
      <c r="AE23" s="92"/>
      <c r="AF23" s="93">
        <v>870</v>
      </c>
      <c r="AG23" s="93"/>
      <c r="AH23" s="94">
        <f t="shared" si="14"/>
        <v>384.8599999999999</v>
      </c>
      <c r="AI23" s="95">
        <f t="shared" ref="AI23:AI48" si="16">IF(Y23&gt;4500,Y23*0.1,0)</f>
        <v>0</v>
      </c>
      <c r="AJ23" s="94">
        <f t="shared" si="15"/>
        <v>384.8599999999999</v>
      </c>
      <c r="AK23" s="96">
        <f t="shared" ref="AK23:AK48" si="17">IF(Y23&lt;4500,Y23*0.1,0)</f>
        <v>125.48599999999999</v>
      </c>
      <c r="AL23" s="95" t="e">
        <f>+'[1]C&amp;A'!X19*0.02</f>
        <v>#REF!</v>
      </c>
      <c r="AM23" s="94" t="e">
        <f>+Y23+AK23+AL23</f>
        <v>#REF!</v>
      </c>
      <c r="AN23" s="97"/>
      <c r="AO23" s="98"/>
      <c r="AP23" s="99"/>
      <c r="AQ23" s="99"/>
      <c r="AR23" s="103" t="s">
        <v>350</v>
      </c>
      <c r="AS23" s="48">
        <f t="shared" si="10"/>
        <v>216.66666666666666</v>
      </c>
      <c r="AT23" s="48">
        <f t="shared" si="11"/>
        <v>-3.3333333333587234E-3</v>
      </c>
      <c r="AU23" s="235" t="b">
        <f t="shared" si="12"/>
        <v>1</v>
      </c>
      <c r="AV23" s="236" t="s">
        <v>42</v>
      </c>
      <c r="AW23" s="235" t="s">
        <v>43</v>
      </c>
      <c r="AX23" s="239">
        <v>3250.05</v>
      </c>
      <c r="AY23" s="235">
        <f t="shared" si="13"/>
        <v>216.67000000000002</v>
      </c>
    </row>
    <row r="24" spans="1:51" s="43" customFormat="1">
      <c r="A24" s="42" t="s">
        <v>44</v>
      </c>
      <c r="B24" s="43" t="s">
        <v>45</v>
      </c>
      <c r="C24" s="178">
        <f>+FISCAL!I24</f>
        <v>209643.29</v>
      </c>
      <c r="D24" s="178">
        <f t="shared" si="1"/>
        <v>209643.29</v>
      </c>
      <c r="E24" s="185"/>
      <c r="F24" s="178">
        <f t="shared" si="2"/>
        <v>209643.29</v>
      </c>
      <c r="G24" s="178">
        <f t="shared" si="3"/>
        <v>-45.13</v>
      </c>
      <c r="H24" s="178">
        <f t="shared" si="4"/>
        <v>4192.8658000000005</v>
      </c>
      <c r="I24" s="178">
        <f t="shared" si="5"/>
        <v>15723.24675</v>
      </c>
      <c r="J24" s="178">
        <f t="shared" si="6"/>
        <v>229514.27254999999</v>
      </c>
      <c r="K24" s="178">
        <f t="shared" si="7"/>
        <v>36722.283607999998</v>
      </c>
      <c r="L24" s="178">
        <f t="shared" si="8"/>
        <v>266236.55615800002</v>
      </c>
      <c r="M24" s="244"/>
      <c r="N24" s="186" t="str">
        <f t="shared" si="0"/>
        <v>SI</v>
      </c>
      <c r="O24" s="84" t="s">
        <v>188</v>
      </c>
      <c r="P24" s="101" t="s">
        <v>193</v>
      </c>
      <c r="Q24" s="86"/>
      <c r="R24" s="87">
        <v>38873</v>
      </c>
      <c r="S24" s="150" t="s">
        <v>194</v>
      </c>
      <c r="T24" s="223">
        <v>15000</v>
      </c>
      <c r="U24" s="144">
        <f>158043.29+36600</f>
        <v>194643.29</v>
      </c>
      <c r="V24" s="89"/>
      <c r="W24" s="89"/>
      <c r="X24" s="90">
        <v>45.13</v>
      </c>
      <c r="Y24" s="94">
        <f t="shared" si="9"/>
        <v>194598.16</v>
      </c>
      <c r="Z24" s="100"/>
      <c r="AA24" s="134"/>
      <c r="AB24" s="91"/>
      <c r="AC24" s="91"/>
      <c r="AD24" s="91"/>
      <c r="AE24" s="92"/>
      <c r="AF24" s="93">
        <v>342</v>
      </c>
      <c r="AG24" s="93"/>
      <c r="AH24" s="94">
        <f t="shared" si="14"/>
        <v>194256.16</v>
      </c>
      <c r="AI24" s="95">
        <f t="shared" si="16"/>
        <v>19459.816000000003</v>
      </c>
      <c r="AJ24" s="94">
        <f t="shared" si="15"/>
        <v>174796.34400000001</v>
      </c>
      <c r="AK24" s="96">
        <f t="shared" si="17"/>
        <v>0</v>
      </c>
      <c r="AL24" s="95"/>
      <c r="AM24" s="94"/>
      <c r="AN24" s="97"/>
      <c r="AO24" s="98"/>
      <c r="AP24" s="99"/>
      <c r="AQ24" s="99"/>
      <c r="AR24" s="103"/>
      <c r="AS24" s="48">
        <f t="shared" si="10"/>
        <v>1000</v>
      </c>
      <c r="AT24" s="48">
        <f t="shared" si="11"/>
        <v>0</v>
      </c>
      <c r="AU24" s="235" t="b">
        <f t="shared" si="12"/>
        <v>1</v>
      </c>
      <c r="AV24" s="236" t="s">
        <v>44</v>
      </c>
      <c r="AW24" s="235" t="s">
        <v>45</v>
      </c>
      <c r="AX24" s="239">
        <v>15000</v>
      </c>
      <c r="AY24" s="235">
        <f t="shared" si="13"/>
        <v>1000</v>
      </c>
    </row>
    <row r="25" spans="1:51" s="43" customFormat="1">
      <c r="A25" s="58"/>
      <c r="B25" s="65" t="s">
        <v>299</v>
      </c>
      <c r="C25" s="178">
        <f>+FISCAL!I25</f>
        <v>6460.05</v>
      </c>
      <c r="D25" s="178">
        <f t="shared" si="1"/>
        <v>6460.05</v>
      </c>
      <c r="E25" s="180"/>
      <c r="F25" s="178">
        <f t="shared" si="2"/>
        <v>6460.05</v>
      </c>
      <c r="G25" s="178">
        <f t="shared" si="3"/>
        <v>-45.13</v>
      </c>
      <c r="H25" s="178">
        <f t="shared" si="4"/>
        <v>129.20099999999999</v>
      </c>
      <c r="I25" s="178">
        <f t="shared" si="5"/>
        <v>484.50374999999997</v>
      </c>
      <c r="J25" s="178">
        <f t="shared" si="6"/>
        <v>7028.6247499999999</v>
      </c>
      <c r="K25" s="178">
        <f t="shared" si="7"/>
        <v>1124.57996</v>
      </c>
      <c r="L25" s="178">
        <f t="shared" si="8"/>
        <v>8153.20471</v>
      </c>
      <c r="M25" s="244"/>
      <c r="N25" s="186" t="str">
        <f t="shared" si="0"/>
        <v>SI</v>
      </c>
      <c r="O25" s="84" t="s">
        <v>188</v>
      </c>
      <c r="P25" s="101" t="s">
        <v>299</v>
      </c>
      <c r="Q25" s="86"/>
      <c r="R25" s="87">
        <v>42686</v>
      </c>
      <c r="S25" s="150" t="s">
        <v>222</v>
      </c>
      <c r="T25" s="223">
        <v>2500</v>
      </c>
      <c r="U25" s="144">
        <v>3960</v>
      </c>
      <c r="V25" s="89"/>
      <c r="W25" s="89"/>
      <c r="X25" s="90">
        <v>45.13</v>
      </c>
      <c r="Y25" s="94">
        <f t="shared" si="9"/>
        <v>3914.87</v>
      </c>
      <c r="Z25" s="100"/>
      <c r="AA25" s="134"/>
      <c r="AB25" s="91"/>
      <c r="AC25" s="91"/>
      <c r="AD25" s="91"/>
      <c r="AE25" s="92"/>
      <c r="AF25" s="93"/>
      <c r="AG25" s="93"/>
      <c r="AH25" s="94">
        <f t="shared" si="14"/>
        <v>3914.87</v>
      </c>
      <c r="AI25" s="95">
        <f t="shared" si="16"/>
        <v>0</v>
      </c>
      <c r="AJ25" s="94">
        <f t="shared" si="15"/>
        <v>3914.87</v>
      </c>
      <c r="AK25" s="96"/>
      <c r="AL25" s="95"/>
      <c r="AM25" s="94"/>
      <c r="AN25" s="97"/>
      <c r="AO25" s="98"/>
      <c r="AP25" s="99"/>
      <c r="AQ25" s="99" t="s">
        <v>300</v>
      </c>
      <c r="AR25" s="103"/>
      <c r="AS25" s="48">
        <f t="shared" si="10"/>
        <v>166.66666666666666</v>
      </c>
      <c r="AT25" s="48">
        <f t="shared" si="11"/>
        <v>-3.3333333333587234E-3</v>
      </c>
      <c r="AU25" s="235" t="b">
        <f t="shared" si="12"/>
        <v>1</v>
      </c>
      <c r="AV25" s="236" t="s">
        <v>324</v>
      </c>
      <c r="AW25" s="235" t="s">
        <v>325</v>
      </c>
      <c r="AX25" s="239">
        <v>2500.0500000000002</v>
      </c>
      <c r="AY25" s="235">
        <f t="shared" si="13"/>
        <v>166.67000000000002</v>
      </c>
    </row>
    <row r="26" spans="1:51">
      <c r="A26" s="58"/>
      <c r="B26" s="65" t="s">
        <v>301</v>
      </c>
      <c r="C26" s="178">
        <f>+FISCAL!I26</f>
        <v>6460.05</v>
      </c>
      <c r="D26" s="178">
        <f t="shared" si="1"/>
        <v>6460.05</v>
      </c>
      <c r="E26" s="180"/>
      <c r="F26" s="178">
        <f t="shared" si="2"/>
        <v>6460.05</v>
      </c>
      <c r="G26" s="178">
        <f t="shared" si="3"/>
        <v>-45.13</v>
      </c>
      <c r="H26" s="178">
        <f t="shared" si="4"/>
        <v>129.20099999999999</v>
      </c>
      <c r="I26" s="178">
        <f t="shared" si="5"/>
        <v>484.50374999999997</v>
      </c>
      <c r="J26" s="178">
        <f t="shared" si="6"/>
        <v>7028.6247499999999</v>
      </c>
      <c r="K26" s="178">
        <f t="shared" si="7"/>
        <v>1124.57996</v>
      </c>
      <c r="L26" s="178">
        <f t="shared" si="8"/>
        <v>8153.20471</v>
      </c>
      <c r="N26" s="186" t="str">
        <f t="shared" si="0"/>
        <v>SI</v>
      </c>
      <c r="O26" s="84" t="s">
        <v>188</v>
      </c>
      <c r="P26" s="101" t="s">
        <v>301</v>
      </c>
      <c r="Q26" s="86"/>
      <c r="R26" s="87">
        <v>42692</v>
      </c>
      <c r="S26" s="150" t="s">
        <v>222</v>
      </c>
      <c r="T26" s="223">
        <v>2500</v>
      </c>
      <c r="U26" s="144">
        <v>3960</v>
      </c>
      <c r="V26" s="89"/>
      <c r="W26" s="89"/>
      <c r="X26" s="90">
        <v>45.13</v>
      </c>
      <c r="Y26" s="94">
        <f t="shared" si="9"/>
        <v>3914.87</v>
      </c>
      <c r="Z26" s="100"/>
      <c r="AA26" s="134"/>
      <c r="AB26" s="91"/>
      <c r="AC26" s="91"/>
      <c r="AD26" s="91"/>
      <c r="AE26" s="92"/>
      <c r="AF26" s="93"/>
      <c r="AG26" s="93"/>
      <c r="AH26" s="94">
        <f t="shared" si="14"/>
        <v>3914.87</v>
      </c>
      <c r="AI26" s="95">
        <f t="shared" si="16"/>
        <v>0</v>
      </c>
      <c r="AJ26" s="94">
        <f t="shared" si="15"/>
        <v>3914.87</v>
      </c>
      <c r="AK26" s="96"/>
      <c r="AL26" s="95"/>
      <c r="AM26" s="94"/>
      <c r="AN26" s="97"/>
      <c r="AO26" s="98"/>
      <c r="AP26" s="99"/>
      <c r="AQ26" s="99" t="s">
        <v>302</v>
      </c>
      <c r="AR26" s="103"/>
      <c r="AS26" s="48">
        <f t="shared" si="10"/>
        <v>166.66666666666666</v>
      </c>
      <c r="AT26" s="48">
        <f t="shared" si="11"/>
        <v>-3.3333333333587234E-3</v>
      </c>
      <c r="AU26" s="235" t="b">
        <f t="shared" si="12"/>
        <v>1</v>
      </c>
      <c r="AV26" s="236" t="s">
        <v>322</v>
      </c>
      <c r="AW26" s="235" t="s">
        <v>323</v>
      </c>
      <c r="AX26" s="239">
        <v>2500.0500000000002</v>
      </c>
      <c r="AY26" s="235">
        <f t="shared" si="13"/>
        <v>166.67000000000002</v>
      </c>
    </row>
    <row r="27" spans="1:51">
      <c r="A27" s="2" t="s">
        <v>46</v>
      </c>
      <c r="B27" s="1" t="s">
        <v>47</v>
      </c>
      <c r="C27" s="178">
        <f>+FISCAL!I27</f>
        <v>20473.62</v>
      </c>
      <c r="D27" s="178">
        <f t="shared" si="1"/>
        <v>20473.62</v>
      </c>
      <c r="E27" s="184"/>
      <c r="F27" s="178">
        <f t="shared" si="2"/>
        <v>20473.62</v>
      </c>
      <c r="G27" s="178">
        <f t="shared" si="3"/>
        <v>-45.13</v>
      </c>
      <c r="H27" s="178">
        <f t="shared" si="4"/>
        <v>409.47239999999999</v>
      </c>
      <c r="I27" s="178">
        <f t="shared" si="5"/>
        <v>1535.5214999999998</v>
      </c>
      <c r="J27" s="178">
        <f t="shared" si="6"/>
        <v>22373.483899999996</v>
      </c>
      <c r="K27" s="178">
        <f t="shared" si="7"/>
        <v>3579.7574239999994</v>
      </c>
      <c r="L27" s="178">
        <f t="shared" si="8"/>
        <v>25953.241323999995</v>
      </c>
      <c r="N27" s="186" t="str">
        <f t="shared" si="0"/>
        <v>SI</v>
      </c>
      <c r="O27" s="84" t="s">
        <v>166</v>
      </c>
      <c r="P27" s="101" t="s">
        <v>303</v>
      </c>
      <c r="Q27" s="86" t="s">
        <v>195</v>
      </c>
      <c r="R27" s="87">
        <v>42298</v>
      </c>
      <c r="S27" s="84" t="s">
        <v>196</v>
      </c>
      <c r="T27" s="144">
        <v>2500</v>
      </c>
      <c r="U27" s="144">
        <v>17973.57</v>
      </c>
      <c r="V27" s="105"/>
      <c r="W27" s="89"/>
      <c r="X27" s="90">
        <v>45.13</v>
      </c>
      <c r="Y27" s="94">
        <f t="shared" si="9"/>
        <v>17928.439999999999</v>
      </c>
      <c r="Z27" s="100"/>
      <c r="AA27" s="134"/>
      <c r="AB27" s="91"/>
      <c r="AC27" s="91"/>
      <c r="AD27" s="91"/>
      <c r="AE27" s="92"/>
      <c r="AF27" s="93">
        <v>0</v>
      </c>
      <c r="AG27" s="93"/>
      <c r="AH27" s="94">
        <f t="shared" si="14"/>
        <v>17928.439999999999</v>
      </c>
      <c r="AI27" s="95">
        <f t="shared" si="16"/>
        <v>1792.8440000000001</v>
      </c>
      <c r="AJ27" s="94">
        <f t="shared" si="15"/>
        <v>16135.595999999998</v>
      </c>
      <c r="AK27" s="96">
        <f t="shared" si="17"/>
        <v>0</v>
      </c>
      <c r="AL27" s="95" t="e">
        <f>+'[1]C&amp;A'!X22*0.02</f>
        <v>#REF!</v>
      </c>
      <c r="AM27" s="94" t="e">
        <f t="shared" ref="AM27:AM48" si="18">+Y27+AK27+AL27</f>
        <v>#REF!</v>
      </c>
      <c r="AN27" s="97"/>
      <c r="AO27" s="102"/>
      <c r="AP27" s="99">
        <f t="shared" ref="AP27:AP33" si="19">+AN27+AO27-AJ27</f>
        <v>-16135.595999999998</v>
      </c>
      <c r="AQ27" s="99"/>
      <c r="AR27" s="101"/>
      <c r="AS27" s="48">
        <f t="shared" si="10"/>
        <v>166.66666666666666</v>
      </c>
      <c r="AT27" s="48">
        <f t="shared" si="11"/>
        <v>-3.3333333333587234E-3</v>
      </c>
      <c r="AU27" s="235" t="b">
        <f t="shared" si="12"/>
        <v>1</v>
      </c>
      <c r="AV27" s="236" t="s">
        <v>46</v>
      </c>
      <c r="AW27" s="235" t="s">
        <v>47</v>
      </c>
      <c r="AX27" s="239">
        <v>2500.0500000000002</v>
      </c>
      <c r="AY27" s="235">
        <f t="shared" si="13"/>
        <v>166.67000000000002</v>
      </c>
    </row>
    <row r="28" spans="1:51">
      <c r="A28" s="2" t="s">
        <v>105</v>
      </c>
      <c r="B28" s="231" t="s">
        <v>297</v>
      </c>
      <c r="C28" s="178">
        <f>+FISCAL!I28</f>
        <v>3336.6</v>
      </c>
      <c r="D28" s="178">
        <f t="shared" si="1"/>
        <v>3336.6</v>
      </c>
      <c r="E28" s="184"/>
      <c r="F28" s="178">
        <f t="shared" si="2"/>
        <v>3336.6</v>
      </c>
      <c r="G28" s="178">
        <f t="shared" si="3"/>
        <v>-45.13</v>
      </c>
      <c r="H28" s="178">
        <f t="shared" si="4"/>
        <v>66.731999999999999</v>
      </c>
      <c r="I28" s="178">
        <f t="shared" si="5"/>
        <v>250.24499999999998</v>
      </c>
      <c r="J28" s="178">
        <f t="shared" si="6"/>
        <v>3608.4469999999997</v>
      </c>
      <c r="K28" s="178">
        <f t="shared" si="7"/>
        <v>577.35151999999994</v>
      </c>
      <c r="L28" s="178">
        <f t="shared" si="8"/>
        <v>4185.7985199999994</v>
      </c>
      <c r="N28" s="186" t="str">
        <f t="shared" si="0"/>
        <v>NO</v>
      </c>
      <c r="O28" s="84" t="s">
        <v>199</v>
      </c>
      <c r="P28" s="101" t="s">
        <v>197</v>
      </c>
      <c r="Q28" s="86"/>
      <c r="R28" s="87">
        <v>42635</v>
      </c>
      <c r="S28" s="84" t="s">
        <v>198</v>
      </c>
      <c r="T28" s="144">
        <v>1200</v>
      </c>
      <c r="U28" s="144">
        <v>2136</v>
      </c>
      <c r="V28" s="105"/>
      <c r="W28" s="89"/>
      <c r="X28" s="90">
        <v>45.13</v>
      </c>
      <c r="Y28" s="94">
        <f t="shared" si="9"/>
        <v>2090.87</v>
      </c>
      <c r="Z28" s="100"/>
      <c r="AA28" s="134"/>
      <c r="AB28" s="91"/>
      <c r="AC28" s="91"/>
      <c r="AD28" s="91"/>
      <c r="AE28" s="92"/>
      <c r="AF28" s="93">
        <v>0</v>
      </c>
      <c r="AG28" s="93"/>
      <c r="AH28" s="94">
        <f t="shared" si="14"/>
        <v>2090.87</v>
      </c>
      <c r="AI28" s="95">
        <f t="shared" si="16"/>
        <v>0</v>
      </c>
      <c r="AJ28" s="94">
        <f t="shared" si="15"/>
        <v>2090.87</v>
      </c>
      <c r="AK28" s="96"/>
      <c r="AL28" s="95"/>
      <c r="AM28" s="94"/>
      <c r="AN28" s="97"/>
      <c r="AO28" s="102"/>
      <c r="AP28" s="99"/>
      <c r="AQ28" s="151">
        <v>1132634759</v>
      </c>
      <c r="AR28" s="101"/>
      <c r="AS28" s="48">
        <v>80.040000000000006</v>
      </c>
      <c r="AT28" s="48">
        <f t="shared" si="11"/>
        <v>0</v>
      </c>
      <c r="AU28" s="235" t="b">
        <f t="shared" si="12"/>
        <v>1</v>
      </c>
      <c r="AV28" s="236" t="s">
        <v>105</v>
      </c>
      <c r="AW28" s="235" t="s">
        <v>297</v>
      </c>
      <c r="AX28" s="239">
        <v>1200.5999999999999</v>
      </c>
      <c r="AY28" s="235">
        <f t="shared" si="13"/>
        <v>80.039999999999992</v>
      </c>
    </row>
    <row r="29" spans="1:51" s="25" customFormat="1">
      <c r="A29" s="192" t="s">
        <v>106</v>
      </c>
      <c r="B29" s="231" t="s">
        <v>107</v>
      </c>
      <c r="C29" s="178">
        <f>+FISCAL!I29</f>
        <v>3910.52</v>
      </c>
      <c r="D29" s="178">
        <f t="shared" si="1"/>
        <v>3910.52</v>
      </c>
      <c r="E29" s="184"/>
      <c r="F29" s="178">
        <f t="shared" si="2"/>
        <v>3910.52</v>
      </c>
      <c r="G29" s="178">
        <f t="shared" si="3"/>
        <v>-45.13</v>
      </c>
      <c r="H29" s="178">
        <f t="shared" si="4"/>
        <v>78.210400000000007</v>
      </c>
      <c r="I29" s="178">
        <f t="shared" si="5"/>
        <v>293.28899999999999</v>
      </c>
      <c r="J29" s="178">
        <f t="shared" si="6"/>
        <v>4236.8894</v>
      </c>
      <c r="K29" s="178">
        <f t="shared" si="7"/>
        <v>677.90230400000007</v>
      </c>
      <c r="L29" s="178">
        <f t="shared" si="8"/>
        <v>4914.7917040000002</v>
      </c>
      <c r="M29" s="244"/>
      <c r="N29" s="186" t="str">
        <f t="shared" si="0"/>
        <v>SI</v>
      </c>
      <c r="O29" s="84" t="s">
        <v>199</v>
      </c>
      <c r="P29" s="84" t="s">
        <v>200</v>
      </c>
      <c r="Q29" s="86"/>
      <c r="R29" s="106">
        <v>42429</v>
      </c>
      <c r="S29" s="84" t="s">
        <v>198</v>
      </c>
      <c r="T29" s="144">
        <v>1200</v>
      </c>
      <c r="U29" s="144">
        <v>2870</v>
      </c>
      <c r="V29" s="105"/>
      <c r="W29" s="89"/>
      <c r="X29" s="90">
        <v>45.13</v>
      </c>
      <c r="Y29" s="94">
        <f t="shared" si="9"/>
        <v>2824.87</v>
      </c>
      <c r="Z29" s="100"/>
      <c r="AA29" s="233">
        <v>2</v>
      </c>
      <c r="AB29" s="91"/>
      <c r="AC29" s="91"/>
      <c r="AD29" s="91"/>
      <c r="AE29" s="92"/>
      <c r="AF29" s="93">
        <v>0</v>
      </c>
      <c r="AG29" s="93"/>
      <c r="AH29" s="94">
        <f t="shared" si="14"/>
        <v>2822.87</v>
      </c>
      <c r="AI29" s="95">
        <f t="shared" si="16"/>
        <v>0</v>
      </c>
      <c r="AJ29" s="94">
        <f t="shared" si="15"/>
        <v>2822.87</v>
      </c>
      <c r="AK29" s="96">
        <f t="shared" si="17"/>
        <v>282.48700000000002</v>
      </c>
      <c r="AL29" s="95" t="e">
        <f>+'[1]C&amp;A'!X23*0.02</f>
        <v>#REF!</v>
      </c>
      <c r="AM29" s="94" t="e">
        <f t="shared" si="18"/>
        <v>#REF!</v>
      </c>
      <c r="AN29" s="97"/>
      <c r="AO29" s="98"/>
      <c r="AP29" s="99">
        <f t="shared" si="19"/>
        <v>-2822.87</v>
      </c>
      <c r="AQ29" s="99"/>
      <c r="AR29" s="101"/>
      <c r="AS29" s="48">
        <v>80.040000000000006</v>
      </c>
      <c r="AT29" s="48">
        <f t="shared" si="11"/>
        <v>0</v>
      </c>
      <c r="AU29" s="235" t="b">
        <f t="shared" si="12"/>
        <v>1</v>
      </c>
      <c r="AV29" s="236" t="s">
        <v>106</v>
      </c>
      <c r="AW29" s="235" t="s">
        <v>107</v>
      </c>
      <c r="AX29" s="239">
        <v>1200.5999999999999</v>
      </c>
      <c r="AY29" s="235">
        <f t="shared" si="13"/>
        <v>80.039999999999992</v>
      </c>
    </row>
    <row r="30" spans="1:51">
      <c r="A30" s="2" t="s">
        <v>108</v>
      </c>
      <c r="B30" s="231" t="s">
        <v>109</v>
      </c>
      <c r="C30" s="178">
        <f>+FISCAL!I30</f>
        <v>3551.56</v>
      </c>
      <c r="D30" s="178">
        <f t="shared" si="1"/>
        <v>3551.56</v>
      </c>
      <c r="E30" s="184"/>
      <c r="F30" s="178">
        <f t="shared" si="2"/>
        <v>3551.56</v>
      </c>
      <c r="G30" s="178">
        <f t="shared" si="3"/>
        <v>-45.13</v>
      </c>
      <c r="H30" s="178">
        <f t="shared" si="4"/>
        <v>71.031199999999998</v>
      </c>
      <c r="I30" s="178">
        <f t="shared" si="5"/>
        <v>266.36699999999996</v>
      </c>
      <c r="J30" s="178">
        <f t="shared" si="6"/>
        <v>3843.8281999999999</v>
      </c>
      <c r="K30" s="178">
        <f t="shared" si="7"/>
        <v>615.01251200000002</v>
      </c>
      <c r="L30" s="178">
        <f t="shared" si="8"/>
        <v>4458.8407120000002</v>
      </c>
      <c r="N30" s="186" t="str">
        <f t="shared" si="0"/>
        <v>SI</v>
      </c>
      <c r="O30" s="84" t="s">
        <v>199</v>
      </c>
      <c r="P30" s="84" t="s">
        <v>201</v>
      </c>
      <c r="Q30" s="86"/>
      <c r="R30" s="106">
        <v>42599</v>
      </c>
      <c r="S30" s="84" t="s">
        <v>198</v>
      </c>
      <c r="T30" s="144">
        <v>1200</v>
      </c>
      <c r="U30" s="144">
        <v>2431</v>
      </c>
      <c r="V30" s="105"/>
      <c r="W30" s="89"/>
      <c r="X30" s="90">
        <v>45.13</v>
      </c>
      <c r="Y30" s="94">
        <f t="shared" si="9"/>
        <v>2385.87</v>
      </c>
      <c r="Z30" s="100"/>
      <c r="AA30" s="233">
        <v>1</v>
      </c>
      <c r="AB30" s="91"/>
      <c r="AC30" s="91"/>
      <c r="AD30" s="91"/>
      <c r="AE30" s="92"/>
      <c r="AF30" s="93">
        <v>0</v>
      </c>
      <c r="AG30" s="93"/>
      <c r="AH30" s="94">
        <f t="shared" si="14"/>
        <v>2384.87</v>
      </c>
      <c r="AI30" s="95">
        <f t="shared" si="16"/>
        <v>0</v>
      </c>
      <c r="AJ30" s="94">
        <f t="shared" si="15"/>
        <v>2384.87</v>
      </c>
      <c r="AK30" s="96">
        <f t="shared" si="17"/>
        <v>238.58699999999999</v>
      </c>
      <c r="AL30" s="95" t="e">
        <f>+'[1]C&amp;A'!X24*0.02</f>
        <v>#REF!</v>
      </c>
      <c r="AM30" s="94" t="e">
        <f t="shared" si="18"/>
        <v>#REF!</v>
      </c>
      <c r="AN30" s="97"/>
      <c r="AO30" s="98"/>
      <c r="AP30" s="99"/>
      <c r="AQ30" s="99"/>
      <c r="AR30" s="101"/>
      <c r="AS30" s="48">
        <v>80.040000000000006</v>
      </c>
      <c r="AT30" s="48">
        <f t="shared" si="11"/>
        <v>0</v>
      </c>
      <c r="AU30" s="235" t="b">
        <f t="shared" si="12"/>
        <v>1</v>
      </c>
      <c r="AV30" s="236" t="s">
        <v>108</v>
      </c>
      <c r="AW30" s="235" t="s">
        <v>109</v>
      </c>
      <c r="AX30" s="239">
        <v>1200.5999999999999</v>
      </c>
      <c r="AY30" s="235">
        <f t="shared" si="13"/>
        <v>80.039999999999992</v>
      </c>
    </row>
    <row r="31" spans="1:51">
      <c r="A31" s="2" t="s">
        <v>48</v>
      </c>
      <c r="B31" s="1" t="s">
        <v>49</v>
      </c>
      <c r="C31" s="178">
        <f>+FISCAL!I31</f>
        <v>37350.050000000003</v>
      </c>
      <c r="D31" s="178">
        <f t="shared" si="1"/>
        <v>37350.050000000003</v>
      </c>
      <c r="E31" s="184"/>
      <c r="F31" s="178">
        <f t="shared" si="2"/>
        <v>37350.050000000003</v>
      </c>
      <c r="G31" s="178">
        <f t="shared" si="3"/>
        <v>-45.13</v>
      </c>
      <c r="H31" s="178">
        <f t="shared" si="4"/>
        <v>747.00100000000009</v>
      </c>
      <c r="I31" s="178">
        <f t="shared" si="5"/>
        <v>2801.2537500000003</v>
      </c>
      <c r="J31" s="178">
        <f t="shared" si="6"/>
        <v>40853.174750000006</v>
      </c>
      <c r="K31" s="178">
        <f t="shared" si="7"/>
        <v>6536.5079600000008</v>
      </c>
      <c r="L31" s="178">
        <f t="shared" si="8"/>
        <v>47389.682710000008</v>
      </c>
      <c r="N31" s="186" t="str">
        <f t="shared" si="0"/>
        <v>SI</v>
      </c>
      <c r="O31" s="84" t="s">
        <v>168</v>
      </c>
      <c r="P31" s="84" t="s">
        <v>202</v>
      </c>
      <c r="Q31" s="86"/>
      <c r="R31" s="87">
        <v>42038</v>
      </c>
      <c r="S31" s="84" t="s">
        <v>203</v>
      </c>
      <c r="T31" s="144">
        <v>2500</v>
      </c>
      <c r="U31" s="144">
        <v>34850</v>
      </c>
      <c r="V31" s="105"/>
      <c r="W31" s="89"/>
      <c r="X31" s="90">
        <v>45.13</v>
      </c>
      <c r="Y31" s="94">
        <f t="shared" si="9"/>
        <v>34804.870000000003</v>
      </c>
      <c r="Z31" s="100"/>
      <c r="AA31" s="134"/>
      <c r="AB31" s="91"/>
      <c r="AC31" s="91"/>
      <c r="AD31" s="91"/>
      <c r="AE31" s="92"/>
      <c r="AF31" s="93">
        <v>256.81</v>
      </c>
      <c r="AG31" s="93"/>
      <c r="AH31" s="94">
        <f t="shared" si="14"/>
        <v>34548.060000000005</v>
      </c>
      <c r="AI31" s="95">
        <f t="shared" si="16"/>
        <v>3480.4870000000005</v>
      </c>
      <c r="AJ31" s="94">
        <f t="shared" si="15"/>
        <v>31067.573000000004</v>
      </c>
      <c r="AK31" s="96">
        <f t="shared" si="17"/>
        <v>0</v>
      </c>
      <c r="AL31" s="95" t="e">
        <f>+'[1]C&amp;A'!X24*0.02</f>
        <v>#REF!</v>
      </c>
      <c r="AM31" s="94" t="e">
        <f t="shared" si="18"/>
        <v>#REF!</v>
      </c>
      <c r="AN31" s="97"/>
      <c r="AO31" s="102"/>
      <c r="AP31" s="99">
        <f t="shared" si="19"/>
        <v>-31067.573000000004</v>
      </c>
      <c r="AQ31" s="99"/>
      <c r="AR31" s="101"/>
      <c r="AS31" s="48">
        <f t="shared" si="10"/>
        <v>166.66666666666666</v>
      </c>
      <c r="AT31" s="48">
        <f t="shared" si="11"/>
        <v>-3.3333333333587234E-3</v>
      </c>
      <c r="AU31" s="235" t="b">
        <f t="shared" si="12"/>
        <v>1</v>
      </c>
      <c r="AV31" s="236" t="s">
        <v>48</v>
      </c>
      <c r="AW31" s="235" t="s">
        <v>49</v>
      </c>
      <c r="AX31" s="239">
        <v>2500.0500000000002</v>
      </c>
      <c r="AY31" s="235">
        <f t="shared" si="13"/>
        <v>166.67000000000002</v>
      </c>
    </row>
    <row r="32" spans="1:51">
      <c r="A32" s="42" t="s">
        <v>50</v>
      </c>
      <c r="B32" s="43" t="s">
        <v>295</v>
      </c>
      <c r="C32" s="178">
        <f>+FISCAL!I32</f>
        <v>594350.71</v>
      </c>
      <c r="D32" s="178">
        <f t="shared" si="1"/>
        <v>594350.71</v>
      </c>
      <c r="E32" s="185"/>
      <c r="F32" s="178">
        <f t="shared" si="2"/>
        <v>594350.71</v>
      </c>
      <c r="G32" s="178">
        <f t="shared" si="3"/>
        <v>-45.13</v>
      </c>
      <c r="H32" s="178">
        <f t="shared" si="4"/>
        <v>11887.0142</v>
      </c>
      <c r="I32" s="178">
        <f t="shared" si="5"/>
        <v>44576.303249999997</v>
      </c>
      <c r="J32" s="178">
        <f t="shared" si="6"/>
        <v>650768.89744999993</v>
      </c>
      <c r="K32" s="178">
        <f t="shared" si="7"/>
        <v>104123.023592</v>
      </c>
      <c r="L32" s="178">
        <f t="shared" si="8"/>
        <v>754891.92104199994</v>
      </c>
      <c r="N32" s="186" t="str">
        <f t="shared" si="0"/>
        <v>NO</v>
      </c>
      <c r="O32" s="84" t="s">
        <v>188</v>
      </c>
      <c r="P32" s="84" t="s">
        <v>204</v>
      </c>
      <c r="Q32" s="84" t="s">
        <v>205</v>
      </c>
      <c r="R32" s="87">
        <v>41582</v>
      </c>
      <c r="S32" s="84" t="s">
        <v>206</v>
      </c>
      <c r="T32" s="144">
        <v>20000</v>
      </c>
      <c r="U32" s="144">
        <f>466850.61+107500</f>
        <v>574350.61</v>
      </c>
      <c r="V32" s="89"/>
      <c r="W32" s="89"/>
      <c r="X32" s="90">
        <v>45.13</v>
      </c>
      <c r="Y32" s="94">
        <f t="shared" si="9"/>
        <v>574305.48</v>
      </c>
      <c r="Z32" s="100"/>
      <c r="AA32" s="134"/>
      <c r="AB32" s="91"/>
      <c r="AC32" s="91"/>
      <c r="AD32" s="91"/>
      <c r="AE32" s="92"/>
      <c r="AF32" s="93">
        <v>0</v>
      </c>
      <c r="AG32" s="93"/>
      <c r="AH32" s="94">
        <f t="shared" si="14"/>
        <v>574305.48</v>
      </c>
      <c r="AI32" s="95">
        <f t="shared" si="16"/>
        <v>57430.548000000003</v>
      </c>
      <c r="AJ32" s="94">
        <f t="shared" si="15"/>
        <v>516874.93199999997</v>
      </c>
      <c r="AK32" s="96">
        <f t="shared" si="17"/>
        <v>0</v>
      </c>
      <c r="AL32" s="95" t="e">
        <f>+'[1]C&amp;A'!X25*0.02</f>
        <v>#REF!</v>
      </c>
      <c r="AM32" s="94" t="e">
        <f t="shared" si="18"/>
        <v>#REF!</v>
      </c>
      <c r="AN32" s="97"/>
      <c r="AO32" s="102"/>
      <c r="AP32" s="99">
        <f t="shared" si="19"/>
        <v>-516874.93199999997</v>
      </c>
      <c r="AQ32" s="99"/>
      <c r="AR32" s="101"/>
      <c r="AS32" s="48">
        <f t="shared" si="10"/>
        <v>1333.3333333333333</v>
      </c>
      <c r="AT32" s="48">
        <f t="shared" si="11"/>
        <v>-6.6666666666606034E-3</v>
      </c>
      <c r="AU32" s="235" t="b">
        <f t="shared" si="12"/>
        <v>1</v>
      </c>
      <c r="AV32" s="236" t="s">
        <v>50</v>
      </c>
      <c r="AW32" s="235" t="s">
        <v>295</v>
      </c>
      <c r="AX32" s="239">
        <v>20000.099999999999</v>
      </c>
      <c r="AY32" s="235">
        <f t="shared" si="13"/>
        <v>1333.34</v>
      </c>
    </row>
    <row r="33" spans="1:51">
      <c r="A33" s="2" t="s">
        <v>51</v>
      </c>
      <c r="B33" s="1" t="s">
        <v>52</v>
      </c>
      <c r="C33" s="178">
        <f>+FISCAL!I33</f>
        <v>12400.05</v>
      </c>
      <c r="D33" s="178">
        <f t="shared" si="1"/>
        <v>12400.05</v>
      </c>
      <c r="E33" s="184"/>
      <c r="F33" s="178">
        <f t="shared" si="2"/>
        <v>12400.05</v>
      </c>
      <c r="G33" s="178">
        <f t="shared" si="3"/>
        <v>-45.13</v>
      </c>
      <c r="H33" s="178">
        <f t="shared" si="4"/>
        <v>248.001</v>
      </c>
      <c r="I33" s="178">
        <f t="shared" si="5"/>
        <v>930.00374999999985</v>
      </c>
      <c r="J33" s="178">
        <f t="shared" si="6"/>
        <v>13532.92475</v>
      </c>
      <c r="K33" s="178">
        <f t="shared" si="7"/>
        <v>2165.2679600000001</v>
      </c>
      <c r="L33" s="178">
        <f t="shared" si="8"/>
        <v>15698.192709999999</v>
      </c>
      <c r="N33" s="186" t="str">
        <f t="shared" si="0"/>
        <v>SI</v>
      </c>
      <c r="O33" s="84" t="s">
        <v>188</v>
      </c>
      <c r="P33" s="101" t="s">
        <v>207</v>
      </c>
      <c r="Q33" s="86" t="s">
        <v>208</v>
      </c>
      <c r="R33" s="87">
        <v>42380</v>
      </c>
      <c r="S33" s="84" t="s">
        <v>209</v>
      </c>
      <c r="T33" s="144">
        <v>2500</v>
      </c>
      <c r="U33" s="144">
        <v>9900</v>
      </c>
      <c r="V33" s="89"/>
      <c r="W33" s="89"/>
      <c r="X33" s="90">
        <v>45.13</v>
      </c>
      <c r="Y33" s="94">
        <f t="shared" si="9"/>
        <v>9854.8700000000008</v>
      </c>
      <c r="Z33" s="100"/>
      <c r="AA33" s="134"/>
      <c r="AB33" s="91"/>
      <c r="AC33" s="91"/>
      <c r="AD33" s="91"/>
      <c r="AE33" s="92"/>
      <c r="AF33" s="93">
        <v>0</v>
      </c>
      <c r="AG33" s="93"/>
      <c r="AH33" s="94">
        <f t="shared" si="14"/>
        <v>9854.8700000000008</v>
      </c>
      <c r="AI33" s="95">
        <f t="shared" si="16"/>
        <v>985.48700000000008</v>
      </c>
      <c r="AJ33" s="94">
        <f t="shared" si="15"/>
        <v>8869.3830000000016</v>
      </c>
      <c r="AK33" s="96">
        <f t="shared" si="17"/>
        <v>0</v>
      </c>
      <c r="AL33" s="95" t="e">
        <f>+'[1]C&amp;A'!X27*0.02</f>
        <v>#REF!</v>
      </c>
      <c r="AM33" s="94" t="e">
        <f t="shared" si="18"/>
        <v>#REF!</v>
      </c>
      <c r="AN33" s="97"/>
      <c r="AO33" s="102"/>
      <c r="AP33" s="99">
        <f t="shared" si="19"/>
        <v>-8869.3830000000016</v>
      </c>
      <c r="AQ33" s="99"/>
      <c r="AR33" s="101"/>
      <c r="AS33" s="48">
        <f t="shared" si="10"/>
        <v>166.66666666666666</v>
      </c>
      <c r="AT33" s="48">
        <f t="shared" si="11"/>
        <v>-3.3333333333587234E-3</v>
      </c>
      <c r="AU33" s="235" t="b">
        <f t="shared" si="12"/>
        <v>1</v>
      </c>
      <c r="AV33" s="236" t="s">
        <v>51</v>
      </c>
      <c r="AW33" s="235" t="s">
        <v>52</v>
      </c>
      <c r="AX33" s="239">
        <v>2500.0500000000002</v>
      </c>
      <c r="AY33" s="235">
        <f t="shared" si="13"/>
        <v>166.67000000000002</v>
      </c>
    </row>
    <row r="34" spans="1:51">
      <c r="A34" s="2" t="s">
        <v>53</v>
      </c>
      <c r="B34" s="54" t="s">
        <v>54</v>
      </c>
      <c r="C34" s="178">
        <f>+FISCAL!I34</f>
        <v>33000</v>
      </c>
      <c r="D34" s="178">
        <f t="shared" si="1"/>
        <v>33000</v>
      </c>
      <c r="E34" s="184"/>
      <c r="F34" s="178">
        <f t="shared" si="2"/>
        <v>33000</v>
      </c>
      <c r="G34" s="178">
        <f t="shared" si="3"/>
        <v>-45.13</v>
      </c>
      <c r="H34" s="178">
        <f t="shared" si="4"/>
        <v>660</v>
      </c>
      <c r="I34" s="178">
        <f t="shared" si="5"/>
        <v>2475</v>
      </c>
      <c r="J34" s="178">
        <f t="shared" si="6"/>
        <v>36089.870000000003</v>
      </c>
      <c r="K34" s="178">
        <f t="shared" si="7"/>
        <v>5774.3792000000003</v>
      </c>
      <c r="L34" s="178">
        <f t="shared" si="8"/>
        <v>41864.249200000006</v>
      </c>
      <c r="N34" s="186" t="str">
        <f t="shared" si="0"/>
        <v>SI</v>
      </c>
      <c r="O34" s="84" t="s">
        <v>164</v>
      </c>
      <c r="P34" s="148" t="s">
        <v>210</v>
      </c>
      <c r="Q34" s="86">
        <v>3</v>
      </c>
      <c r="R34" s="87">
        <v>39465</v>
      </c>
      <c r="S34" s="84" t="s">
        <v>211</v>
      </c>
      <c r="T34" s="144">
        <v>33000</v>
      </c>
      <c r="U34" s="144"/>
      <c r="V34" s="89"/>
      <c r="W34" s="89"/>
      <c r="X34" s="90">
        <v>45.13</v>
      </c>
      <c r="Y34" s="94">
        <f t="shared" si="9"/>
        <v>-45.13</v>
      </c>
      <c r="Z34" s="100"/>
      <c r="AA34" s="134"/>
      <c r="AB34" s="91"/>
      <c r="AC34" s="91"/>
      <c r="AD34" s="91"/>
      <c r="AE34" s="149"/>
      <c r="AF34" s="93">
        <v>350.5</v>
      </c>
      <c r="AG34" s="93"/>
      <c r="AH34" s="94">
        <f t="shared" si="14"/>
        <v>-395.63</v>
      </c>
      <c r="AI34" s="95"/>
      <c r="AJ34" s="94">
        <f t="shared" si="15"/>
        <v>-395.63</v>
      </c>
      <c r="AK34" s="96"/>
      <c r="AL34" s="95"/>
      <c r="AM34" s="94"/>
      <c r="AN34" s="97"/>
      <c r="AO34" s="102"/>
      <c r="AP34" s="99"/>
      <c r="AQ34" s="99"/>
      <c r="AR34" s="104"/>
      <c r="AS34" s="234">
        <f t="shared" si="10"/>
        <v>2200</v>
      </c>
      <c r="AT34" s="48">
        <f t="shared" si="11"/>
        <v>1136.9100000000001</v>
      </c>
      <c r="AU34" s="235" t="b">
        <f t="shared" si="12"/>
        <v>1</v>
      </c>
      <c r="AV34" s="236" t="s">
        <v>53</v>
      </c>
      <c r="AW34" s="235" t="s">
        <v>54</v>
      </c>
      <c r="AX34" s="239">
        <v>15946.35</v>
      </c>
      <c r="AY34" s="235">
        <f t="shared" si="13"/>
        <v>1063.0899999999999</v>
      </c>
    </row>
    <row r="35" spans="1:51">
      <c r="A35" s="2" t="s">
        <v>55</v>
      </c>
      <c r="B35" s="1" t="s">
        <v>56</v>
      </c>
      <c r="C35" s="178">
        <f>+FISCAL!I35</f>
        <v>28235.77</v>
      </c>
      <c r="D35" s="178">
        <f t="shared" si="1"/>
        <v>28235.77</v>
      </c>
      <c r="E35" s="184"/>
      <c r="F35" s="178">
        <f t="shared" si="2"/>
        <v>28235.77</v>
      </c>
      <c r="G35" s="178">
        <f t="shared" si="3"/>
        <v>-45.13</v>
      </c>
      <c r="H35" s="178">
        <f t="shared" si="4"/>
        <v>564.71540000000005</v>
      </c>
      <c r="I35" s="178">
        <f t="shared" si="5"/>
        <v>2117.6827499999999</v>
      </c>
      <c r="J35" s="178">
        <f t="shared" si="6"/>
        <v>30873.03815</v>
      </c>
      <c r="K35" s="178">
        <f t="shared" si="7"/>
        <v>4939.6861040000003</v>
      </c>
      <c r="L35" s="178">
        <f t="shared" si="8"/>
        <v>35812.724254000001</v>
      </c>
      <c r="N35" s="191" t="str">
        <f t="shared" si="0"/>
        <v>SI</v>
      </c>
      <c r="O35" s="84" t="s">
        <v>164</v>
      </c>
      <c r="P35" s="101" t="s">
        <v>212</v>
      </c>
      <c r="Q35" s="86"/>
      <c r="R35" s="87">
        <v>40530</v>
      </c>
      <c r="S35" s="84" t="s">
        <v>351</v>
      </c>
      <c r="T35" s="144">
        <v>7500</v>
      </c>
      <c r="U35" s="144">
        <v>20735.77</v>
      </c>
      <c r="V35" s="89"/>
      <c r="W35" s="89"/>
      <c r="X35" s="90">
        <v>45.13</v>
      </c>
      <c r="Y35" s="94">
        <f t="shared" si="9"/>
        <v>20690.64</v>
      </c>
      <c r="Z35" s="100"/>
      <c r="AA35" s="134"/>
      <c r="AB35" s="91"/>
      <c r="AC35" s="91"/>
      <c r="AD35" s="91"/>
      <c r="AE35" s="92"/>
      <c r="AF35" s="93">
        <v>1354.19</v>
      </c>
      <c r="AG35" s="93"/>
      <c r="AH35" s="94">
        <f t="shared" si="14"/>
        <v>19336.45</v>
      </c>
      <c r="AI35" s="95">
        <f t="shared" si="16"/>
        <v>2069.0639999999999</v>
      </c>
      <c r="AJ35" s="94">
        <f t="shared" si="15"/>
        <v>17267.386000000002</v>
      </c>
      <c r="AK35" s="96">
        <f t="shared" si="17"/>
        <v>0</v>
      </c>
      <c r="AL35" s="95" t="e">
        <f>+'[1]C&amp;A'!X28*0.02</f>
        <v>#REF!</v>
      </c>
      <c r="AM35" s="94" t="e">
        <f t="shared" si="18"/>
        <v>#REF!</v>
      </c>
      <c r="AN35" s="97"/>
      <c r="AO35" s="98"/>
      <c r="AP35" s="99"/>
      <c r="AQ35" s="99"/>
      <c r="AR35" s="101"/>
      <c r="AS35" s="48">
        <f t="shared" si="10"/>
        <v>500</v>
      </c>
      <c r="AT35" s="48">
        <f t="shared" si="11"/>
        <v>0</v>
      </c>
      <c r="AU35" s="235" t="b">
        <f t="shared" si="12"/>
        <v>1</v>
      </c>
      <c r="AV35" s="236" t="s">
        <v>55</v>
      </c>
      <c r="AW35" s="235" t="s">
        <v>56</v>
      </c>
      <c r="AX35" s="239">
        <v>7500</v>
      </c>
      <c r="AY35" s="235">
        <f t="shared" si="13"/>
        <v>500</v>
      </c>
    </row>
    <row r="36" spans="1:51">
      <c r="A36" s="192"/>
      <c r="B36" s="26" t="s">
        <v>352</v>
      </c>
      <c r="C36" s="178">
        <f>+FISCAL!I36</f>
        <v>3033.29</v>
      </c>
      <c r="D36" s="178">
        <f t="shared" si="1"/>
        <v>3033.29</v>
      </c>
      <c r="E36" s="184"/>
      <c r="F36" s="178">
        <f t="shared" si="2"/>
        <v>3033.29</v>
      </c>
      <c r="G36" s="178">
        <f t="shared" si="3"/>
        <v>-45.13</v>
      </c>
      <c r="H36" s="178">
        <f t="shared" si="4"/>
        <v>60.665799999999997</v>
      </c>
      <c r="I36" s="178">
        <f t="shared" si="5"/>
        <v>227.49674999999999</v>
      </c>
      <c r="J36" s="178">
        <f t="shared" si="6"/>
        <v>3276.3225499999999</v>
      </c>
      <c r="K36" s="178">
        <f t="shared" si="7"/>
        <v>524.21160799999996</v>
      </c>
      <c r="L36" s="178">
        <f t="shared" si="8"/>
        <v>3800.5341579999999</v>
      </c>
      <c r="N36" s="191" t="str">
        <f t="shared" si="0"/>
        <v>SI</v>
      </c>
      <c r="O36" s="171" t="s">
        <v>164</v>
      </c>
      <c r="P36" s="171" t="s">
        <v>352</v>
      </c>
      <c r="Q36" s="172"/>
      <c r="R36" s="173">
        <v>42738</v>
      </c>
      <c r="S36" s="171" t="s">
        <v>238</v>
      </c>
      <c r="T36" s="174"/>
      <c r="U36" s="174">
        <v>466.66</v>
      </c>
      <c r="V36" s="175"/>
      <c r="W36" s="175"/>
      <c r="X36" s="90">
        <v>45.13</v>
      </c>
      <c r="Y36" s="94">
        <f t="shared" si="9"/>
        <v>421.53000000000003</v>
      </c>
      <c r="Z36" s="100"/>
      <c r="AA36" s="134"/>
      <c r="AB36" s="91"/>
      <c r="AC36" s="91"/>
      <c r="AD36" s="91"/>
      <c r="AE36" s="92"/>
      <c r="AF36" s="93"/>
      <c r="AG36" s="93"/>
      <c r="AH36" s="94">
        <f t="shared" si="14"/>
        <v>421.53000000000003</v>
      </c>
      <c r="AI36" s="95">
        <f t="shared" si="16"/>
        <v>0</v>
      </c>
      <c r="AJ36" s="94">
        <f t="shared" si="15"/>
        <v>421.53000000000003</v>
      </c>
      <c r="AK36" s="96"/>
      <c r="AL36" s="95"/>
      <c r="AM36" s="94"/>
      <c r="AN36" s="97"/>
      <c r="AO36" s="98"/>
      <c r="AP36" s="99"/>
      <c r="AQ36" s="224">
        <v>2896740960</v>
      </c>
      <c r="AR36" s="176" t="s">
        <v>360</v>
      </c>
      <c r="AS36" s="48">
        <v>171.1</v>
      </c>
      <c r="AT36" s="48">
        <f t="shared" si="11"/>
        <v>-8.6666666666701531E-3</v>
      </c>
      <c r="AU36" s="235" t="b">
        <f t="shared" si="12"/>
        <v>0</v>
      </c>
      <c r="AV36" s="236" t="s">
        <v>361</v>
      </c>
      <c r="AW36" s="235" t="s">
        <v>362</v>
      </c>
      <c r="AX36" s="239">
        <v>2566.63</v>
      </c>
      <c r="AY36" s="235">
        <f t="shared" si="13"/>
        <v>171.10866666666666</v>
      </c>
    </row>
    <row r="37" spans="1:51" ht="15.75" customHeight="1">
      <c r="A37" s="2" t="s">
        <v>57</v>
      </c>
      <c r="B37" s="1" t="s">
        <v>58</v>
      </c>
      <c r="C37" s="178">
        <f>+FISCAL!I37</f>
        <v>3750</v>
      </c>
      <c r="D37" s="178">
        <f t="shared" si="1"/>
        <v>3750</v>
      </c>
      <c r="E37" s="184"/>
      <c r="F37" s="178">
        <f t="shared" si="2"/>
        <v>3750</v>
      </c>
      <c r="G37" s="178">
        <f t="shared" si="3"/>
        <v>-45.13</v>
      </c>
      <c r="H37" s="178">
        <f t="shared" si="4"/>
        <v>75</v>
      </c>
      <c r="I37" s="178">
        <f t="shared" si="5"/>
        <v>281.25</v>
      </c>
      <c r="J37" s="178">
        <f t="shared" si="6"/>
        <v>4061.12</v>
      </c>
      <c r="K37" s="178">
        <f t="shared" si="7"/>
        <v>649.77919999999995</v>
      </c>
      <c r="L37" s="178">
        <f t="shared" si="8"/>
        <v>4710.8991999999998</v>
      </c>
      <c r="N37" s="191" t="str">
        <f t="shared" si="0"/>
        <v>SI</v>
      </c>
      <c r="O37" s="84" t="s">
        <v>188</v>
      </c>
      <c r="P37" s="101" t="s">
        <v>214</v>
      </c>
      <c r="Q37" s="84" t="s">
        <v>215</v>
      </c>
      <c r="R37" s="87">
        <v>42310</v>
      </c>
      <c r="S37" s="84" t="s">
        <v>216</v>
      </c>
      <c r="T37" s="144">
        <v>3750</v>
      </c>
      <c r="U37" s="144">
        <v>0</v>
      </c>
      <c r="V37" s="89"/>
      <c r="W37" s="89"/>
      <c r="X37" s="90">
        <v>45.13</v>
      </c>
      <c r="Y37" s="94">
        <f t="shared" si="9"/>
        <v>-45.13</v>
      </c>
      <c r="Z37" s="100"/>
      <c r="AA37" s="134"/>
      <c r="AB37" s="91"/>
      <c r="AC37" s="91"/>
      <c r="AD37" s="91"/>
      <c r="AE37" s="92"/>
      <c r="AF37" s="93">
        <v>0</v>
      </c>
      <c r="AG37" s="93"/>
      <c r="AH37" s="94">
        <f t="shared" si="14"/>
        <v>-45.13</v>
      </c>
      <c r="AI37" s="95">
        <f t="shared" si="16"/>
        <v>0</v>
      </c>
      <c r="AJ37" s="94">
        <f t="shared" si="15"/>
        <v>-45.13</v>
      </c>
      <c r="AK37" s="96">
        <f t="shared" si="17"/>
        <v>-4.5130000000000008</v>
      </c>
      <c r="AL37" s="95" t="e">
        <f>+'[1]C&amp;A'!X29*0.02</f>
        <v>#REF!</v>
      </c>
      <c r="AM37" s="94" t="e">
        <f t="shared" si="18"/>
        <v>#REF!</v>
      </c>
      <c r="AN37" s="97"/>
      <c r="AO37" s="102"/>
      <c r="AP37" s="99">
        <f t="shared" ref="AP37:AP48" si="20">+AN37+AO37-AJ37</f>
        <v>45.13</v>
      </c>
      <c r="AQ37" s="99"/>
      <c r="AR37" s="101"/>
      <c r="AS37" s="48">
        <f t="shared" si="10"/>
        <v>250</v>
      </c>
      <c r="AT37" s="48">
        <f t="shared" si="11"/>
        <v>0</v>
      </c>
      <c r="AU37" s="235" t="b">
        <f t="shared" si="12"/>
        <v>1</v>
      </c>
      <c r="AV37" s="236" t="s">
        <v>57</v>
      </c>
      <c r="AW37" s="235" t="s">
        <v>58</v>
      </c>
      <c r="AX37" s="239">
        <v>3750</v>
      </c>
      <c r="AY37" s="235">
        <f t="shared" si="13"/>
        <v>250</v>
      </c>
    </row>
    <row r="38" spans="1:51" ht="15.75" customHeight="1">
      <c r="A38" s="2" t="s">
        <v>110</v>
      </c>
      <c r="B38" s="231" t="s">
        <v>111</v>
      </c>
      <c r="C38" s="178">
        <f>+FISCAL!I38</f>
        <v>4737.7</v>
      </c>
      <c r="D38" s="178">
        <f t="shared" si="1"/>
        <v>4737.7</v>
      </c>
      <c r="E38" s="184"/>
      <c r="F38" s="178">
        <f t="shared" si="2"/>
        <v>4737.7</v>
      </c>
      <c r="G38" s="178">
        <f t="shared" si="3"/>
        <v>-45.13</v>
      </c>
      <c r="H38" s="178">
        <f t="shared" si="4"/>
        <v>94.754000000000005</v>
      </c>
      <c r="I38" s="178">
        <f t="shared" si="5"/>
        <v>355.32749999999999</v>
      </c>
      <c r="J38" s="178">
        <f t="shared" si="6"/>
        <v>5142.6514999999999</v>
      </c>
      <c r="K38" s="178">
        <f t="shared" si="7"/>
        <v>822.82424000000003</v>
      </c>
      <c r="L38" s="178">
        <f t="shared" si="8"/>
        <v>5965.4757399999999</v>
      </c>
      <c r="N38" s="191" t="str">
        <f t="shared" si="0"/>
        <v>SI</v>
      </c>
      <c r="O38" s="84" t="s">
        <v>199</v>
      </c>
      <c r="P38" s="101" t="s">
        <v>217</v>
      </c>
      <c r="Q38" s="84"/>
      <c r="R38" s="87">
        <v>42660</v>
      </c>
      <c r="S38" s="84" t="s">
        <v>218</v>
      </c>
      <c r="T38" s="144">
        <v>1200</v>
      </c>
      <c r="U38" s="144">
        <v>3537.1</v>
      </c>
      <c r="V38" s="89"/>
      <c r="W38" s="89"/>
      <c r="X38" s="90">
        <v>45.13</v>
      </c>
      <c r="Y38" s="94">
        <f t="shared" si="9"/>
        <v>3491.97</v>
      </c>
      <c r="Z38" s="100">
        <v>1500</v>
      </c>
      <c r="AA38" s="134"/>
      <c r="AB38" s="91"/>
      <c r="AC38" s="91"/>
      <c r="AD38" s="91"/>
      <c r="AE38" s="92"/>
      <c r="AF38" s="93"/>
      <c r="AG38" s="93"/>
      <c r="AH38" s="94">
        <f>+Y38-SUM(Z38:AF38)</f>
        <v>1991.9699999999998</v>
      </c>
      <c r="AI38" s="95">
        <f t="shared" si="16"/>
        <v>0</v>
      </c>
      <c r="AJ38" s="94">
        <f t="shared" si="15"/>
        <v>1991.9699999999998</v>
      </c>
      <c r="AK38" s="96"/>
      <c r="AL38" s="95"/>
      <c r="AM38" s="94"/>
      <c r="AN38" s="97"/>
      <c r="AO38" s="102"/>
      <c r="AP38" s="99"/>
      <c r="AQ38" s="165">
        <v>1168261504</v>
      </c>
      <c r="AR38" s="104" t="s">
        <v>339</v>
      </c>
      <c r="AS38" s="48">
        <v>80.040000000000006</v>
      </c>
      <c r="AT38" s="48">
        <f t="shared" si="11"/>
        <v>0</v>
      </c>
      <c r="AU38" s="235" t="b">
        <f t="shared" si="12"/>
        <v>1</v>
      </c>
      <c r="AV38" s="236" t="s">
        <v>110</v>
      </c>
      <c r="AW38" s="235" t="s">
        <v>111</v>
      </c>
      <c r="AX38" s="239">
        <v>1200.5999999999999</v>
      </c>
      <c r="AY38" s="235">
        <f t="shared" si="13"/>
        <v>80.039999999999992</v>
      </c>
    </row>
    <row r="39" spans="1:51" s="64" customFormat="1" ht="15.75" customHeight="1">
      <c r="A39" s="2" t="s">
        <v>112</v>
      </c>
      <c r="B39" s="231" t="s">
        <v>113</v>
      </c>
      <c r="C39" s="178">
        <f>+FISCAL!I39</f>
        <v>3535.3199999999997</v>
      </c>
      <c r="D39" s="178">
        <f t="shared" si="1"/>
        <v>3535.3199999999997</v>
      </c>
      <c r="E39" s="184"/>
      <c r="F39" s="178">
        <f t="shared" si="2"/>
        <v>3535.3199999999997</v>
      </c>
      <c r="G39" s="178">
        <f t="shared" si="3"/>
        <v>-45.13</v>
      </c>
      <c r="H39" s="178">
        <f t="shared" si="4"/>
        <v>70.706400000000002</v>
      </c>
      <c r="I39" s="178">
        <f t="shared" si="5"/>
        <v>265.14899999999994</v>
      </c>
      <c r="J39" s="178">
        <f t="shared" si="6"/>
        <v>3826.0453999999995</v>
      </c>
      <c r="K39" s="178">
        <f t="shared" si="7"/>
        <v>612.16726399999993</v>
      </c>
      <c r="L39" s="178">
        <f t="shared" si="8"/>
        <v>4438.2126639999997</v>
      </c>
      <c r="M39" s="244"/>
      <c r="N39" s="191" t="str">
        <f t="shared" si="0"/>
        <v>SI</v>
      </c>
      <c r="O39" s="84" t="s">
        <v>199</v>
      </c>
      <c r="P39" s="101" t="s">
        <v>219</v>
      </c>
      <c r="Q39" s="84"/>
      <c r="R39" s="87">
        <v>42598</v>
      </c>
      <c r="S39" s="84" t="s">
        <v>220</v>
      </c>
      <c r="T39" s="144">
        <v>1200</v>
      </c>
      <c r="U39" s="144">
        <v>2334.7199999999998</v>
      </c>
      <c r="V39" s="89"/>
      <c r="W39" s="89"/>
      <c r="X39" s="90">
        <v>45.13</v>
      </c>
      <c r="Y39" s="94">
        <f t="shared" si="9"/>
        <v>2289.5899999999997</v>
      </c>
      <c r="Z39" s="100"/>
      <c r="AA39" s="134"/>
      <c r="AB39" s="91"/>
      <c r="AC39" s="91"/>
      <c r="AD39" s="91"/>
      <c r="AE39" s="92"/>
      <c r="AF39" s="93">
        <v>0</v>
      </c>
      <c r="AG39" s="93"/>
      <c r="AH39" s="94">
        <f>+Y39-SUM(Z39:AF39)</f>
        <v>2289.5899999999997</v>
      </c>
      <c r="AI39" s="95">
        <f t="shared" si="16"/>
        <v>0</v>
      </c>
      <c r="AJ39" s="94">
        <f t="shared" si="15"/>
        <v>2289.5899999999997</v>
      </c>
      <c r="AK39" s="96">
        <f>IF(Y39&lt;4500,Y39*0.1,0)</f>
        <v>228.95899999999997</v>
      </c>
      <c r="AL39" s="95" t="e">
        <f>+'[1]C&amp;A'!X30*0.02</f>
        <v>#REF!</v>
      </c>
      <c r="AM39" s="94" t="e">
        <f>+Y39+AK39+AL39</f>
        <v>#REF!</v>
      </c>
      <c r="AN39" s="97"/>
      <c r="AO39" s="102"/>
      <c r="AP39" s="99"/>
      <c r="AQ39" s="99"/>
      <c r="AR39" s="101"/>
      <c r="AS39" s="48">
        <v>80.040000000000006</v>
      </c>
      <c r="AT39" s="48">
        <f t="shared" si="11"/>
        <v>0</v>
      </c>
      <c r="AU39" s="235" t="b">
        <f t="shared" si="12"/>
        <v>1</v>
      </c>
      <c r="AV39" s="236" t="s">
        <v>112</v>
      </c>
      <c r="AW39" s="235" t="s">
        <v>113</v>
      </c>
      <c r="AX39" s="239">
        <v>1200.5999999999999</v>
      </c>
      <c r="AY39" s="235">
        <f t="shared" si="13"/>
        <v>80.039999999999992</v>
      </c>
    </row>
    <row r="40" spans="1:51">
      <c r="A40" s="62" t="s">
        <v>59</v>
      </c>
      <c r="B40" s="186" t="s">
        <v>60</v>
      </c>
      <c r="C40" s="178">
        <f>+FISCAL!I40</f>
        <v>6293.38</v>
      </c>
      <c r="D40" s="178">
        <f t="shared" si="1"/>
        <v>6293.38</v>
      </c>
      <c r="E40" s="184"/>
      <c r="F40" s="178">
        <f t="shared" si="2"/>
        <v>6293.38</v>
      </c>
      <c r="G40" s="178">
        <f t="shared" si="3"/>
        <v>-45.13</v>
      </c>
      <c r="H40" s="178">
        <f t="shared" si="4"/>
        <v>125.86760000000001</v>
      </c>
      <c r="I40" s="178">
        <f t="shared" si="5"/>
        <v>472.00349999999997</v>
      </c>
      <c r="J40" s="178">
        <f t="shared" si="6"/>
        <v>6846.1210999999994</v>
      </c>
      <c r="K40" s="178">
        <f t="shared" si="7"/>
        <v>1095.3793759999999</v>
      </c>
      <c r="L40" s="178">
        <f t="shared" si="8"/>
        <v>7941.5004759999993</v>
      </c>
      <c r="N40" s="191" t="str">
        <f t="shared" si="0"/>
        <v>NO</v>
      </c>
      <c r="O40" s="84" t="s">
        <v>188</v>
      </c>
      <c r="P40" s="101" t="s">
        <v>304</v>
      </c>
      <c r="Q40" s="86" t="s">
        <v>221</v>
      </c>
      <c r="R40" s="87">
        <v>42374</v>
      </c>
      <c r="S40" s="84" t="s">
        <v>222</v>
      </c>
      <c r="T40" s="144">
        <v>2500</v>
      </c>
      <c r="U40" s="144">
        <v>3960</v>
      </c>
      <c r="V40" s="89"/>
      <c r="W40" s="89"/>
      <c r="X40" s="90">
        <v>45.13</v>
      </c>
      <c r="Y40" s="94">
        <f t="shared" si="9"/>
        <v>3914.87</v>
      </c>
      <c r="Z40" s="100"/>
      <c r="AA40" s="233">
        <v>1</v>
      </c>
      <c r="AB40" s="91"/>
      <c r="AC40" s="91"/>
      <c r="AD40" s="91"/>
      <c r="AE40" s="92"/>
      <c r="AF40" s="93">
        <v>0</v>
      </c>
      <c r="AG40" s="93"/>
      <c r="AH40" s="94">
        <f t="shared" si="14"/>
        <v>3913.87</v>
      </c>
      <c r="AI40" s="95">
        <f t="shared" si="16"/>
        <v>0</v>
      </c>
      <c r="AJ40" s="94">
        <f t="shared" si="15"/>
        <v>3913.87</v>
      </c>
      <c r="AK40" s="96">
        <f t="shared" si="17"/>
        <v>391.48700000000002</v>
      </c>
      <c r="AL40" s="95" t="e">
        <f>+'[1]C&amp;A'!X30*0.02</f>
        <v>#REF!</v>
      </c>
      <c r="AM40" s="94" t="e">
        <f t="shared" si="18"/>
        <v>#REF!</v>
      </c>
      <c r="AN40" s="97"/>
      <c r="AO40" s="98"/>
      <c r="AP40" s="99">
        <f t="shared" si="20"/>
        <v>-3913.87</v>
      </c>
      <c r="AQ40" s="99"/>
      <c r="AR40" s="104"/>
      <c r="AS40" s="48">
        <f t="shared" si="10"/>
        <v>166.66666666666666</v>
      </c>
      <c r="AT40" s="48">
        <f t="shared" si="11"/>
        <v>-3.3333333333587234E-3</v>
      </c>
      <c r="AU40" s="235" t="b">
        <f t="shared" si="12"/>
        <v>1</v>
      </c>
      <c r="AV40" s="236" t="s">
        <v>59</v>
      </c>
      <c r="AW40" s="235" t="s">
        <v>60</v>
      </c>
      <c r="AX40" s="239">
        <v>2500.0500000000002</v>
      </c>
      <c r="AY40" s="235">
        <f t="shared" si="13"/>
        <v>166.67000000000002</v>
      </c>
    </row>
    <row r="41" spans="1:51">
      <c r="A41" s="2" t="s">
        <v>61</v>
      </c>
      <c r="B41" s="1" t="s">
        <v>62</v>
      </c>
      <c r="C41" s="178">
        <f>+FISCAL!I41</f>
        <v>3266.62</v>
      </c>
      <c r="D41" s="178">
        <f t="shared" si="1"/>
        <v>3266.62</v>
      </c>
      <c r="E41" s="184"/>
      <c r="F41" s="178">
        <f t="shared" si="2"/>
        <v>3266.62</v>
      </c>
      <c r="G41" s="178">
        <f t="shared" si="3"/>
        <v>-45.13</v>
      </c>
      <c r="H41" s="178">
        <f t="shared" si="4"/>
        <v>65.332399999999993</v>
      </c>
      <c r="I41" s="178">
        <f t="shared" si="5"/>
        <v>244.99649999999997</v>
      </c>
      <c r="J41" s="178">
        <f t="shared" si="6"/>
        <v>3531.8188999999993</v>
      </c>
      <c r="K41" s="178">
        <f t="shared" si="7"/>
        <v>565.09102399999995</v>
      </c>
      <c r="L41" s="178">
        <f t="shared" si="8"/>
        <v>4096.9099239999996</v>
      </c>
      <c r="N41" s="191" t="str">
        <f t="shared" si="0"/>
        <v>SI</v>
      </c>
      <c r="O41" s="84" t="s">
        <v>188</v>
      </c>
      <c r="P41" s="101" t="s">
        <v>223</v>
      </c>
      <c r="Q41" s="86"/>
      <c r="R41" s="87">
        <v>42653</v>
      </c>
      <c r="S41" s="84" t="s">
        <v>224</v>
      </c>
      <c r="T41" s="144">
        <v>3500</v>
      </c>
      <c r="U41" s="144">
        <v>0</v>
      </c>
      <c r="V41" s="89"/>
      <c r="W41" s="89"/>
      <c r="X41" s="90">
        <v>45.13</v>
      </c>
      <c r="Y41" s="94">
        <f t="shared" si="9"/>
        <v>-45.13</v>
      </c>
      <c r="Z41" s="100"/>
      <c r="AA41" s="233">
        <v>1</v>
      </c>
      <c r="AB41" s="91"/>
      <c r="AC41" s="91"/>
      <c r="AD41" s="91"/>
      <c r="AE41" s="92"/>
      <c r="AF41" s="93">
        <v>1045.17</v>
      </c>
      <c r="AG41" s="93"/>
      <c r="AH41" s="94">
        <f t="shared" si="14"/>
        <v>-1091.3000000000002</v>
      </c>
      <c r="AI41" s="95">
        <f t="shared" si="16"/>
        <v>0</v>
      </c>
      <c r="AJ41" s="94">
        <f t="shared" si="15"/>
        <v>-1091.3000000000002</v>
      </c>
      <c r="AK41" s="96"/>
      <c r="AL41" s="95"/>
      <c r="AM41" s="94"/>
      <c r="AN41" s="97"/>
      <c r="AO41" s="98"/>
      <c r="AP41" s="99"/>
      <c r="AQ41" s="151">
        <v>1127295456</v>
      </c>
      <c r="AR41" s="104"/>
      <c r="AS41" s="48">
        <f t="shared" si="10"/>
        <v>233.33333333333334</v>
      </c>
      <c r="AT41" s="48">
        <f t="shared" si="11"/>
        <v>3.3333333333587234E-3</v>
      </c>
      <c r="AU41" s="235" t="b">
        <f t="shared" si="12"/>
        <v>1</v>
      </c>
      <c r="AV41" s="236" t="s">
        <v>61</v>
      </c>
      <c r="AW41" s="235" t="s">
        <v>62</v>
      </c>
      <c r="AX41" s="239">
        <v>3499.95</v>
      </c>
      <c r="AY41" s="235">
        <f t="shared" si="13"/>
        <v>233.32999999999998</v>
      </c>
    </row>
    <row r="42" spans="1:51" ht="20.25" customHeight="1">
      <c r="A42" s="2" t="s">
        <v>114</v>
      </c>
      <c r="B42" s="231" t="s">
        <v>115</v>
      </c>
      <c r="C42" s="178">
        <f>+FISCAL!I42</f>
        <v>11100.6</v>
      </c>
      <c r="D42" s="178">
        <f t="shared" si="1"/>
        <v>11100.6</v>
      </c>
      <c r="E42" s="184"/>
      <c r="F42" s="178">
        <f t="shared" si="2"/>
        <v>11100.6</v>
      </c>
      <c r="G42" s="178">
        <f t="shared" si="3"/>
        <v>-45.13</v>
      </c>
      <c r="H42" s="178">
        <f t="shared" si="4"/>
        <v>222.012</v>
      </c>
      <c r="I42" s="178">
        <f t="shared" si="5"/>
        <v>832.54499999999996</v>
      </c>
      <c r="J42" s="178">
        <f t="shared" si="6"/>
        <v>12110.027000000002</v>
      </c>
      <c r="K42" s="178">
        <f t="shared" si="7"/>
        <v>1937.6043200000004</v>
      </c>
      <c r="L42" s="178">
        <f t="shared" si="8"/>
        <v>14047.631320000002</v>
      </c>
      <c r="N42" s="191" t="str">
        <f t="shared" si="0"/>
        <v>SI</v>
      </c>
      <c r="O42" s="101" t="s">
        <v>199</v>
      </c>
      <c r="P42" s="101" t="s">
        <v>225</v>
      </c>
      <c r="Q42" s="107"/>
      <c r="R42" s="106">
        <v>5</v>
      </c>
      <c r="S42" s="101" t="s">
        <v>218</v>
      </c>
      <c r="T42" s="145">
        <v>1200</v>
      </c>
      <c r="U42" s="145">
        <v>9900</v>
      </c>
      <c r="V42" s="89"/>
      <c r="W42" s="89"/>
      <c r="X42" s="90">
        <v>45.13</v>
      </c>
      <c r="Y42" s="94">
        <f t="shared" si="9"/>
        <v>9854.8700000000008</v>
      </c>
      <c r="Z42" s="100"/>
      <c r="AA42" s="134"/>
      <c r="AB42" s="91"/>
      <c r="AC42" s="91"/>
      <c r="AD42" s="91"/>
      <c r="AE42" s="108"/>
      <c r="AF42" s="108">
        <v>0</v>
      </c>
      <c r="AG42" s="108"/>
      <c r="AH42" s="94">
        <f t="shared" si="14"/>
        <v>9854.8700000000008</v>
      </c>
      <c r="AI42" s="95">
        <f t="shared" si="16"/>
        <v>985.48700000000008</v>
      </c>
      <c r="AJ42" s="94">
        <f t="shared" si="15"/>
        <v>8869.3830000000016</v>
      </c>
      <c r="AK42" s="96">
        <f t="shared" si="17"/>
        <v>0</v>
      </c>
      <c r="AL42" s="95" t="e">
        <f>+'[1]C&amp;A'!X31*0.02</f>
        <v>#REF!</v>
      </c>
      <c r="AM42" s="94" t="e">
        <f t="shared" si="18"/>
        <v>#REF!</v>
      </c>
      <c r="AN42" s="97"/>
      <c r="AO42" s="102"/>
      <c r="AP42" s="99">
        <f t="shared" si="20"/>
        <v>-8869.3830000000016</v>
      </c>
      <c r="AQ42" s="109"/>
      <c r="AR42" s="101"/>
      <c r="AS42" s="48">
        <v>80.040000000000006</v>
      </c>
      <c r="AT42" s="48">
        <f t="shared" si="11"/>
        <v>0</v>
      </c>
      <c r="AU42" s="235" t="b">
        <f t="shared" si="12"/>
        <v>1</v>
      </c>
      <c r="AV42" s="236" t="s">
        <v>114</v>
      </c>
      <c r="AW42" s="235" t="s">
        <v>115</v>
      </c>
      <c r="AX42" s="239">
        <v>1200.5999999999999</v>
      </c>
      <c r="AY42" s="235">
        <f t="shared" si="13"/>
        <v>80.039999999999992</v>
      </c>
    </row>
    <row r="43" spans="1:51">
      <c r="A43" s="2" t="s">
        <v>116</v>
      </c>
      <c r="B43" s="231" t="s">
        <v>117</v>
      </c>
      <c r="C43" s="178">
        <f>+FISCAL!I43</f>
        <v>7310.6</v>
      </c>
      <c r="D43" s="178">
        <f t="shared" si="1"/>
        <v>7310.6</v>
      </c>
      <c r="E43" s="184"/>
      <c r="F43" s="178">
        <f t="shared" si="2"/>
        <v>7310.6</v>
      </c>
      <c r="G43" s="178">
        <f t="shared" si="3"/>
        <v>-45.13</v>
      </c>
      <c r="H43" s="178">
        <f t="shared" si="4"/>
        <v>146.21200000000002</v>
      </c>
      <c r="I43" s="178">
        <f t="shared" si="5"/>
        <v>548.29499999999996</v>
      </c>
      <c r="J43" s="178">
        <f t="shared" si="6"/>
        <v>7959.9770000000008</v>
      </c>
      <c r="K43" s="178">
        <f t="shared" si="7"/>
        <v>1273.5963200000001</v>
      </c>
      <c r="L43" s="178">
        <f t="shared" si="8"/>
        <v>9233.5733200000013</v>
      </c>
      <c r="N43" s="191" t="str">
        <f t="shared" si="0"/>
        <v>SI</v>
      </c>
      <c r="O43" s="84" t="s">
        <v>199</v>
      </c>
      <c r="P43" s="84" t="s">
        <v>226</v>
      </c>
      <c r="Q43" s="86" t="s">
        <v>227</v>
      </c>
      <c r="R43" s="87">
        <v>41852</v>
      </c>
      <c r="S43" s="84" t="s">
        <v>198</v>
      </c>
      <c r="T43" s="144">
        <v>1200</v>
      </c>
      <c r="U43" s="144">
        <v>6110</v>
      </c>
      <c r="V43" s="89"/>
      <c r="W43" s="89"/>
      <c r="X43" s="90">
        <v>45.13</v>
      </c>
      <c r="Y43" s="94">
        <f t="shared" si="9"/>
        <v>6064.87</v>
      </c>
      <c r="Z43" s="100"/>
      <c r="AA43" s="134"/>
      <c r="AB43" s="91"/>
      <c r="AC43" s="91"/>
      <c r="AD43" s="91"/>
      <c r="AE43" s="92"/>
      <c r="AF43" s="93">
        <v>0</v>
      </c>
      <c r="AG43" s="93"/>
      <c r="AH43" s="94">
        <f t="shared" si="14"/>
        <v>6064.87</v>
      </c>
      <c r="AI43" s="95">
        <f t="shared" si="16"/>
        <v>606.48699999999997</v>
      </c>
      <c r="AJ43" s="94">
        <f t="shared" si="15"/>
        <v>5458.3829999999998</v>
      </c>
      <c r="AK43" s="96">
        <f t="shared" si="17"/>
        <v>0</v>
      </c>
      <c r="AL43" s="95" t="e">
        <f>+'[1]C&amp;A'!X32*0.02</f>
        <v>#REF!</v>
      </c>
      <c r="AM43" s="94" t="e">
        <f t="shared" si="18"/>
        <v>#REF!</v>
      </c>
      <c r="AN43" s="97"/>
      <c r="AO43" s="102"/>
      <c r="AP43" s="99">
        <f t="shared" si="20"/>
        <v>-5458.3829999999998</v>
      </c>
      <c r="AQ43" s="99"/>
      <c r="AR43" s="104"/>
      <c r="AS43" s="48">
        <v>80.040000000000006</v>
      </c>
      <c r="AT43" s="48">
        <f t="shared" si="11"/>
        <v>0</v>
      </c>
      <c r="AU43" s="235" t="b">
        <f t="shared" si="12"/>
        <v>1</v>
      </c>
      <c r="AV43" s="236" t="s">
        <v>116</v>
      </c>
      <c r="AW43" s="235" t="s">
        <v>117</v>
      </c>
      <c r="AX43" s="239">
        <v>1200.5999999999999</v>
      </c>
      <c r="AY43" s="235">
        <f t="shared" si="13"/>
        <v>80.039999999999992</v>
      </c>
    </row>
    <row r="44" spans="1:51">
      <c r="A44" s="2" t="s">
        <v>63</v>
      </c>
      <c r="B44" s="1" t="s">
        <v>64</v>
      </c>
      <c r="C44" s="178">
        <f>+FISCAL!I44</f>
        <v>15622.1</v>
      </c>
      <c r="D44" s="178">
        <f t="shared" si="1"/>
        <v>15622.1</v>
      </c>
      <c r="E44" s="184"/>
      <c r="F44" s="178">
        <f t="shared" si="2"/>
        <v>15622.1</v>
      </c>
      <c r="G44" s="178">
        <f t="shared" si="3"/>
        <v>-45.13</v>
      </c>
      <c r="H44" s="178">
        <f t="shared" si="4"/>
        <v>312.44200000000001</v>
      </c>
      <c r="I44" s="178">
        <f t="shared" si="5"/>
        <v>1171.6575</v>
      </c>
      <c r="J44" s="178">
        <f t="shared" si="6"/>
        <v>17061.069500000001</v>
      </c>
      <c r="K44" s="178">
        <f t="shared" si="7"/>
        <v>2729.7711200000003</v>
      </c>
      <c r="L44" s="178">
        <f t="shared" si="8"/>
        <v>19790.840620000003</v>
      </c>
      <c r="N44" s="191" t="str">
        <f t="shared" ref="N44:N76" si="21">IF(B44=P44,"SI","NO")</f>
        <v>SI</v>
      </c>
      <c r="O44" s="101" t="s">
        <v>164</v>
      </c>
      <c r="P44" s="101" t="s">
        <v>228</v>
      </c>
      <c r="Q44" s="107"/>
      <c r="R44" s="106">
        <v>42499</v>
      </c>
      <c r="S44" s="101" t="s">
        <v>229</v>
      </c>
      <c r="T44" s="145">
        <v>3000</v>
      </c>
      <c r="U44" s="145">
        <f>9642.1+2980</f>
        <v>12622.1</v>
      </c>
      <c r="V44" s="89"/>
      <c r="W44" s="89"/>
      <c r="X44" s="90">
        <v>45.13</v>
      </c>
      <c r="Y44" s="94">
        <f t="shared" si="9"/>
        <v>12576.970000000001</v>
      </c>
      <c r="Z44" s="100"/>
      <c r="AA44" s="134"/>
      <c r="AB44" s="91"/>
      <c r="AC44" s="91"/>
      <c r="AD44" s="91"/>
      <c r="AE44" s="92"/>
      <c r="AF44" s="93">
        <v>0</v>
      </c>
      <c r="AG44" s="93"/>
      <c r="AH44" s="94">
        <f t="shared" si="14"/>
        <v>12576.970000000001</v>
      </c>
      <c r="AI44" s="95">
        <f t="shared" si="16"/>
        <v>1257.6970000000001</v>
      </c>
      <c r="AJ44" s="94">
        <f t="shared" si="15"/>
        <v>11319.273000000001</v>
      </c>
      <c r="AK44" s="96">
        <f t="shared" si="17"/>
        <v>0</v>
      </c>
      <c r="AL44" s="95" t="e">
        <f>+'[1]C&amp;A'!X33*0.02</f>
        <v>#REF!</v>
      </c>
      <c r="AM44" s="94" t="e">
        <f t="shared" si="18"/>
        <v>#REF!</v>
      </c>
      <c r="AN44" s="110"/>
      <c r="AO44" s="111"/>
      <c r="AP44" s="99">
        <f t="shared" si="20"/>
        <v>-11319.273000000001</v>
      </c>
      <c r="AQ44" s="112"/>
      <c r="AR44" s="104"/>
      <c r="AS44" s="48">
        <f t="shared" si="10"/>
        <v>200</v>
      </c>
      <c r="AT44" s="48">
        <f t="shared" si="11"/>
        <v>0</v>
      </c>
      <c r="AU44" s="235" t="b">
        <f t="shared" si="12"/>
        <v>1</v>
      </c>
      <c r="AV44" s="236" t="s">
        <v>63</v>
      </c>
      <c r="AW44" s="235" t="s">
        <v>64</v>
      </c>
      <c r="AX44" s="239">
        <v>3000</v>
      </c>
      <c r="AY44" s="235">
        <f t="shared" si="13"/>
        <v>200</v>
      </c>
    </row>
    <row r="45" spans="1:51" ht="18.75" customHeight="1">
      <c r="A45" s="2" t="s">
        <v>65</v>
      </c>
      <c r="B45" s="1" t="s">
        <v>66</v>
      </c>
      <c r="C45" s="178">
        <f>+FISCAL!I45</f>
        <v>4710</v>
      </c>
      <c r="D45" s="178">
        <f t="shared" si="1"/>
        <v>4710</v>
      </c>
      <c r="E45" s="184"/>
      <c r="F45" s="178">
        <f t="shared" si="2"/>
        <v>4710</v>
      </c>
      <c r="G45" s="178">
        <f t="shared" si="3"/>
        <v>-45.13</v>
      </c>
      <c r="H45" s="178">
        <f t="shared" si="4"/>
        <v>94.2</v>
      </c>
      <c r="I45" s="178">
        <f t="shared" si="5"/>
        <v>353.25</v>
      </c>
      <c r="J45" s="178">
        <f t="shared" si="6"/>
        <v>5112.32</v>
      </c>
      <c r="K45" s="178">
        <f t="shared" si="7"/>
        <v>817.97119999999995</v>
      </c>
      <c r="L45" s="178">
        <f t="shared" si="8"/>
        <v>5930.2911999999997</v>
      </c>
      <c r="N45" s="191" t="str">
        <f t="shared" si="21"/>
        <v>SI</v>
      </c>
      <c r="O45" s="101" t="s">
        <v>166</v>
      </c>
      <c r="P45" s="101" t="s">
        <v>230</v>
      </c>
      <c r="Q45" s="107" t="s">
        <v>231</v>
      </c>
      <c r="R45" s="87">
        <v>42086</v>
      </c>
      <c r="S45" s="101" t="s">
        <v>232</v>
      </c>
      <c r="T45" s="145">
        <v>2250</v>
      </c>
      <c r="U45" s="168">
        <v>2460</v>
      </c>
      <c r="V45" s="89"/>
      <c r="W45" s="89"/>
      <c r="X45" s="90">
        <v>45.13</v>
      </c>
      <c r="Y45" s="94">
        <f t="shared" si="9"/>
        <v>2414.87</v>
      </c>
      <c r="Z45" s="100"/>
      <c r="AA45" s="134"/>
      <c r="AB45" s="91"/>
      <c r="AC45" s="91"/>
      <c r="AD45" s="91"/>
      <c r="AE45" s="108"/>
      <c r="AF45" s="108">
        <v>0</v>
      </c>
      <c r="AG45" s="108"/>
      <c r="AH45" s="94">
        <f t="shared" si="14"/>
        <v>2414.87</v>
      </c>
      <c r="AI45" s="95">
        <f t="shared" si="16"/>
        <v>0</v>
      </c>
      <c r="AJ45" s="94">
        <f t="shared" si="15"/>
        <v>2414.87</v>
      </c>
      <c r="AK45" s="96">
        <f t="shared" si="17"/>
        <v>241.48699999999999</v>
      </c>
      <c r="AL45" s="95" t="e">
        <f>+'[1]C&amp;A'!X35*0.02</f>
        <v>#REF!</v>
      </c>
      <c r="AM45" s="94" t="e">
        <f t="shared" si="18"/>
        <v>#REF!</v>
      </c>
      <c r="AN45" s="97"/>
      <c r="AO45" s="102"/>
      <c r="AP45" s="99">
        <f t="shared" si="20"/>
        <v>-2414.87</v>
      </c>
      <c r="AQ45" s="99"/>
      <c r="AR45" s="104"/>
      <c r="AS45" s="48">
        <f t="shared" si="10"/>
        <v>150</v>
      </c>
      <c r="AT45" s="48">
        <f t="shared" si="11"/>
        <v>0</v>
      </c>
      <c r="AU45" s="235" t="b">
        <f t="shared" si="12"/>
        <v>1</v>
      </c>
      <c r="AV45" s="236" t="s">
        <v>65</v>
      </c>
      <c r="AW45" s="235" t="s">
        <v>66</v>
      </c>
      <c r="AX45" s="239">
        <v>2250</v>
      </c>
      <c r="AY45" s="235">
        <f t="shared" si="13"/>
        <v>150</v>
      </c>
    </row>
    <row r="46" spans="1:51" s="54" customFormat="1" ht="18.75" customHeight="1">
      <c r="A46" s="2" t="s">
        <v>67</v>
      </c>
      <c r="B46" s="54" t="s">
        <v>68</v>
      </c>
      <c r="C46" s="178">
        <f>+FISCAL!I46</f>
        <v>0</v>
      </c>
      <c r="D46" s="178">
        <f t="shared" si="1"/>
        <v>0</v>
      </c>
      <c r="E46" s="184"/>
      <c r="F46" s="178">
        <f t="shared" si="2"/>
        <v>0</v>
      </c>
      <c r="G46" s="178">
        <f t="shared" si="3"/>
        <v>0</v>
      </c>
      <c r="H46" s="178">
        <f t="shared" si="4"/>
        <v>0</v>
      </c>
      <c r="I46" s="178">
        <f t="shared" si="5"/>
        <v>0</v>
      </c>
      <c r="J46" s="178">
        <f t="shared" si="6"/>
        <v>0</v>
      </c>
      <c r="K46" s="178">
        <f t="shared" si="7"/>
        <v>0</v>
      </c>
      <c r="L46" s="178">
        <f t="shared" si="8"/>
        <v>0</v>
      </c>
      <c r="M46" s="43" t="s">
        <v>358</v>
      </c>
      <c r="N46" s="191" t="str">
        <f t="shared" si="21"/>
        <v>SI</v>
      </c>
      <c r="O46" s="207" t="s">
        <v>188</v>
      </c>
      <c r="P46" s="207" t="s">
        <v>233</v>
      </c>
      <c r="Q46" s="208" t="s">
        <v>234</v>
      </c>
      <c r="R46" s="225">
        <v>41464</v>
      </c>
      <c r="S46" s="207" t="s">
        <v>222</v>
      </c>
      <c r="T46" s="210"/>
      <c r="U46" s="210"/>
      <c r="V46" s="211"/>
      <c r="W46" s="211"/>
      <c r="X46" s="212"/>
      <c r="Y46" s="213">
        <f t="shared" si="9"/>
        <v>0</v>
      </c>
      <c r="Z46" s="211"/>
      <c r="AA46" s="214"/>
      <c r="AB46" s="215"/>
      <c r="AC46" s="215"/>
      <c r="AD46" s="215"/>
      <c r="AE46" s="216"/>
      <c r="AF46" s="217"/>
      <c r="AG46" s="217"/>
      <c r="AH46" s="213">
        <f t="shared" si="14"/>
        <v>0</v>
      </c>
      <c r="AI46" s="215">
        <f t="shared" si="16"/>
        <v>0</v>
      </c>
      <c r="AJ46" s="213">
        <f t="shared" si="15"/>
        <v>0</v>
      </c>
      <c r="AK46" s="215">
        <f t="shared" si="17"/>
        <v>0</v>
      </c>
      <c r="AL46" s="215" t="e">
        <f>+'[1]C&amp;A'!X37*0.02</f>
        <v>#REF!</v>
      </c>
      <c r="AM46" s="213" t="e">
        <f t="shared" si="18"/>
        <v>#REF!</v>
      </c>
      <c r="AN46" s="218"/>
      <c r="AO46" s="219"/>
      <c r="AP46" s="220">
        <f t="shared" si="20"/>
        <v>0</v>
      </c>
      <c r="AQ46" s="220"/>
      <c r="AR46" s="226" t="s">
        <v>353</v>
      </c>
      <c r="AS46" s="241" t="s">
        <v>358</v>
      </c>
      <c r="AT46" s="48" t="e">
        <f t="shared" si="11"/>
        <v>#VALUE!</v>
      </c>
      <c r="AU46" s="235" t="b">
        <f t="shared" si="12"/>
        <v>1</v>
      </c>
      <c r="AV46" s="236" t="s">
        <v>67</v>
      </c>
      <c r="AW46" s="235" t="s">
        <v>68</v>
      </c>
      <c r="AX46" s="239">
        <v>833.35</v>
      </c>
      <c r="AY46" s="235">
        <f t="shared" si="13"/>
        <v>55.556666666666665</v>
      </c>
    </row>
    <row r="47" spans="1:51">
      <c r="B47" s="191" t="s">
        <v>334</v>
      </c>
      <c r="C47" s="178">
        <f>+FISCAL!I47</f>
        <v>4550.04</v>
      </c>
      <c r="D47" s="178">
        <f t="shared" si="1"/>
        <v>4550.04</v>
      </c>
      <c r="E47" s="184"/>
      <c r="F47" s="178">
        <f t="shared" si="2"/>
        <v>4550.04</v>
      </c>
      <c r="G47" s="178">
        <f t="shared" si="3"/>
        <v>-45.13</v>
      </c>
      <c r="H47" s="178">
        <f t="shared" si="4"/>
        <v>91.000799999999998</v>
      </c>
      <c r="I47" s="178">
        <f t="shared" si="5"/>
        <v>341.25299999999999</v>
      </c>
      <c r="J47" s="178">
        <f t="shared" si="6"/>
        <v>4937.1637999999994</v>
      </c>
      <c r="K47" s="178">
        <f t="shared" si="7"/>
        <v>789.94620799999996</v>
      </c>
      <c r="L47" s="178">
        <f t="shared" si="8"/>
        <v>5727.1100079999997</v>
      </c>
      <c r="N47" s="191" t="str">
        <f t="shared" si="21"/>
        <v>SI</v>
      </c>
      <c r="O47" s="84" t="s">
        <v>164</v>
      </c>
      <c r="P47" s="84" t="s">
        <v>334</v>
      </c>
      <c r="Q47" s="86"/>
      <c r="R47" s="87">
        <v>42706</v>
      </c>
      <c r="S47" s="84" t="s">
        <v>167</v>
      </c>
      <c r="T47" s="144">
        <v>3250</v>
      </c>
      <c r="U47" s="144">
        <v>1299.99</v>
      </c>
      <c r="V47" s="89"/>
      <c r="W47" s="89"/>
      <c r="X47" s="90">
        <v>45.13</v>
      </c>
      <c r="Y47" s="94">
        <f t="shared" si="9"/>
        <v>1254.8599999999999</v>
      </c>
      <c r="Z47" s="100"/>
      <c r="AA47" s="134"/>
      <c r="AB47" s="91"/>
      <c r="AC47" s="91"/>
      <c r="AD47" s="91"/>
      <c r="AE47" s="92"/>
      <c r="AF47" s="93">
        <v>328.09</v>
      </c>
      <c r="AG47" s="93"/>
      <c r="AH47" s="94">
        <f t="shared" si="14"/>
        <v>926.77</v>
      </c>
      <c r="AI47" s="95">
        <f t="shared" si="16"/>
        <v>0</v>
      </c>
      <c r="AJ47" s="94">
        <f t="shared" si="15"/>
        <v>926.77</v>
      </c>
      <c r="AK47" s="96"/>
      <c r="AL47" s="95"/>
      <c r="AM47" s="94"/>
      <c r="AN47" s="97"/>
      <c r="AO47" s="98"/>
      <c r="AP47" s="99"/>
      <c r="AQ47" s="99"/>
      <c r="AR47" s="104" t="s">
        <v>350</v>
      </c>
      <c r="AS47" s="48">
        <f t="shared" si="10"/>
        <v>216.66666666666666</v>
      </c>
      <c r="AT47" s="48">
        <f t="shared" si="11"/>
        <v>-3.3333333333587234E-3</v>
      </c>
      <c r="AU47" s="235" t="b">
        <f t="shared" si="12"/>
        <v>1</v>
      </c>
      <c r="AV47" s="236" t="s">
        <v>337</v>
      </c>
      <c r="AW47" s="235" t="s">
        <v>338</v>
      </c>
      <c r="AX47" s="239">
        <v>3250.05</v>
      </c>
      <c r="AY47" s="235">
        <f t="shared" si="13"/>
        <v>216.67000000000002</v>
      </c>
    </row>
    <row r="48" spans="1:51">
      <c r="A48" s="55" t="s">
        <v>69</v>
      </c>
      <c r="B48" s="191" t="s">
        <v>70</v>
      </c>
      <c r="C48" s="178">
        <f>+FISCAL!I48</f>
        <v>12225.25</v>
      </c>
      <c r="D48" s="178">
        <f t="shared" si="1"/>
        <v>12225.25</v>
      </c>
      <c r="E48" s="184"/>
      <c r="F48" s="178">
        <f t="shared" si="2"/>
        <v>12225.25</v>
      </c>
      <c r="G48" s="178">
        <f t="shared" si="3"/>
        <v>-45.13</v>
      </c>
      <c r="H48" s="178">
        <f t="shared" si="4"/>
        <v>244.505</v>
      </c>
      <c r="I48" s="178">
        <f t="shared" si="5"/>
        <v>916.89374999999995</v>
      </c>
      <c r="J48" s="178">
        <f t="shared" si="6"/>
        <v>13341.518749999999</v>
      </c>
      <c r="K48" s="178">
        <f t="shared" si="7"/>
        <v>2134.643</v>
      </c>
      <c r="L48" s="178">
        <f t="shared" si="8"/>
        <v>15476.161749999999</v>
      </c>
      <c r="N48" s="191" t="str">
        <f t="shared" si="21"/>
        <v>SI</v>
      </c>
      <c r="O48" s="84" t="s">
        <v>188</v>
      </c>
      <c r="P48" s="84" t="s">
        <v>235</v>
      </c>
      <c r="Q48" s="86">
        <v>56</v>
      </c>
      <c r="R48" s="87">
        <v>40033</v>
      </c>
      <c r="S48" s="84" t="s">
        <v>236</v>
      </c>
      <c r="T48" s="144">
        <v>1750</v>
      </c>
      <c r="U48" s="144">
        <v>10475.200000000001</v>
      </c>
      <c r="V48" s="89"/>
      <c r="W48" s="89"/>
      <c r="X48" s="90">
        <v>45.13</v>
      </c>
      <c r="Y48" s="94">
        <f t="shared" si="9"/>
        <v>10430.070000000002</v>
      </c>
      <c r="Z48" s="100"/>
      <c r="AA48" s="134"/>
      <c r="AB48" s="91"/>
      <c r="AC48" s="91"/>
      <c r="AD48" s="91"/>
      <c r="AE48" s="92"/>
      <c r="AF48" s="93">
        <v>0</v>
      </c>
      <c r="AG48" s="93"/>
      <c r="AH48" s="94">
        <f t="shared" si="14"/>
        <v>10430.070000000002</v>
      </c>
      <c r="AI48" s="95">
        <f t="shared" si="16"/>
        <v>1043.0070000000003</v>
      </c>
      <c r="AJ48" s="94">
        <f t="shared" si="15"/>
        <v>9387.0630000000019</v>
      </c>
      <c r="AK48" s="96">
        <f t="shared" si="17"/>
        <v>0</v>
      </c>
      <c r="AL48" s="95" t="e">
        <f>+'[1]C&amp;A'!X38*0.02</f>
        <v>#REF!</v>
      </c>
      <c r="AM48" s="94" t="e">
        <f t="shared" si="18"/>
        <v>#REF!</v>
      </c>
      <c r="AN48" s="97"/>
      <c r="AO48" s="98"/>
      <c r="AP48" s="99">
        <f t="shared" si="20"/>
        <v>-9387.0630000000019</v>
      </c>
      <c r="AQ48" s="99"/>
      <c r="AR48" s="104"/>
      <c r="AS48" s="48">
        <f t="shared" si="10"/>
        <v>116.66666666666667</v>
      </c>
      <c r="AT48" s="48">
        <f t="shared" si="11"/>
        <v>-3.3333333333303017E-3</v>
      </c>
      <c r="AU48" s="235" t="b">
        <f t="shared" si="12"/>
        <v>1</v>
      </c>
      <c r="AV48" s="236" t="s">
        <v>69</v>
      </c>
      <c r="AW48" s="235" t="s">
        <v>70</v>
      </c>
      <c r="AX48" s="239">
        <v>1750.05</v>
      </c>
      <c r="AY48" s="235">
        <f t="shared" si="13"/>
        <v>116.67</v>
      </c>
    </row>
    <row r="49" spans="1:51">
      <c r="A49" s="2" t="s">
        <v>71</v>
      </c>
      <c r="B49" s="191" t="s">
        <v>72</v>
      </c>
      <c r="C49" s="178">
        <f>+FISCAL!I49</f>
        <v>0</v>
      </c>
      <c r="D49" s="178">
        <f t="shared" si="1"/>
        <v>0</v>
      </c>
      <c r="E49" s="184"/>
      <c r="F49" s="178">
        <f t="shared" si="2"/>
        <v>0</v>
      </c>
      <c r="G49" s="178">
        <f t="shared" si="3"/>
        <v>0</v>
      </c>
      <c r="H49" s="178">
        <f t="shared" si="4"/>
        <v>0</v>
      </c>
      <c r="I49" s="178">
        <f t="shared" si="5"/>
        <v>0</v>
      </c>
      <c r="J49" s="178">
        <f t="shared" si="6"/>
        <v>0</v>
      </c>
      <c r="K49" s="178">
        <f t="shared" si="7"/>
        <v>0</v>
      </c>
      <c r="L49" s="178">
        <f t="shared" si="8"/>
        <v>0</v>
      </c>
      <c r="M49" s="43" t="s">
        <v>358</v>
      </c>
      <c r="N49" s="191" t="str">
        <f t="shared" si="21"/>
        <v>SI</v>
      </c>
      <c r="O49" s="207" t="s">
        <v>188</v>
      </c>
      <c r="P49" s="207" t="s">
        <v>237</v>
      </c>
      <c r="Q49" s="208"/>
      <c r="R49" s="209">
        <v>42591</v>
      </c>
      <c r="S49" s="207" t="s">
        <v>238</v>
      </c>
      <c r="T49" s="210"/>
      <c r="U49" s="210"/>
      <c r="V49" s="211"/>
      <c r="W49" s="211"/>
      <c r="X49" s="212"/>
      <c r="Y49" s="213">
        <f t="shared" si="9"/>
        <v>0</v>
      </c>
      <c r="Z49" s="211"/>
      <c r="AA49" s="214"/>
      <c r="AB49" s="215"/>
      <c r="AC49" s="215"/>
      <c r="AD49" s="215"/>
      <c r="AE49" s="216"/>
      <c r="AF49" s="217">
        <v>0</v>
      </c>
      <c r="AG49" s="217"/>
      <c r="AH49" s="213">
        <f t="shared" si="14"/>
        <v>0</v>
      </c>
      <c r="AI49" s="215"/>
      <c r="AJ49" s="213">
        <f t="shared" si="15"/>
        <v>0</v>
      </c>
      <c r="AK49" s="215"/>
      <c r="AL49" s="215"/>
      <c r="AM49" s="213"/>
      <c r="AN49" s="218"/>
      <c r="AO49" s="219"/>
      <c r="AP49" s="220"/>
      <c r="AQ49" s="220"/>
      <c r="AR49" s="221" t="s">
        <v>353</v>
      </c>
      <c r="AS49" s="241" t="s">
        <v>358</v>
      </c>
      <c r="AT49" s="48" t="e">
        <f t="shared" si="11"/>
        <v>#VALUE!</v>
      </c>
      <c r="AU49" s="235" t="b">
        <f t="shared" si="12"/>
        <v>1</v>
      </c>
      <c r="AV49" s="236" t="s">
        <v>71</v>
      </c>
      <c r="AW49" s="235" t="s">
        <v>72</v>
      </c>
      <c r="AX49" s="239">
        <v>3000</v>
      </c>
      <c r="AY49" s="235">
        <f t="shared" si="13"/>
        <v>200</v>
      </c>
    </row>
    <row r="50" spans="1:51">
      <c r="A50" s="2" t="s">
        <v>73</v>
      </c>
      <c r="B50" s="191" t="s">
        <v>74</v>
      </c>
      <c r="C50" s="178">
        <f>+FISCAL!I50</f>
        <v>15107.61</v>
      </c>
      <c r="D50" s="178">
        <f t="shared" si="1"/>
        <v>15107.61</v>
      </c>
      <c r="E50" s="184"/>
      <c r="F50" s="178">
        <f t="shared" si="2"/>
        <v>15107.61</v>
      </c>
      <c r="G50" s="178">
        <f t="shared" si="3"/>
        <v>-45.13</v>
      </c>
      <c r="H50" s="178">
        <f t="shared" si="4"/>
        <v>302.15219999999999</v>
      </c>
      <c r="I50" s="178">
        <f t="shared" si="5"/>
        <v>1133.0707500000001</v>
      </c>
      <c r="J50" s="178">
        <f t="shared" si="6"/>
        <v>16497.702950000003</v>
      </c>
      <c r="K50" s="178">
        <f t="shared" si="7"/>
        <v>2639.6324720000007</v>
      </c>
      <c r="L50" s="178">
        <f t="shared" si="8"/>
        <v>19137.335422000004</v>
      </c>
      <c r="N50" s="191" t="str">
        <f t="shared" si="21"/>
        <v>SI</v>
      </c>
      <c r="O50" s="84" t="s">
        <v>166</v>
      </c>
      <c r="P50" s="101" t="s">
        <v>239</v>
      </c>
      <c r="Q50" s="86" t="s">
        <v>240</v>
      </c>
      <c r="R50" s="87">
        <v>42275</v>
      </c>
      <c r="S50" s="84" t="s">
        <v>213</v>
      </c>
      <c r="T50" s="144">
        <v>2750</v>
      </c>
      <c r="U50" s="144">
        <v>12357.51</v>
      </c>
      <c r="V50" s="89"/>
      <c r="W50" s="89"/>
      <c r="X50" s="90">
        <v>45.13</v>
      </c>
      <c r="Y50" s="94">
        <f t="shared" si="9"/>
        <v>12312.380000000001</v>
      </c>
      <c r="Z50" s="100"/>
      <c r="AA50" s="134"/>
      <c r="AB50" s="91"/>
      <c r="AC50" s="91"/>
      <c r="AD50" s="91"/>
      <c r="AE50" s="92"/>
      <c r="AF50" s="93">
        <v>0</v>
      </c>
      <c r="AG50" s="93"/>
      <c r="AH50" s="94">
        <f t="shared" si="14"/>
        <v>12312.380000000001</v>
      </c>
      <c r="AI50" s="95">
        <f t="shared" ref="AI50:AI76" si="22">IF(Y50&gt;4500,Y50*0.1,0)</f>
        <v>1231.2380000000003</v>
      </c>
      <c r="AJ50" s="94">
        <f t="shared" si="15"/>
        <v>11081.142</v>
      </c>
      <c r="AK50" s="96">
        <f t="shared" ref="AK50:AK77" si="23">IF(Y50&lt;4500,Y50*0.1,0)</f>
        <v>0</v>
      </c>
      <c r="AL50" s="95" t="e">
        <f>+'[1]C&amp;A'!X39*0.02</f>
        <v>#REF!</v>
      </c>
      <c r="AM50" s="94" t="e">
        <f t="shared" ref="AM50:AM77" si="24">+Y50+AK50+AL50</f>
        <v>#REF!</v>
      </c>
      <c r="AN50" s="97"/>
      <c r="AO50" s="102"/>
      <c r="AP50" s="99">
        <f t="shared" ref="AP50:AP64" si="25">+AN50+AO50-AJ50</f>
        <v>-11081.142</v>
      </c>
      <c r="AQ50" s="99"/>
      <c r="AR50" s="113"/>
      <c r="AS50" s="48">
        <f t="shared" si="10"/>
        <v>183.33333333333334</v>
      </c>
      <c r="AT50" s="48">
        <f t="shared" si="11"/>
        <v>-6.6666666666606034E-3</v>
      </c>
      <c r="AU50" s="235" t="b">
        <f t="shared" si="12"/>
        <v>1</v>
      </c>
      <c r="AV50" s="236" t="s">
        <v>73</v>
      </c>
      <c r="AW50" s="235" t="s">
        <v>74</v>
      </c>
      <c r="AX50" s="239">
        <v>2750.1</v>
      </c>
      <c r="AY50" s="235">
        <f t="shared" si="13"/>
        <v>183.34</v>
      </c>
    </row>
    <row r="51" spans="1:51">
      <c r="A51" s="2" t="s">
        <v>75</v>
      </c>
      <c r="B51" s="1" t="s">
        <v>76</v>
      </c>
      <c r="C51" s="178">
        <f>+FISCAL!I51</f>
        <v>41838.78</v>
      </c>
      <c r="D51" s="178">
        <f t="shared" si="1"/>
        <v>41838.78</v>
      </c>
      <c r="E51" s="184"/>
      <c r="F51" s="178">
        <f t="shared" si="2"/>
        <v>41838.78</v>
      </c>
      <c r="G51" s="178">
        <f t="shared" si="3"/>
        <v>-45.13</v>
      </c>
      <c r="H51" s="178">
        <f t="shared" si="4"/>
        <v>836.77559999999994</v>
      </c>
      <c r="I51" s="178">
        <f t="shared" si="5"/>
        <v>3137.9085</v>
      </c>
      <c r="J51" s="178">
        <f t="shared" si="6"/>
        <v>45768.3341</v>
      </c>
      <c r="K51" s="178">
        <f t="shared" si="7"/>
        <v>7322.9334559999998</v>
      </c>
      <c r="L51" s="178">
        <f t="shared" si="8"/>
        <v>53091.267555999999</v>
      </c>
      <c r="N51" s="191" t="str">
        <f t="shared" si="21"/>
        <v>SI</v>
      </c>
      <c r="O51" s="84" t="s">
        <v>188</v>
      </c>
      <c r="P51" s="84" t="s">
        <v>241</v>
      </c>
      <c r="Q51" s="84">
        <v>23</v>
      </c>
      <c r="R51" s="87">
        <v>39114</v>
      </c>
      <c r="S51" s="84" t="s">
        <v>242</v>
      </c>
      <c r="T51" s="144">
        <v>3750</v>
      </c>
      <c r="U51" s="144">
        <v>38088.78</v>
      </c>
      <c r="V51" s="89"/>
      <c r="W51" s="89"/>
      <c r="X51" s="90">
        <v>45.13</v>
      </c>
      <c r="Y51" s="94">
        <f t="shared" si="9"/>
        <v>38043.65</v>
      </c>
      <c r="Z51" s="166"/>
      <c r="AA51" s="134"/>
      <c r="AB51" s="91"/>
      <c r="AC51" s="91"/>
      <c r="AD51" s="91"/>
      <c r="AE51" s="92"/>
      <c r="AF51" s="93">
        <v>386.98</v>
      </c>
      <c r="AG51" s="93"/>
      <c r="AH51" s="94">
        <f t="shared" si="14"/>
        <v>37656.67</v>
      </c>
      <c r="AI51" s="95">
        <f t="shared" si="22"/>
        <v>3804.3650000000002</v>
      </c>
      <c r="AJ51" s="94">
        <f t="shared" si="15"/>
        <v>33852.305</v>
      </c>
      <c r="AK51" s="96">
        <f t="shared" si="23"/>
        <v>0</v>
      </c>
      <c r="AL51" s="95" t="e">
        <f>+'[1]C&amp;A'!X40*0.02</f>
        <v>#REF!</v>
      </c>
      <c r="AM51" s="94" t="e">
        <f t="shared" si="24"/>
        <v>#REF!</v>
      </c>
      <c r="AN51" s="97"/>
      <c r="AO51" s="114"/>
      <c r="AP51" s="99">
        <f t="shared" si="25"/>
        <v>-33852.305</v>
      </c>
      <c r="AQ51" s="99"/>
      <c r="AR51" s="101"/>
      <c r="AS51" s="48">
        <f t="shared" si="10"/>
        <v>250</v>
      </c>
      <c r="AT51" s="48">
        <f t="shared" si="11"/>
        <v>0</v>
      </c>
      <c r="AU51" s="235" t="b">
        <f t="shared" si="12"/>
        <v>1</v>
      </c>
      <c r="AV51" s="236" t="s">
        <v>75</v>
      </c>
      <c r="AW51" s="235" t="s">
        <v>76</v>
      </c>
      <c r="AX51" s="239">
        <v>3750</v>
      </c>
      <c r="AY51" s="235">
        <f t="shared" si="13"/>
        <v>250</v>
      </c>
    </row>
    <row r="52" spans="1:51">
      <c r="A52" s="2" t="s">
        <v>77</v>
      </c>
      <c r="B52" s="1" t="s">
        <v>78</v>
      </c>
      <c r="C52" s="178">
        <f>+FISCAL!I52</f>
        <v>2726.76</v>
      </c>
      <c r="D52" s="178">
        <f t="shared" si="1"/>
        <v>2726.76</v>
      </c>
      <c r="E52" s="184"/>
      <c r="F52" s="178">
        <f t="shared" si="2"/>
        <v>2726.76</v>
      </c>
      <c r="G52" s="178">
        <f t="shared" si="3"/>
        <v>-45.13</v>
      </c>
      <c r="H52" s="178">
        <f t="shared" si="4"/>
        <v>54.535200000000003</v>
      </c>
      <c r="I52" s="178">
        <f t="shared" si="5"/>
        <v>204.50700000000001</v>
      </c>
      <c r="J52" s="178">
        <f t="shared" si="6"/>
        <v>2940.6722</v>
      </c>
      <c r="K52" s="178">
        <f t="shared" si="7"/>
        <v>470.50755200000003</v>
      </c>
      <c r="L52" s="178">
        <f t="shared" si="8"/>
        <v>3411.179752</v>
      </c>
      <c r="N52" s="191" t="str">
        <f t="shared" si="21"/>
        <v>SI</v>
      </c>
      <c r="O52" s="84" t="s">
        <v>166</v>
      </c>
      <c r="P52" s="84" t="s">
        <v>243</v>
      </c>
      <c r="Q52" s="84">
        <v>12</v>
      </c>
      <c r="R52" s="87">
        <v>39356</v>
      </c>
      <c r="S52" s="84" t="s">
        <v>232</v>
      </c>
      <c r="T52" s="144">
        <v>2000</v>
      </c>
      <c r="U52" s="167">
        <v>860</v>
      </c>
      <c r="V52" s="89"/>
      <c r="W52" s="89"/>
      <c r="X52" s="90">
        <v>45.13</v>
      </c>
      <c r="Y52" s="94">
        <f t="shared" si="9"/>
        <v>814.87</v>
      </c>
      <c r="Z52" s="100"/>
      <c r="AA52" s="233">
        <v>1</v>
      </c>
      <c r="AB52" s="91"/>
      <c r="AC52" s="91"/>
      <c r="AD52" s="91"/>
      <c r="AE52" s="92"/>
      <c r="AF52" s="93">
        <v>0</v>
      </c>
      <c r="AG52" s="93"/>
      <c r="AH52" s="94">
        <f t="shared" si="14"/>
        <v>813.87</v>
      </c>
      <c r="AI52" s="95">
        <f t="shared" si="22"/>
        <v>0</v>
      </c>
      <c r="AJ52" s="94">
        <f t="shared" si="15"/>
        <v>813.87</v>
      </c>
      <c r="AK52" s="96">
        <f t="shared" si="23"/>
        <v>81.487000000000009</v>
      </c>
      <c r="AL52" s="95" t="e">
        <f>+'[1]C&amp;A'!X41*0.02</f>
        <v>#REF!</v>
      </c>
      <c r="AM52" s="94" t="e">
        <f t="shared" si="24"/>
        <v>#REF!</v>
      </c>
      <c r="AN52" s="97"/>
      <c r="AO52" s="114"/>
      <c r="AP52" s="99">
        <f t="shared" si="25"/>
        <v>-813.87</v>
      </c>
      <c r="AQ52" s="99"/>
      <c r="AR52" s="101"/>
      <c r="AS52" s="48">
        <f t="shared" si="10"/>
        <v>133.33333333333334</v>
      </c>
      <c r="AT52" s="48">
        <f t="shared" si="11"/>
        <v>-6.6666666666606034E-3</v>
      </c>
      <c r="AU52" s="235" t="b">
        <f t="shared" si="12"/>
        <v>1</v>
      </c>
      <c r="AV52" s="236" t="s">
        <v>77</v>
      </c>
      <c r="AW52" s="235" t="s">
        <v>78</v>
      </c>
      <c r="AX52" s="239">
        <v>2000.1</v>
      </c>
      <c r="AY52" s="235">
        <f t="shared" si="13"/>
        <v>133.34</v>
      </c>
    </row>
    <row r="53" spans="1:51">
      <c r="A53" s="2" t="s">
        <v>79</v>
      </c>
      <c r="B53" s="1" t="s">
        <v>80</v>
      </c>
      <c r="C53" s="178">
        <f>+FISCAL!I53</f>
        <v>7000.05</v>
      </c>
      <c r="D53" s="178">
        <f t="shared" si="1"/>
        <v>7000.05</v>
      </c>
      <c r="E53" s="184"/>
      <c r="F53" s="178">
        <f t="shared" si="2"/>
        <v>7000.05</v>
      </c>
      <c r="G53" s="178">
        <f t="shared" si="3"/>
        <v>-45.13</v>
      </c>
      <c r="H53" s="178">
        <f t="shared" si="4"/>
        <v>140.001</v>
      </c>
      <c r="I53" s="178">
        <f t="shared" si="5"/>
        <v>525.00374999999997</v>
      </c>
      <c r="J53" s="178">
        <f t="shared" si="6"/>
        <v>7619.9247500000001</v>
      </c>
      <c r="K53" s="178">
        <f t="shared" si="7"/>
        <v>1219.18796</v>
      </c>
      <c r="L53" s="178">
        <f t="shared" si="8"/>
        <v>8839.1127099999994</v>
      </c>
      <c r="N53" s="191" t="str">
        <f t="shared" si="21"/>
        <v>NO</v>
      </c>
      <c r="O53" s="101" t="s">
        <v>164</v>
      </c>
      <c r="P53" s="148" t="s">
        <v>305</v>
      </c>
      <c r="Q53" s="116" t="s">
        <v>244</v>
      </c>
      <c r="R53" s="87">
        <v>42325</v>
      </c>
      <c r="S53" s="84" t="s">
        <v>245</v>
      </c>
      <c r="T53" s="144">
        <f>5500+1500</f>
        <v>7000</v>
      </c>
      <c r="U53" s="145"/>
      <c r="V53" s="101"/>
      <c r="W53" s="89"/>
      <c r="X53" s="90">
        <v>45.13</v>
      </c>
      <c r="Y53" s="94">
        <f t="shared" si="9"/>
        <v>-45.13</v>
      </c>
      <c r="Z53" s="100"/>
      <c r="AA53" s="134"/>
      <c r="AB53" s="91"/>
      <c r="AC53" s="91"/>
      <c r="AD53" s="91"/>
      <c r="AE53" s="108"/>
      <c r="AF53" s="108">
        <v>0</v>
      </c>
      <c r="AG53" s="108"/>
      <c r="AH53" s="94">
        <f t="shared" si="14"/>
        <v>-45.13</v>
      </c>
      <c r="AI53" s="95">
        <f t="shared" si="22"/>
        <v>0</v>
      </c>
      <c r="AJ53" s="94">
        <f t="shared" si="15"/>
        <v>-45.13</v>
      </c>
      <c r="AK53" s="96">
        <f t="shared" si="23"/>
        <v>-4.5130000000000008</v>
      </c>
      <c r="AL53" s="95"/>
      <c r="AM53" s="94"/>
      <c r="AN53" s="97"/>
      <c r="AO53" s="114"/>
      <c r="AP53" s="99"/>
      <c r="AQ53" s="99"/>
      <c r="AR53" s="101"/>
      <c r="AS53" s="234">
        <f t="shared" si="10"/>
        <v>466.66666666666669</v>
      </c>
      <c r="AT53" s="48">
        <f t="shared" si="11"/>
        <v>99.99666666666667</v>
      </c>
      <c r="AU53" s="235" t="b">
        <f t="shared" si="12"/>
        <v>1</v>
      </c>
      <c r="AV53" s="236" t="s">
        <v>79</v>
      </c>
      <c r="AW53" s="235" t="s">
        <v>80</v>
      </c>
      <c r="AX53" s="239">
        <v>5500.05</v>
      </c>
      <c r="AY53" s="235">
        <f t="shared" si="13"/>
        <v>366.67</v>
      </c>
    </row>
    <row r="54" spans="1:51">
      <c r="A54" s="2" t="s">
        <v>118</v>
      </c>
      <c r="B54" s="231" t="s">
        <v>119</v>
      </c>
      <c r="C54" s="178">
        <f>+FISCAL!I54</f>
        <v>3000.6</v>
      </c>
      <c r="D54" s="178">
        <f t="shared" si="1"/>
        <v>3000.6</v>
      </c>
      <c r="E54" s="184"/>
      <c r="F54" s="178">
        <f t="shared" si="2"/>
        <v>3000.6</v>
      </c>
      <c r="G54" s="178">
        <f t="shared" si="3"/>
        <v>-45.13</v>
      </c>
      <c r="H54" s="178">
        <f t="shared" si="4"/>
        <v>60.012</v>
      </c>
      <c r="I54" s="178">
        <f t="shared" si="5"/>
        <v>225.04499999999999</v>
      </c>
      <c r="J54" s="178">
        <f t="shared" si="6"/>
        <v>3240.527</v>
      </c>
      <c r="K54" s="178">
        <f t="shared" si="7"/>
        <v>518.48432000000003</v>
      </c>
      <c r="L54" s="178">
        <f t="shared" si="8"/>
        <v>3759.0113200000001</v>
      </c>
      <c r="N54" s="191" t="str">
        <f t="shared" si="21"/>
        <v>SI</v>
      </c>
      <c r="O54" s="84" t="s">
        <v>199</v>
      </c>
      <c r="P54" s="84" t="s">
        <v>246</v>
      </c>
      <c r="Q54" s="86" t="s">
        <v>247</v>
      </c>
      <c r="R54" s="87">
        <v>40122</v>
      </c>
      <c r="S54" s="84" t="s">
        <v>220</v>
      </c>
      <c r="T54" s="144">
        <v>1200</v>
      </c>
      <c r="U54" s="144">
        <v>1800</v>
      </c>
      <c r="V54" s="89"/>
      <c r="W54" s="89"/>
      <c r="X54" s="90">
        <v>45.13</v>
      </c>
      <c r="Y54" s="94">
        <f t="shared" si="9"/>
        <v>1754.87</v>
      </c>
      <c r="Z54" s="100"/>
      <c r="AA54" s="134"/>
      <c r="AB54" s="91"/>
      <c r="AC54" s="91"/>
      <c r="AD54" s="91"/>
      <c r="AE54" s="92"/>
      <c r="AF54" s="93">
        <v>0</v>
      </c>
      <c r="AG54" s="93"/>
      <c r="AH54" s="94">
        <f t="shared" si="14"/>
        <v>1754.87</v>
      </c>
      <c r="AI54" s="95">
        <f t="shared" si="22"/>
        <v>0</v>
      </c>
      <c r="AJ54" s="94">
        <f t="shared" si="15"/>
        <v>1754.87</v>
      </c>
      <c r="AK54" s="96">
        <f t="shared" si="23"/>
        <v>175.48699999999999</v>
      </c>
      <c r="AL54" s="95" t="e">
        <f>+'[1]C&amp;A'!X43*0.02</f>
        <v>#REF!</v>
      </c>
      <c r="AM54" s="94" t="e">
        <f t="shared" si="24"/>
        <v>#REF!</v>
      </c>
      <c r="AN54" s="97"/>
      <c r="AO54" s="102"/>
      <c r="AP54" s="99">
        <f t="shared" si="25"/>
        <v>-1754.87</v>
      </c>
      <c r="AQ54" s="99"/>
      <c r="AR54" s="101"/>
      <c r="AS54" s="48">
        <f t="shared" si="10"/>
        <v>80</v>
      </c>
      <c r="AT54" s="48">
        <f t="shared" si="11"/>
        <v>-3.9999999999992042E-2</v>
      </c>
      <c r="AU54" s="235" t="b">
        <f t="shared" si="12"/>
        <v>1</v>
      </c>
      <c r="AV54" s="236" t="s">
        <v>118</v>
      </c>
      <c r="AW54" s="235" t="s">
        <v>119</v>
      </c>
      <c r="AX54" s="239">
        <v>1200.5999999999999</v>
      </c>
      <c r="AY54" s="235">
        <f t="shared" si="13"/>
        <v>80.039999999999992</v>
      </c>
    </row>
    <row r="55" spans="1:51" s="54" customFormat="1">
      <c r="A55" s="192"/>
      <c r="B55" s="26" t="s">
        <v>354</v>
      </c>
      <c r="C55" s="178">
        <f>+FISCAL!I55</f>
        <v>2053.2600000000002</v>
      </c>
      <c r="D55" s="178">
        <f t="shared" si="1"/>
        <v>2053.2600000000002</v>
      </c>
      <c r="E55" s="184"/>
      <c r="F55" s="178">
        <f t="shared" si="2"/>
        <v>2053.2600000000002</v>
      </c>
      <c r="G55" s="178">
        <f t="shared" si="3"/>
        <v>-45.13</v>
      </c>
      <c r="H55" s="178">
        <f t="shared" si="4"/>
        <v>41.065200000000004</v>
      </c>
      <c r="I55" s="178">
        <f t="shared" si="5"/>
        <v>153.99450000000002</v>
      </c>
      <c r="J55" s="178">
        <f t="shared" si="6"/>
        <v>2203.1896999999999</v>
      </c>
      <c r="K55" s="178">
        <f t="shared" si="7"/>
        <v>352.51035200000001</v>
      </c>
      <c r="L55" s="178">
        <f t="shared" si="8"/>
        <v>2555.7000520000001</v>
      </c>
      <c r="M55" s="244"/>
      <c r="N55" s="191" t="str">
        <f t="shared" si="21"/>
        <v>SI</v>
      </c>
      <c r="O55" s="171" t="s">
        <v>166</v>
      </c>
      <c r="P55" s="171" t="s">
        <v>354</v>
      </c>
      <c r="Q55" s="172"/>
      <c r="R55" s="173">
        <v>42740</v>
      </c>
      <c r="S55" s="171" t="s">
        <v>182</v>
      </c>
      <c r="T55" s="174"/>
      <c r="U55" s="174"/>
      <c r="V55" s="175"/>
      <c r="W55" s="175"/>
      <c r="X55" s="90">
        <v>45.13</v>
      </c>
      <c r="Y55" s="94">
        <f t="shared" si="9"/>
        <v>-45.13</v>
      </c>
      <c r="Z55" s="100"/>
      <c r="AA55" s="134"/>
      <c r="AB55" s="91"/>
      <c r="AC55" s="91"/>
      <c r="AD55" s="91"/>
      <c r="AE55" s="92"/>
      <c r="AF55" s="93"/>
      <c r="AG55" s="93"/>
      <c r="AH55" s="94">
        <f>+Y55-SUM(Z55:AF55)</f>
        <v>-45.13</v>
      </c>
      <c r="AI55" s="95">
        <f t="shared" si="22"/>
        <v>0</v>
      </c>
      <c r="AJ55" s="94">
        <f t="shared" si="15"/>
        <v>-45.13</v>
      </c>
      <c r="AK55" s="96">
        <f t="shared" si="23"/>
        <v>-4.5130000000000008</v>
      </c>
      <c r="AL55" s="95"/>
      <c r="AM55" s="94"/>
      <c r="AN55" s="97"/>
      <c r="AO55" s="98"/>
      <c r="AP55" s="99"/>
      <c r="AQ55" s="224">
        <v>1505406986</v>
      </c>
      <c r="AR55" s="176" t="s">
        <v>355</v>
      </c>
      <c r="AS55" s="48">
        <f t="shared" si="10"/>
        <v>0</v>
      </c>
      <c r="AT55" s="48">
        <f t="shared" si="11"/>
        <v>-136.88400000000001</v>
      </c>
      <c r="AU55" s="235" t="b">
        <f t="shared" si="12"/>
        <v>1</v>
      </c>
      <c r="AV55" s="236" t="s">
        <v>363</v>
      </c>
      <c r="AW55" s="235" t="s">
        <v>364</v>
      </c>
      <c r="AX55" s="239">
        <v>2053.2600000000002</v>
      </c>
      <c r="AY55" s="235">
        <f t="shared" si="13"/>
        <v>136.88400000000001</v>
      </c>
    </row>
    <row r="56" spans="1:51">
      <c r="A56" s="2" t="s">
        <v>81</v>
      </c>
      <c r="B56" s="17" t="s">
        <v>82</v>
      </c>
      <c r="C56" s="178">
        <f>+FISCAL!I56</f>
        <v>62384.97</v>
      </c>
      <c r="D56" s="178">
        <f t="shared" si="1"/>
        <v>62384.97</v>
      </c>
      <c r="E56" s="184"/>
      <c r="F56" s="178">
        <f t="shared" si="2"/>
        <v>62384.97</v>
      </c>
      <c r="G56" s="178">
        <f t="shared" si="3"/>
        <v>-45.13</v>
      </c>
      <c r="H56" s="178">
        <f t="shared" si="4"/>
        <v>1247.6994</v>
      </c>
      <c r="I56" s="178">
        <f t="shared" si="5"/>
        <v>4678.8727499999995</v>
      </c>
      <c r="J56" s="178">
        <f t="shared" si="6"/>
        <v>68266.412150000004</v>
      </c>
      <c r="K56" s="178">
        <f t="shared" si="7"/>
        <v>10922.625944000001</v>
      </c>
      <c r="L56" s="178">
        <f t="shared" si="8"/>
        <v>79189.038094000003</v>
      </c>
      <c r="N56" s="191" t="str">
        <f t="shared" si="21"/>
        <v>SI</v>
      </c>
      <c r="O56" s="84" t="s">
        <v>248</v>
      </c>
      <c r="P56" s="84" t="s">
        <v>249</v>
      </c>
      <c r="Q56" s="86">
        <v>9</v>
      </c>
      <c r="R56" s="87">
        <v>39814</v>
      </c>
      <c r="S56" s="84" t="s">
        <v>248</v>
      </c>
      <c r="T56" s="144">
        <v>7500</v>
      </c>
      <c r="U56" s="144">
        <v>54884.97</v>
      </c>
      <c r="V56" s="89"/>
      <c r="W56" s="89"/>
      <c r="X56" s="90">
        <v>45.13</v>
      </c>
      <c r="Y56" s="94">
        <f t="shared" ref="Y56:Y76" si="26">SUM(U56:W56)-X56</f>
        <v>54839.840000000004</v>
      </c>
      <c r="Z56" s="100">
        <v>4207.53</v>
      </c>
      <c r="AA56" s="134"/>
      <c r="AB56" s="91"/>
      <c r="AC56" s="91"/>
      <c r="AD56" s="91"/>
      <c r="AE56" s="92"/>
      <c r="AF56" s="93">
        <v>990.41</v>
      </c>
      <c r="AG56" s="93"/>
      <c r="AH56" s="94">
        <f t="shared" si="14"/>
        <v>49641.9</v>
      </c>
      <c r="AI56" s="95">
        <f t="shared" si="22"/>
        <v>5483.9840000000004</v>
      </c>
      <c r="AJ56" s="94">
        <f t="shared" si="15"/>
        <v>44157.915999999997</v>
      </c>
      <c r="AK56" s="96">
        <f t="shared" si="23"/>
        <v>0</v>
      </c>
      <c r="AL56" s="95" t="e">
        <f>+'[1]C&amp;A'!X44*0.02</f>
        <v>#REF!</v>
      </c>
      <c r="AM56" s="94" t="e">
        <f t="shared" si="24"/>
        <v>#REF!</v>
      </c>
      <c r="AN56" s="97"/>
      <c r="AO56" s="102"/>
      <c r="AP56" s="99">
        <f t="shared" si="25"/>
        <v>-44157.915999999997</v>
      </c>
      <c r="AQ56" s="99"/>
      <c r="AR56" s="101"/>
      <c r="AS56" s="48">
        <f t="shared" si="10"/>
        <v>500</v>
      </c>
      <c r="AT56" s="48">
        <f t="shared" si="11"/>
        <v>0</v>
      </c>
      <c r="AU56" s="235" t="b">
        <f t="shared" si="12"/>
        <v>1</v>
      </c>
      <c r="AV56" s="236" t="s">
        <v>81</v>
      </c>
      <c r="AW56" s="235" t="s">
        <v>82</v>
      </c>
      <c r="AX56" s="239">
        <v>7500</v>
      </c>
      <c r="AY56" s="235">
        <f t="shared" si="13"/>
        <v>500</v>
      </c>
    </row>
    <row r="57" spans="1:51">
      <c r="B57" s="65" t="s">
        <v>306</v>
      </c>
      <c r="C57" s="178">
        <f>+FISCAL!I57</f>
        <v>4550.04</v>
      </c>
      <c r="D57" s="178">
        <f t="shared" si="1"/>
        <v>4550.04</v>
      </c>
      <c r="E57" s="184"/>
      <c r="F57" s="178">
        <f t="shared" si="2"/>
        <v>4550.04</v>
      </c>
      <c r="G57" s="178">
        <f t="shared" si="3"/>
        <v>-45.13</v>
      </c>
      <c r="H57" s="178">
        <f t="shared" si="4"/>
        <v>91.000799999999998</v>
      </c>
      <c r="I57" s="178">
        <f t="shared" si="5"/>
        <v>341.25299999999999</v>
      </c>
      <c r="J57" s="178">
        <f t="shared" si="6"/>
        <v>4937.1637999999994</v>
      </c>
      <c r="K57" s="178">
        <f t="shared" si="7"/>
        <v>789.94620799999996</v>
      </c>
      <c r="L57" s="178">
        <f t="shared" si="8"/>
        <v>5727.1100079999997</v>
      </c>
      <c r="N57" s="191" t="str">
        <f t="shared" si="21"/>
        <v>SI</v>
      </c>
      <c r="O57" s="84" t="s">
        <v>164</v>
      </c>
      <c r="P57" s="84" t="s">
        <v>306</v>
      </c>
      <c r="Q57" s="86"/>
      <c r="R57" s="87">
        <v>42692</v>
      </c>
      <c r="S57" s="84" t="s">
        <v>167</v>
      </c>
      <c r="T57" s="144">
        <v>3250</v>
      </c>
      <c r="U57" s="144">
        <v>1299.99</v>
      </c>
      <c r="V57" s="89"/>
      <c r="W57" s="89"/>
      <c r="X57" s="90">
        <v>45.13</v>
      </c>
      <c r="Y57" s="94">
        <f t="shared" si="26"/>
        <v>1254.8599999999999</v>
      </c>
      <c r="Z57" s="100"/>
      <c r="AA57" s="134"/>
      <c r="AB57" s="91"/>
      <c r="AC57" s="91"/>
      <c r="AD57" s="91"/>
      <c r="AE57" s="92"/>
      <c r="AF57" s="93"/>
      <c r="AG57" s="93"/>
      <c r="AH57" s="94">
        <f>+Y57-SUM(Z57:AF57)</f>
        <v>1254.8599999999999</v>
      </c>
      <c r="AI57" s="95">
        <f t="shared" si="22"/>
        <v>0</v>
      </c>
      <c r="AJ57" s="94">
        <f t="shared" si="15"/>
        <v>1254.8599999999999</v>
      </c>
      <c r="AK57" s="96"/>
      <c r="AL57" s="95"/>
      <c r="AM57" s="94"/>
      <c r="AN57" s="97"/>
      <c r="AO57" s="102"/>
      <c r="AP57" s="99"/>
      <c r="AQ57" s="151">
        <v>1501687778</v>
      </c>
      <c r="AR57" s="104" t="s">
        <v>350</v>
      </c>
      <c r="AS57" s="48">
        <f t="shared" si="10"/>
        <v>216.66666666666666</v>
      </c>
      <c r="AT57" s="48">
        <f t="shared" si="11"/>
        <v>-3.3333333333587234E-3</v>
      </c>
      <c r="AU57" s="235" t="b">
        <f t="shared" si="12"/>
        <v>1</v>
      </c>
      <c r="AV57" s="236" t="s">
        <v>320</v>
      </c>
      <c r="AW57" s="235" t="s">
        <v>321</v>
      </c>
      <c r="AX57" s="239">
        <v>3250.05</v>
      </c>
      <c r="AY57" s="235">
        <f t="shared" si="13"/>
        <v>216.67000000000002</v>
      </c>
    </row>
    <row r="58" spans="1:51">
      <c r="A58" s="55" t="s">
        <v>122</v>
      </c>
      <c r="B58" s="232" t="s">
        <v>123</v>
      </c>
      <c r="C58" s="178">
        <f>+FISCAL!I58</f>
        <v>4483.8099999999995</v>
      </c>
      <c r="D58" s="178">
        <f t="shared" si="1"/>
        <v>4483.8099999999995</v>
      </c>
      <c r="E58" s="180"/>
      <c r="F58" s="178">
        <f t="shared" si="2"/>
        <v>4483.8099999999995</v>
      </c>
      <c r="G58" s="178">
        <f t="shared" si="3"/>
        <v>-45.13</v>
      </c>
      <c r="H58" s="178">
        <f t="shared" si="4"/>
        <v>89.676199999999994</v>
      </c>
      <c r="I58" s="178">
        <f t="shared" si="5"/>
        <v>336.28574999999995</v>
      </c>
      <c r="J58" s="178">
        <f t="shared" si="6"/>
        <v>4864.6419499999993</v>
      </c>
      <c r="K58" s="178">
        <f t="shared" si="7"/>
        <v>778.34271199999989</v>
      </c>
      <c r="L58" s="178">
        <f t="shared" si="8"/>
        <v>5642.9846619999989</v>
      </c>
      <c r="N58" s="191" t="str">
        <f t="shared" si="21"/>
        <v>SI</v>
      </c>
      <c r="O58" s="84" t="s">
        <v>199</v>
      </c>
      <c r="P58" s="84" t="s">
        <v>250</v>
      </c>
      <c r="Q58" s="84">
        <v>33</v>
      </c>
      <c r="R58" s="87">
        <v>39833</v>
      </c>
      <c r="S58" s="84" t="s">
        <v>251</v>
      </c>
      <c r="T58" s="144">
        <v>1200</v>
      </c>
      <c r="U58" s="144">
        <v>3283.21</v>
      </c>
      <c r="V58" s="89"/>
      <c r="W58" s="89"/>
      <c r="X58" s="90">
        <v>45.13</v>
      </c>
      <c r="Y58" s="94">
        <f t="shared" si="26"/>
        <v>3238.08</v>
      </c>
      <c r="Z58" s="100">
        <v>951.51</v>
      </c>
      <c r="AA58" s="134"/>
      <c r="AB58" s="91"/>
      <c r="AC58" s="91"/>
      <c r="AD58" s="91"/>
      <c r="AE58" s="92"/>
      <c r="AF58" s="93">
        <v>0</v>
      </c>
      <c r="AG58" s="93"/>
      <c r="AH58" s="94">
        <f t="shared" si="14"/>
        <v>2286.5699999999997</v>
      </c>
      <c r="AI58" s="95">
        <f t="shared" si="22"/>
        <v>0</v>
      </c>
      <c r="AJ58" s="94">
        <f t="shared" si="15"/>
        <v>2286.5699999999997</v>
      </c>
      <c r="AK58" s="96">
        <f t="shared" si="23"/>
        <v>323.80799999999999</v>
      </c>
      <c r="AL58" s="95" t="e">
        <f>+'[1]C&amp;A'!X49*0.02</f>
        <v>#REF!</v>
      </c>
      <c r="AM58" s="94" t="e">
        <f t="shared" si="24"/>
        <v>#REF!</v>
      </c>
      <c r="AN58" s="97"/>
      <c r="AO58" s="102"/>
      <c r="AP58" s="99">
        <f t="shared" si="25"/>
        <v>-2286.5699999999997</v>
      </c>
      <c r="AQ58" s="99"/>
      <c r="AR58" s="104" t="s">
        <v>356</v>
      </c>
      <c r="AS58" s="48">
        <f t="shared" si="10"/>
        <v>80</v>
      </c>
      <c r="AT58" s="48">
        <f t="shared" si="11"/>
        <v>-3.9999999999992042E-2</v>
      </c>
      <c r="AU58" s="235" t="b">
        <f t="shared" si="12"/>
        <v>1</v>
      </c>
      <c r="AV58" s="236" t="s">
        <v>122</v>
      </c>
      <c r="AW58" s="235" t="s">
        <v>123</v>
      </c>
      <c r="AX58" s="239">
        <v>1200.5999999999999</v>
      </c>
      <c r="AY58" s="235">
        <f t="shared" si="13"/>
        <v>80.039999999999992</v>
      </c>
    </row>
    <row r="59" spans="1:51" s="191" customFormat="1">
      <c r="A59" s="2" t="s">
        <v>124</v>
      </c>
      <c r="B59" s="231" t="s">
        <v>125</v>
      </c>
      <c r="C59" s="178">
        <f>+FISCAL!I59</f>
        <v>6096.6</v>
      </c>
      <c r="D59" s="178">
        <f t="shared" si="1"/>
        <v>6096.6</v>
      </c>
      <c r="E59" s="180"/>
      <c r="F59" s="178">
        <f t="shared" si="2"/>
        <v>6096.6</v>
      </c>
      <c r="G59" s="178">
        <f t="shared" si="3"/>
        <v>-45.13</v>
      </c>
      <c r="H59" s="178">
        <f t="shared" si="4"/>
        <v>121.93200000000002</v>
      </c>
      <c r="I59" s="178">
        <f t="shared" si="5"/>
        <v>457.245</v>
      </c>
      <c r="J59" s="178">
        <f t="shared" si="6"/>
        <v>6630.6469999999999</v>
      </c>
      <c r="K59" s="178">
        <f t="shared" si="7"/>
        <v>1060.9035200000001</v>
      </c>
      <c r="L59" s="178">
        <f t="shared" si="8"/>
        <v>7691.5505199999998</v>
      </c>
      <c r="M59" s="246"/>
      <c r="N59" s="191" t="str">
        <f t="shared" si="21"/>
        <v>SI</v>
      </c>
      <c r="O59" s="101" t="s">
        <v>199</v>
      </c>
      <c r="P59" s="101" t="s">
        <v>252</v>
      </c>
      <c r="Q59" s="107"/>
      <c r="R59" s="106">
        <v>42429</v>
      </c>
      <c r="S59" s="84" t="s">
        <v>218</v>
      </c>
      <c r="T59" s="144">
        <v>1200</v>
      </c>
      <c r="U59" s="144">
        <v>4896</v>
      </c>
      <c r="V59" s="89"/>
      <c r="W59" s="89"/>
      <c r="X59" s="90">
        <v>45.13</v>
      </c>
      <c r="Y59" s="94">
        <f t="shared" si="26"/>
        <v>4850.87</v>
      </c>
      <c r="Z59" s="100"/>
      <c r="AA59" s="134"/>
      <c r="AB59" s="91"/>
      <c r="AC59" s="91"/>
      <c r="AD59" s="91"/>
      <c r="AE59" s="108"/>
      <c r="AF59" s="93">
        <v>0</v>
      </c>
      <c r="AG59" s="93"/>
      <c r="AH59" s="94">
        <f t="shared" si="14"/>
        <v>4850.87</v>
      </c>
      <c r="AI59" s="95">
        <f t="shared" si="22"/>
        <v>485.08699999999999</v>
      </c>
      <c r="AJ59" s="94">
        <f t="shared" si="15"/>
        <v>4365.7829999999994</v>
      </c>
      <c r="AK59" s="96">
        <f t="shared" si="23"/>
        <v>0</v>
      </c>
      <c r="AL59" s="95" t="e">
        <f>+'[1]C&amp;A'!X51*0.02</f>
        <v>#REF!</v>
      </c>
      <c r="AM59" s="94" t="e">
        <f t="shared" si="24"/>
        <v>#REF!</v>
      </c>
      <c r="AN59" s="97"/>
      <c r="AO59" s="102"/>
      <c r="AP59" s="99">
        <f t="shared" si="25"/>
        <v>-4365.7829999999994</v>
      </c>
      <c r="AQ59" s="99"/>
      <c r="AR59" s="101"/>
      <c r="AS59" s="48">
        <f t="shared" si="10"/>
        <v>80</v>
      </c>
      <c r="AT59" s="48">
        <f t="shared" si="11"/>
        <v>-3.9999999999992042E-2</v>
      </c>
      <c r="AU59" s="235" t="b">
        <f t="shared" si="12"/>
        <v>1</v>
      </c>
      <c r="AV59" s="236" t="s">
        <v>124</v>
      </c>
      <c r="AW59" s="235" t="s">
        <v>125</v>
      </c>
      <c r="AX59" s="239">
        <v>1200.5999999999999</v>
      </c>
      <c r="AY59" s="235">
        <f t="shared" si="13"/>
        <v>80.039999999999992</v>
      </c>
    </row>
    <row r="60" spans="1:51" s="7" customFormat="1">
      <c r="A60" s="192" t="s">
        <v>83</v>
      </c>
      <c r="B60" s="191" t="s">
        <v>84</v>
      </c>
      <c r="C60" s="178">
        <f>+FISCAL!I60</f>
        <v>4000</v>
      </c>
      <c r="D60" s="178">
        <f t="shared" si="1"/>
        <v>4000</v>
      </c>
      <c r="E60" s="184"/>
      <c r="F60" s="178">
        <f t="shared" si="2"/>
        <v>4000</v>
      </c>
      <c r="G60" s="178">
        <f t="shared" si="3"/>
        <v>-45.13</v>
      </c>
      <c r="H60" s="178">
        <f t="shared" si="4"/>
        <v>80</v>
      </c>
      <c r="I60" s="178">
        <f t="shared" si="5"/>
        <v>300</v>
      </c>
      <c r="J60" s="178">
        <f t="shared" si="6"/>
        <v>4334.87</v>
      </c>
      <c r="K60" s="178">
        <f t="shared" si="7"/>
        <v>693.57920000000001</v>
      </c>
      <c r="L60" s="178">
        <f t="shared" si="8"/>
        <v>5028.4492</v>
      </c>
      <c r="M60" s="244"/>
      <c r="N60" s="191" t="str">
        <f t="shared" si="21"/>
        <v>SI</v>
      </c>
      <c r="O60" s="84" t="s">
        <v>166</v>
      </c>
      <c r="P60" s="101" t="s">
        <v>253</v>
      </c>
      <c r="Q60" s="86" t="s">
        <v>254</v>
      </c>
      <c r="R60" s="87">
        <v>42222</v>
      </c>
      <c r="S60" s="84" t="s">
        <v>255</v>
      </c>
      <c r="T60" s="144">
        <v>3000</v>
      </c>
      <c r="U60" s="144">
        <v>1000</v>
      </c>
      <c r="V60" s="89"/>
      <c r="W60" s="89"/>
      <c r="X60" s="90">
        <v>45.13</v>
      </c>
      <c r="Y60" s="94">
        <f t="shared" si="26"/>
        <v>954.87</v>
      </c>
      <c r="Z60" s="100"/>
      <c r="AA60" s="134"/>
      <c r="AB60" s="91"/>
      <c r="AC60" s="91"/>
      <c r="AD60" s="91"/>
      <c r="AE60" s="92"/>
      <c r="AF60" s="93">
        <v>0</v>
      </c>
      <c r="AG60" s="93"/>
      <c r="AH60" s="94">
        <f t="shared" si="14"/>
        <v>954.87</v>
      </c>
      <c r="AI60" s="95">
        <f t="shared" si="22"/>
        <v>0</v>
      </c>
      <c r="AJ60" s="94">
        <f t="shared" si="15"/>
        <v>954.87</v>
      </c>
      <c r="AK60" s="96">
        <f t="shared" si="23"/>
        <v>95.487000000000009</v>
      </c>
      <c r="AL60" s="95" t="e">
        <f>+'[1]C&amp;A'!X52*0.02</f>
        <v>#REF!</v>
      </c>
      <c r="AM60" s="94" t="e">
        <f t="shared" si="24"/>
        <v>#REF!</v>
      </c>
      <c r="AN60" s="97"/>
      <c r="AO60" s="102"/>
      <c r="AP60" s="99">
        <f t="shared" si="25"/>
        <v>-954.87</v>
      </c>
      <c r="AQ60" s="99"/>
      <c r="AR60" s="104"/>
      <c r="AS60" s="48">
        <f t="shared" si="10"/>
        <v>200</v>
      </c>
      <c r="AT60" s="48">
        <f t="shared" si="11"/>
        <v>0</v>
      </c>
      <c r="AU60" s="235" t="b">
        <f t="shared" si="12"/>
        <v>1</v>
      </c>
      <c r="AV60" s="236" t="s">
        <v>83</v>
      </c>
      <c r="AW60" s="235" t="s">
        <v>84</v>
      </c>
      <c r="AX60" s="239">
        <v>3000</v>
      </c>
      <c r="AY60" s="235">
        <f t="shared" si="13"/>
        <v>200</v>
      </c>
    </row>
    <row r="61" spans="1:51">
      <c r="A61" s="2" t="s">
        <v>126</v>
      </c>
      <c r="B61" s="191" t="s">
        <v>296</v>
      </c>
      <c r="C61" s="178">
        <f>+FISCAL!I61</f>
        <v>18013.009999999998</v>
      </c>
      <c r="D61" s="178">
        <f t="shared" si="1"/>
        <v>18013.009999999998</v>
      </c>
      <c r="E61" s="180"/>
      <c r="F61" s="178">
        <f t="shared" si="2"/>
        <v>18013.009999999998</v>
      </c>
      <c r="G61" s="178">
        <f t="shared" si="3"/>
        <v>-45.13</v>
      </c>
      <c r="H61" s="178">
        <f t="shared" si="4"/>
        <v>360.2602</v>
      </c>
      <c r="I61" s="178">
        <f t="shared" si="5"/>
        <v>1350.9757499999998</v>
      </c>
      <c r="J61" s="178">
        <f t="shared" si="6"/>
        <v>19679.115949999999</v>
      </c>
      <c r="K61" s="178">
        <f t="shared" si="7"/>
        <v>3148.6585519999999</v>
      </c>
      <c r="L61" s="178">
        <f t="shared" si="8"/>
        <v>22827.774502</v>
      </c>
      <c r="N61" s="191" t="str">
        <f t="shared" si="21"/>
        <v>NO</v>
      </c>
      <c r="O61" s="84" t="s">
        <v>166</v>
      </c>
      <c r="P61" s="84" t="s">
        <v>256</v>
      </c>
      <c r="Q61" s="86" t="s">
        <v>257</v>
      </c>
      <c r="R61" s="87">
        <v>40298</v>
      </c>
      <c r="S61" s="84" t="s">
        <v>258</v>
      </c>
      <c r="T61" s="144">
        <v>2000</v>
      </c>
      <c r="U61" s="144">
        <v>16013.06</v>
      </c>
      <c r="V61" s="89"/>
      <c r="W61" s="89"/>
      <c r="X61" s="90">
        <v>45.13</v>
      </c>
      <c r="Y61" s="94">
        <f t="shared" si="26"/>
        <v>15967.93</v>
      </c>
      <c r="Z61" s="100"/>
      <c r="AA61" s="134"/>
      <c r="AB61" s="91"/>
      <c r="AC61" s="91"/>
      <c r="AD61" s="91"/>
      <c r="AE61" s="92"/>
      <c r="AF61" s="93">
        <v>380.9</v>
      </c>
      <c r="AG61" s="93"/>
      <c r="AH61" s="94">
        <f t="shared" si="14"/>
        <v>15587.03</v>
      </c>
      <c r="AI61" s="95">
        <f t="shared" si="22"/>
        <v>1596.7930000000001</v>
      </c>
      <c r="AJ61" s="94">
        <f t="shared" si="15"/>
        <v>13990.237000000001</v>
      </c>
      <c r="AK61" s="96">
        <f t="shared" si="23"/>
        <v>0</v>
      </c>
      <c r="AL61" s="95" t="e">
        <f>+'[1]C&amp;A'!X53*0.02</f>
        <v>#REF!</v>
      </c>
      <c r="AM61" s="94" t="e">
        <f t="shared" si="24"/>
        <v>#REF!</v>
      </c>
      <c r="AN61" s="97"/>
      <c r="AO61" s="102"/>
      <c r="AP61" s="99">
        <f t="shared" si="25"/>
        <v>-13990.237000000001</v>
      </c>
      <c r="AQ61" s="99"/>
      <c r="AR61" s="103"/>
      <c r="AS61" s="48">
        <f t="shared" si="10"/>
        <v>133.33333333333334</v>
      </c>
      <c r="AT61" s="48">
        <f t="shared" si="11"/>
        <v>3.3333333333303017E-3</v>
      </c>
      <c r="AU61" s="235" t="b">
        <f t="shared" si="12"/>
        <v>1</v>
      </c>
      <c r="AV61" s="236" t="s">
        <v>126</v>
      </c>
      <c r="AW61" s="235" t="s">
        <v>296</v>
      </c>
      <c r="AX61" s="239">
        <v>1999.95</v>
      </c>
      <c r="AY61" s="235">
        <f t="shared" si="13"/>
        <v>133.33000000000001</v>
      </c>
    </row>
    <row r="62" spans="1:51">
      <c r="A62" s="2" t="s">
        <v>85</v>
      </c>
      <c r="B62" s="191" t="s">
        <v>86</v>
      </c>
      <c r="C62" s="178">
        <f>+FISCAL!I62</f>
        <v>26925.96</v>
      </c>
      <c r="D62" s="178">
        <f t="shared" si="1"/>
        <v>26925.96</v>
      </c>
      <c r="E62" s="184"/>
      <c r="F62" s="178">
        <f t="shared" si="2"/>
        <v>26925.96</v>
      </c>
      <c r="G62" s="178">
        <f t="shared" si="3"/>
        <v>-45.13</v>
      </c>
      <c r="H62" s="178">
        <f t="shared" si="4"/>
        <v>538.51919999999996</v>
      </c>
      <c r="I62" s="178">
        <f t="shared" si="5"/>
        <v>2019.4469999999999</v>
      </c>
      <c r="J62" s="178">
        <f t="shared" si="6"/>
        <v>29438.796199999997</v>
      </c>
      <c r="K62" s="178">
        <f t="shared" si="7"/>
        <v>4710.2073919999993</v>
      </c>
      <c r="L62" s="178">
        <f t="shared" si="8"/>
        <v>34149.003591999994</v>
      </c>
      <c r="N62" s="191" t="str">
        <f t="shared" si="21"/>
        <v>SI</v>
      </c>
      <c r="O62" s="84" t="s">
        <v>166</v>
      </c>
      <c r="P62" s="84" t="s">
        <v>259</v>
      </c>
      <c r="Q62" s="86" t="s">
        <v>260</v>
      </c>
      <c r="R62" s="87">
        <v>41428</v>
      </c>
      <c r="S62" s="84" t="s">
        <v>261</v>
      </c>
      <c r="T62" s="144">
        <v>2000</v>
      </c>
      <c r="U62" s="144">
        <v>24925.86</v>
      </c>
      <c r="V62" s="89"/>
      <c r="W62" s="89"/>
      <c r="X62" s="90">
        <v>45.13</v>
      </c>
      <c r="Y62" s="94">
        <f t="shared" si="26"/>
        <v>24880.73</v>
      </c>
      <c r="Z62" s="100"/>
      <c r="AA62" s="134"/>
      <c r="AB62" s="91"/>
      <c r="AC62" s="91"/>
      <c r="AD62" s="91"/>
      <c r="AE62" s="92"/>
      <c r="AF62" s="93">
        <v>0</v>
      </c>
      <c r="AG62" s="93"/>
      <c r="AH62" s="94">
        <f t="shared" si="14"/>
        <v>24880.73</v>
      </c>
      <c r="AI62" s="95">
        <f t="shared" si="22"/>
        <v>2488.0730000000003</v>
      </c>
      <c r="AJ62" s="94">
        <f t="shared" si="15"/>
        <v>22392.656999999999</v>
      </c>
      <c r="AK62" s="96">
        <f t="shared" si="23"/>
        <v>0</v>
      </c>
      <c r="AL62" s="95" t="e">
        <f>+'[1]C&amp;A'!X54*0.02</f>
        <v>#REF!</v>
      </c>
      <c r="AM62" s="94" t="e">
        <f t="shared" si="24"/>
        <v>#REF!</v>
      </c>
      <c r="AN62" s="97"/>
      <c r="AO62" s="98"/>
      <c r="AP62" s="99">
        <f t="shared" si="25"/>
        <v>-22392.656999999999</v>
      </c>
      <c r="AQ62" s="99"/>
      <c r="AR62" s="101"/>
      <c r="AS62" s="48">
        <f t="shared" si="10"/>
        <v>133.33333333333334</v>
      </c>
      <c r="AT62" s="48">
        <f t="shared" si="11"/>
        <v>-6.6666666666606034E-3</v>
      </c>
      <c r="AU62" s="235" t="b">
        <f t="shared" si="12"/>
        <v>1</v>
      </c>
      <c r="AV62" s="236" t="s">
        <v>85</v>
      </c>
      <c r="AW62" s="235" t="s">
        <v>86</v>
      </c>
      <c r="AX62" s="239">
        <v>2000.1</v>
      </c>
      <c r="AY62" s="235">
        <f t="shared" si="13"/>
        <v>133.34</v>
      </c>
    </row>
    <row r="63" spans="1:51">
      <c r="A63" s="191"/>
      <c r="B63" s="191" t="s">
        <v>340</v>
      </c>
      <c r="C63" s="178">
        <f>+FISCAL!I63</f>
        <v>5000</v>
      </c>
      <c r="D63" s="178">
        <f t="shared" si="1"/>
        <v>5000</v>
      </c>
      <c r="E63" s="196"/>
      <c r="F63" s="178">
        <f t="shared" si="2"/>
        <v>5000</v>
      </c>
      <c r="G63" s="178">
        <f t="shared" si="3"/>
        <v>-45.13</v>
      </c>
      <c r="H63" s="178">
        <f t="shared" si="4"/>
        <v>100</v>
      </c>
      <c r="I63" s="178">
        <f t="shared" si="5"/>
        <v>375</v>
      </c>
      <c r="J63" s="178">
        <f t="shared" si="6"/>
        <v>5429.87</v>
      </c>
      <c r="K63" s="178">
        <f t="shared" si="7"/>
        <v>868.77919999999995</v>
      </c>
      <c r="L63" s="178">
        <f t="shared" si="8"/>
        <v>6298.6491999999998</v>
      </c>
      <c r="N63" s="191" t="str">
        <f t="shared" si="21"/>
        <v>SI</v>
      </c>
      <c r="O63" s="84" t="s">
        <v>166</v>
      </c>
      <c r="P63" s="84" t="s">
        <v>340</v>
      </c>
      <c r="Q63" s="86"/>
      <c r="R63" s="87">
        <v>42726</v>
      </c>
      <c r="S63" s="84" t="s">
        <v>255</v>
      </c>
      <c r="T63" s="144">
        <v>3000</v>
      </c>
      <c r="U63" s="144">
        <v>2000</v>
      </c>
      <c r="V63" s="89"/>
      <c r="W63" s="89"/>
      <c r="X63" s="90">
        <v>45.13</v>
      </c>
      <c r="Y63" s="94">
        <f t="shared" si="26"/>
        <v>1954.87</v>
      </c>
      <c r="Z63" s="100"/>
      <c r="AA63" s="134"/>
      <c r="AB63" s="91"/>
      <c r="AC63" s="91"/>
      <c r="AD63" s="91"/>
      <c r="AE63" s="92"/>
      <c r="AF63" s="93"/>
      <c r="AG63" s="93"/>
      <c r="AH63" s="94">
        <f t="shared" si="14"/>
        <v>1954.87</v>
      </c>
      <c r="AI63" s="95">
        <f t="shared" si="22"/>
        <v>0</v>
      </c>
      <c r="AJ63" s="94">
        <f t="shared" si="15"/>
        <v>1954.87</v>
      </c>
      <c r="AK63" s="96"/>
      <c r="AL63" s="95"/>
      <c r="AM63" s="94"/>
      <c r="AN63" s="97"/>
      <c r="AO63" s="98"/>
      <c r="AP63" s="99"/>
      <c r="AQ63" s="227">
        <v>1500977438</v>
      </c>
      <c r="AR63" s="104" t="s">
        <v>357</v>
      </c>
      <c r="AS63" s="48">
        <f t="shared" si="10"/>
        <v>200</v>
      </c>
      <c r="AT63" s="48">
        <f t="shared" si="11"/>
        <v>0</v>
      </c>
      <c r="AU63" s="235" t="b">
        <f t="shared" si="12"/>
        <v>1</v>
      </c>
      <c r="AV63" s="236" t="s">
        <v>359</v>
      </c>
      <c r="AW63" s="235" t="s">
        <v>365</v>
      </c>
      <c r="AX63" s="239">
        <v>3000</v>
      </c>
      <c r="AY63" s="235">
        <f t="shared" si="13"/>
        <v>200</v>
      </c>
    </row>
    <row r="64" spans="1:51">
      <c r="A64" s="55" t="s">
        <v>87</v>
      </c>
      <c r="B64" s="191" t="s">
        <v>88</v>
      </c>
      <c r="C64" s="178">
        <f>+FISCAL!I64</f>
        <v>28033.57</v>
      </c>
      <c r="D64" s="178">
        <f t="shared" si="1"/>
        <v>28033.57</v>
      </c>
      <c r="E64" s="180"/>
      <c r="F64" s="178">
        <f t="shared" si="2"/>
        <v>28033.57</v>
      </c>
      <c r="G64" s="178">
        <f t="shared" si="3"/>
        <v>-45.13</v>
      </c>
      <c r="H64" s="178">
        <f t="shared" si="4"/>
        <v>560.67140000000006</v>
      </c>
      <c r="I64" s="178">
        <f t="shared" si="5"/>
        <v>2102.51775</v>
      </c>
      <c r="J64" s="178">
        <f t="shared" si="6"/>
        <v>30651.629149999997</v>
      </c>
      <c r="K64" s="178">
        <f t="shared" si="7"/>
        <v>4904.2606639999995</v>
      </c>
      <c r="L64" s="178">
        <f t="shared" si="8"/>
        <v>35555.889813999995</v>
      </c>
      <c r="N64" s="191" t="str">
        <f t="shared" si="21"/>
        <v>SI</v>
      </c>
      <c r="O64" s="84" t="s">
        <v>262</v>
      </c>
      <c r="P64" s="84" t="s">
        <v>263</v>
      </c>
      <c r="Q64" s="86">
        <v>8</v>
      </c>
      <c r="R64" s="87">
        <v>39608</v>
      </c>
      <c r="S64" s="84" t="s">
        <v>264</v>
      </c>
      <c r="T64" s="144">
        <v>7000</v>
      </c>
      <c r="U64" s="144">
        <v>21033.52</v>
      </c>
      <c r="V64" s="89"/>
      <c r="W64" s="89"/>
      <c r="X64" s="90">
        <v>45.13</v>
      </c>
      <c r="Y64" s="94">
        <f t="shared" si="26"/>
        <v>20988.39</v>
      </c>
      <c r="Z64" s="100"/>
      <c r="AA64" s="134"/>
      <c r="AB64" s="91"/>
      <c r="AC64" s="91"/>
      <c r="AD64" s="91"/>
      <c r="AE64" s="92"/>
      <c r="AF64" s="93">
        <v>0</v>
      </c>
      <c r="AG64" s="93"/>
      <c r="AH64" s="94">
        <f t="shared" si="14"/>
        <v>20988.39</v>
      </c>
      <c r="AI64" s="95">
        <f t="shared" si="22"/>
        <v>2098.8389999999999</v>
      </c>
      <c r="AJ64" s="94">
        <f t="shared" si="15"/>
        <v>18889.550999999999</v>
      </c>
      <c r="AK64" s="96">
        <f t="shared" si="23"/>
        <v>0</v>
      </c>
      <c r="AL64" s="95" t="e">
        <f>+'[1]C&amp;A'!X55*0.02</f>
        <v>#REF!</v>
      </c>
      <c r="AM64" s="94" t="e">
        <f t="shared" si="24"/>
        <v>#REF!</v>
      </c>
      <c r="AN64" s="97"/>
      <c r="AO64" s="102"/>
      <c r="AP64" s="99">
        <f t="shared" si="25"/>
        <v>-18889.550999999999</v>
      </c>
      <c r="AQ64" s="99"/>
      <c r="AR64" s="104"/>
      <c r="AS64" s="48">
        <f t="shared" si="10"/>
        <v>466.66666666666669</v>
      </c>
      <c r="AT64" s="48">
        <f t="shared" si="11"/>
        <v>-3.3333333333303017E-3</v>
      </c>
      <c r="AU64" s="235" t="b">
        <f t="shared" si="12"/>
        <v>1</v>
      </c>
      <c r="AV64" s="236" t="s">
        <v>87</v>
      </c>
      <c r="AW64" s="235" t="s">
        <v>88</v>
      </c>
      <c r="AX64" s="239">
        <v>7000.05</v>
      </c>
      <c r="AY64" s="235">
        <f t="shared" si="13"/>
        <v>466.67</v>
      </c>
    </row>
    <row r="65" spans="1:51">
      <c r="A65" s="2" t="s">
        <v>89</v>
      </c>
      <c r="B65" s="1" t="s">
        <v>90</v>
      </c>
      <c r="C65" s="178">
        <f>+FISCAL!I65</f>
        <v>12499.95</v>
      </c>
      <c r="D65" s="178">
        <f t="shared" si="1"/>
        <v>12499.95</v>
      </c>
      <c r="E65" s="184"/>
      <c r="F65" s="178">
        <f t="shared" si="2"/>
        <v>12499.95</v>
      </c>
      <c r="G65" s="178">
        <f t="shared" si="3"/>
        <v>-45.13</v>
      </c>
      <c r="H65" s="178">
        <f t="shared" si="4"/>
        <v>249.99900000000002</v>
      </c>
      <c r="I65" s="178">
        <f t="shared" si="5"/>
        <v>937.49625000000003</v>
      </c>
      <c r="J65" s="178">
        <f t="shared" si="6"/>
        <v>13642.315250000001</v>
      </c>
      <c r="K65" s="178">
        <f t="shared" si="7"/>
        <v>2182.7704400000002</v>
      </c>
      <c r="L65" s="178">
        <f t="shared" si="8"/>
        <v>15825.085690000002</v>
      </c>
      <c r="N65" s="191" t="str">
        <f t="shared" si="21"/>
        <v>SI</v>
      </c>
      <c r="O65" s="84" t="s">
        <v>164</v>
      </c>
      <c r="P65" s="148" t="s">
        <v>265</v>
      </c>
      <c r="Q65" s="86" t="s">
        <v>266</v>
      </c>
      <c r="R65" s="87">
        <v>41793</v>
      </c>
      <c r="S65" s="84" t="s">
        <v>267</v>
      </c>
      <c r="T65" s="144">
        <f>6250+6250</f>
        <v>12500</v>
      </c>
      <c r="U65" s="144"/>
      <c r="V65" s="89"/>
      <c r="W65" s="89"/>
      <c r="X65" s="90">
        <v>45.13</v>
      </c>
      <c r="Y65" s="94">
        <f t="shared" si="26"/>
        <v>-45.13</v>
      </c>
      <c r="Z65" s="100"/>
      <c r="AA65" s="134"/>
      <c r="AB65" s="91">
        <v>108.1</v>
      </c>
      <c r="AC65" s="91"/>
      <c r="AD65" s="91"/>
      <c r="AE65" s="92"/>
      <c r="AF65" s="93">
        <v>0</v>
      </c>
      <c r="AG65" s="93"/>
      <c r="AH65" s="94">
        <f t="shared" si="14"/>
        <v>-153.22999999999999</v>
      </c>
      <c r="AI65" s="95"/>
      <c r="AJ65" s="94">
        <f t="shared" si="15"/>
        <v>-153.22999999999999</v>
      </c>
      <c r="AK65" s="96"/>
      <c r="AL65" s="95"/>
      <c r="AM65" s="94"/>
      <c r="AN65" s="97"/>
      <c r="AO65" s="102"/>
      <c r="AP65" s="99"/>
      <c r="AQ65" s="99"/>
      <c r="AR65" s="104"/>
      <c r="AS65" s="234">
        <f t="shared" si="10"/>
        <v>833.33333333333337</v>
      </c>
      <c r="AT65" s="48">
        <f t="shared" si="11"/>
        <v>416.66333333333336</v>
      </c>
      <c r="AU65" s="235" t="b">
        <f t="shared" si="12"/>
        <v>1</v>
      </c>
      <c r="AV65" s="236" t="s">
        <v>89</v>
      </c>
      <c r="AW65" s="235" t="s">
        <v>90</v>
      </c>
      <c r="AX65" s="239">
        <v>6250.05</v>
      </c>
      <c r="AY65" s="235">
        <f t="shared" si="13"/>
        <v>416.67</v>
      </c>
    </row>
    <row r="66" spans="1:51" s="26" customFormat="1">
      <c r="A66" s="2" t="s">
        <v>91</v>
      </c>
      <c r="B66" s="1" t="s">
        <v>92</v>
      </c>
      <c r="C66" s="178">
        <f>+FISCAL!I66</f>
        <v>4325</v>
      </c>
      <c r="D66" s="178">
        <f t="shared" si="1"/>
        <v>4325</v>
      </c>
      <c r="E66" s="184"/>
      <c r="F66" s="178">
        <f t="shared" si="2"/>
        <v>4325</v>
      </c>
      <c r="G66" s="178">
        <f t="shared" si="3"/>
        <v>-45.13</v>
      </c>
      <c r="H66" s="178">
        <f t="shared" si="4"/>
        <v>86.5</v>
      </c>
      <c r="I66" s="178">
        <f t="shared" si="5"/>
        <v>324.375</v>
      </c>
      <c r="J66" s="178">
        <f t="shared" si="6"/>
        <v>4690.7449999999999</v>
      </c>
      <c r="K66" s="178">
        <f t="shared" si="7"/>
        <v>750.51919999999996</v>
      </c>
      <c r="L66" s="178">
        <f t="shared" si="8"/>
        <v>5441.2641999999996</v>
      </c>
      <c r="M66" s="244"/>
      <c r="N66" s="191" t="str">
        <f t="shared" si="21"/>
        <v>SI</v>
      </c>
      <c r="O66" s="84" t="s">
        <v>166</v>
      </c>
      <c r="P66" s="84" t="s">
        <v>268</v>
      </c>
      <c r="Q66" s="86"/>
      <c r="R66" s="87">
        <v>42626</v>
      </c>
      <c r="S66" s="84" t="s">
        <v>232</v>
      </c>
      <c r="T66" s="144">
        <v>2250</v>
      </c>
      <c r="U66" s="167">
        <v>2075</v>
      </c>
      <c r="V66" s="89"/>
      <c r="W66" s="89"/>
      <c r="X66" s="90">
        <v>45.13</v>
      </c>
      <c r="Y66" s="94">
        <f t="shared" si="26"/>
        <v>2029.87</v>
      </c>
      <c r="Z66" s="100"/>
      <c r="AA66" s="134"/>
      <c r="AB66" s="91"/>
      <c r="AC66" s="91"/>
      <c r="AD66" s="91"/>
      <c r="AE66" s="92"/>
      <c r="AF66" s="93">
        <v>0</v>
      </c>
      <c r="AG66" s="93"/>
      <c r="AH66" s="94">
        <f t="shared" si="14"/>
        <v>2029.87</v>
      </c>
      <c r="AI66" s="95"/>
      <c r="AJ66" s="94">
        <f t="shared" si="15"/>
        <v>2029.87</v>
      </c>
      <c r="AK66" s="96"/>
      <c r="AL66" s="95"/>
      <c r="AM66" s="94"/>
      <c r="AN66" s="97"/>
      <c r="AO66" s="102"/>
      <c r="AP66" s="99"/>
      <c r="AQ66" s="115">
        <v>1136601197</v>
      </c>
      <c r="AR66" s="104"/>
      <c r="AS66" s="48">
        <f t="shared" si="10"/>
        <v>150</v>
      </c>
      <c r="AT66" s="48">
        <f t="shared" si="11"/>
        <v>0</v>
      </c>
      <c r="AU66" s="235" t="b">
        <f t="shared" si="12"/>
        <v>1</v>
      </c>
      <c r="AV66" s="236" t="s">
        <v>91</v>
      </c>
      <c r="AW66" s="235" t="s">
        <v>92</v>
      </c>
      <c r="AX66" s="239">
        <v>2250</v>
      </c>
      <c r="AY66" s="235">
        <f t="shared" si="13"/>
        <v>150</v>
      </c>
    </row>
    <row r="67" spans="1:51">
      <c r="A67" s="2" t="s">
        <v>93</v>
      </c>
      <c r="B67" s="1" t="s">
        <v>94</v>
      </c>
      <c r="C67" s="178">
        <f>+FISCAL!I67</f>
        <v>8868.75</v>
      </c>
      <c r="D67" s="178">
        <f t="shared" si="1"/>
        <v>8868.75</v>
      </c>
      <c r="E67" s="184"/>
      <c r="F67" s="178">
        <f t="shared" si="2"/>
        <v>8868.75</v>
      </c>
      <c r="G67" s="178">
        <f t="shared" si="3"/>
        <v>-45.13</v>
      </c>
      <c r="H67" s="178">
        <f t="shared" si="4"/>
        <v>177.375</v>
      </c>
      <c r="I67" s="178">
        <f t="shared" si="5"/>
        <v>665.15625</v>
      </c>
      <c r="J67" s="178">
        <f t="shared" si="6"/>
        <v>9666.1512500000008</v>
      </c>
      <c r="K67" s="178">
        <f t="shared" si="7"/>
        <v>1546.5842000000002</v>
      </c>
      <c r="L67" s="178">
        <f t="shared" si="8"/>
        <v>11212.73545</v>
      </c>
      <c r="N67" s="191" t="str">
        <f t="shared" si="21"/>
        <v>SI</v>
      </c>
      <c r="O67" s="84" t="s">
        <v>188</v>
      </c>
      <c r="P67" s="84" t="s">
        <v>269</v>
      </c>
      <c r="Q67" s="86"/>
      <c r="R67" s="87">
        <v>42569</v>
      </c>
      <c r="S67" s="84" t="s">
        <v>270</v>
      </c>
      <c r="T67" s="144">
        <v>5868.75</v>
      </c>
      <c r="U67" s="144">
        <v>3000</v>
      </c>
      <c r="V67" s="89"/>
      <c r="W67" s="89"/>
      <c r="X67" s="90">
        <v>45.13</v>
      </c>
      <c r="Y67" s="94">
        <f t="shared" si="26"/>
        <v>2954.87</v>
      </c>
      <c r="Z67" s="100"/>
      <c r="AA67" s="134"/>
      <c r="AB67" s="91"/>
      <c r="AC67" s="91"/>
      <c r="AD67" s="91"/>
      <c r="AE67" s="92"/>
      <c r="AF67" s="93">
        <v>0</v>
      </c>
      <c r="AG67" s="93"/>
      <c r="AH67" s="94">
        <f t="shared" si="14"/>
        <v>2954.87</v>
      </c>
      <c r="AI67" s="95">
        <f t="shared" si="22"/>
        <v>0</v>
      </c>
      <c r="AJ67" s="94">
        <f t="shared" si="15"/>
        <v>2954.87</v>
      </c>
      <c r="AK67" s="96">
        <f t="shared" si="23"/>
        <v>295.48700000000002</v>
      </c>
      <c r="AL67" s="95" t="e">
        <f>+'[1]C&amp;A'!X58*0.02</f>
        <v>#REF!</v>
      </c>
      <c r="AM67" s="94" t="e">
        <f t="shared" si="24"/>
        <v>#REF!</v>
      </c>
      <c r="AN67" s="97"/>
      <c r="AO67" s="102"/>
      <c r="AP67" s="99"/>
      <c r="AQ67" s="99"/>
      <c r="AR67" s="101"/>
      <c r="AS67" s="48">
        <f t="shared" si="10"/>
        <v>391.25</v>
      </c>
      <c r="AT67" s="48">
        <f t="shared" si="11"/>
        <v>0</v>
      </c>
      <c r="AU67" s="235" t="b">
        <f t="shared" si="12"/>
        <v>1</v>
      </c>
      <c r="AV67" s="236" t="s">
        <v>93</v>
      </c>
      <c r="AW67" s="235" t="s">
        <v>94</v>
      </c>
      <c r="AX67" s="239">
        <v>5868.75</v>
      </c>
      <c r="AY67" s="235">
        <f t="shared" si="13"/>
        <v>391.25</v>
      </c>
    </row>
    <row r="68" spans="1:51">
      <c r="A68" s="2" t="s">
        <v>95</v>
      </c>
      <c r="B68" s="1" t="s">
        <v>96</v>
      </c>
      <c r="C68" s="178">
        <f>+FISCAL!I68</f>
        <v>19763.059999999998</v>
      </c>
      <c r="D68" s="178">
        <f t="shared" si="1"/>
        <v>19763.059999999998</v>
      </c>
      <c r="E68" s="184"/>
      <c r="F68" s="178">
        <f t="shared" si="2"/>
        <v>19763.059999999998</v>
      </c>
      <c r="G68" s="178">
        <f t="shared" si="3"/>
        <v>-45.13</v>
      </c>
      <c r="H68" s="178">
        <f t="shared" si="4"/>
        <v>395.26119999999997</v>
      </c>
      <c r="I68" s="178">
        <f t="shared" si="5"/>
        <v>1482.2294999999997</v>
      </c>
      <c r="J68" s="178">
        <f t="shared" si="6"/>
        <v>21595.420699999999</v>
      </c>
      <c r="K68" s="178">
        <f t="shared" si="7"/>
        <v>3455.2673119999999</v>
      </c>
      <c r="L68" s="178">
        <f t="shared" si="8"/>
        <v>25050.688011999999</v>
      </c>
      <c r="N68" s="191" t="str">
        <f t="shared" si="21"/>
        <v>SI</v>
      </c>
      <c r="O68" s="84" t="s">
        <v>166</v>
      </c>
      <c r="P68" s="84" t="s">
        <v>271</v>
      </c>
      <c r="Q68" s="86">
        <v>18</v>
      </c>
      <c r="R68" s="87">
        <v>38733</v>
      </c>
      <c r="S68" s="84" t="s">
        <v>272</v>
      </c>
      <c r="T68" s="144">
        <v>3750</v>
      </c>
      <c r="U68" s="144">
        <v>16013.06</v>
      </c>
      <c r="V68" s="89"/>
      <c r="W68" s="89"/>
      <c r="X68" s="90">
        <v>45.13</v>
      </c>
      <c r="Y68" s="94">
        <f t="shared" si="26"/>
        <v>15967.93</v>
      </c>
      <c r="Z68" s="100"/>
      <c r="AA68" s="134"/>
      <c r="AB68" s="91"/>
      <c r="AC68" s="91"/>
      <c r="AD68" s="91"/>
      <c r="AE68" s="92"/>
      <c r="AF68" s="93">
        <v>834.69</v>
      </c>
      <c r="AG68" s="93"/>
      <c r="AH68" s="94">
        <f t="shared" si="14"/>
        <v>15133.24</v>
      </c>
      <c r="AI68" s="95">
        <f t="shared" si="22"/>
        <v>1596.7930000000001</v>
      </c>
      <c r="AJ68" s="94">
        <f t="shared" si="15"/>
        <v>13536.447</v>
      </c>
      <c r="AK68" s="96">
        <f t="shared" si="23"/>
        <v>0</v>
      </c>
      <c r="AL68" s="95" t="e">
        <f>+'[1]C&amp;A'!X57*0.02</f>
        <v>#REF!</v>
      </c>
      <c r="AM68" s="94" t="e">
        <f t="shared" si="24"/>
        <v>#REF!</v>
      </c>
      <c r="AN68" s="97"/>
      <c r="AO68" s="102"/>
      <c r="AP68" s="99">
        <f t="shared" ref="AP68:AP75" si="27">+AN68+AO68-AJ68</f>
        <v>-13536.447</v>
      </c>
      <c r="AQ68" s="99"/>
      <c r="AR68" s="101"/>
      <c r="AS68" s="48">
        <f t="shared" si="10"/>
        <v>250</v>
      </c>
      <c r="AT68" s="48">
        <f t="shared" si="11"/>
        <v>0</v>
      </c>
      <c r="AU68" s="235" t="b">
        <f t="shared" si="12"/>
        <v>1</v>
      </c>
      <c r="AV68" s="236" t="s">
        <v>95</v>
      </c>
      <c r="AW68" s="235" t="s">
        <v>96</v>
      </c>
      <c r="AX68" s="239">
        <v>3750</v>
      </c>
      <c r="AY68" s="235">
        <f t="shared" si="13"/>
        <v>250</v>
      </c>
    </row>
    <row r="69" spans="1:51">
      <c r="A69" s="177" t="s">
        <v>332</v>
      </c>
      <c r="B69" s="230" t="s">
        <v>307</v>
      </c>
      <c r="C69" s="178">
        <f>+FISCAL!I69</f>
        <v>3228.6</v>
      </c>
      <c r="D69" s="178">
        <f t="shared" si="1"/>
        <v>3228.6</v>
      </c>
      <c r="E69" s="184"/>
      <c r="F69" s="178">
        <f t="shared" si="2"/>
        <v>3228.6</v>
      </c>
      <c r="G69" s="178">
        <f t="shared" si="3"/>
        <v>-45.13</v>
      </c>
      <c r="H69" s="178">
        <f t="shared" si="4"/>
        <v>64.572000000000003</v>
      </c>
      <c r="I69" s="178">
        <f t="shared" si="5"/>
        <v>242.14499999999998</v>
      </c>
      <c r="J69" s="178">
        <f t="shared" si="6"/>
        <v>3490.1869999999999</v>
      </c>
      <c r="K69" s="178">
        <f t="shared" si="7"/>
        <v>558.42992000000004</v>
      </c>
      <c r="L69" s="178">
        <f t="shared" si="8"/>
        <v>4048.6169199999999</v>
      </c>
      <c r="N69" s="191" t="str">
        <f t="shared" si="21"/>
        <v>SI</v>
      </c>
      <c r="O69" s="84" t="s">
        <v>199</v>
      </c>
      <c r="P69" s="84" t="s">
        <v>307</v>
      </c>
      <c r="Q69" s="86"/>
      <c r="R69" s="87">
        <v>42688</v>
      </c>
      <c r="S69" s="84" t="s">
        <v>198</v>
      </c>
      <c r="T69" s="144">
        <v>1200</v>
      </c>
      <c r="U69" s="144">
        <v>2028</v>
      </c>
      <c r="V69" s="89"/>
      <c r="W69" s="89"/>
      <c r="X69" s="90">
        <v>45.13</v>
      </c>
      <c r="Y69" s="94">
        <f t="shared" si="26"/>
        <v>1982.87</v>
      </c>
      <c r="Z69" s="100"/>
      <c r="AA69" s="134"/>
      <c r="AB69" s="91"/>
      <c r="AC69" s="91"/>
      <c r="AD69" s="91"/>
      <c r="AE69" s="92"/>
      <c r="AF69" s="93"/>
      <c r="AG69" s="93"/>
      <c r="AH69" s="94">
        <f>+Y69-SUM(Z69:AF69)</f>
        <v>1982.87</v>
      </c>
      <c r="AI69" s="95">
        <f t="shared" si="22"/>
        <v>0</v>
      </c>
      <c r="AJ69" s="94">
        <f t="shared" si="15"/>
        <v>1982.87</v>
      </c>
      <c r="AK69" s="96"/>
      <c r="AL69" s="95"/>
      <c r="AM69" s="94"/>
      <c r="AN69" s="97"/>
      <c r="AO69" s="102"/>
      <c r="AP69" s="99"/>
      <c r="AQ69" s="151">
        <v>1501247905</v>
      </c>
      <c r="AR69" s="101"/>
      <c r="AS69" s="48">
        <f t="shared" si="10"/>
        <v>80</v>
      </c>
      <c r="AT69" s="48">
        <f t="shared" si="11"/>
        <v>-3.9999999999992042E-2</v>
      </c>
      <c r="AU69" s="235" t="b">
        <f t="shared" si="12"/>
        <v>1</v>
      </c>
      <c r="AV69" s="236" t="s">
        <v>326</v>
      </c>
      <c r="AW69" s="235" t="s">
        <v>327</v>
      </c>
      <c r="AX69" s="239">
        <v>1200.5999999999999</v>
      </c>
      <c r="AY69" s="235">
        <f t="shared" si="13"/>
        <v>80.039999999999992</v>
      </c>
    </row>
    <row r="70" spans="1:51">
      <c r="A70" s="195" t="s">
        <v>97</v>
      </c>
      <c r="B70" s="231" t="s">
        <v>98</v>
      </c>
      <c r="C70" s="178">
        <f>+FISCAL!I70</f>
        <v>2324.3599999999997</v>
      </c>
      <c r="D70" s="178">
        <f t="shared" si="1"/>
        <v>2324.3599999999997</v>
      </c>
      <c r="E70" s="197"/>
      <c r="F70" s="178">
        <f t="shared" si="2"/>
        <v>2324.3599999999997</v>
      </c>
      <c r="G70" s="178">
        <f t="shared" si="3"/>
        <v>-45.13</v>
      </c>
      <c r="H70" s="178">
        <f t="shared" si="4"/>
        <v>46.487199999999994</v>
      </c>
      <c r="I70" s="178">
        <f t="shared" si="5"/>
        <v>174.32699999999997</v>
      </c>
      <c r="J70" s="178">
        <f t="shared" si="6"/>
        <v>2500.0441999999994</v>
      </c>
      <c r="K70" s="178">
        <f t="shared" si="7"/>
        <v>400.00707199999988</v>
      </c>
      <c r="L70" s="178">
        <f t="shared" si="8"/>
        <v>2900.0512719999992</v>
      </c>
      <c r="N70" s="191" t="str">
        <f t="shared" si="21"/>
        <v>SI</v>
      </c>
      <c r="O70" s="84" t="s">
        <v>199</v>
      </c>
      <c r="P70" s="84" t="s">
        <v>273</v>
      </c>
      <c r="Q70" s="86"/>
      <c r="R70" s="87">
        <v>42608</v>
      </c>
      <c r="S70" s="84" t="s">
        <v>198</v>
      </c>
      <c r="T70" s="144">
        <v>1200</v>
      </c>
      <c r="U70" s="144">
        <v>1203.8</v>
      </c>
      <c r="V70" s="89"/>
      <c r="W70" s="89"/>
      <c r="X70" s="90">
        <v>45.13</v>
      </c>
      <c r="Y70" s="94">
        <f t="shared" si="26"/>
        <v>1158.6699999999998</v>
      </c>
      <c r="Z70" s="100"/>
      <c r="AA70" s="233">
        <v>1</v>
      </c>
      <c r="AB70" s="91"/>
      <c r="AC70" s="91"/>
      <c r="AD70" s="91"/>
      <c r="AE70" s="92"/>
      <c r="AF70" s="93">
        <v>0</v>
      </c>
      <c r="AG70" s="93"/>
      <c r="AH70" s="94">
        <f>+Y70-SUM(Z70:AF70)</f>
        <v>1157.6699999999998</v>
      </c>
      <c r="AI70" s="95">
        <f t="shared" si="22"/>
        <v>0</v>
      </c>
      <c r="AJ70" s="94">
        <f t="shared" si="15"/>
        <v>1157.6699999999998</v>
      </c>
      <c r="AK70" s="96">
        <f>IF(Y70&lt;4500,Y70*0.1,0)</f>
        <v>115.86699999999999</v>
      </c>
      <c r="AL70" s="95"/>
      <c r="AM70" s="94"/>
      <c r="AN70" s="97"/>
      <c r="AO70" s="102"/>
      <c r="AP70" s="99"/>
      <c r="AQ70" s="99"/>
      <c r="AR70" s="104"/>
      <c r="AS70" s="48">
        <f t="shared" si="10"/>
        <v>80</v>
      </c>
      <c r="AT70" s="48">
        <f t="shared" si="11"/>
        <v>-3.9999999999992042E-2</v>
      </c>
      <c r="AU70" s="235" t="b">
        <f t="shared" si="12"/>
        <v>1</v>
      </c>
      <c r="AV70" s="236" t="s">
        <v>97</v>
      </c>
      <c r="AW70" s="235" t="s">
        <v>98</v>
      </c>
      <c r="AX70" s="239">
        <v>1200.5999999999999</v>
      </c>
      <c r="AY70" s="235">
        <f t="shared" si="13"/>
        <v>80.039999999999992</v>
      </c>
    </row>
    <row r="71" spans="1:51">
      <c r="A71" s="2" t="s">
        <v>99</v>
      </c>
      <c r="B71" s="1" t="s">
        <v>100</v>
      </c>
      <c r="C71" s="178">
        <f>+FISCAL!I71</f>
        <v>28086.15</v>
      </c>
      <c r="D71" s="178">
        <f t="shared" si="1"/>
        <v>28086.15</v>
      </c>
      <c r="E71" s="184"/>
      <c r="F71" s="178">
        <f t="shared" si="2"/>
        <v>28086.15</v>
      </c>
      <c r="G71" s="178">
        <f t="shared" si="3"/>
        <v>-45.13</v>
      </c>
      <c r="H71" s="178">
        <f t="shared" si="4"/>
        <v>561.72300000000007</v>
      </c>
      <c r="I71" s="178">
        <f t="shared" si="5"/>
        <v>2106.4612499999998</v>
      </c>
      <c r="J71" s="178">
        <f t="shared" si="6"/>
        <v>30709.204250000003</v>
      </c>
      <c r="K71" s="178">
        <f t="shared" si="7"/>
        <v>4913.4726800000008</v>
      </c>
      <c r="L71" s="178">
        <f t="shared" si="8"/>
        <v>35622.676930000001</v>
      </c>
      <c r="N71" s="191" t="str">
        <f t="shared" si="21"/>
        <v>SI</v>
      </c>
      <c r="O71" s="84" t="s">
        <v>248</v>
      </c>
      <c r="P71" s="84" t="s">
        <v>274</v>
      </c>
      <c r="Q71" s="84" t="s">
        <v>275</v>
      </c>
      <c r="R71" s="87">
        <v>42321</v>
      </c>
      <c r="S71" s="84" t="s">
        <v>248</v>
      </c>
      <c r="T71" s="144">
        <v>3750</v>
      </c>
      <c r="U71" s="144">
        <v>24336.15</v>
      </c>
      <c r="V71" s="89"/>
      <c r="W71" s="89"/>
      <c r="X71" s="90">
        <v>45.13</v>
      </c>
      <c r="Y71" s="94">
        <f t="shared" si="26"/>
        <v>24291.02</v>
      </c>
      <c r="Z71" s="100"/>
      <c r="AA71" s="134"/>
      <c r="AB71" s="91"/>
      <c r="AC71" s="91"/>
      <c r="AD71" s="91"/>
      <c r="AE71" s="92"/>
      <c r="AF71" s="93">
        <v>374.82</v>
      </c>
      <c r="AG71" s="93"/>
      <c r="AH71" s="94">
        <f t="shared" si="14"/>
        <v>23916.2</v>
      </c>
      <c r="AI71" s="95">
        <f t="shared" si="22"/>
        <v>2429.1020000000003</v>
      </c>
      <c r="AJ71" s="94">
        <f t="shared" si="15"/>
        <v>21487.098000000002</v>
      </c>
      <c r="AK71" s="96">
        <f t="shared" si="23"/>
        <v>0</v>
      </c>
      <c r="AL71" s="95" t="e">
        <f>+'[1]C&amp;A'!X61*0.02</f>
        <v>#REF!</v>
      </c>
      <c r="AM71" s="94" t="e">
        <f t="shared" si="24"/>
        <v>#REF!</v>
      </c>
      <c r="AN71" s="97"/>
      <c r="AO71" s="98"/>
      <c r="AP71" s="99">
        <f t="shared" si="27"/>
        <v>-21487.098000000002</v>
      </c>
      <c r="AQ71" s="99"/>
      <c r="AR71" s="101"/>
      <c r="AS71" s="48">
        <f t="shared" si="10"/>
        <v>250</v>
      </c>
      <c r="AT71" s="48">
        <f t="shared" si="11"/>
        <v>0</v>
      </c>
      <c r="AU71" s="235" t="b">
        <f t="shared" si="12"/>
        <v>1</v>
      </c>
      <c r="AV71" s="236" t="s">
        <v>99</v>
      </c>
      <c r="AW71" s="235" t="s">
        <v>100</v>
      </c>
      <c r="AX71" s="239">
        <v>3750</v>
      </c>
      <c r="AY71" s="235">
        <f t="shared" si="13"/>
        <v>250</v>
      </c>
    </row>
    <row r="72" spans="1:51">
      <c r="A72" s="192"/>
      <c r="B72" s="65" t="s">
        <v>308</v>
      </c>
      <c r="C72" s="178">
        <f>+FISCAL!I72</f>
        <v>9600.369999999999</v>
      </c>
      <c r="D72" s="178">
        <f t="shared" si="1"/>
        <v>9600.369999999999</v>
      </c>
      <c r="E72" s="184"/>
      <c r="F72" s="178">
        <f t="shared" si="2"/>
        <v>9600.369999999999</v>
      </c>
      <c r="G72" s="178">
        <f t="shared" si="3"/>
        <v>-45.13</v>
      </c>
      <c r="H72" s="178">
        <f t="shared" si="4"/>
        <v>192.00739999999999</v>
      </c>
      <c r="I72" s="178">
        <f t="shared" si="5"/>
        <v>720.02774999999986</v>
      </c>
      <c r="J72" s="178">
        <f t="shared" si="6"/>
        <v>10467.275149999999</v>
      </c>
      <c r="K72" s="178">
        <f t="shared" si="7"/>
        <v>1674.7640240000001</v>
      </c>
      <c r="L72" s="178">
        <f t="shared" si="8"/>
        <v>12142.039174</v>
      </c>
      <c r="N72" s="191" t="str">
        <f t="shared" si="21"/>
        <v>SI</v>
      </c>
      <c r="O72" s="84" t="s">
        <v>164</v>
      </c>
      <c r="P72" s="84" t="s">
        <v>308</v>
      </c>
      <c r="Q72" s="84"/>
      <c r="R72" s="87">
        <v>42496</v>
      </c>
      <c r="S72" s="84" t="s">
        <v>309</v>
      </c>
      <c r="T72" s="144">
        <v>3500</v>
      </c>
      <c r="U72" s="144">
        <v>6100.42</v>
      </c>
      <c r="V72" s="89"/>
      <c r="W72" s="89"/>
      <c r="X72" s="90">
        <v>45.13</v>
      </c>
      <c r="Y72" s="94">
        <f t="shared" si="26"/>
        <v>6055.29</v>
      </c>
      <c r="Z72" s="100"/>
      <c r="AA72" s="134"/>
      <c r="AB72" s="91"/>
      <c r="AC72" s="91"/>
      <c r="AD72" s="91"/>
      <c r="AE72" s="92"/>
      <c r="AF72" s="93"/>
      <c r="AG72" s="93"/>
      <c r="AH72" s="94">
        <f t="shared" si="14"/>
        <v>6055.29</v>
      </c>
      <c r="AI72" s="95">
        <f t="shared" si="22"/>
        <v>605.529</v>
      </c>
      <c r="AJ72" s="94">
        <f t="shared" si="15"/>
        <v>5449.7610000000004</v>
      </c>
      <c r="AK72" s="96"/>
      <c r="AL72" s="95"/>
      <c r="AM72" s="94"/>
      <c r="AN72" s="97"/>
      <c r="AO72" s="98"/>
      <c r="AP72" s="99"/>
      <c r="AQ72" s="99"/>
      <c r="AR72" s="101"/>
      <c r="AS72" s="48">
        <f t="shared" si="10"/>
        <v>233.33333333333334</v>
      </c>
      <c r="AT72" s="48">
        <f t="shared" si="11"/>
        <v>3.3333333333587234E-3</v>
      </c>
      <c r="AU72" s="235" t="b">
        <f t="shared" si="12"/>
        <v>1</v>
      </c>
      <c r="AV72" s="236" t="s">
        <v>328</v>
      </c>
      <c r="AW72" s="235" t="s">
        <v>329</v>
      </c>
      <c r="AX72" s="239">
        <v>3499.95</v>
      </c>
      <c r="AY72" s="235">
        <f t="shared" si="13"/>
        <v>233.32999999999998</v>
      </c>
    </row>
    <row r="73" spans="1:51">
      <c r="A73" s="2" t="s">
        <v>127</v>
      </c>
      <c r="B73" s="231" t="s">
        <v>128</v>
      </c>
      <c r="C73" s="178">
        <f>+FISCAL!I73</f>
        <v>6428.1</v>
      </c>
      <c r="D73" s="178">
        <f t="shared" si="1"/>
        <v>6428.1</v>
      </c>
      <c r="E73" s="180"/>
      <c r="F73" s="178">
        <f t="shared" si="2"/>
        <v>6428.1</v>
      </c>
      <c r="G73" s="178">
        <f t="shared" si="3"/>
        <v>-45.13</v>
      </c>
      <c r="H73" s="178">
        <f t="shared" si="4"/>
        <v>128.56200000000001</v>
      </c>
      <c r="I73" s="178">
        <f t="shared" si="5"/>
        <v>482.10750000000002</v>
      </c>
      <c r="J73" s="178">
        <f t="shared" si="6"/>
        <v>6993.6395000000002</v>
      </c>
      <c r="K73" s="178">
        <f t="shared" si="7"/>
        <v>1118.9823200000001</v>
      </c>
      <c r="L73" s="178">
        <f t="shared" si="8"/>
        <v>8112.6218200000003</v>
      </c>
      <c r="N73" s="191" t="str">
        <f t="shared" si="21"/>
        <v>SI</v>
      </c>
      <c r="O73" s="84" t="s">
        <v>199</v>
      </c>
      <c r="P73" s="84" t="s">
        <v>276</v>
      </c>
      <c r="Q73" s="84"/>
      <c r="R73" s="87">
        <v>42632</v>
      </c>
      <c r="S73" s="84" t="s">
        <v>218</v>
      </c>
      <c r="T73" s="144">
        <v>1200</v>
      </c>
      <c r="U73" s="144">
        <v>5227.5</v>
      </c>
      <c r="V73" s="89"/>
      <c r="W73" s="89"/>
      <c r="X73" s="90">
        <v>45.13</v>
      </c>
      <c r="Y73" s="94">
        <f t="shared" si="26"/>
        <v>5182.37</v>
      </c>
      <c r="Z73" s="100">
        <v>1000</v>
      </c>
      <c r="AA73" s="134"/>
      <c r="AB73" s="91"/>
      <c r="AC73" s="91"/>
      <c r="AD73" s="91"/>
      <c r="AE73" s="92"/>
      <c r="AF73" s="93">
        <v>775.27</v>
      </c>
      <c r="AG73" s="93"/>
      <c r="AH73" s="94">
        <f t="shared" si="14"/>
        <v>3407.1</v>
      </c>
      <c r="AI73" s="95">
        <f t="shared" si="22"/>
        <v>518.23699999999997</v>
      </c>
      <c r="AJ73" s="94">
        <f t="shared" si="15"/>
        <v>2888.8629999999998</v>
      </c>
      <c r="AK73" s="96"/>
      <c r="AL73" s="95"/>
      <c r="AM73" s="94"/>
      <c r="AN73" s="97"/>
      <c r="AO73" s="98"/>
      <c r="AP73" s="99"/>
      <c r="AQ73" s="115">
        <v>2643837181</v>
      </c>
      <c r="AR73" s="104" t="s">
        <v>356</v>
      </c>
      <c r="AS73" s="48">
        <f t="shared" si="10"/>
        <v>80</v>
      </c>
      <c r="AT73" s="48">
        <f t="shared" si="11"/>
        <v>-3.9999999999992042E-2</v>
      </c>
      <c r="AU73" s="235" t="b">
        <f t="shared" si="12"/>
        <v>1</v>
      </c>
      <c r="AV73" s="236" t="s">
        <v>127</v>
      </c>
      <c r="AW73" s="235" t="s">
        <v>128</v>
      </c>
      <c r="AX73" s="239">
        <v>1200.5999999999999</v>
      </c>
      <c r="AY73" s="235">
        <f t="shared" si="13"/>
        <v>80.039999999999992</v>
      </c>
    </row>
    <row r="74" spans="1:51">
      <c r="A74" s="2" t="s">
        <v>101</v>
      </c>
      <c r="B74" s="1" t="s">
        <v>102</v>
      </c>
      <c r="C74" s="178">
        <f>+FISCAL!I74</f>
        <v>3250.05</v>
      </c>
      <c r="D74" s="178">
        <f t="shared" si="1"/>
        <v>3250.05</v>
      </c>
      <c r="E74" s="179"/>
      <c r="F74" s="178">
        <f t="shared" si="2"/>
        <v>3250.05</v>
      </c>
      <c r="G74" s="178">
        <f t="shared" si="3"/>
        <v>-45.13</v>
      </c>
      <c r="H74" s="178">
        <f t="shared" si="4"/>
        <v>65.001000000000005</v>
      </c>
      <c r="I74" s="178">
        <f t="shared" si="5"/>
        <v>243.75375</v>
      </c>
      <c r="J74" s="178">
        <f t="shared" si="6"/>
        <v>3513.6747500000001</v>
      </c>
      <c r="K74" s="178">
        <f t="shared" si="7"/>
        <v>562.18796000000009</v>
      </c>
      <c r="L74" s="178">
        <f t="shared" si="8"/>
        <v>4075.8627100000003</v>
      </c>
      <c r="N74" s="191" t="str">
        <f t="shared" si="21"/>
        <v>SI</v>
      </c>
      <c r="O74" s="84" t="s">
        <v>164</v>
      </c>
      <c r="P74" s="101" t="s">
        <v>277</v>
      </c>
      <c r="Q74" s="84"/>
      <c r="R74" s="87">
        <v>42169</v>
      </c>
      <c r="S74" s="84" t="s">
        <v>238</v>
      </c>
      <c r="T74" s="144">
        <v>3250</v>
      </c>
      <c r="U74" s="144"/>
      <c r="V74" s="89"/>
      <c r="W74" s="89"/>
      <c r="X74" s="90">
        <v>45.13</v>
      </c>
      <c r="Y74" s="94">
        <f t="shared" si="26"/>
        <v>-45.13</v>
      </c>
      <c r="Z74" s="100"/>
      <c r="AA74" s="233">
        <v>1</v>
      </c>
      <c r="AB74" s="91"/>
      <c r="AC74" s="91"/>
      <c r="AD74" s="91"/>
      <c r="AE74" s="92"/>
      <c r="AF74" s="93">
        <v>0</v>
      </c>
      <c r="AG74" s="93"/>
      <c r="AH74" s="94">
        <f t="shared" si="14"/>
        <v>-46.13</v>
      </c>
      <c r="AI74" s="95">
        <f t="shared" si="22"/>
        <v>0</v>
      </c>
      <c r="AJ74" s="94">
        <f t="shared" si="15"/>
        <v>-46.13</v>
      </c>
      <c r="AK74" s="96">
        <f t="shared" si="23"/>
        <v>-4.5130000000000008</v>
      </c>
      <c r="AL74" s="95" t="e">
        <f>+'[1]C&amp;A'!X62*0.02</f>
        <v>#REF!</v>
      </c>
      <c r="AM74" s="94" t="e">
        <f t="shared" si="24"/>
        <v>#REF!</v>
      </c>
      <c r="AN74" s="97"/>
      <c r="AO74" s="98"/>
      <c r="AP74" s="99">
        <f t="shared" si="27"/>
        <v>46.13</v>
      </c>
      <c r="AQ74" s="115"/>
      <c r="AR74" s="101"/>
      <c r="AS74" s="48">
        <f t="shared" si="10"/>
        <v>216.66666666666666</v>
      </c>
      <c r="AT74" s="48">
        <f t="shared" si="11"/>
        <v>-3.3333333333587234E-3</v>
      </c>
      <c r="AU74" s="235" t="b">
        <f t="shared" si="12"/>
        <v>1</v>
      </c>
      <c r="AV74" s="236" t="s">
        <v>101</v>
      </c>
      <c r="AW74" s="235" t="s">
        <v>102</v>
      </c>
      <c r="AX74" s="239">
        <v>3250.05</v>
      </c>
      <c r="AY74" s="235">
        <f t="shared" si="13"/>
        <v>216.67000000000002</v>
      </c>
    </row>
    <row r="75" spans="1:51">
      <c r="A75" s="192" t="s">
        <v>129</v>
      </c>
      <c r="B75" s="231" t="s">
        <v>130</v>
      </c>
      <c r="C75" s="178">
        <f>+FISCAL!I75</f>
        <v>3216.56</v>
      </c>
      <c r="D75" s="178">
        <f t="shared" si="1"/>
        <v>3216.56</v>
      </c>
      <c r="E75" s="180"/>
      <c r="F75" s="178">
        <f t="shared" si="2"/>
        <v>3216.56</v>
      </c>
      <c r="G75" s="178">
        <f t="shared" si="3"/>
        <v>-45.13</v>
      </c>
      <c r="H75" s="178">
        <f t="shared" si="4"/>
        <v>64.331199999999995</v>
      </c>
      <c r="I75" s="178">
        <f t="shared" si="5"/>
        <v>241.24199999999999</v>
      </c>
      <c r="J75" s="178">
        <f t="shared" si="6"/>
        <v>3477.0032000000001</v>
      </c>
      <c r="K75" s="178">
        <f t="shared" si="7"/>
        <v>556.32051200000001</v>
      </c>
      <c r="L75" s="178">
        <f t="shared" si="8"/>
        <v>4033.3237120000003</v>
      </c>
      <c r="M75" s="246"/>
      <c r="N75" s="191" t="str">
        <f t="shared" si="21"/>
        <v>SI</v>
      </c>
      <c r="O75" s="84" t="s">
        <v>199</v>
      </c>
      <c r="P75" s="84" t="s">
        <v>278</v>
      </c>
      <c r="Q75" s="86" t="s">
        <v>279</v>
      </c>
      <c r="R75" s="87">
        <v>41939</v>
      </c>
      <c r="S75" s="84" t="s">
        <v>198</v>
      </c>
      <c r="T75" s="144">
        <v>1200</v>
      </c>
      <c r="U75" s="144">
        <v>2096</v>
      </c>
      <c r="V75" s="89"/>
      <c r="W75" s="89"/>
      <c r="X75" s="90">
        <v>45.13</v>
      </c>
      <c r="Y75" s="94">
        <f t="shared" si="26"/>
        <v>2050.87</v>
      </c>
      <c r="Z75" s="100"/>
      <c r="AA75" s="134"/>
      <c r="AB75" s="91"/>
      <c r="AC75" s="91"/>
      <c r="AD75" s="91"/>
      <c r="AE75" s="92"/>
      <c r="AF75" s="93">
        <v>300.04000000000002</v>
      </c>
      <c r="AG75" s="93"/>
      <c r="AH75" s="94">
        <f t="shared" si="14"/>
        <v>1750.83</v>
      </c>
      <c r="AI75" s="95">
        <f t="shared" si="22"/>
        <v>0</v>
      </c>
      <c r="AJ75" s="94">
        <f t="shared" si="15"/>
        <v>1750.83</v>
      </c>
      <c r="AK75" s="96">
        <f t="shared" si="23"/>
        <v>205.08699999999999</v>
      </c>
      <c r="AL75" s="95" t="e">
        <f>+'[1]C&amp;A'!X63*0.02</f>
        <v>#REF!</v>
      </c>
      <c r="AM75" s="94" t="e">
        <f t="shared" si="24"/>
        <v>#REF!</v>
      </c>
      <c r="AN75" s="97"/>
      <c r="AO75" s="102"/>
      <c r="AP75" s="99">
        <f t="shared" si="27"/>
        <v>-1750.83</v>
      </c>
      <c r="AQ75" s="99"/>
      <c r="AR75" s="104"/>
      <c r="AS75" s="48">
        <f t="shared" si="10"/>
        <v>80</v>
      </c>
      <c r="AT75" s="48">
        <f t="shared" si="11"/>
        <v>-3.9999999999992042E-2</v>
      </c>
      <c r="AU75" s="235" t="b">
        <f t="shared" si="12"/>
        <v>1</v>
      </c>
      <c r="AV75" s="236" t="s">
        <v>129</v>
      </c>
      <c r="AW75" s="235" t="s">
        <v>130</v>
      </c>
      <c r="AX75" s="239">
        <v>1200.5999999999999</v>
      </c>
      <c r="AY75" s="235">
        <f t="shared" si="13"/>
        <v>80.039999999999992</v>
      </c>
    </row>
    <row r="76" spans="1:51" s="54" customFormat="1">
      <c r="A76" s="177" t="s">
        <v>332</v>
      </c>
      <c r="B76" s="65" t="s">
        <v>310</v>
      </c>
      <c r="C76" s="178">
        <f>+FISCAL!I76</f>
        <v>0</v>
      </c>
      <c r="D76" s="178">
        <f t="shared" si="1"/>
        <v>0</v>
      </c>
      <c r="E76" s="179"/>
      <c r="F76" s="178">
        <f t="shared" si="2"/>
        <v>0</v>
      </c>
      <c r="G76" s="178">
        <f t="shared" si="3"/>
        <v>0</v>
      </c>
      <c r="H76" s="178">
        <f t="shared" si="4"/>
        <v>0</v>
      </c>
      <c r="I76" s="178">
        <f t="shared" si="5"/>
        <v>0</v>
      </c>
      <c r="J76" s="178">
        <f t="shared" si="6"/>
        <v>0</v>
      </c>
      <c r="K76" s="178">
        <f t="shared" si="7"/>
        <v>0</v>
      </c>
      <c r="L76" s="178">
        <f t="shared" si="8"/>
        <v>0</v>
      </c>
      <c r="M76" s="43" t="s">
        <v>358</v>
      </c>
      <c r="N76" s="191" t="str">
        <f t="shared" si="21"/>
        <v>SI</v>
      </c>
      <c r="O76" s="207" t="s">
        <v>199</v>
      </c>
      <c r="P76" s="207" t="s">
        <v>310</v>
      </c>
      <c r="Q76" s="208"/>
      <c r="R76" s="209">
        <v>42688</v>
      </c>
      <c r="S76" s="207" t="s">
        <v>218</v>
      </c>
      <c r="T76" s="210"/>
      <c r="U76" s="210">
        <v>1650</v>
      </c>
      <c r="V76" s="211"/>
      <c r="W76" s="211"/>
      <c r="X76" s="212"/>
      <c r="Y76" s="213">
        <f t="shared" si="26"/>
        <v>1650</v>
      </c>
      <c r="Z76" s="211"/>
      <c r="AA76" s="228"/>
      <c r="AB76" s="215"/>
      <c r="AC76" s="215"/>
      <c r="AD76" s="215"/>
      <c r="AE76" s="216"/>
      <c r="AF76" s="217"/>
      <c r="AG76" s="217"/>
      <c r="AH76" s="213">
        <f t="shared" si="14"/>
        <v>1650</v>
      </c>
      <c r="AI76" s="215">
        <f t="shared" si="22"/>
        <v>0</v>
      </c>
      <c r="AJ76" s="213">
        <f t="shared" si="15"/>
        <v>1650</v>
      </c>
      <c r="AK76" s="215"/>
      <c r="AL76" s="215"/>
      <c r="AM76" s="213"/>
      <c r="AN76" s="218"/>
      <c r="AO76" s="229"/>
      <c r="AP76" s="220"/>
      <c r="AQ76" s="220" t="s">
        <v>311</v>
      </c>
      <c r="AR76" s="221" t="s">
        <v>358</v>
      </c>
      <c r="AS76" s="241" t="s">
        <v>358</v>
      </c>
      <c r="AU76" s="235"/>
    </row>
    <row r="77" spans="1:51" s="54" customFormat="1">
      <c r="A77" s="1"/>
      <c r="B77" s="1"/>
      <c r="C77" s="179" t="s">
        <v>104</v>
      </c>
      <c r="D77" s="179" t="s">
        <v>104</v>
      </c>
      <c r="E77" s="179"/>
      <c r="F77" s="179" t="s">
        <v>104</v>
      </c>
      <c r="G77" s="179" t="s">
        <v>104</v>
      </c>
      <c r="H77" s="179" t="s">
        <v>104</v>
      </c>
      <c r="I77" s="179" t="s">
        <v>104</v>
      </c>
      <c r="J77" s="179" t="s">
        <v>104</v>
      </c>
      <c r="K77" s="179" t="s">
        <v>104</v>
      </c>
      <c r="L77" s="179" t="s">
        <v>104</v>
      </c>
      <c r="M77" s="244"/>
      <c r="N77" s="186"/>
      <c r="O77" s="104"/>
      <c r="P77" s="84"/>
      <c r="Q77" s="84"/>
      <c r="R77" s="84"/>
      <c r="S77" s="84"/>
      <c r="T77" s="84"/>
      <c r="U77" s="144"/>
      <c r="V77" s="88"/>
      <c r="W77" s="88"/>
      <c r="X77" s="90">
        <v>45.13</v>
      </c>
      <c r="Y77" s="94"/>
      <c r="Z77" s="100"/>
      <c r="AA77" s="133"/>
      <c r="AB77" s="91"/>
      <c r="AC77" s="91"/>
      <c r="AD77" s="91"/>
      <c r="AE77" s="95"/>
      <c r="AF77" s="95"/>
      <c r="AG77" s="95"/>
      <c r="AH77" s="94"/>
      <c r="AI77" s="95"/>
      <c r="AJ77" s="94"/>
      <c r="AK77" s="96">
        <f t="shared" si="23"/>
        <v>0</v>
      </c>
      <c r="AL77" s="95"/>
      <c r="AM77" s="94">
        <f t="shared" si="24"/>
        <v>0</v>
      </c>
      <c r="AN77" s="97"/>
      <c r="AO77" s="117"/>
      <c r="AP77" s="99"/>
      <c r="AQ77" s="99"/>
      <c r="AR77" s="101"/>
      <c r="AS77" s="48"/>
      <c r="AU77" s="235"/>
    </row>
    <row r="78" spans="1:51" ht="16.5" thickBot="1">
      <c r="A78" s="1"/>
      <c r="C78" s="181">
        <f>SUM(C12:C76)</f>
        <v>1525828.2300000011</v>
      </c>
      <c r="D78" s="181">
        <f t="shared" ref="D78:L78" si="28">SUM(D12:D76)</f>
        <v>1525828.2300000011</v>
      </c>
      <c r="E78" s="179"/>
      <c r="F78" s="181">
        <f t="shared" si="28"/>
        <v>1525828.2300000011</v>
      </c>
      <c r="G78" s="181">
        <f t="shared" si="28"/>
        <v>-2707.8000000000038</v>
      </c>
      <c r="H78" s="181">
        <f t="shared" si="28"/>
        <v>30516.564600000009</v>
      </c>
      <c r="I78" s="181">
        <f t="shared" si="28"/>
        <v>114437.11724999998</v>
      </c>
      <c r="J78" s="181">
        <f t="shared" si="28"/>
        <v>1668074.1118500002</v>
      </c>
      <c r="K78" s="181">
        <f t="shared" si="28"/>
        <v>266891.85789600003</v>
      </c>
      <c r="L78" s="181">
        <f t="shared" si="28"/>
        <v>1934965.9697459997</v>
      </c>
      <c r="N78" s="64"/>
      <c r="P78" s="121" t="s">
        <v>280</v>
      </c>
      <c r="Q78" s="121"/>
      <c r="R78" s="121"/>
      <c r="S78" s="121"/>
      <c r="T78" s="121"/>
      <c r="U78" s="146">
        <f>SUM(U12:U76)</f>
        <v>1276800.0699999998</v>
      </c>
      <c r="V78" s="122">
        <f t="shared" ref="V78:AD78" si="29">SUM(V15:V71)</f>
        <v>0</v>
      </c>
      <c r="W78" s="122">
        <f t="shared" si="29"/>
        <v>0</v>
      </c>
      <c r="X78" s="122">
        <f>SUM(X12:X77)</f>
        <v>2798.060000000004</v>
      </c>
      <c r="Y78" s="122">
        <f>SUM(Y13:Y77)</f>
        <v>1253171.9200000013</v>
      </c>
      <c r="Z78" s="122">
        <f>SUM(Z13:Z75)</f>
        <v>7659.04</v>
      </c>
      <c r="AA78" s="135">
        <f>SUM(AA12:AA77)</f>
        <v>9</v>
      </c>
      <c r="AB78" s="122">
        <f t="shared" si="29"/>
        <v>108.1</v>
      </c>
      <c r="AC78" s="122">
        <f t="shared" si="29"/>
        <v>0</v>
      </c>
      <c r="AD78" s="122">
        <f t="shared" si="29"/>
        <v>0</v>
      </c>
      <c r="AE78" s="122">
        <f>SUM(AE13:AE75)</f>
        <v>0</v>
      </c>
      <c r="AF78" s="122">
        <f>SUM(AF12:AF77)</f>
        <v>17456.939999999999</v>
      </c>
      <c r="AG78" s="122"/>
      <c r="AH78" s="122">
        <f>SUM(AH13:AH77)</f>
        <v>1229374.6500000006</v>
      </c>
      <c r="AI78" s="122">
        <f>SUM(AI15:AI71)</f>
        <v>112012.455</v>
      </c>
      <c r="AJ78" s="122">
        <f>SUM(AJ13:AJ77)</f>
        <v>1114469.3650000002</v>
      </c>
      <c r="AK78" s="122">
        <f>SUM(AK15:AK71)</f>
        <v>3022.5380000000009</v>
      </c>
      <c r="AL78" s="122" t="e">
        <f>SUM(AL15:AL71)</f>
        <v>#REF!</v>
      </c>
      <c r="AM78" s="122" t="e">
        <f>SUM(AM15:AM71)</f>
        <v>#REF!</v>
      </c>
      <c r="AN78" s="120"/>
      <c r="AO78" s="120"/>
      <c r="AP78" s="81"/>
      <c r="AQ78" s="81"/>
      <c r="AS78" s="48"/>
    </row>
    <row r="79" spans="1:51" s="7" customFormat="1" ht="16.5" thickTop="1">
      <c r="A79" s="191"/>
      <c r="B79" s="191"/>
      <c r="C79" s="178"/>
      <c r="D79" s="178"/>
      <c r="E79" s="179"/>
      <c r="F79" s="178"/>
      <c r="G79" s="178"/>
      <c r="H79" s="178"/>
      <c r="I79" s="178"/>
      <c r="J79" s="178"/>
      <c r="K79" s="178"/>
      <c r="L79" s="178"/>
      <c r="M79" s="244"/>
      <c r="N79" s="28"/>
      <c r="O79" s="80"/>
      <c r="P79" s="80"/>
      <c r="Q79" s="80"/>
      <c r="R79" s="80"/>
      <c r="S79" s="80"/>
      <c r="T79" s="80"/>
      <c r="U79" s="141"/>
      <c r="V79" s="77"/>
      <c r="W79" s="77"/>
      <c r="X79" s="77"/>
      <c r="Y79" s="78"/>
      <c r="Z79" s="77"/>
      <c r="AA79" s="132"/>
      <c r="AB79" s="77"/>
      <c r="AC79" s="77"/>
      <c r="AD79" s="77"/>
      <c r="AE79" s="77"/>
      <c r="AF79" s="77"/>
      <c r="AG79" s="77"/>
      <c r="AH79" s="78"/>
      <c r="AI79" s="77"/>
      <c r="AJ79" s="78"/>
      <c r="AK79" s="77"/>
      <c r="AL79" s="77"/>
      <c r="AM79" s="78"/>
      <c r="AN79" s="120"/>
      <c r="AO79" s="120"/>
      <c r="AP79" s="81"/>
      <c r="AQ79" s="81"/>
      <c r="AR79" s="80"/>
      <c r="AS79" s="48"/>
      <c r="AU79" s="238"/>
    </row>
    <row r="80" spans="1:51">
      <c r="A80" s="29"/>
      <c r="B80" s="28"/>
      <c r="C80" s="178"/>
      <c r="D80" s="178"/>
      <c r="E80" s="179"/>
      <c r="F80" s="178"/>
      <c r="G80" s="178"/>
      <c r="H80" s="178"/>
      <c r="I80" s="178"/>
      <c r="J80" s="178"/>
      <c r="K80" s="178"/>
      <c r="L80" s="178"/>
      <c r="N80" s="28"/>
      <c r="O80" s="288" t="s">
        <v>281</v>
      </c>
      <c r="P80" s="288"/>
      <c r="Q80" s="84"/>
      <c r="R80" s="84"/>
      <c r="S80" s="84"/>
      <c r="T80" s="84"/>
      <c r="U80" s="144"/>
      <c r="V80" s="88"/>
      <c r="W80" s="88"/>
      <c r="X80" s="88"/>
      <c r="Y80" s="123"/>
      <c r="Z80" s="88"/>
      <c r="AA80" s="136"/>
      <c r="AB80" s="88"/>
      <c r="AC80" s="88"/>
      <c r="AD80" s="88"/>
      <c r="AE80" s="88"/>
      <c r="AF80" s="88"/>
      <c r="AG80" s="88"/>
      <c r="AH80" s="123"/>
      <c r="AI80" s="88">
        <f>+AI78-AI79</f>
        <v>112012.455</v>
      </c>
      <c r="AJ80" s="123"/>
      <c r="AK80" s="88"/>
      <c r="AL80" s="88"/>
      <c r="AM80" s="123"/>
      <c r="AN80" s="124"/>
      <c r="AO80" s="124"/>
      <c r="AP80" s="84"/>
      <c r="AQ80" s="84"/>
      <c r="AR80" s="84"/>
      <c r="AS80" s="48"/>
    </row>
    <row r="81" spans="1:51">
      <c r="A81" s="2" t="s">
        <v>120</v>
      </c>
      <c r="B81" s="54" t="s">
        <v>121</v>
      </c>
      <c r="C81" s="178">
        <f>+FISCAL!I81</f>
        <v>8217.06</v>
      </c>
      <c r="D81" s="178">
        <f>SUM(C81:C81)</f>
        <v>8217.06</v>
      </c>
      <c r="E81" s="179"/>
      <c r="F81" s="178">
        <f>+C81</f>
        <v>8217.06</v>
      </c>
      <c r="G81" s="178">
        <f>-X81</f>
        <v>0</v>
      </c>
      <c r="H81" s="178">
        <f>+C81*0.02</f>
        <v>164.34119999999999</v>
      </c>
      <c r="I81" s="178">
        <f>+C81*7.5%</f>
        <v>616.27949999999998</v>
      </c>
      <c r="J81" s="178">
        <f>SUM(F81:I81)</f>
        <v>8997.6807000000008</v>
      </c>
      <c r="K81" s="178">
        <f>+J81*0.16</f>
        <v>1439.6289120000001</v>
      </c>
      <c r="L81" s="178">
        <f>+J81+K81</f>
        <v>10437.309612000001</v>
      </c>
      <c r="N81" s="191" t="str">
        <f>IF(B81=P81,"SI","NO")</f>
        <v>NO</v>
      </c>
      <c r="O81" s="84" t="s">
        <v>188</v>
      </c>
      <c r="P81" s="84" t="s">
        <v>312</v>
      </c>
      <c r="Q81" s="86"/>
      <c r="R81" s="87">
        <v>39516</v>
      </c>
      <c r="S81" s="84" t="s">
        <v>236</v>
      </c>
      <c r="T81" s="144">
        <v>1750</v>
      </c>
      <c r="U81" s="144">
        <v>6467.01</v>
      </c>
      <c r="V81" s="88"/>
      <c r="W81" s="88"/>
      <c r="X81" s="90"/>
      <c r="Y81" s="94">
        <f>SUM(U81:W81)-X81</f>
        <v>6467.01</v>
      </c>
      <c r="Z81" s="100"/>
      <c r="AA81" s="137"/>
      <c r="AB81" s="91"/>
      <c r="AC81" s="91"/>
      <c r="AD81" s="91"/>
      <c r="AE81" s="88"/>
      <c r="AF81" s="88">
        <v>4000</v>
      </c>
      <c r="AG81" s="88"/>
      <c r="AH81" s="94">
        <f>+Y81-Z81</f>
        <v>6467.01</v>
      </c>
      <c r="AI81" s="95">
        <f>+AH81*0.05</f>
        <v>323.35050000000001</v>
      </c>
      <c r="AJ81" s="94">
        <f>+AH81-AC81-AF81</f>
        <v>2467.0100000000002</v>
      </c>
      <c r="AK81" s="96">
        <f>IF(AH81&lt;3000,AH81*0.1,0)</f>
        <v>0</v>
      </c>
      <c r="AL81" s="95">
        <v>0</v>
      </c>
      <c r="AM81" s="94">
        <f>+AH81+AK81+AL81</f>
        <v>6467.01</v>
      </c>
      <c r="AN81" s="124"/>
      <c r="AO81" s="124"/>
      <c r="AP81" s="84"/>
      <c r="AQ81" s="84"/>
      <c r="AR81" s="158"/>
      <c r="AS81" s="48">
        <f>+T81/15</f>
        <v>116.66666666666667</v>
      </c>
      <c r="AU81" s="235" t="b">
        <f>AW81=B81</f>
        <v>1</v>
      </c>
      <c r="AV81" s="236" t="s">
        <v>120</v>
      </c>
      <c r="AW81" s="235" t="s">
        <v>121</v>
      </c>
      <c r="AX81" s="239">
        <v>1750.05</v>
      </c>
      <c r="AY81" s="235">
        <f>+AX81/15</f>
        <v>116.67</v>
      </c>
    </row>
    <row r="82" spans="1:51" s="7" customFormat="1">
      <c r="A82" s="13" t="s">
        <v>103</v>
      </c>
      <c r="C82" s="179" t="s">
        <v>104</v>
      </c>
      <c r="D82" s="179" t="s">
        <v>104</v>
      </c>
      <c r="E82" s="179"/>
      <c r="F82" s="179" t="s">
        <v>104</v>
      </c>
      <c r="G82" s="179" t="s">
        <v>104</v>
      </c>
      <c r="H82" s="179" t="s">
        <v>104</v>
      </c>
      <c r="I82" s="179" t="s">
        <v>104</v>
      </c>
      <c r="J82" s="179" t="s">
        <v>104</v>
      </c>
      <c r="K82" s="179" t="s">
        <v>104</v>
      </c>
      <c r="L82" s="179" t="s">
        <v>104</v>
      </c>
      <c r="M82" s="244"/>
      <c r="N82" s="186"/>
      <c r="O82" s="118"/>
      <c r="P82" s="125"/>
      <c r="Q82" s="125"/>
      <c r="R82" s="125"/>
      <c r="S82" s="125"/>
      <c r="T82" s="125"/>
      <c r="U82" s="147"/>
      <c r="V82" s="126"/>
      <c r="W82" s="126"/>
      <c r="X82" s="126"/>
      <c r="Y82" s="127">
        <f>SUM(U82:X82)</f>
        <v>0</v>
      </c>
      <c r="Z82" s="128"/>
      <c r="AA82" s="138"/>
      <c r="AB82" s="129"/>
      <c r="AC82" s="129"/>
      <c r="AD82" s="129"/>
      <c r="AE82" s="129"/>
      <c r="AF82" s="129"/>
      <c r="AG82" s="129"/>
      <c r="AH82" s="127">
        <f>+Y82-Z82</f>
        <v>0</v>
      </c>
      <c r="AI82" s="119">
        <f>+AH82*0.05</f>
        <v>0</v>
      </c>
      <c r="AJ82" s="127">
        <f>+AH82-AC82-AF82</f>
        <v>0</v>
      </c>
      <c r="AK82" s="130">
        <f>IF(AH82&lt;3000,AH82*0.1,0)</f>
        <v>0</v>
      </c>
      <c r="AL82" s="119">
        <v>0</v>
      </c>
      <c r="AM82" s="127">
        <f>+AH82+AK82+AL82</f>
        <v>0</v>
      </c>
      <c r="AN82" s="79"/>
      <c r="AO82" s="79"/>
      <c r="AP82" s="80"/>
      <c r="AQ82" s="80"/>
      <c r="AR82" s="80"/>
      <c r="AU82" s="238"/>
    </row>
    <row r="83" spans="1:51">
      <c r="C83" s="181">
        <f>SUM(C81:C81)</f>
        <v>8217.06</v>
      </c>
      <c r="D83" s="181">
        <f t="shared" ref="D83:L83" si="30">SUM(D81:D81)</f>
        <v>8217.06</v>
      </c>
      <c r="E83" s="179"/>
      <c r="F83" s="181">
        <f t="shared" si="30"/>
        <v>8217.06</v>
      </c>
      <c r="G83" s="181">
        <f t="shared" si="30"/>
        <v>0</v>
      </c>
      <c r="H83" s="181">
        <f t="shared" si="30"/>
        <v>164.34119999999999</v>
      </c>
      <c r="I83" s="181">
        <f t="shared" si="30"/>
        <v>616.27949999999998</v>
      </c>
      <c r="J83" s="181">
        <f t="shared" si="30"/>
        <v>8997.6807000000008</v>
      </c>
      <c r="K83" s="181">
        <f t="shared" si="30"/>
        <v>1439.6289120000001</v>
      </c>
      <c r="L83" s="181">
        <f t="shared" si="30"/>
        <v>10437.309612000001</v>
      </c>
      <c r="N83" s="28"/>
      <c r="AM83" s="78">
        <f>SUM(AM81:AM82)</f>
        <v>6467.01</v>
      </c>
    </row>
    <row r="84" spans="1:51">
      <c r="C84" s="184"/>
      <c r="D84" s="184"/>
      <c r="E84" s="179"/>
      <c r="F84" s="184"/>
      <c r="G84" s="184"/>
      <c r="H84" s="184"/>
      <c r="I84" s="184"/>
      <c r="J84" s="184"/>
      <c r="K84" s="184"/>
      <c r="L84" s="184"/>
      <c r="P84" s="131" t="s">
        <v>294</v>
      </c>
      <c r="Q84" s="131"/>
      <c r="R84" s="131"/>
      <c r="AM84" s="78">
        <f>+AM83*0.16</f>
        <v>1034.7216000000001</v>
      </c>
    </row>
    <row r="85" spans="1:51">
      <c r="A85" s="12"/>
      <c r="B85" s="7"/>
      <c r="C85" s="261" t="s">
        <v>368</v>
      </c>
      <c r="D85" s="261" t="s">
        <v>368</v>
      </c>
      <c r="E85" s="179"/>
      <c r="F85" s="261" t="s">
        <v>368</v>
      </c>
      <c r="G85" s="261" t="s">
        <v>368</v>
      </c>
      <c r="H85" s="261" t="s">
        <v>368</v>
      </c>
      <c r="I85" s="261" t="s">
        <v>368</v>
      </c>
      <c r="J85" s="261" t="s">
        <v>368</v>
      </c>
      <c r="K85" s="261" t="s">
        <v>368</v>
      </c>
      <c r="L85" s="261" t="s">
        <v>368</v>
      </c>
      <c r="P85" s="131"/>
      <c r="Q85" s="131"/>
      <c r="R85" s="131"/>
      <c r="AM85" s="78">
        <f>+AM83+AM84</f>
        <v>7501.7316000000001</v>
      </c>
    </row>
    <row r="86" spans="1:51">
      <c r="A86" s="13" t="s">
        <v>131</v>
      </c>
      <c r="B86" s="1" t="s">
        <v>132</v>
      </c>
      <c r="C86" s="260">
        <f>+C78+C83</f>
        <v>1534045.2900000012</v>
      </c>
      <c r="D86" s="260">
        <f t="shared" ref="D86:L86" si="31">+D78+D83</f>
        <v>1534045.2900000012</v>
      </c>
      <c r="E86" s="179"/>
      <c r="F86" s="260">
        <f t="shared" si="31"/>
        <v>1534045.2900000012</v>
      </c>
      <c r="G86" s="260">
        <f t="shared" si="31"/>
        <v>-2707.8000000000038</v>
      </c>
      <c r="H86" s="260">
        <f t="shared" si="31"/>
        <v>30680.905800000008</v>
      </c>
      <c r="I86" s="260">
        <f t="shared" si="31"/>
        <v>115053.39674999999</v>
      </c>
      <c r="J86" s="260">
        <f t="shared" si="31"/>
        <v>1677071.7925500001</v>
      </c>
      <c r="K86" s="260">
        <f t="shared" si="31"/>
        <v>268331.48680800002</v>
      </c>
      <c r="L86" s="260">
        <f t="shared" si="31"/>
        <v>1945403.2793579996</v>
      </c>
      <c r="P86" s="131"/>
      <c r="Q86" s="131"/>
      <c r="R86" s="131"/>
    </row>
    <row r="87" spans="1:51">
      <c r="D87" s="18"/>
      <c r="E87" s="179"/>
      <c r="F87" s="18"/>
      <c r="G87" s="18"/>
      <c r="H87" s="18"/>
      <c r="I87" s="18"/>
      <c r="J87" s="18"/>
      <c r="K87" s="18"/>
      <c r="L87" s="18"/>
    </row>
    <row r="88" spans="1:51">
      <c r="F88" s="18"/>
      <c r="G88" s="18"/>
      <c r="H88" s="18"/>
      <c r="I88" s="18"/>
      <c r="J88" s="18"/>
      <c r="K88" s="18"/>
      <c r="L88" s="18"/>
    </row>
    <row r="89" spans="1:51">
      <c r="A89" s="58"/>
      <c r="B89" s="23"/>
      <c r="C89" s="23"/>
      <c r="F89" s="24"/>
      <c r="G89" s="24"/>
      <c r="H89" s="24"/>
      <c r="I89" s="24"/>
      <c r="J89" s="24"/>
      <c r="K89" s="24"/>
      <c r="L89" s="24"/>
    </row>
    <row r="90" spans="1:51" s="23" customFormat="1">
      <c r="A90" s="55"/>
      <c r="B90" s="54"/>
      <c r="C90" s="19"/>
      <c r="D90" s="19"/>
      <c r="E90" s="18"/>
      <c r="F90" s="19"/>
      <c r="G90" s="39"/>
      <c r="H90" s="22"/>
      <c r="I90" s="22"/>
      <c r="J90" s="19"/>
      <c r="K90" s="22"/>
      <c r="L90" s="59"/>
      <c r="M90" s="244"/>
      <c r="O90" s="80"/>
      <c r="P90" s="80"/>
      <c r="Q90" s="80"/>
      <c r="R90" s="80"/>
      <c r="S90" s="80"/>
      <c r="T90" s="80"/>
      <c r="U90" s="141"/>
      <c r="V90" s="77"/>
      <c r="W90" s="77"/>
      <c r="X90" s="77"/>
      <c r="Y90" s="78"/>
      <c r="Z90" s="77"/>
      <c r="AA90" s="132"/>
      <c r="AB90" s="77"/>
      <c r="AC90" s="77"/>
      <c r="AD90" s="77"/>
      <c r="AE90" s="77"/>
      <c r="AF90" s="77"/>
      <c r="AG90" s="77"/>
      <c r="AH90" s="78"/>
      <c r="AI90" s="77"/>
      <c r="AJ90" s="78"/>
      <c r="AK90" s="77"/>
      <c r="AL90" s="77"/>
      <c r="AM90" s="78"/>
      <c r="AN90" s="79"/>
      <c r="AO90" s="79"/>
      <c r="AP90" s="80"/>
      <c r="AQ90" s="80"/>
      <c r="AR90" s="80"/>
    </row>
    <row r="91" spans="1:51">
      <c r="A91" s="55"/>
      <c r="B91" s="54"/>
      <c r="F91" s="18"/>
      <c r="G91" s="18"/>
      <c r="H91" s="18"/>
      <c r="I91" s="18"/>
      <c r="J91" s="18"/>
      <c r="K91" s="18"/>
      <c r="L91" s="59"/>
      <c r="N91" s="54"/>
      <c r="O91" s="80" t="s">
        <v>313</v>
      </c>
      <c r="P91" s="77"/>
    </row>
    <row r="92" spans="1:51">
      <c r="F92" s="18"/>
      <c r="G92" s="18"/>
      <c r="H92" s="18"/>
      <c r="I92" s="18"/>
      <c r="J92" s="18"/>
      <c r="K92" s="18"/>
      <c r="L92" s="18"/>
      <c r="N92" s="54"/>
      <c r="O92" s="80" t="s">
        <v>314</v>
      </c>
      <c r="P92" s="77"/>
    </row>
    <row r="93" spans="1:51">
      <c r="F93" s="18"/>
      <c r="G93" s="18"/>
      <c r="H93" s="18"/>
      <c r="I93" s="18"/>
      <c r="J93" s="18"/>
      <c r="K93" s="18"/>
      <c r="L93" s="18"/>
      <c r="O93" s="80" t="s">
        <v>315</v>
      </c>
      <c r="P93" s="77"/>
    </row>
    <row r="94" spans="1:51">
      <c r="F94" s="18"/>
      <c r="G94" s="18"/>
      <c r="H94" s="18"/>
      <c r="I94" s="18"/>
      <c r="J94" s="18"/>
      <c r="K94" s="18"/>
      <c r="L94" s="18"/>
      <c r="O94" s="80" t="s">
        <v>316</v>
      </c>
      <c r="P94" s="77"/>
    </row>
    <row r="95" spans="1:51">
      <c r="F95" s="18"/>
      <c r="G95" s="18"/>
      <c r="H95" s="18"/>
      <c r="I95" s="18"/>
      <c r="J95" s="18"/>
      <c r="K95" s="18"/>
      <c r="L95" s="18"/>
      <c r="O95" s="80" t="s">
        <v>317</v>
      </c>
      <c r="P95" s="77"/>
    </row>
    <row r="96" spans="1:51">
      <c r="F96" s="18"/>
      <c r="G96" s="18"/>
      <c r="H96" s="18"/>
      <c r="I96" s="18"/>
      <c r="J96" s="18"/>
      <c r="K96" s="18"/>
      <c r="L96" s="18"/>
      <c r="O96" s="80" t="s">
        <v>318</v>
      </c>
      <c r="P96" s="77"/>
    </row>
    <row r="97" spans="6:41">
      <c r="F97" s="18"/>
      <c r="G97" s="18"/>
      <c r="H97" s="18"/>
      <c r="I97" s="18"/>
      <c r="J97" s="18"/>
      <c r="K97" s="18"/>
      <c r="L97" s="18"/>
    </row>
    <row r="98" spans="6:41">
      <c r="F98" s="18"/>
      <c r="G98" s="18"/>
      <c r="H98" s="18"/>
      <c r="I98" s="18"/>
      <c r="J98" s="18"/>
      <c r="K98" s="18"/>
      <c r="L98" s="18"/>
    </row>
    <row r="99" spans="6:41">
      <c r="F99" s="18"/>
      <c r="G99" s="18"/>
      <c r="H99" s="18"/>
      <c r="I99" s="18"/>
      <c r="J99" s="18"/>
      <c r="K99" s="18"/>
      <c r="L99" s="18"/>
      <c r="V99" s="80"/>
      <c r="W99" s="80"/>
      <c r="X99" s="80"/>
      <c r="Y99" s="80"/>
      <c r="Z99" s="80"/>
      <c r="AA99" s="139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</row>
    <row r="100" spans="6:41">
      <c r="F100" s="18"/>
      <c r="G100" s="18"/>
      <c r="H100" s="18"/>
      <c r="I100" s="18"/>
      <c r="J100" s="18"/>
      <c r="K100" s="18"/>
      <c r="L100" s="18"/>
      <c r="V100" s="80"/>
      <c r="W100" s="80"/>
      <c r="X100" s="80"/>
      <c r="Y100" s="80"/>
      <c r="Z100" s="80"/>
      <c r="AA100" s="139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</row>
    <row r="101" spans="6:41">
      <c r="F101" s="18"/>
      <c r="G101" s="18"/>
      <c r="H101" s="18"/>
      <c r="I101" s="18"/>
      <c r="J101" s="18"/>
      <c r="K101" s="18"/>
      <c r="L101" s="18"/>
      <c r="V101" s="80"/>
      <c r="W101" s="80"/>
      <c r="X101" s="80"/>
      <c r="Y101" s="80"/>
      <c r="Z101" s="80"/>
      <c r="AA101" s="139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</row>
    <row r="102" spans="6:41">
      <c r="F102" s="18"/>
      <c r="G102" s="18"/>
      <c r="H102" s="18"/>
      <c r="I102" s="18"/>
      <c r="J102" s="18"/>
      <c r="K102" s="18"/>
      <c r="L102" s="18"/>
      <c r="V102" s="80"/>
      <c r="W102" s="80"/>
      <c r="X102" s="80"/>
      <c r="Y102" s="80"/>
      <c r="Z102" s="80"/>
      <c r="AA102" s="139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</row>
    <row r="103" spans="6:41">
      <c r="F103" s="18"/>
      <c r="G103" s="18"/>
      <c r="H103" s="18"/>
      <c r="I103" s="18"/>
      <c r="J103" s="18"/>
      <c r="K103" s="18"/>
      <c r="L103" s="18"/>
      <c r="V103" s="80"/>
      <c r="W103" s="80"/>
      <c r="X103" s="80"/>
      <c r="Y103" s="80"/>
      <c r="Z103" s="80"/>
      <c r="AA103" s="139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</row>
    <row r="104" spans="6:41">
      <c r="V104" s="80"/>
      <c r="W104" s="80"/>
      <c r="X104" s="80"/>
      <c r="Y104" s="80"/>
      <c r="Z104" s="80"/>
      <c r="AA104" s="139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</row>
    <row r="105" spans="6:41">
      <c r="V105" s="80"/>
      <c r="W105" s="80"/>
      <c r="X105" s="80"/>
      <c r="Y105" s="80"/>
      <c r="Z105" s="80"/>
      <c r="AA105" s="139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</row>
    <row r="106" spans="6:41">
      <c r="V106" s="80"/>
      <c r="W106" s="80"/>
      <c r="X106" s="80"/>
      <c r="Y106" s="80"/>
      <c r="Z106" s="80"/>
      <c r="AA106" s="139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</row>
    <row r="107" spans="6:41">
      <c r="V107" s="80"/>
      <c r="W107" s="80"/>
      <c r="X107" s="80"/>
      <c r="Y107" s="80"/>
      <c r="Z107" s="80"/>
      <c r="AA107" s="139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</row>
    <row r="108" spans="6:41">
      <c r="V108" s="80"/>
      <c r="W108" s="80"/>
      <c r="X108" s="80"/>
      <c r="Y108" s="80"/>
      <c r="Z108" s="80"/>
      <c r="AA108" s="139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</row>
    <row r="109" spans="6:41">
      <c r="V109" s="80"/>
      <c r="W109" s="80"/>
      <c r="X109" s="80"/>
      <c r="Y109" s="80"/>
      <c r="Z109" s="80"/>
      <c r="AA109" s="139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</row>
    <row r="110" spans="6:41">
      <c r="V110" s="80"/>
      <c r="W110" s="80"/>
      <c r="X110" s="80"/>
      <c r="Y110" s="80"/>
      <c r="Z110" s="80"/>
      <c r="AA110" s="139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</row>
    <row r="111" spans="6:41">
      <c r="V111" s="80"/>
      <c r="W111" s="80"/>
      <c r="X111" s="80"/>
      <c r="Y111" s="80"/>
      <c r="Z111" s="80"/>
      <c r="AA111" s="139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</row>
    <row r="112" spans="6:41">
      <c r="V112" s="80"/>
      <c r="W112" s="80"/>
      <c r="X112" s="80"/>
      <c r="Y112" s="80"/>
      <c r="Z112" s="80"/>
      <c r="AA112" s="139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</row>
    <row r="113" spans="22:41">
      <c r="V113" s="80"/>
      <c r="W113" s="80"/>
      <c r="X113" s="80"/>
      <c r="Y113" s="80"/>
      <c r="Z113" s="80"/>
      <c r="AA113" s="139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</row>
    <row r="114" spans="22:41">
      <c r="V114" s="80"/>
      <c r="W114" s="80"/>
      <c r="X114" s="80"/>
      <c r="Y114" s="80"/>
      <c r="Z114" s="80"/>
      <c r="AA114" s="139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</row>
    <row r="115" spans="22:41">
      <c r="V115" s="80"/>
      <c r="W115" s="80"/>
      <c r="X115" s="80"/>
      <c r="Y115" s="80"/>
      <c r="Z115" s="80"/>
      <c r="AA115" s="139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</row>
    <row r="116" spans="22:41">
      <c r="V116" s="80"/>
      <c r="W116" s="80"/>
      <c r="X116" s="80"/>
      <c r="Y116" s="80"/>
      <c r="Z116" s="80"/>
      <c r="AA116" s="139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</row>
    <row r="117" spans="22:41">
      <c r="V117" s="80"/>
      <c r="W117" s="80"/>
      <c r="X117" s="80"/>
      <c r="Y117" s="80"/>
      <c r="Z117" s="80"/>
      <c r="AA117" s="139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</row>
    <row r="118" spans="22:41">
      <c r="V118" s="80"/>
      <c r="W118" s="80"/>
      <c r="X118" s="80"/>
      <c r="Y118" s="80"/>
      <c r="Z118" s="80"/>
      <c r="AA118" s="139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</row>
    <row r="119" spans="22:41">
      <c r="V119" s="80"/>
      <c r="W119" s="80"/>
      <c r="X119" s="80"/>
      <c r="Y119" s="80"/>
      <c r="Z119" s="80"/>
      <c r="AA119" s="139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</row>
    <row r="120" spans="22:41">
      <c r="V120" s="80"/>
      <c r="W120" s="80"/>
      <c r="X120" s="80"/>
      <c r="Y120" s="80"/>
      <c r="Z120" s="80"/>
      <c r="AA120" s="139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</row>
    <row r="121" spans="22:41">
      <c r="V121" s="80"/>
      <c r="W121" s="80"/>
      <c r="X121" s="80"/>
      <c r="Y121" s="80"/>
      <c r="Z121" s="80"/>
      <c r="AA121" s="139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</row>
    <row r="122" spans="22:41">
      <c r="V122" s="80"/>
      <c r="W122" s="80"/>
      <c r="X122" s="80"/>
      <c r="Y122" s="80"/>
      <c r="Z122" s="80"/>
      <c r="AA122" s="139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</row>
    <row r="123" spans="22:41">
      <c r="V123" s="80"/>
      <c r="W123" s="80"/>
      <c r="X123" s="80"/>
      <c r="Y123" s="80"/>
      <c r="Z123" s="80"/>
      <c r="AA123" s="139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</row>
    <row r="124" spans="22:41">
      <c r="V124" s="80"/>
      <c r="W124" s="80"/>
      <c r="X124" s="80"/>
      <c r="Y124" s="80"/>
      <c r="Z124" s="80"/>
      <c r="AA124" s="139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</row>
    <row r="125" spans="22:41">
      <c r="V125" s="80"/>
      <c r="W125" s="80"/>
      <c r="X125" s="80"/>
      <c r="Y125" s="80"/>
      <c r="Z125" s="80"/>
      <c r="AA125" s="139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</row>
    <row r="126" spans="22:41">
      <c r="V126" s="80"/>
      <c r="W126" s="80"/>
      <c r="X126" s="80"/>
      <c r="Y126" s="80"/>
      <c r="Z126" s="80"/>
      <c r="AA126" s="139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</row>
    <row r="127" spans="22:41">
      <c r="V127" s="80"/>
      <c r="W127" s="80"/>
      <c r="X127" s="80"/>
      <c r="Y127" s="80"/>
      <c r="Z127" s="80"/>
      <c r="AA127" s="139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</row>
    <row r="128" spans="22:41">
      <c r="V128" s="80"/>
      <c r="W128" s="80"/>
      <c r="X128" s="80"/>
      <c r="Y128" s="80"/>
      <c r="Z128" s="80"/>
      <c r="AA128" s="139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</row>
    <row r="129" spans="22:41">
      <c r="V129" s="80"/>
      <c r="W129" s="80"/>
      <c r="X129" s="80"/>
      <c r="Y129" s="80"/>
      <c r="Z129" s="80"/>
      <c r="AA129" s="139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</row>
    <row r="130" spans="22:41">
      <c r="V130" s="80"/>
      <c r="W130" s="80"/>
      <c r="X130" s="80"/>
      <c r="Y130" s="80"/>
      <c r="Z130" s="80"/>
      <c r="AA130" s="139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</row>
    <row r="131" spans="22:41">
      <c r="V131" s="80"/>
      <c r="W131" s="80"/>
      <c r="X131" s="80"/>
      <c r="Y131" s="80"/>
      <c r="Z131" s="80"/>
      <c r="AA131" s="139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</row>
    <row r="132" spans="22:41">
      <c r="V132" s="80"/>
      <c r="W132" s="80"/>
      <c r="X132" s="80"/>
      <c r="Y132" s="80"/>
      <c r="Z132" s="80"/>
      <c r="AA132" s="139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</row>
    <row r="133" spans="22:41">
      <c r="V133" s="80"/>
      <c r="W133" s="80"/>
      <c r="X133" s="80"/>
      <c r="Y133" s="80"/>
      <c r="Z133" s="80"/>
      <c r="AA133" s="139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</row>
    <row r="134" spans="22:41">
      <c r="V134" s="80"/>
      <c r="W134" s="80"/>
      <c r="X134" s="80"/>
      <c r="Y134" s="80"/>
      <c r="Z134" s="80"/>
      <c r="AA134" s="139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</row>
    <row r="135" spans="22:41">
      <c r="V135" s="80"/>
      <c r="W135" s="80"/>
      <c r="X135" s="80"/>
      <c r="Y135" s="80"/>
      <c r="Z135" s="80"/>
      <c r="AA135" s="139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</row>
    <row r="136" spans="22:41">
      <c r="V136" s="80"/>
      <c r="W136" s="80"/>
      <c r="X136" s="80"/>
      <c r="Y136" s="80"/>
      <c r="Z136" s="80"/>
      <c r="AA136" s="139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</row>
    <row r="137" spans="22:41">
      <c r="V137" s="80"/>
      <c r="W137" s="80"/>
      <c r="X137" s="80"/>
      <c r="Y137" s="80"/>
      <c r="Z137" s="80"/>
      <c r="AA137" s="139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</row>
    <row r="138" spans="22:41">
      <c r="V138" s="80"/>
      <c r="W138" s="80"/>
      <c r="X138" s="80"/>
      <c r="Y138" s="80"/>
      <c r="Z138" s="80"/>
      <c r="AA138" s="139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</row>
    <row r="139" spans="22:41">
      <c r="V139" s="80"/>
      <c r="W139" s="80"/>
      <c r="X139" s="80"/>
      <c r="Y139" s="80"/>
      <c r="Z139" s="80"/>
      <c r="AA139" s="139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</row>
    <row r="140" spans="22:41">
      <c r="V140" s="80"/>
      <c r="W140" s="80"/>
      <c r="X140" s="80"/>
      <c r="Y140" s="80"/>
      <c r="Z140" s="80"/>
      <c r="AA140" s="139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</row>
    <row r="141" spans="22:41">
      <c r="V141" s="80"/>
      <c r="W141" s="80"/>
      <c r="X141" s="80"/>
      <c r="Y141" s="80"/>
      <c r="Z141" s="80"/>
      <c r="AA141" s="139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</row>
    <row r="142" spans="22:41">
      <c r="V142" s="80"/>
      <c r="W142" s="80"/>
      <c r="X142" s="80"/>
      <c r="Y142" s="80"/>
      <c r="Z142" s="80"/>
      <c r="AA142" s="139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</row>
    <row r="143" spans="22:41">
      <c r="V143" s="80"/>
      <c r="W143" s="80"/>
      <c r="X143" s="80"/>
      <c r="Y143" s="80"/>
      <c r="Z143" s="80"/>
      <c r="AA143" s="139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</row>
    <row r="144" spans="22:41">
      <c r="V144" s="80"/>
      <c r="W144" s="80"/>
      <c r="X144" s="80"/>
      <c r="Y144" s="80"/>
      <c r="Z144" s="80"/>
      <c r="AA144" s="139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</row>
    <row r="145" spans="22:41">
      <c r="V145" s="80"/>
      <c r="W145" s="80"/>
      <c r="X145" s="80"/>
      <c r="Y145" s="80"/>
      <c r="Z145" s="80"/>
      <c r="AA145" s="139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</row>
    <row r="146" spans="22:41">
      <c r="V146" s="80"/>
      <c r="W146" s="80"/>
      <c r="X146" s="80"/>
      <c r="Y146" s="80"/>
      <c r="Z146" s="80"/>
      <c r="AA146" s="139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</row>
    <row r="147" spans="22:41">
      <c r="V147" s="80"/>
      <c r="W147" s="80"/>
      <c r="X147" s="80"/>
      <c r="Y147" s="80"/>
      <c r="Z147" s="80"/>
      <c r="AA147" s="139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</row>
    <row r="148" spans="22:41">
      <c r="V148" s="80"/>
      <c r="W148" s="80"/>
      <c r="X148" s="80"/>
      <c r="Y148" s="80"/>
      <c r="Z148" s="80"/>
      <c r="AA148" s="139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</row>
    <row r="149" spans="22:41">
      <c r="V149" s="80"/>
      <c r="W149" s="80"/>
      <c r="X149" s="80"/>
      <c r="Y149" s="80"/>
      <c r="Z149" s="80"/>
      <c r="AA149" s="139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</row>
    <row r="150" spans="22:41">
      <c r="V150" s="80"/>
      <c r="W150" s="80"/>
      <c r="X150" s="80"/>
      <c r="Y150" s="80"/>
      <c r="Z150" s="80"/>
      <c r="AA150" s="139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</row>
    <row r="151" spans="22:41">
      <c r="V151" s="80"/>
      <c r="W151" s="80"/>
      <c r="X151" s="80"/>
      <c r="Y151" s="80"/>
      <c r="Z151" s="80"/>
      <c r="AA151" s="139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</row>
    <row r="152" spans="22:41">
      <c r="V152" s="80"/>
      <c r="W152" s="80"/>
      <c r="X152" s="80"/>
      <c r="Y152" s="80"/>
      <c r="Z152" s="80"/>
      <c r="AA152" s="139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</row>
    <row r="153" spans="22:41">
      <c r="V153" s="80"/>
      <c r="W153" s="80"/>
      <c r="X153" s="80"/>
      <c r="Y153" s="80"/>
      <c r="Z153" s="80"/>
      <c r="AA153" s="139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</row>
    <row r="154" spans="22:41">
      <c r="V154" s="80"/>
      <c r="W154" s="80"/>
      <c r="X154" s="80"/>
      <c r="Y154" s="80"/>
      <c r="Z154" s="80"/>
      <c r="AA154" s="139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</row>
    <row r="155" spans="22:41">
      <c r="V155" s="80"/>
      <c r="W155" s="80"/>
      <c r="X155" s="80"/>
      <c r="Y155" s="80"/>
      <c r="Z155" s="80"/>
      <c r="AA155" s="139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</row>
    <row r="156" spans="22:41">
      <c r="V156" s="80"/>
      <c r="W156" s="80"/>
      <c r="X156" s="80"/>
      <c r="Y156" s="80"/>
      <c r="Z156" s="80"/>
      <c r="AA156" s="139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</row>
    <row r="157" spans="22:41">
      <c r="V157" s="80"/>
      <c r="W157" s="80"/>
      <c r="X157" s="80"/>
      <c r="Y157" s="80"/>
      <c r="Z157" s="80"/>
      <c r="AA157" s="139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</row>
    <row r="158" spans="22:41">
      <c r="V158" s="80"/>
      <c r="W158" s="80"/>
      <c r="X158" s="80"/>
      <c r="Y158" s="80"/>
      <c r="Z158" s="80"/>
      <c r="AA158" s="139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</row>
    <row r="159" spans="22:41">
      <c r="V159" s="80"/>
      <c r="W159" s="80"/>
      <c r="X159" s="80"/>
      <c r="Y159" s="80"/>
      <c r="Z159" s="80"/>
      <c r="AA159" s="139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</row>
    <row r="160" spans="22:41">
      <c r="V160" s="80"/>
      <c r="W160" s="80"/>
      <c r="X160" s="80"/>
      <c r="Y160" s="80"/>
      <c r="Z160" s="80"/>
      <c r="AA160" s="139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</row>
    <row r="161" spans="22:41">
      <c r="V161" s="80"/>
      <c r="W161" s="80"/>
      <c r="X161" s="80"/>
      <c r="Y161" s="80"/>
      <c r="Z161" s="80"/>
      <c r="AA161" s="139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</row>
    <row r="162" spans="22:41">
      <c r="V162" s="80"/>
      <c r="W162" s="80"/>
      <c r="X162" s="80"/>
      <c r="Y162" s="80"/>
      <c r="Z162" s="80"/>
      <c r="AA162" s="139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</row>
    <row r="163" spans="22:41">
      <c r="V163" s="80"/>
      <c r="W163" s="80"/>
      <c r="X163" s="80"/>
      <c r="Y163" s="80"/>
      <c r="Z163" s="80"/>
      <c r="AA163" s="139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</row>
    <row r="164" spans="22:41">
      <c r="V164" s="80"/>
      <c r="W164" s="80"/>
      <c r="X164" s="80"/>
      <c r="Y164" s="80"/>
      <c r="Z164" s="80"/>
      <c r="AA164" s="139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</row>
    <row r="165" spans="22:41">
      <c r="V165" s="80"/>
      <c r="W165" s="80"/>
      <c r="X165" s="80"/>
      <c r="Y165" s="80"/>
      <c r="Z165" s="80"/>
      <c r="AA165" s="139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</row>
    <row r="166" spans="22:41">
      <c r="V166" s="80"/>
      <c r="W166" s="80"/>
      <c r="X166" s="80"/>
      <c r="Y166" s="80"/>
      <c r="Z166" s="80"/>
      <c r="AA166" s="139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</row>
    <row r="167" spans="22:41">
      <c r="V167" s="80"/>
      <c r="W167" s="80"/>
      <c r="X167" s="80"/>
      <c r="Y167" s="80"/>
      <c r="Z167" s="80"/>
      <c r="AA167" s="139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</row>
    <row r="168" spans="22:41">
      <c r="V168" s="80"/>
      <c r="W168" s="80"/>
      <c r="X168" s="80"/>
      <c r="Y168" s="80"/>
      <c r="Z168" s="80"/>
      <c r="AA168" s="139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</row>
    <row r="169" spans="22:41">
      <c r="V169" s="80"/>
      <c r="W169" s="80"/>
      <c r="X169" s="80"/>
      <c r="Y169" s="80"/>
      <c r="Z169" s="80"/>
      <c r="AA169" s="139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</row>
    <row r="170" spans="22:41">
      <c r="V170" s="80"/>
      <c r="W170" s="80"/>
      <c r="X170" s="80"/>
      <c r="Y170" s="80"/>
      <c r="Z170" s="80"/>
      <c r="AA170" s="139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</row>
    <row r="171" spans="22:41">
      <c r="V171" s="80"/>
      <c r="W171" s="80"/>
      <c r="X171" s="80"/>
      <c r="Y171" s="80"/>
      <c r="Z171" s="80"/>
      <c r="AA171" s="139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</row>
    <row r="172" spans="22:41">
      <c r="V172" s="80"/>
      <c r="W172" s="80"/>
      <c r="X172" s="80"/>
      <c r="Y172" s="80"/>
      <c r="Z172" s="80"/>
      <c r="AA172" s="139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</row>
    <row r="173" spans="22:41">
      <c r="V173" s="80"/>
      <c r="W173" s="80"/>
      <c r="X173" s="80"/>
      <c r="Y173" s="80"/>
      <c r="Z173" s="80"/>
      <c r="AA173" s="139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</row>
    <row r="174" spans="22:41">
      <c r="V174" s="80"/>
      <c r="W174" s="80"/>
      <c r="X174" s="80"/>
      <c r="Y174" s="80"/>
      <c r="Z174" s="80"/>
      <c r="AA174" s="139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</row>
    <row r="175" spans="22:41">
      <c r="V175" s="80"/>
      <c r="W175" s="80"/>
      <c r="X175" s="80"/>
      <c r="Y175" s="80"/>
      <c r="Z175" s="80"/>
      <c r="AA175" s="139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</row>
    <row r="176" spans="22:41">
      <c r="V176" s="80"/>
      <c r="W176" s="80"/>
      <c r="X176" s="80"/>
      <c r="Y176" s="80"/>
      <c r="Z176" s="80"/>
      <c r="AA176" s="139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</row>
    <row r="177" spans="22:41">
      <c r="V177" s="80"/>
      <c r="W177" s="80"/>
      <c r="X177" s="80"/>
      <c r="Y177" s="80"/>
      <c r="Z177" s="80"/>
      <c r="AA177" s="139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</row>
    <row r="178" spans="22:41">
      <c r="V178" s="80"/>
      <c r="W178" s="80"/>
      <c r="X178" s="80"/>
      <c r="Y178" s="80"/>
      <c r="Z178" s="80"/>
      <c r="AA178" s="139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</row>
    <row r="179" spans="22:41">
      <c r="V179" s="80"/>
      <c r="W179" s="80"/>
      <c r="X179" s="80"/>
      <c r="Y179" s="80"/>
      <c r="Z179" s="80"/>
      <c r="AA179" s="139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</row>
    <row r="180" spans="22:41">
      <c r="V180" s="80"/>
      <c r="W180" s="80"/>
      <c r="X180" s="80"/>
      <c r="Y180" s="80"/>
      <c r="Z180" s="80"/>
      <c r="AA180" s="139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</row>
    <row r="181" spans="22:41">
      <c r="V181" s="80"/>
      <c r="W181" s="80"/>
      <c r="X181" s="80"/>
      <c r="Y181" s="80"/>
      <c r="Z181" s="80"/>
      <c r="AA181" s="139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</row>
    <row r="182" spans="22:41">
      <c r="V182" s="80"/>
      <c r="W182" s="80"/>
      <c r="X182" s="80"/>
      <c r="Y182" s="80"/>
      <c r="Z182" s="80"/>
      <c r="AA182" s="139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</row>
    <row r="183" spans="22:41">
      <c r="V183" s="80"/>
      <c r="W183" s="80"/>
      <c r="X183" s="80"/>
      <c r="Y183" s="80"/>
      <c r="Z183" s="80"/>
      <c r="AA183" s="139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</row>
    <row r="184" spans="22:41">
      <c r="V184" s="80"/>
      <c r="W184" s="80"/>
      <c r="X184" s="80"/>
      <c r="Y184" s="80"/>
      <c r="Z184" s="80"/>
      <c r="AA184" s="139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</row>
    <row r="185" spans="22:41">
      <c r="V185" s="80"/>
      <c r="W185" s="80"/>
      <c r="X185" s="80"/>
      <c r="Y185" s="80"/>
      <c r="Z185" s="80"/>
      <c r="AA185" s="139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</row>
    <row r="186" spans="22:41">
      <c r="V186" s="80"/>
      <c r="W186" s="80"/>
      <c r="X186" s="80"/>
      <c r="Y186" s="80"/>
      <c r="Z186" s="80"/>
      <c r="AA186" s="139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</row>
    <row r="187" spans="22:41">
      <c r="V187" s="80"/>
      <c r="W187" s="80"/>
      <c r="X187" s="80"/>
      <c r="Y187" s="80"/>
      <c r="Z187" s="80"/>
      <c r="AA187" s="139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</row>
    <row r="188" spans="22:41">
      <c r="V188" s="80"/>
      <c r="W188" s="80"/>
      <c r="X188" s="80"/>
      <c r="Y188" s="80"/>
      <c r="Z188" s="80"/>
      <c r="AA188" s="139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</row>
    <row r="189" spans="22:41">
      <c r="V189" s="80"/>
      <c r="W189" s="80"/>
      <c r="X189" s="80"/>
      <c r="Y189" s="80"/>
      <c r="Z189" s="80"/>
      <c r="AA189" s="139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</row>
    <row r="190" spans="22:41">
      <c r="V190" s="80"/>
      <c r="W190" s="80"/>
      <c r="X190" s="80"/>
      <c r="Y190" s="80"/>
      <c r="Z190" s="80"/>
      <c r="AA190" s="139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</row>
    <row r="191" spans="22:41">
      <c r="V191" s="80"/>
      <c r="W191" s="80"/>
      <c r="X191" s="80"/>
      <c r="Y191" s="80"/>
      <c r="Z191" s="80"/>
      <c r="AA191" s="139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</row>
    <row r="192" spans="22:41">
      <c r="V192" s="80"/>
      <c r="W192" s="80"/>
      <c r="X192" s="80"/>
      <c r="Y192" s="80"/>
      <c r="Z192" s="80"/>
      <c r="AA192" s="139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</row>
    <row r="193" spans="22:41">
      <c r="V193" s="80"/>
      <c r="W193" s="80"/>
      <c r="X193" s="80"/>
      <c r="Y193" s="80"/>
      <c r="Z193" s="80"/>
      <c r="AA193" s="139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</row>
    <row r="194" spans="22:41">
      <c r="V194" s="80"/>
      <c r="W194" s="80"/>
      <c r="X194" s="80"/>
      <c r="Y194" s="80"/>
      <c r="Z194" s="80"/>
      <c r="AA194" s="139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</row>
    <row r="195" spans="22:41">
      <c r="V195" s="80"/>
      <c r="W195" s="80"/>
      <c r="X195" s="80"/>
      <c r="Y195" s="80"/>
      <c r="Z195" s="80"/>
      <c r="AA195" s="139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</row>
    <row r="196" spans="22:41">
      <c r="V196" s="80"/>
      <c r="W196" s="80"/>
      <c r="X196" s="80"/>
      <c r="Y196" s="80"/>
      <c r="Z196" s="80"/>
      <c r="AA196" s="139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</row>
    <row r="197" spans="22:41">
      <c r="V197" s="80"/>
      <c r="W197" s="80"/>
      <c r="X197" s="80"/>
      <c r="Y197" s="80"/>
      <c r="Z197" s="80"/>
      <c r="AA197" s="139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</row>
    <row r="198" spans="22:41">
      <c r="V198" s="80"/>
      <c r="W198" s="80"/>
      <c r="X198" s="80"/>
      <c r="Y198" s="80"/>
      <c r="Z198" s="80"/>
      <c r="AA198" s="139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</row>
    <row r="199" spans="22:41">
      <c r="V199" s="80"/>
      <c r="W199" s="80"/>
      <c r="X199" s="80"/>
      <c r="Y199" s="80"/>
      <c r="Z199" s="80"/>
      <c r="AA199" s="139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</row>
    <row r="200" spans="22:41">
      <c r="V200" s="80"/>
      <c r="W200" s="80"/>
      <c r="X200" s="80"/>
      <c r="Y200" s="80"/>
      <c r="Z200" s="80"/>
      <c r="AA200" s="139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</row>
    <row r="201" spans="22:41">
      <c r="V201" s="80"/>
      <c r="W201" s="80"/>
      <c r="X201" s="80"/>
      <c r="Y201" s="80"/>
      <c r="Z201" s="80"/>
      <c r="AA201" s="139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</row>
    <row r="202" spans="22:41">
      <c r="V202" s="80"/>
      <c r="W202" s="80"/>
      <c r="X202" s="80"/>
      <c r="Y202" s="80"/>
      <c r="Z202" s="80"/>
      <c r="AA202" s="139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</row>
    <row r="203" spans="22:41">
      <c r="V203" s="80"/>
      <c r="W203" s="80"/>
      <c r="X203" s="80"/>
      <c r="Y203" s="80"/>
      <c r="Z203" s="80"/>
      <c r="AA203" s="139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</row>
    <row r="204" spans="22:41">
      <c r="V204" s="80"/>
      <c r="W204" s="80"/>
      <c r="X204" s="80"/>
      <c r="Y204" s="80"/>
      <c r="Z204" s="80"/>
      <c r="AA204" s="139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</row>
    <row r="205" spans="22:41">
      <c r="V205" s="80"/>
      <c r="W205" s="80"/>
      <c r="X205" s="80"/>
      <c r="Y205" s="80"/>
      <c r="Z205" s="80"/>
      <c r="AA205" s="139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</row>
    <row r="206" spans="22:41">
      <c r="V206" s="80"/>
      <c r="W206" s="80"/>
      <c r="X206" s="80"/>
      <c r="Y206" s="80"/>
      <c r="Z206" s="80"/>
      <c r="AA206" s="139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</row>
    <row r="207" spans="22:41">
      <c r="V207" s="80"/>
      <c r="W207" s="80"/>
      <c r="X207" s="80"/>
      <c r="Y207" s="80"/>
      <c r="Z207" s="80"/>
      <c r="AA207" s="139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</row>
    <row r="208" spans="22:41">
      <c r="V208" s="80"/>
      <c r="W208" s="80"/>
      <c r="X208" s="80"/>
      <c r="Y208" s="80"/>
      <c r="Z208" s="80"/>
      <c r="AA208" s="139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</row>
    <row r="209" spans="22:41">
      <c r="V209" s="80"/>
      <c r="W209" s="80"/>
      <c r="X209" s="80"/>
      <c r="Y209" s="80"/>
      <c r="Z209" s="80"/>
      <c r="AA209" s="139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</row>
    <row r="210" spans="22:41">
      <c r="V210" s="80"/>
      <c r="W210" s="80"/>
      <c r="X210" s="80"/>
      <c r="Y210" s="80"/>
      <c r="Z210" s="80"/>
      <c r="AA210" s="139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</row>
    <row r="211" spans="22:41">
      <c r="V211" s="80"/>
      <c r="W211" s="80"/>
      <c r="X211" s="80"/>
      <c r="Y211" s="80"/>
      <c r="Z211" s="80"/>
      <c r="AA211" s="139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</row>
    <row r="212" spans="22:41">
      <c r="V212" s="80"/>
      <c r="W212" s="80"/>
      <c r="X212" s="80"/>
      <c r="Y212" s="80"/>
      <c r="Z212" s="80"/>
      <c r="AA212" s="139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</row>
    <row r="213" spans="22:41">
      <c r="V213" s="80"/>
      <c r="W213" s="80"/>
      <c r="X213" s="80"/>
      <c r="Y213" s="80"/>
      <c r="Z213" s="80"/>
      <c r="AA213" s="139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</row>
    <row r="214" spans="22:41">
      <c r="V214" s="80"/>
      <c r="W214" s="80"/>
      <c r="X214" s="80"/>
      <c r="Y214" s="80"/>
      <c r="Z214" s="80"/>
      <c r="AA214" s="139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</row>
    <row r="215" spans="22:41">
      <c r="V215" s="80"/>
      <c r="W215" s="80"/>
      <c r="X215" s="80"/>
      <c r="Y215" s="80"/>
      <c r="Z215" s="80"/>
      <c r="AA215" s="139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</row>
    <row r="216" spans="22:41">
      <c r="V216" s="80"/>
      <c r="W216" s="80"/>
      <c r="X216" s="80"/>
      <c r="Y216" s="80"/>
      <c r="Z216" s="80"/>
      <c r="AA216" s="139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</row>
    <row r="217" spans="22:41">
      <c r="V217" s="80"/>
      <c r="W217" s="80"/>
      <c r="X217" s="80"/>
      <c r="Y217" s="80"/>
      <c r="Z217" s="80"/>
      <c r="AA217" s="139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</row>
    <row r="218" spans="22:41">
      <c r="V218" s="80"/>
      <c r="W218" s="80"/>
      <c r="X218" s="80"/>
      <c r="Y218" s="80"/>
      <c r="Z218" s="80"/>
      <c r="AA218" s="139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</row>
    <row r="219" spans="22:41">
      <c r="V219" s="80"/>
      <c r="W219" s="80"/>
      <c r="X219" s="80"/>
      <c r="Y219" s="80"/>
      <c r="Z219" s="80"/>
      <c r="AA219" s="139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</row>
    <row r="220" spans="22:41">
      <c r="V220" s="80"/>
      <c r="W220" s="80"/>
      <c r="X220" s="80"/>
      <c r="Y220" s="80"/>
      <c r="Z220" s="80"/>
      <c r="AA220" s="139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</row>
    <row r="221" spans="22:41">
      <c r="V221" s="80"/>
      <c r="W221" s="80"/>
      <c r="X221" s="80"/>
      <c r="Y221" s="80"/>
      <c r="Z221" s="80"/>
      <c r="AA221" s="139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</row>
    <row r="222" spans="22:41">
      <c r="V222" s="80"/>
      <c r="W222" s="80"/>
      <c r="X222" s="80"/>
      <c r="Y222" s="80"/>
      <c r="Z222" s="80"/>
      <c r="AA222" s="139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</row>
    <row r="223" spans="22:41">
      <c r="V223" s="80"/>
      <c r="W223" s="80"/>
      <c r="X223" s="80"/>
      <c r="Y223" s="80"/>
      <c r="Z223" s="80"/>
      <c r="AA223" s="139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</row>
    <row r="224" spans="22:41">
      <c r="V224" s="80"/>
      <c r="W224" s="80"/>
      <c r="X224" s="80"/>
      <c r="Y224" s="80"/>
      <c r="Z224" s="80"/>
      <c r="AA224" s="139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</row>
    <row r="225" spans="22:41">
      <c r="V225" s="80"/>
      <c r="W225" s="80"/>
      <c r="X225" s="80"/>
      <c r="Y225" s="80"/>
      <c r="Z225" s="80"/>
      <c r="AA225" s="139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</row>
    <row r="226" spans="22:41">
      <c r="V226" s="80"/>
      <c r="W226" s="80"/>
      <c r="X226" s="80"/>
      <c r="Y226" s="80"/>
      <c r="Z226" s="80"/>
      <c r="AA226" s="139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</row>
    <row r="227" spans="22:41">
      <c r="V227" s="80"/>
      <c r="W227" s="80"/>
      <c r="X227" s="80"/>
      <c r="Y227" s="80"/>
      <c r="Z227" s="80"/>
      <c r="AA227" s="139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</row>
    <row r="228" spans="22:41">
      <c r="V228" s="80"/>
      <c r="W228" s="80"/>
      <c r="X228" s="80"/>
      <c r="Y228" s="80"/>
      <c r="Z228" s="80"/>
      <c r="AA228" s="139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</row>
    <row r="229" spans="22:41">
      <c r="V229" s="80"/>
      <c r="W229" s="80"/>
      <c r="X229" s="80"/>
      <c r="Y229" s="80"/>
      <c r="Z229" s="80"/>
      <c r="AA229" s="139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</row>
    <row r="230" spans="22:41">
      <c r="V230" s="80"/>
      <c r="W230" s="80"/>
      <c r="X230" s="80"/>
      <c r="Y230" s="80"/>
      <c r="Z230" s="80"/>
      <c r="AA230" s="139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</row>
    <row r="231" spans="22:41">
      <c r="V231" s="80"/>
      <c r="W231" s="80"/>
      <c r="X231" s="80"/>
      <c r="Y231" s="80"/>
      <c r="Z231" s="80"/>
      <c r="AA231" s="139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</row>
    <row r="232" spans="22:41">
      <c r="V232" s="80"/>
      <c r="W232" s="80"/>
      <c r="X232" s="80"/>
      <c r="Y232" s="80"/>
      <c r="Z232" s="80"/>
      <c r="AA232" s="139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</row>
    <row r="233" spans="22:41">
      <c r="V233" s="80"/>
      <c r="W233" s="80"/>
      <c r="X233" s="80"/>
      <c r="Y233" s="80"/>
      <c r="Z233" s="80"/>
      <c r="AA233" s="139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</row>
    <row r="234" spans="22:41">
      <c r="V234" s="80"/>
      <c r="W234" s="80"/>
      <c r="X234" s="80"/>
      <c r="Y234" s="80"/>
      <c r="Z234" s="80"/>
      <c r="AA234" s="139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</row>
    <row r="235" spans="22:41">
      <c r="V235" s="80"/>
      <c r="W235" s="80"/>
      <c r="X235" s="80"/>
      <c r="Y235" s="80"/>
      <c r="Z235" s="80"/>
      <c r="AA235" s="139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</row>
    <row r="236" spans="22:41">
      <c r="V236" s="80"/>
      <c r="W236" s="80"/>
      <c r="X236" s="80"/>
      <c r="Y236" s="80"/>
      <c r="Z236" s="80"/>
      <c r="AA236" s="139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</row>
    <row r="237" spans="22:41">
      <c r="V237" s="80"/>
      <c r="W237" s="80"/>
      <c r="X237" s="80"/>
      <c r="Y237" s="80"/>
      <c r="Z237" s="80"/>
      <c r="AA237" s="139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</row>
    <row r="238" spans="22:41">
      <c r="V238" s="80"/>
      <c r="W238" s="80"/>
      <c r="X238" s="80"/>
      <c r="Y238" s="80"/>
      <c r="Z238" s="80"/>
      <c r="AA238" s="139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</row>
    <row r="239" spans="22:41">
      <c r="V239" s="80"/>
      <c r="W239" s="80"/>
      <c r="X239" s="80"/>
      <c r="Y239" s="80"/>
      <c r="Z239" s="80"/>
      <c r="AA239" s="139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</row>
    <row r="240" spans="22:41">
      <c r="V240" s="80"/>
      <c r="W240" s="80"/>
      <c r="X240" s="80"/>
      <c r="Y240" s="80"/>
      <c r="Z240" s="80"/>
      <c r="AA240" s="139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</row>
    <row r="241" spans="22:41">
      <c r="V241" s="80"/>
      <c r="W241" s="80"/>
      <c r="X241" s="80"/>
      <c r="Y241" s="80"/>
      <c r="Z241" s="80"/>
      <c r="AA241" s="139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</row>
    <row r="242" spans="22:41">
      <c r="V242" s="80"/>
      <c r="W242" s="80"/>
      <c r="X242" s="80"/>
      <c r="Y242" s="80"/>
      <c r="Z242" s="80"/>
      <c r="AA242" s="139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</row>
    <row r="243" spans="22:41">
      <c r="V243" s="80"/>
      <c r="W243" s="80"/>
      <c r="X243" s="80"/>
      <c r="Y243" s="80"/>
      <c r="Z243" s="80"/>
      <c r="AA243" s="139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</row>
    <row r="244" spans="22:41">
      <c r="V244" s="80"/>
      <c r="W244" s="80"/>
      <c r="X244" s="80"/>
      <c r="Y244" s="80"/>
      <c r="Z244" s="80"/>
      <c r="AA244" s="139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</row>
    <row r="245" spans="22:41">
      <c r="V245" s="80"/>
      <c r="W245" s="80"/>
      <c r="X245" s="80"/>
      <c r="Y245" s="80"/>
      <c r="Z245" s="80"/>
      <c r="AA245" s="139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</row>
    <row r="246" spans="22:41">
      <c r="V246" s="80"/>
      <c r="W246" s="80"/>
      <c r="X246" s="80"/>
      <c r="Y246" s="80"/>
      <c r="Z246" s="80"/>
      <c r="AA246" s="139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</row>
    <row r="247" spans="22:41">
      <c r="V247" s="80"/>
      <c r="W247" s="80"/>
      <c r="X247" s="80"/>
      <c r="Y247" s="80"/>
      <c r="Z247" s="80"/>
      <c r="AA247" s="139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</row>
    <row r="248" spans="22:41">
      <c r="V248" s="80"/>
      <c r="W248" s="80"/>
      <c r="X248" s="80"/>
      <c r="Y248" s="80"/>
      <c r="Z248" s="80"/>
      <c r="AA248" s="139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</row>
    <row r="249" spans="22:41">
      <c r="V249" s="80"/>
      <c r="W249" s="80"/>
      <c r="X249" s="80"/>
      <c r="Y249" s="80"/>
      <c r="Z249" s="80"/>
      <c r="AA249" s="139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</row>
    <row r="250" spans="22:41">
      <c r="V250" s="80"/>
      <c r="W250" s="80"/>
      <c r="X250" s="80"/>
      <c r="Y250" s="80"/>
      <c r="Z250" s="80"/>
      <c r="AA250" s="139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</row>
    <row r="251" spans="22:41">
      <c r="V251" s="80"/>
      <c r="W251" s="80"/>
      <c r="X251" s="80"/>
      <c r="Y251" s="80"/>
      <c r="Z251" s="80"/>
      <c r="AA251" s="139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</row>
    <row r="252" spans="22:41">
      <c r="V252" s="80"/>
      <c r="W252" s="80"/>
      <c r="X252" s="80"/>
      <c r="Y252" s="80"/>
      <c r="Z252" s="80"/>
      <c r="AA252" s="139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</row>
    <row r="253" spans="22:41">
      <c r="V253" s="80"/>
      <c r="W253" s="80"/>
      <c r="X253" s="80"/>
      <c r="Y253" s="80"/>
      <c r="Z253" s="80"/>
      <c r="AA253" s="139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</row>
    <row r="254" spans="22:41">
      <c r="V254" s="80"/>
      <c r="W254" s="80"/>
      <c r="X254" s="80"/>
      <c r="Y254" s="80"/>
      <c r="Z254" s="80"/>
      <c r="AA254" s="139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</row>
    <row r="255" spans="22:41">
      <c r="V255" s="80"/>
      <c r="W255" s="80"/>
      <c r="X255" s="80"/>
      <c r="Y255" s="80"/>
      <c r="Z255" s="80"/>
      <c r="AA255" s="139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</row>
    <row r="256" spans="22:41">
      <c r="V256" s="80"/>
      <c r="W256" s="80"/>
      <c r="X256" s="80"/>
      <c r="Y256" s="80"/>
      <c r="Z256" s="80"/>
      <c r="AA256" s="139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</row>
    <row r="257" spans="22:41">
      <c r="V257" s="80"/>
      <c r="W257" s="80"/>
      <c r="X257" s="80"/>
      <c r="Y257" s="80"/>
      <c r="Z257" s="80"/>
      <c r="AA257" s="139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</row>
    <row r="258" spans="22:41">
      <c r="V258" s="80"/>
      <c r="W258" s="80"/>
      <c r="X258" s="80"/>
      <c r="Y258" s="80"/>
      <c r="Z258" s="80"/>
      <c r="AA258" s="139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</row>
    <row r="259" spans="22:41">
      <c r="V259" s="80"/>
      <c r="W259" s="80"/>
      <c r="X259" s="80"/>
      <c r="Y259" s="80"/>
      <c r="Z259" s="80"/>
      <c r="AA259" s="139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</row>
    <row r="260" spans="22:41">
      <c r="V260" s="80"/>
      <c r="W260" s="80"/>
      <c r="X260" s="80"/>
      <c r="Y260" s="80"/>
      <c r="Z260" s="80"/>
      <c r="AA260" s="139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</row>
    <row r="261" spans="22:41">
      <c r="V261" s="80"/>
      <c r="W261" s="80"/>
      <c r="X261" s="80"/>
      <c r="Y261" s="80"/>
      <c r="Z261" s="80"/>
      <c r="AA261" s="139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</row>
    <row r="262" spans="22:41">
      <c r="V262" s="80"/>
      <c r="W262" s="80"/>
      <c r="X262" s="80"/>
      <c r="Y262" s="80"/>
      <c r="Z262" s="80"/>
      <c r="AA262" s="139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</row>
    <row r="263" spans="22:41">
      <c r="V263" s="80"/>
      <c r="W263" s="80"/>
      <c r="X263" s="80"/>
      <c r="Y263" s="80"/>
      <c r="Z263" s="80"/>
      <c r="AA263" s="139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</row>
    <row r="264" spans="22:41">
      <c r="V264" s="80"/>
      <c r="W264" s="80"/>
      <c r="X264" s="80"/>
      <c r="Y264" s="80"/>
      <c r="Z264" s="80"/>
      <c r="AA264" s="139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</row>
    <row r="265" spans="22:41">
      <c r="V265" s="80"/>
      <c r="W265" s="80"/>
      <c r="X265" s="80"/>
      <c r="Y265" s="80"/>
      <c r="Z265" s="80"/>
      <c r="AA265" s="139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</row>
    <row r="266" spans="22:41">
      <c r="V266" s="80"/>
      <c r="W266" s="80"/>
      <c r="X266" s="80"/>
      <c r="Y266" s="80"/>
      <c r="Z266" s="80"/>
      <c r="AA266" s="139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</row>
    <row r="267" spans="22:41">
      <c r="V267" s="80"/>
      <c r="W267" s="80"/>
      <c r="X267" s="80"/>
      <c r="Y267" s="80"/>
      <c r="Z267" s="80"/>
      <c r="AA267" s="139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</row>
    <row r="268" spans="22:41">
      <c r="V268" s="80"/>
      <c r="W268" s="80"/>
      <c r="X268" s="80"/>
      <c r="Y268" s="80"/>
      <c r="Z268" s="80"/>
      <c r="AA268" s="139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</row>
    <row r="269" spans="22:41">
      <c r="V269" s="80"/>
      <c r="W269" s="80"/>
      <c r="X269" s="80"/>
      <c r="Y269" s="80"/>
      <c r="Z269" s="80"/>
      <c r="AA269" s="139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</row>
    <row r="270" spans="22:41">
      <c r="V270" s="80"/>
      <c r="W270" s="80"/>
      <c r="X270" s="80"/>
      <c r="Y270" s="80"/>
      <c r="Z270" s="80"/>
      <c r="AA270" s="139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</row>
    <row r="271" spans="22:41">
      <c r="V271" s="80"/>
      <c r="W271" s="80"/>
      <c r="X271" s="80"/>
      <c r="Y271" s="80"/>
      <c r="Z271" s="80"/>
      <c r="AA271" s="139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</row>
    <row r="272" spans="22:41">
      <c r="V272" s="80"/>
      <c r="W272" s="80"/>
      <c r="X272" s="80"/>
      <c r="Y272" s="80"/>
      <c r="Z272" s="80"/>
      <c r="AA272" s="139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</row>
    <row r="273" spans="22:41">
      <c r="V273" s="80"/>
      <c r="W273" s="80"/>
      <c r="X273" s="80"/>
      <c r="Y273" s="80"/>
      <c r="Z273" s="80"/>
      <c r="AA273" s="139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</row>
    <row r="274" spans="22:41">
      <c r="V274" s="80"/>
      <c r="W274" s="80"/>
      <c r="X274" s="80"/>
      <c r="Y274" s="80"/>
      <c r="Z274" s="80"/>
      <c r="AA274" s="139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</row>
    <row r="275" spans="22:41">
      <c r="V275" s="80"/>
      <c r="W275" s="80"/>
      <c r="X275" s="80"/>
      <c r="Y275" s="80"/>
      <c r="Z275" s="80"/>
      <c r="AA275" s="139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</row>
    <row r="276" spans="22:41">
      <c r="V276" s="80"/>
      <c r="W276" s="80"/>
      <c r="X276" s="80"/>
      <c r="Y276" s="80"/>
      <c r="Z276" s="80"/>
      <c r="AA276" s="139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</row>
    <row r="277" spans="22:41">
      <c r="V277" s="80"/>
      <c r="W277" s="80"/>
      <c r="X277" s="80"/>
      <c r="Y277" s="80"/>
      <c r="Z277" s="80"/>
      <c r="AA277" s="139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</row>
    <row r="278" spans="22:41">
      <c r="V278" s="80"/>
      <c r="W278" s="80"/>
      <c r="X278" s="80"/>
      <c r="Y278" s="80"/>
      <c r="Z278" s="80"/>
      <c r="AA278" s="139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</row>
    <row r="279" spans="22:41">
      <c r="V279" s="80"/>
      <c r="W279" s="80"/>
      <c r="X279" s="80"/>
      <c r="Y279" s="80"/>
      <c r="Z279" s="80"/>
      <c r="AA279" s="139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</row>
    <row r="280" spans="22:41">
      <c r="V280" s="80"/>
      <c r="W280" s="80"/>
      <c r="X280" s="80"/>
      <c r="Y280" s="80"/>
      <c r="Z280" s="80"/>
      <c r="AA280" s="139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</row>
    <row r="281" spans="22:41">
      <c r="V281" s="80"/>
      <c r="W281" s="80"/>
      <c r="X281" s="80"/>
      <c r="Y281" s="80"/>
      <c r="Z281" s="80"/>
      <c r="AA281" s="139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</row>
    <row r="282" spans="22:41">
      <c r="V282" s="80"/>
      <c r="W282" s="80"/>
      <c r="X282" s="80"/>
      <c r="Y282" s="80"/>
      <c r="Z282" s="80"/>
      <c r="AA282" s="139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</row>
    <row r="283" spans="22:41">
      <c r="V283" s="80"/>
      <c r="W283" s="80"/>
      <c r="X283" s="80"/>
      <c r="Y283" s="80"/>
      <c r="Z283" s="80"/>
      <c r="AA283" s="139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</row>
    <row r="284" spans="22:41">
      <c r="V284" s="80"/>
      <c r="W284" s="80"/>
      <c r="X284" s="80"/>
      <c r="Y284" s="80"/>
      <c r="Z284" s="80"/>
      <c r="AA284" s="139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</row>
    <row r="285" spans="22:41">
      <c r="V285" s="80"/>
      <c r="W285" s="80"/>
      <c r="X285" s="80"/>
      <c r="Y285" s="80"/>
      <c r="Z285" s="80"/>
      <c r="AA285" s="139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</row>
    <row r="286" spans="22:41">
      <c r="V286" s="80"/>
      <c r="W286" s="80"/>
      <c r="X286" s="80"/>
      <c r="Y286" s="80"/>
      <c r="Z286" s="80"/>
      <c r="AA286" s="139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</row>
    <row r="287" spans="22:41">
      <c r="V287" s="80"/>
      <c r="W287" s="80"/>
      <c r="X287" s="80"/>
      <c r="Y287" s="80"/>
      <c r="Z287" s="80"/>
      <c r="AA287" s="139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</row>
    <row r="288" spans="22:41">
      <c r="V288" s="80"/>
      <c r="W288" s="80"/>
      <c r="X288" s="80"/>
      <c r="Y288" s="80"/>
      <c r="Z288" s="80"/>
      <c r="AA288" s="139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</row>
    <row r="289" spans="22:41">
      <c r="V289" s="80"/>
      <c r="W289" s="80"/>
      <c r="X289" s="80"/>
      <c r="Y289" s="80"/>
      <c r="Z289" s="80"/>
      <c r="AA289" s="139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</row>
    <row r="290" spans="22:41">
      <c r="V290" s="80"/>
      <c r="W290" s="80"/>
      <c r="X290" s="80"/>
      <c r="Y290" s="80"/>
      <c r="Z290" s="80"/>
      <c r="AA290" s="139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</row>
    <row r="291" spans="22:41">
      <c r="V291" s="80"/>
      <c r="W291" s="80"/>
      <c r="X291" s="80"/>
      <c r="Y291" s="80"/>
      <c r="Z291" s="80"/>
      <c r="AA291" s="139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</row>
    <row r="292" spans="22:41">
      <c r="V292" s="80"/>
      <c r="W292" s="80"/>
      <c r="X292" s="80"/>
      <c r="Y292" s="80"/>
      <c r="Z292" s="80"/>
      <c r="AA292" s="139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</row>
    <row r="293" spans="22:41">
      <c r="V293" s="80"/>
      <c r="W293" s="80"/>
      <c r="X293" s="80"/>
      <c r="Y293" s="80"/>
      <c r="Z293" s="80"/>
      <c r="AA293" s="139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</row>
    <row r="294" spans="22:41">
      <c r="V294" s="80"/>
      <c r="W294" s="80"/>
      <c r="X294" s="80"/>
      <c r="Y294" s="80"/>
      <c r="Z294" s="80"/>
      <c r="AA294" s="139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</row>
    <row r="295" spans="22:41">
      <c r="V295" s="80"/>
      <c r="W295" s="80"/>
      <c r="X295" s="80"/>
      <c r="Y295" s="80"/>
      <c r="Z295" s="80"/>
      <c r="AA295" s="139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</row>
    <row r="296" spans="22:41">
      <c r="V296" s="80"/>
      <c r="W296" s="80"/>
      <c r="X296" s="80"/>
      <c r="Y296" s="80"/>
      <c r="Z296" s="80"/>
      <c r="AA296" s="139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</row>
    <row r="297" spans="22:41">
      <c r="V297" s="80"/>
      <c r="W297" s="80"/>
      <c r="X297" s="80"/>
      <c r="Y297" s="80"/>
      <c r="Z297" s="80"/>
      <c r="AA297" s="139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</row>
    <row r="298" spans="22:41">
      <c r="V298" s="80"/>
      <c r="W298" s="80"/>
      <c r="X298" s="80"/>
      <c r="Y298" s="80"/>
      <c r="Z298" s="80"/>
      <c r="AA298" s="139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</row>
    <row r="299" spans="22:41">
      <c r="V299" s="80"/>
      <c r="W299" s="80"/>
      <c r="X299" s="80"/>
      <c r="Y299" s="80"/>
      <c r="Z299" s="80"/>
      <c r="AA299" s="139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</row>
    <row r="300" spans="22:41">
      <c r="V300" s="80"/>
      <c r="W300" s="80"/>
      <c r="X300" s="80"/>
      <c r="Y300" s="80"/>
      <c r="Z300" s="80"/>
      <c r="AA300" s="139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</row>
    <row r="301" spans="22:41">
      <c r="V301" s="80"/>
      <c r="W301" s="80"/>
      <c r="X301" s="80"/>
      <c r="Y301" s="80"/>
      <c r="Z301" s="80"/>
      <c r="AA301" s="139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</row>
    <row r="302" spans="22:41">
      <c r="V302" s="80"/>
      <c r="W302" s="80"/>
      <c r="X302" s="80"/>
      <c r="Y302" s="80"/>
      <c r="Z302" s="80"/>
      <c r="AA302" s="139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</row>
    <row r="303" spans="22:41">
      <c r="V303" s="80"/>
      <c r="W303" s="80"/>
      <c r="X303" s="80"/>
      <c r="Y303" s="80"/>
      <c r="Z303" s="80"/>
      <c r="AA303" s="139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</row>
    <row r="304" spans="22:41">
      <c r="V304" s="80"/>
      <c r="W304" s="80"/>
      <c r="X304" s="80"/>
      <c r="Y304" s="80"/>
      <c r="Z304" s="80"/>
      <c r="AA304" s="139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</row>
    <row r="305" spans="22:41">
      <c r="V305" s="80"/>
      <c r="W305" s="80"/>
      <c r="X305" s="80"/>
      <c r="Y305" s="80"/>
      <c r="Z305" s="80"/>
      <c r="AA305" s="139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</row>
    <row r="306" spans="22:41">
      <c r="V306" s="80"/>
      <c r="W306" s="80"/>
      <c r="X306" s="80"/>
      <c r="Y306" s="80"/>
      <c r="Z306" s="80"/>
      <c r="AA306" s="139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</row>
    <row r="307" spans="22:41">
      <c r="V307" s="80"/>
      <c r="W307" s="80"/>
      <c r="X307" s="80"/>
      <c r="Y307" s="80"/>
      <c r="Z307" s="80"/>
      <c r="AA307" s="139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</row>
    <row r="308" spans="22:41">
      <c r="V308" s="80"/>
      <c r="W308" s="80"/>
      <c r="X308" s="80"/>
      <c r="Y308" s="80"/>
      <c r="Z308" s="80"/>
      <c r="AA308" s="139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</row>
    <row r="309" spans="22:41">
      <c r="V309" s="80"/>
      <c r="W309" s="80"/>
      <c r="X309" s="80"/>
      <c r="Y309" s="80"/>
      <c r="Z309" s="80"/>
      <c r="AA309" s="139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</row>
    <row r="310" spans="22:41">
      <c r="V310" s="80"/>
      <c r="W310" s="80"/>
      <c r="X310" s="80"/>
      <c r="Y310" s="80"/>
      <c r="Z310" s="80"/>
      <c r="AA310" s="139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</row>
    <row r="311" spans="22:41">
      <c r="V311" s="80"/>
      <c r="W311" s="80"/>
      <c r="X311" s="80"/>
      <c r="Y311" s="80"/>
      <c r="Z311" s="80"/>
      <c r="AA311" s="139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</row>
    <row r="312" spans="22:41">
      <c r="V312" s="80"/>
      <c r="W312" s="80"/>
      <c r="X312" s="80"/>
      <c r="Y312" s="80"/>
      <c r="Z312" s="80"/>
      <c r="AA312" s="139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</row>
    <row r="313" spans="22:41">
      <c r="V313" s="80"/>
      <c r="W313" s="80"/>
      <c r="X313" s="80"/>
      <c r="Y313" s="80"/>
      <c r="Z313" s="80"/>
      <c r="AA313" s="139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</row>
  </sheetData>
  <autoFilter ref="A11:AY78"/>
  <sortState ref="A12:R74">
    <sortCondition ref="B12:B74"/>
  </sortState>
  <mergeCells count="25">
    <mergeCell ref="F7:L7"/>
    <mergeCell ref="V7:V8"/>
    <mergeCell ref="F6:L6"/>
    <mergeCell ref="AC7:AC8"/>
    <mergeCell ref="O7:O8"/>
    <mergeCell ref="P7:P8"/>
    <mergeCell ref="Q7:Q8"/>
    <mergeCell ref="S7:S8"/>
    <mergeCell ref="W7:W8"/>
    <mergeCell ref="X7:X8"/>
    <mergeCell ref="Y7:Y8"/>
    <mergeCell ref="AB7:AB8"/>
    <mergeCell ref="O80:P80"/>
    <mergeCell ref="Z7:Z8"/>
    <mergeCell ref="AL7:AL8"/>
    <mergeCell ref="AM7:AM8"/>
    <mergeCell ref="AN7:AO7"/>
    <mergeCell ref="AP7:AP8"/>
    <mergeCell ref="AJ7:AJ8"/>
    <mergeCell ref="AK7:AK8"/>
    <mergeCell ref="AD7:AD8"/>
    <mergeCell ref="AE7:AE8"/>
    <mergeCell ref="AF7:AF8"/>
    <mergeCell ref="AH7:AH8"/>
    <mergeCell ref="AI7:AI8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90"/>
  <sheetViews>
    <sheetView zoomScale="112" zoomScaleNormal="112" workbookViewId="0">
      <pane xSplit="4" ySplit="11" topLeftCell="I33" activePane="bottomRight" state="frozen"/>
      <selection pane="topRight" activeCell="C1" sqref="C1"/>
      <selection pane="bottomLeft" activeCell="A12" sqref="A12"/>
      <selection pane="bottomRight" activeCell="T18" sqref="T18"/>
    </sheetView>
  </sheetViews>
  <sheetFormatPr baseColWidth="10" defaultRowHeight="11.25"/>
  <cols>
    <col min="1" max="1" width="23.140625" style="191" hidden="1" customWidth="1"/>
    <col min="2" max="2" width="3.42578125" style="28" hidden="1" customWidth="1"/>
    <col min="3" max="3" width="5.42578125" style="2" customWidth="1"/>
    <col min="4" max="4" width="24.42578125" style="1" customWidth="1"/>
    <col min="5" max="5" width="12.28515625" style="1" customWidth="1"/>
    <col min="6" max="6" width="11.42578125" style="54" customWidth="1"/>
    <col min="7" max="7" width="12" style="1" customWidth="1"/>
    <col min="8" max="8" width="16.28515625" style="28" hidden="1" customWidth="1"/>
    <col min="9" max="9" width="16.28515625" style="1" bestFit="1" customWidth="1"/>
    <col min="10" max="10" width="7.7109375" style="1" customWidth="1"/>
    <col min="11" max="11" width="10" style="1" customWidth="1"/>
    <col min="12" max="12" width="8.42578125" style="1" customWidth="1"/>
    <col min="13" max="13" width="10.7109375" style="1" customWidth="1"/>
    <col min="14" max="14" width="7.7109375" style="191" customWidth="1"/>
    <col min="15" max="15" width="7.7109375" style="1" customWidth="1"/>
    <col min="16" max="16" width="9.5703125" style="1" customWidth="1"/>
    <col min="17" max="17" width="9.140625" style="182" customWidth="1"/>
    <col min="18" max="18" width="7.7109375" style="49" customWidth="1"/>
    <col min="19" max="19" width="10.5703125" style="1" customWidth="1"/>
    <col min="20" max="20" width="12.28515625" style="1" customWidth="1"/>
    <col min="21" max="21" width="7.7109375" style="1" customWidth="1"/>
    <col min="22" max="23" width="7.7109375" style="1" hidden="1" customWidth="1"/>
    <col min="24" max="24" width="7.7109375" style="186" hidden="1" customWidth="1"/>
    <col min="25" max="25" width="10.42578125" style="191" hidden="1" customWidth="1"/>
    <col min="26" max="26" width="10.42578125" style="244" hidden="1" customWidth="1"/>
    <col min="27" max="27" width="7" style="1" hidden="1" customWidth="1"/>
    <col min="28" max="28" width="10.7109375" style="1" hidden="1" customWidth="1"/>
    <col min="29" max="29" width="8.85546875" style="1" hidden="1" customWidth="1"/>
    <col min="30" max="30" width="10.5703125" style="1" hidden="1" customWidth="1"/>
    <col min="31" max="31" width="11.140625" style="1" hidden="1" customWidth="1"/>
    <col min="32" max="32" width="10.42578125" style="1" hidden="1" customWidth="1"/>
    <col min="33" max="33" width="9.7109375" style="1" hidden="1" customWidth="1"/>
    <col min="34" max="34" width="6.7109375" style="1" hidden="1" customWidth="1"/>
    <col min="35" max="35" width="8.7109375" style="1" hidden="1" customWidth="1"/>
    <col min="36" max="36" width="5.7109375" style="1" hidden="1" customWidth="1"/>
    <col min="37" max="37" width="7.85546875" style="1" hidden="1" customWidth="1"/>
    <col min="38" max="38" width="10.5703125" style="1" hidden="1" customWidth="1"/>
    <col min="39" max="39" width="11.140625" style="1" hidden="1" customWidth="1"/>
    <col min="40" max="40" width="9.7109375" style="1" hidden="1" customWidth="1"/>
    <col min="41" max="16384" width="11.42578125" style="1"/>
  </cols>
  <sheetData>
    <row r="1" spans="1:40" ht="13.5" customHeight="1">
      <c r="A1" s="203" t="s">
        <v>132</v>
      </c>
      <c r="C1" s="3" t="s">
        <v>0</v>
      </c>
      <c r="D1" s="297" t="s">
        <v>132</v>
      </c>
      <c r="E1" s="298"/>
      <c r="F1" s="57"/>
      <c r="AA1" s="245"/>
      <c r="AB1" s="244"/>
      <c r="AC1" s="252"/>
      <c r="AD1" s="252"/>
      <c r="AE1" s="252"/>
      <c r="AF1" s="252"/>
      <c r="AG1" s="252"/>
      <c r="AH1" s="252"/>
      <c r="AI1" s="252"/>
      <c r="AJ1" s="252"/>
      <c r="AK1" s="253"/>
      <c r="AL1" s="252"/>
      <c r="AM1" s="252"/>
      <c r="AN1" s="252"/>
    </row>
    <row r="2" spans="1:40" ht="13.5" customHeight="1">
      <c r="A2" s="47" t="s">
        <v>2</v>
      </c>
      <c r="C2" s="4" t="s">
        <v>1</v>
      </c>
      <c r="D2" s="40" t="s">
        <v>2</v>
      </c>
      <c r="E2" s="38"/>
      <c r="F2" s="38"/>
      <c r="J2" s="48"/>
      <c r="AA2" s="245"/>
      <c r="AB2" s="244"/>
      <c r="AC2" s="252"/>
      <c r="AD2" s="252"/>
      <c r="AE2" s="252"/>
      <c r="AF2" s="253"/>
      <c r="AG2" s="252"/>
      <c r="AH2" s="252"/>
      <c r="AI2" s="252"/>
      <c r="AJ2" s="252"/>
      <c r="AK2" s="253"/>
      <c r="AL2" s="252"/>
      <c r="AM2" s="252"/>
      <c r="AN2" s="252"/>
    </row>
    <row r="3" spans="1:40" ht="13.5" customHeight="1">
      <c r="A3" s="46" t="s">
        <v>3</v>
      </c>
      <c r="D3" s="41" t="s">
        <v>3</v>
      </c>
      <c r="E3" s="32"/>
      <c r="F3" s="57"/>
      <c r="G3" s="7"/>
      <c r="H3" s="30"/>
      <c r="J3" s="48"/>
      <c r="L3" s="48"/>
      <c r="V3" s="51"/>
      <c r="W3" s="50"/>
      <c r="AA3" s="245"/>
      <c r="AB3" s="244"/>
      <c r="AC3" s="252"/>
      <c r="AD3" s="252"/>
      <c r="AE3" s="252"/>
      <c r="AF3" s="252"/>
      <c r="AG3" s="252"/>
      <c r="AH3" s="252"/>
      <c r="AI3" s="252"/>
      <c r="AJ3" s="252"/>
      <c r="AK3" s="253"/>
      <c r="AL3" s="252"/>
      <c r="AM3" s="252"/>
      <c r="AN3" s="252"/>
    </row>
    <row r="4" spans="1:40" ht="13.5" customHeight="1">
      <c r="A4" s="45" t="s">
        <v>341</v>
      </c>
      <c r="D4" s="45" t="str">
        <f>+FACTURACION!B4</f>
        <v>Periodo 01 al 01 Quincenal del 01/01/2017 AL 15/01/2017</v>
      </c>
      <c r="E4" s="32"/>
      <c r="F4" s="57"/>
      <c r="G4" s="7"/>
      <c r="H4" s="30"/>
      <c r="I4" s="194"/>
    </row>
    <row r="5" spans="1:40" ht="13.5" customHeight="1">
      <c r="A5" s="33" t="s">
        <v>4</v>
      </c>
      <c r="D5" s="33" t="s">
        <v>4</v>
      </c>
      <c r="E5" s="33"/>
      <c r="F5" s="33"/>
      <c r="L5" s="191"/>
    </row>
    <row r="6" spans="1:40" ht="13.5" customHeight="1">
      <c r="A6" s="33" t="s">
        <v>5</v>
      </c>
      <c r="D6" s="6" t="s">
        <v>5</v>
      </c>
      <c r="F6" s="60"/>
      <c r="G6" s="60"/>
      <c r="M6" s="60"/>
      <c r="N6" s="60"/>
      <c r="P6" s="60"/>
      <c r="Q6" s="60"/>
      <c r="R6" s="60"/>
    </row>
    <row r="7" spans="1:40" ht="8.25" customHeight="1"/>
    <row r="8" spans="1:40" s="27" customFormat="1" ht="45.75" thickBot="1">
      <c r="A8" s="193" t="s">
        <v>7</v>
      </c>
      <c r="C8" s="31" t="s">
        <v>6</v>
      </c>
      <c r="D8" s="35" t="s">
        <v>7</v>
      </c>
      <c r="E8" s="35" t="s">
        <v>8</v>
      </c>
      <c r="F8" s="35" t="s">
        <v>319</v>
      </c>
      <c r="G8" s="35" t="s">
        <v>9</v>
      </c>
      <c r="H8" s="35" t="s">
        <v>293</v>
      </c>
      <c r="I8" s="36" t="s">
        <v>10</v>
      </c>
      <c r="J8" s="35" t="s">
        <v>11</v>
      </c>
      <c r="K8" s="35" t="s">
        <v>12</v>
      </c>
      <c r="L8" s="35" t="s">
        <v>13</v>
      </c>
      <c r="M8" s="35" t="s">
        <v>14</v>
      </c>
      <c r="N8" s="35" t="s">
        <v>145</v>
      </c>
      <c r="O8" s="35" t="s">
        <v>15</v>
      </c>
      <c r="P8" s="35" t="s">
        <v>16</v>
      </c>
      <c r="Q8" s="35" t="s">
        <v>298</v>
      </c>
      <c r="R8" s="35" t="s">
        <v>298</v>
      </c>
      <c r="S8" s="36" t="s">
        <v>18</v>
      </c>
      <c r="T8" s="37" t="s">
        <v>19</v>
      </c>
      <c r="V8" s="52" t="s">
        <v>6</v>
      </c>
      <c r="W8" s="53" t="s">
        <v>7</v>
      </c>
      <c r="X8" s="186" t="s">
        <v>366</v>
      </c>
      <c r="Y8" s="191"/>
      <c r="Z8" s="244"/>
      <c r="AA8" s="247" t="s">
        <v>6</v>
      </c>
      <c r="AB8" s="248" t="s">
        <v>7</v>
      </c>
      <c r="AC8" s="248" t="s">
        <v>8</v>
      </c>
      <c r="AD8" s="248" t="s">
        <v>9</v>
      </c>
      <c r="AE8" s="249" t="s">
        <v>10</v>
      </c>
      <c r="AF8" s="248" t="s">
        <v>11</v>
      </c>
      <c r="AG8" s="248" t="s">
        <v>12</v>
      </c>
      <c r="AH8" s="248" t="s">
        <v>13</v>
      </c>
      <c r="AI8" s="248" t="s">
        <v>14</v>
      </c>
      <c r="AJ8" s="248" t="s">
        <v>298</v>
      </c>
      <c r="AK8" s="248" t="s">
        <v>15</v>
      </c>
      <c r="AL8" s="248" t="s">
        <v>16</v>
      </c>
      <c r="AM8" s="249" t="s">
        <v>18</v>
      </c>
      <c r="AN8" s="250" t="s">
        <v>19</v>
      </c>
    </row>
    <row r="9" spans="1:40" ht="12" thickTop="1">
      <c r="C9" s="11" t="s">
        <v>20</v>
      </c>
      <c r="AA9" s="242"/>
      <c r="AB9" s="257"/>
      <c r="AC9" s="257"/>
      <c r="AD9" s="257"/>
      <c r="AE9" s="258"/>
      <c r="AF9" s="257"/>
      <c r="AG9" s="257"/>
      <c r="AH9" s="257"/>
      <c r="AI9" s="257"/>
      <c r="AJ9" s="257"/>
      <c r="AK9" s="257"/>
      <c r="AL9" s="257"/>
      <c r="AM9" s="258"/>
      <c r="AN9" s="259"/>
    </row>
    <row r="10" spans="1:40" ht="15"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</row>
    <row r="11" spans="1:40" ht="15">
      <c r="C11" s="10" t="s">
        <v>21</v>
      </c>
      <c r="AA11" s="251" t="s">
        <v>21</v>
      </c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</row>
    <row r="12" spans="1:40">
      <c r="A12" s="191" t="s">
        <v>23</v>
      </c>
      <c r="B12" s="28" t="str">
        <f t="shared" ref="B12:B35" si="0">IF(A12=D12,"SI","NO")</f>
        <v>SI</v>
      </c>
      <c r="C12" s="245" t="s">
        <v>22</v>
      </c>
      <c r="D12" s="1" t="s">
        <v>23</v>
      </c>
      <c r="E12" s="39">
        <v>2750.1</v>
      </c>
      <c r="F12" s="39">
        <f>+FACTURACION!V12</f>
        <v>0</v>
      </c>
      <c r="G12" s="39">
        <f>+FACTURACION!U12</f>
        <v>20920.349999999999</v>
      </c>
      <c r="H12" s="39">
        <v>0</v>
      </c>
      <c r="I12" s="39">
        <f>SUM(E12:H12)</f>
        <v>23670.449999999997</v>
      </c>
      <c r="J12" s="39">
        <v>0</v>
      </c>
      <c r="K12" s="39">
        <v>5285.79</v>
      </c>
      <c r="L12" s="39">
        <v>68.28</v>
      </c>
      <c r="M12" s="39">
        <f>+FACTURACION!AF12</f>
        <v>1435.81</v>
      </c>
      <c r="N12" s="39">
        <f>+FACTURACION!AB12</f>
        <v>0</v>
      </c>
      <c r="O12" s="39">
        <v>0.04</v>
      </c>
      <c r="P12" s="39">
        <f>+FACTURACION!Z12</f>
        <v>0</v>
      </c>
      <c r="Q12" s="39">
        <f>+FACTURACION!X12</f>
        <v>45.13</v>
      </c>
      <c r="R12" s="39">
        <f>+FACTURACION!AD12</f>
        <v>0</v>
      </c>
      <c r="S12" s="39">
        <f>SUM(J12:R12)</f>
        <v>6835.0499999999993</v>
      </c>
      <c r="T12" s="39">
        <f>+I12-S12</f>
        <v>16835.399999999998</v>
      </c>
      <c r="V12" s="51" t="s">
        <v>22</v>
      </c>
      <c r="W12" s="50" t="s">
        <v>23</v>
      </c>
      <c r="X12" s="48">
        <v>183.33333333333334</v>
      </c>
      <c r="Y12" s="191" t="b">
        <f t="shared" ref="Y12:Y43" si="1">D12=AB12</f>
        <v>1</v>
      </c>
      <c r="Z12" s="252">
        <f>+T12-AN12</f>
        <v>0</v>
      </c>
      <c r="AA12" s="245" t="s">
        <v>22</v>
      </c>
      <c r="AB12" s="244" t="s">
        <v>23</v>
      </c>
      <c r="AC12" s="252">
        <v>2750.1</v>
      </c>
      <c r="AD12" s="252">
        <v>20920.349999999999</v>
      </c>
      <c r="AE12" s="252">
        <v>23670.45</v>
      </c>
      <c r="AF12" s="252">
        <v>0</v>
      </c>
      <c r="AG12" s="252">
        <v>5285.79</v>
      </c>
      <c r="AH12" s="252">
        <v>68.28</v>
      </c>
      <c r="AI12" s="252">
        <v>1435.81</v>
      </c>
      <c r="AJ12" s="252">
        <v>45.13</v>
      </c>
      <c r="AK12" s="252">
        <v>0.04</v>
      </c>
      <c r="AL12" s="252">
        <v>0</v>
      </c>
      <c r="AM12" s="252">
        <v>6835.05</v>
      </c>
      <c r="AN12" s="252">
        <v>16835.400000000001</v>
      </c>
    </row>
    <row r="13" spans="1:40" ht="15" customHeight="1">
      <c r="A13" s="191" t="s">
        <v>25</v>
      </c>
      <c r="B13" s="186" t="str">
        <f t="shared" si="0"/>
        <v>SI</v>
      </c>
      <c r="C13" s="245" t="s">
        <v>24</v>
      </c>
      <c r="D13" s="17" t="s">
        <v>25</v>
      </c>
      <c r="E13" s="39">
        <v>2333.38</v>
      </c>
      <c r="F13" s="39">
        <f>+FACTURACION!V13</f>
        <v>0</v>
      </c>
      <c r="G13" s="39">
        <f>+FACTURACION!U13</f>
        <v>3960</v>
      </c>
      <c r="H13" s="39">
        <v>0</v>
      </c>
      <c r="I13" s="39">
        <f t="shared" ref="I13:I76" si="2">SUM(E13:H13)</f>
        <v>6293.38</v>
      </c>
      <c r="J13" s="39">
        <v>0</v>
      </c>
      <c r="K13" s="39">
        <v>797</v>
      </c>
      <c r="L13" s="39">
        <v>59.01</v>
      </c>
      <c r="M13" s="39">
        <f>+FACTURACION!AF13</f>
        <v>0</v>
      </c>
      <c r="N13" s="39">
        <f>+FACTURACION!AB13</f>
        <v>0</v>
      </c>
      <c r="O13" s="39">
        <v>0.04</v>
      </c>
      <c r="P13" s="39">
        <f>+FACTURACION!Z13</f>
        <v>0</v>
      </c>
      <c r="Q13" s="39">
        <f>+FACTURACION!X13</f>
        <v>45.13</v>
      </c>
      <c r="R13" s="39">
        <f>+FACTURACION!AD13</f>
        <v>0</v>
      </c>
      <c r="S13" s="39">
        <f t="shared" ref="S13:S76" si="3">SUM(J13:R13)</f>
        <v>901.18</v>
      </c>
      <c r="T13" s="39">
        <f t="shared" ref="T13:T76" si="4">+I13-S13</f>
        <v>5392.2</v>
      </c>
      <c r="V13" s="51" t="s">
        <v>24</v>
      </c>
      <c r="W13" s="50" t="s">
        <v>25</v>
      </c>
      <c r="X13" s="48">
        <v>166.66666666666666</v>
      </c>
      <c r="Y13" s="244" t="b">
        <f t="shared" si="1"/>
        <v>1</v>
      </c>
      <c r="Z13" s="252">
        <f t="shared" ref="Z13:Z76" si="5">+T13-AN13</f>
        <v>0</v>
      </c>
      <c r="AA13" s="245" t="s">
        <v>24</v>
      </c>
      <c r="AB13" s="244" t="s">
        <v>25</v>
      </c>
      <c r="AC13" s="252">
        <v>2333.38</v>
      </c>
      <c r="AD13" s="252">
        <v>3960</v>
      </c>
      <c r="AE13" s="252">
        <v>6293.38</v>
      </c>
      <c r="AF13" s="252">
        <v>0</v>
      </c>
      <c r="AG13" s="252">
        <v>797</v>
      </c>
      <c r="AH13" s="252">
        <v>59.01</v>
      </c>
      <c r="AI13" s="252">
        <v>0</v>
      </c>
      <c r="AJ13" s="252">
        <v>45.13</v>
      </c>
      <c r="AK13" s="252">
        <v>0.04</v>
      </c>
      <c r="AL13" s="252">
        <v>0</v>
      </c>
      <c r="AM13" s="252">
        <v>901.18</v>
      </c>
      <c r="AN13" s="252">
        <v>5392.2</v>
      </c>
    </row>
    <row r="14" spans="1:40" ht="15" customHeight="1">
      <c r="A14" s="191" t="s">
        <v>333</v>
      </c>
      <c r="B14" s="186" t="str">
        <f t="shared" si="0"/>
        <v>SI</v>
      </c>
      <c r="C14" s="245" t="s">
        <v>335</v>
      </c>
      <c r="D14" s="17" t="s">
        <v>333</v>
      </c>
      <c r="E14" s="39">
        <v>5000.1000000000004</v>
      </c>
      <c r="F14" s="39">
        <f>+FACTURACION!V14</f>
        <v>0</v>
      </c>
      <c r="G14" s="39">
        <f>+FACTURACION!U14</f>
        <v>17735.77</v>
      </c>
      <c r="H14" s="39">
        <v>0</v>
      </c>
      <c r="I14" s="39">
        <f t="shared" si="2"/>
        <v>22735.870000000003</v>
      </c>
      <c r="J14" s="39">
        <v>0</v>
      </c>
      <c r="K14" s="39">
        <v>5005.41</v>
      </c>
      <c r="L14" s="39">
        <v>131.37</v>
      </c>
      <c r="M14" s="39">
        <f>+FACTURACION!AF14</f>
        <v>2386</v>
      </c>
      <c r="N14" s="39">
        <f>+FACTURACION!AB14</f>
        <v>0</v>
      </c>
      <c r="O14" s="262">
        <v>-0.04</v>
      </c>
      <c r="P14" s="39">
        <f>+FACTURACION!Z14</f>
        <v>0</v>
      </c>
      <c r="Q14" s="39">
        <f>+FACTURACION!X14</f>
        <v>45.13</v>
      </c>
      <c r="R14" s="39">
        <f>+FACTURACION!AD14</f>
        <v>0</v>
      </c>
      <c r="S14" s="39">
        <f t="shared" si="3"/>
        <v>7567.87</v>
      </c>
      <c r="T14" s="39">
        <f t="shared" si="4"/>
        <v>15168.000000000004</v>
      </c>
      <c r="U14" s="64"/>
      <c r="V14" s="183" t="s">
        <v>335</v>
      </c>
      <c r="W14" s="182" t="s">
        <v>336</v>
      </c>
      <c r="X14" s="48">
        <v>333.33333333333331</v>
      </c>
      <c r="Y14" s="244" t="b">
        <f t="shared" si="1"/>
        <v>1</v>
      </c>
      <c r="Z14" s="252">
        <f t="shared" si="5"/>
        <v>0</v>
      </c>
      <c r="AA14" s="245" t="s">
        <v>335</v>
      </c>
      <c r="AB14" s="244" t="s">
        <v>336</v>
      </c>
      <c r="AC14" s="252">
        <v>5000.1000000000004</v>
      </c>
      <c r="AD14" s="252">
        <v>17735.77</v>
      </c>
      <c r="AE14" s="252">
        <v>22735.87</v>
      </c>
      <c r="AF14" s="252">
        <v>0</v>
      </c>
      <c r="AG14" s="252">
        <v>5005.41</v>
      </c>
      <c r="AH14" s="252">
        <v>131.37</v>
      </c>
      <c r="AI14" s="252">
        <v>2386</v>
      </c>
      <c r="AJ14" s="252">
        <v>45.13</v>
      </c>
      <c r="AK14" s="253">
        <v>-0.04</v>
      </c>
      <c r="AL14" s="252">
        <v>0</v>
      </c>
      <c r="AM14" s="252">
        <v>7567.87</v>
      </c>
      <c r="AN14" s="252">
        <v>15168</v>
      </c>
    </row>
    <row r="15" spans="1:40" ht="15" customHeight="1">
      <c r="A15" s="191" t="s">
        <v>27</v>
      </c>
      <c r="B15" s="186" t="str">
        <f t="shared" si="0"/>
        <v>SI</v>
      </c>
      <c r="C15" s="245" t="s">
        <v>26</v>
      </c>
      <c r="D15" s="17" t="s">
        <v>27</v>
      </c>
      <c r="E15" s="39">
        <v>3000</v>
      </c>
      <c r="F15" s="39">
        <f>+FACTURACION!V15</f>
        <v>0</v>
      </c>
      <c r="G15" s="39">
        <f>+FACTURACION!U15</f>
        <v>4535</v>
      </c>
      <c r="H15" s="39">
        <v>0</v>
      </c>
      <c r="I15" s="39">
        <f t="shared" si="2"/>
        <v>7535</v>
      </c>
      <c r="J15" s="39">
        <v>0</v>
      </c>
      <c r="K15" s="39">
        <v>1062.21</v>
      </c>
      <c r="L15" s="39">
        <v>74.56</v>
      </c>
      <c r="M15" s="39">
        <f>+FACTURACION!AF15</f>
        <v>984.32</v>
      </c>
      <c r="N15" s="39">
        <f>+FACTURACION!AB15</f>
        <v>0</v>
      </c>
      <c r="O15" s="39">
        <v>0.18</v>
      </c>
      <c r="P15" s="39">
        <f>+FACTURACION!Z15</f>
        <v>0</v>
      </c>
      <c r="Q15" s="39">
        <f>+FACTURACION!X15</f>
        <v>45.13</v>
      </c>
      <c r="R15" s="39">
        <f>+FACTURACION!AD15</f>
        <v>0</v>
      </c>
      <c r="S15" s="39">
        <f t="shared" si="3"/>
        <v>2166.4</v>
      </c>
      <c r="T15" s="39">
        <f t="shared" si="4"/>
        <v>5368.6</v>
      </c>
      <c r="V15" s="51" t="s">
        <v>26</v>
      </c>
      <c r="W15" s="50" t="s">
        <v>27</v>
      </c>
      <c r="X15" s="48">
        <v>200</v>
      </c>
      <c r="Y15" s="244" t="b">
        <f t="shared" si="1"/>
        <v>1</v>
      </c>
      <c r="Z15" s="252">
        <f t="shared" si="5"/>
        <v>0</v>
      </c>
      <c r="AA15" s="245" t="s">
        <v>26</v>
      </c>
      <c r="AB15" s="244" t="s">
        <v>27</v>
      </c>
      <c r="AC15" s="252">
        <v>3000</v>
      </c>
      <c r="AD15" s="252">
        <v>4535</v>
      </c>
      <c r="AE15" s="252">
        <v>7535</v>
      </c>
      <c r="AF15" s="252">
        <v>0</v>
      </c>
      <c r="AG15" s="252">
        <v>1062.21</v>
      </c>
      <c r="AH15" s="252">
        <v>74.56</v>
      </c>
      <c r="AI15" s="252">
        <v>984.32</v>
      </c>
      <c r="AJ15" s="252">
        <v>45.13</v>
      </c>
      <c r="AK15" s="252">
        <v>0.18</v>
      </c>
      <c r="AL15" s="252">
        <v>0</v>
      </c>
      <c r="AM15" s="252">
        <v>2166.4</v>
      </c>
      <c r="AN15" s="252">
        <v>5368.6</v>
      </c>
    </row>
    <row r="16" spans="1:40" ht="15" customHeight="1">
      <c r="A16" s="191" t="s">
        <v>29</v>
      </c>
      <c r="B16" s="186" t="str">
        <f t="shared" si="0"/>
        <v>SI</v>
      </c>
      <c r="C16" s="245" t="s">
        <v>28</v>
      </c>
      <c r="D16" s="17" t="s">
        <v>29</v>
      </c>
      <c r="E16" s="39">
        <v>2500.0500000000002</v>
      </c>
      <c r="F16" s="39">
        <f>+FACTURACION!V16</f>
        <v>0</v>
      </c>
      <c r="G16" s="39">
        <f>+FACTURACION!U16</f>
        <v>16917.7</v>
      </c>
      <c r="H16" s="39">
        <v>0</v>
      </c>
      <c r="I16" s="39">
        <f t="shared" si="2"/>
        <v>19417.75</v>
      </c>
      <c r="J16" s="39">
        <v>0</v>
      </c>
      <c r="K16" s="39">
        <v>4009.98</v>
      </c>
      <c r="L16" s="39">
        <v>62.14</v>
      </c>
      <c r="M16" s="39">
        <f>+FACTURACION!AF16</f>
        <v>0</v>
      </c>
      <c r="N16" s="39">
        <f>+FACTURACION!AB16</f>
        <v>0</v>
      </c>
      <c r="O16" s="262">
        <v>-0.1</v>
      </c>
      <c r="P16" s="39">
        <f>+FACTURACION!Z16</f>
        <v>0</v>
      </c>
      <c r="Q16" s="39">
        <f>+FACTURACION!X16</f>
        <v>45.13</v>
      </c>
      <c r="R16" s="39">
        <f>+FACTURACION!AD16</f>
        <v>0</v>
      </c>
      <c r="S16" s="39">
        <f t="shared" si="3"/>
        <v>4117.1499999999996</v>
      </c>
      <c r="T16" s="39">
        <f t="shared" si="4"/>
        <v>15300.6</v>
      </c>
      <c r="V16" s="51" t="s">
        <v>28</v>
      </c>
      <c r="W16" s="50" t="s">
        <v>29</v>
      </c>
      <c r="X16" s="48">
        <v>166.66666666666666</v>
      </c>
      <c r="Y16" s="244" t="b">
        <f t="shared" si="1"/>
        <v>1</v>
      </c>
      <c r="Z16" s="252">
        <f t="shared" si="5"/>
        <v>0</v>
      </c>
      <c r="AA16" s="245" t="s">
        <v>28</v>
      </c>
      <c r="AB16" s="244" t="s">
        <v>29</v>
      </c>
      <c r="AC16" s="252">
        <v>2500.0500000000002</v>
      </c>
      <c r="AD16" s="252">
        <v>16917.7</v>
      </c>
      <c r="AE16" s="252">
        <v>19417.75</v>
      </c>
      <c r="AF16" s="252">
        <v>0</v>
      </c>
      <c r="AG16" s="252">
        <v>4009.98</v>
      </c>
      <c r="AH16" s="252">
        <v>62.14</v>
      </c>
      <c r="AI16" s="252">
        <v>0</v>
      </c>
      <c r="AJ16" s="252">
        <v>45.13</v>
      </c>
      <c r="AK16" s="253">
        <v>-0.1</v>
      </c>
      <c r="AL16" s="252">
        <v>0</v>
      </c>
      <c r="AM16" s="252">
        <v>4117.1499999999996</v>
      </c>
      <c r="AN16" s="252">
        <v>15300.6</v>
      </c>
    </row>
    <row r="17" spans="1:41" ht="15" customHeight="1">
      <c r="A17" s="191" t="s">
        <v>31</v>
      </c>
      <c r="B17" s="186" t="str">
        <f t="shared" si="0"/>
        <v>SI</v>
      </c>
      <c r="C17" s="245" t="s">
        <v>30</v>
      </c>
      <c r="D17" s="17" t="s">
        <v>31</v>
      </c>
      <c r="E17" s="39">
        <v>7500</v>
      </c>
      <c r="F17" s="39">
        <f>+FACTURACION!V17</f>
        <v>0</v>
      </c>
      <c r="G17" s="39">
        <f>+FACTURACION!U17</f>
        <v>0</v>
      </c>
      <c r="H17" s="39">
        <v>0</v>
      </c>
      <c r="I17" s="39">
        <f t="shared" si="2"/>
        <v>7500</v>
      </c>
      <c r="J17" s="39">
        <v>0</v>
      </c>
      <c r="K17" s="39">
        <v>1054.74</v>
      </c>
      <c r="L17" s="39">
        <v>203.4</v>
      </c>
      <c r="M17" s="39">
        <f>+FACTURACION!AF17</f>
        <v>0</v>
      </c>
      <c r="N17" s="39">
        <f>+FACTURACION!AB17</f>
        <v>0</v>
      </c>
      <c r="O17" s="39">
        <v>0.13</v>
      </c>
      <c r="P17" s="39">
        <f>+FACTURACION!Z17</f>
        <v>0</v>
      </c>
      <c r="Q17" s="39">
        <f>+FACTURACION!X17</f>
        <v>45.13</v>
      </c>
      <c r="R17" s="39">
        <f>+FACTURACION!AD17</f>
        <v>0</v>
      </c>
      <c r="S17" s="39">
        <f t="shared" si="3"/>
        <v>1303.4000000000003</v>
      </c>
      <c r="T17" s="39">
        <f t="shared" si="4"/>
        <v>6196.5999999999995</v>
      </c>
      <c r="V17" s="51" t="s">
        <v>30</v>
      </c>
      <c r="W17" s="50" t="s">
        <v>31</v>
      </c>
      <c r="X17" s="234">
        <v>500</v>
      </c>
      <c r="Y17" s="244" t="b">
        <f t="shared" si="1"/>
        <v>1</v>
      </c>
      <c r="Z17" s="252">
        <f t="shared" si="5"/>
        <v>0</v>
      </c>
      <c r="AA17" s="245" t="s">
        <v>30</v>
      </c>
      <c r="AB17" s="244" t="s">
        <v>31</v>
      </c>
      <c r="AC17" s="252">
        <v>7500</v>
      </c>
      <c r="AD17" s="252">
        <v>0</v>
      </c>
      <c r="AE17" s="252">
        <v>7500</v>
      </c>
      <c r="AF17" s="252">
        <v>0</v>
      </c>
      <c r="AG17" s="252">
        <v>1054.74</v>
      </c>
      <c r="AH17" s="252">
        <v>203.4</v>
      </c>
      <c r="AI17" s="252">
        <v>0</v>
      </c>
      <c r="AJ17" s="252">
        <v>45.13</v>
      </c>
      <c r="AK17" s="252">
        <v>0.13</v>
      </c>
      <c r="AL17" s="252">
        <v>0</v>
      </c>
      <c r="AM17" s="252">
        <v>1303.4000000000001</v>
      </c>
      <c r="AN17" s="252">
        <v>6196.6</v>
      </c>
    </row>
    <row r="18" spans="1:41" ht="15" customHeight="1">
      <c r="A18" s="191" t="s">
        <v>33</v>
      </c>
      <c r="B18" s="186" t="str">
        <f t="shared" si="0"/>
        <v>SI</v>
      </c>
      <c r="C18" s="245" t="s">
        <v>32</v>
      </c>
      <c r="D18" s="17" t="s">
        <v>33</v>
      </c>
      <c r="E18" s="39">
        <v>2800.05</v>
      </c>
      <c r="F18" s="39">
        <f>+FACTURACION!V18</f>
        <v>0</v>
      </c>
      <c r="G18" s="39">
        <f>+FACTURACION!U18</f>
        <v>0</v>
      </c>
      <c r="H18" s="39">
        <v>0</v>
      </c>
      <c r="I18" s="39">
        <f t="shared" si="2"/>
        <v>2800.05</v>
      </c>
      <c r="J18" s="39">
        <v>0</v>
      </c>
      <c r="K18" s="39">
        <v>55.23</v>
      </c>
      <c r="L18" s="39">
        <v>69.69</v>
      </c>
      <c r="M18" s="39">
        <f>+FACTURACION!AF18</f>
        <v>0</v>
      </c>
      <c r="N18" s="39">
        <f>+FACTURACION!AB18</f>
        <v>0</v>
      </c>
      <c r="O18" s="39">
        <v>0</v>
      </c>
      <c r="P18" s="39">
        <f>+FACTURACION!Z18</f>
        <v>0</v>
      </c>
      <c r="Q18" s="39">
        <f>+FACTURACION!X18</f>
        <v>45.13</v>
      </c>
      <c r="R18" s="39">
        <f>+FACTURACION!AD18</f>
        <v>0</v>
      </c>
      <c r="S18" s="39">
        <f t="shared" si="3"/>
        <v>170.04999999999998</v>
      </c>
      <c r="T18" s="39">
        <f t="shared" si="4"/>
        <v>2630</v>
      </c>
      <c r="V18" s="51" t="s">
        <v>32</v>
      </c>
      <c r="W18" s="50" t="s">
        <v>33</v>
      </c>
      <c r="X18" s="48">
        <v>186.66666666666666</v>
      </c>
      <c r="Y18" s="244" t="b">
        <f t="shared" si="1"/>
        <v>1</v>
      </c>
      <c r="Z18" s="252">
        <f t="shared" si="5"/>
        <v>0</v>
      </c>
      <c r="AA18" s="245" t="s">
        <v>32</v>
      </c>
      <c r="AB18" s="244" t="s">
        <v>33</v>
      </c>
      <c r="AC18" s="252">
        <v>2800.05</v>
      </c>
      <c r="AD18" s="252">
        <v>0</v>
      </c>
      <c r="AE18" s="252">
        <v>2800.05</v>
      </c>
      <c r="AF18" s="252">
        <v>0</v>
      </c>
      <c r="AG18" s="252">
        <v>55.23</v>
      </c>
      <c r="AH18" s="252">
        <v>69.69</v>
      </c>
      <c r="AI18" s="252">
        <v>0</v>
      </c>
      <c r="AJ18" s="252">
        <v>45.13</v>
      </c>
      <c r="AK18" s="252">
        <v>0</v>
      </c>
      <c r="AL18" s="252">
        <v>0</v>
      </c>
      <c r="AM18" s="252">
        <v>170.05</v>
      </c>
      <c r="AN18" s="252">
        <v>2630</v>
      </c>
    </row>
    <row r="19" spans="1:41" ht="15" customHeight="1">
      <c r="A19" s="191" t="s">
        <v>35</v>
      </c>
      <c r="B19" s="186" t="str">
        <f t="shared" si="0"/>
        <v>SI</v>
      </c>
      <c r="C19" s="244"/>
      <c r="D19" s="17" t="s">
        <v>35</v>
      </c>
      <c r="E19" s="39">
        <v>0</v>
      </c>
      <c r="F19" s="39">
        <f>+FACTURACION!V19</f>
        <v>0</v>
      </c>
      <c r="G19" s="39">
        <f>+FACTURACION!U19</f>
        <v>0</v>
      </c>
      <c r="H19" s="39">
        <v>0</v>
      </c>
      <c r="I19" s="39">
        <f t="shared" si="2"/>
        <v>0</v>
      </c>
      <c r="J19" s="39">
        <v>0</v>
      </c>
      <c r="K19" s="39">
        <v>0</v>
      </c>
      <c r="L19" s="39">
        <v>0</v>
      </c>
      <c r="M19" s="39">
        <f>+FACTURACION!AF19</f>
        <v>0</v>
      </c>
      <c r="N19" s="39">
        <f>+FACTURACION!AB19</f>
        <v>0</v>
      </c>
      <c r="O19" s="39">
        <v>0</v>
      </c>
      <c r="P19" s="39">
        <f>+FACTURACION!Z19</f>
        <v>0</v>
      </c>
      <c r="Q19" s="39">
        <f>+FACTURACION!X19</f>
        <v>0</v>
      </c>
      <c r="R19" s="39">
        <f>+FACTURACION!AD19</f>
        <v>0</v>
      </c>
      <c r="S19" s="39">
        <f t="shared" si="3"/>
        <v>0</v>
      </c>
      <c r="T19" s="39">
        <f t="shared" si="4"/>
        <v>0</v>
      </c>
      <c r="U19" s="43" t="s">
        <v>358</v>
      </c>
      <c r="V19" s="51" t="s">
        <v>34</v>
      </c>
      <c r="W19" s="50" t="s">
        <v>35</v>
      </c>
      <c r="X19" s="241" t="s">
        <v>358</v>
      </c>
      <c r="Y19" s="244" t="b">
        <f t="shared" si="1"/>
        <v>0</v>
      </c>
      <c r="Z19" s="252">
        <f t="shared" si="5"/>
        <v>0</v>
      </c>
    </row>
    <row r="20" spans="1:41" ht="15" customHeight="1">
      <c r="A20" s="191" t="s">
        <v>37</v>
      </c>
      <c r="B20" s="186" t="str">
        <f t="shared" si="0"/>
        <v>SI</v>
      </c>
      <c r="C20" s="245" t="s">
        <v>36</v>
      </c>
      <c r="D20" s="17" t="s">
        <v>37</v>
      </c>
      <c r="E20" s="39">
        <v>1680.03</v>
      </c>
      <c r="F20" s="39">
        <f>+FACTURACION!V20</f>
        <v>0</v>
      </c>
      <c r="G20" s="39">
        <f>+FACTURACION!U20</f>
        <v>0</v>
      </c>
      <c r="H20" s="39">
        <v>0</v>
      </c>
      <c r="I20" s="39">
        <f t="shared" si="2"/>
        <v>1680.03</v>
      </c>
      <c r="J20" s="262">
        <v>-55.86</v>
      </c>
      <c r="K20" s="39">
        <v>0</v>
      </c>
      <c r="L20" s="39">
        <v>41.87</v>
      </c>
      <c r="M20" s="39">
        <f>+FACTURACION!AF20</f>
        <v>0</v>
      </c>
      <c r="N20" s="39">
        <f>+FACTURACION!AB20</f>
        <v>0</v>
      </c>
      <c r="O20" s="39">
        <v>0.09</v>
      </c>
      <c r="P20" s="39">
        <f>+FACTURACION!Z20</f>
        <v>0</v>
      </c>
      <c r="Q20" s="39">
        <f>+FACTURACION!X20</f>
        <v>45.13</v>
      </c>
      <c r="R20" s="39">
        <f>+FACTURACION!AD20</f>
        <v>0</v>
      </c>
      <c r="S20" s="39">
        <f t="shared" si="3"/>
        <v>31.23</v>
      </c>
      <c r="T20" s="39">
        <f t="shared" si="4"/>
        <v>1648.8</v>
      </c>
      <c r="U20" s="231" t="s">
        <v>342</v>
      </c>
      <c r="V20" s="51" t="s">
        <v>36</v>
      </c>
      <c r="W20" s="50" t="s">
        <v>37</v>
      </c>
      <c r="X20" s="48">
        <v>186.66666666666666</v>
      </c>
      <c r="Y20" s="244" t="b">
        <f t="shared" si="1"/>
        <v>1</v>
      </c>
      <c r="Z20" s="252">
        <f t="shared" si="5"/>
        <v>-981.00000000000023</v>
      </c>
      <c r="AA20" s="245" t="s">
        <v>36</v>
      </c>
      <c r="AB20" s="244" t="s">
        <v>37</v>
      </c>
      <c r="AC20" s="252">
        <v>2800.05</v>
      </c>
      <c r="AD20" s="252">
        <v>0</v>
      </c>
      <c r="AE20" s="252">
        <v>2800.05</v>
      </c>
      <c r="AF20" s="252">
        <v>0</v>
      </c>
      <c r="AG20" s="252">
        <v>55.23</v>
      </c>
      <c r="AH20" s="252">
        <v>69.78</v>
      </c>
      <c r="AI20" s="252">
        <v>0</v>
      </c>
      <c r="AJ20" s="252">
        <v>45.13</v>
      </c>
      <c r="AK20" s="252">
        <v>0.11</v>
      </c>
      <c r="AL20" s="252">
        <v>0</v>
      </c>
      <c r="AM20" s="252">
        <v>170.25</v>
      </c>
      <c r="AN20" s="252">
        <v>2629.8</v>
      </c>
      <c r="AO20" s="198" t="s">
        <v>349</v>
      </c>
    </row>
    <row r="21" spans="1:41" ht="15" customHeight="1">
      <c r="A21" s="191" t="s">
        <v>39</v>
      </c>
      <c r="B21" s="186" t="str">
        <f t="shared" si="0"/>
        <v>SI</v>
      </c>
      <c r="C21" s="245" t="s">
        <v>38</v>
      </c>
      <c r="D21" s="17" t="s">
        <v>39</v>
      </c>
      <c r="E21" s="39">
        <v>10000.049999999999</v>
      </c>
      <c r="F21" s="39">
        <f>+FACTURACION!V21</f>
        <v>0</v>
      </c>
      <c r="G21" s="39">
        <f>+FACTURACION!U21</f>
        <v>42982.43</v>
      </c>
      <c r="H21" s="39">
        <v>0</v>
      </c>
      <c r="I21" s="39">
        <f t="shared" si="2"/>
        <v>52982.479999999996</v>
      </c>
      <c r="J21" s="39">
        <v>0</v>
      </c>
      <c r="K21" s="39">
        <v>14759.55</v>
      </c>
      <c r="L21" s="39">
        <v>275.64999999999998</v>
      </c>
      <c r="M21" s="39">
        <f>+FACTURACION!AF21</f>
        <v>4060.94</v>
      </c>
      <c r="N21" s="39">
        <f>+FACTURACION!AB21</f>
        <v>0</v>
      </c>
      <c r="O21" s="39">
        <v>0.01</v>
      </c>
      <c r="P21" s="39">
        <f>+FACTURACION!Z21</f>
        <v>0</v>
      </c>
      <c r="Q21" s="39">
        <f>+FACTURACION!X21</f>
        <v>45.13</v>
      </c>
      <c r="R21" s="39">
        <f>+FACTURACION!AD21</f>
        <v>0</v>
      </c>
      <c r="S21" s="39">
        <f t="shared" si="3"/>
        <v>19141.28</v>
      </c>
      <c r="T21" s="39">
        <f t="shared" si="4"/>
        <v>33841.199999999997</v>
      </c>
      <c r="V21" s="51" t="s">
        <v>38</v>
      </c>
      <c r="W21" s="50" t="s">
        <v>39</v>
      </c>
      <c r="X21" s="48">
        <v>666.66666666666663</v>
      </c>
      <c r="Y21" s="244" t="b">
        <f t="shared" si="1"/>
        <v>1</v>
      </c>
      <c r="Z21" s="252">
        <f t="shared" si="5"/>
        <v>0</v>
      </c>
      <c r="AA21" s="245" t="s">
        <v>38</v>
      </c>
      <c r="AB21" s="244" t="s">
        <v>39</v>
      </c>
      <c r="AC21" s="252">
        <v>10000.049999999999</v>
      </c>
      <c r="AD21" s="252">
        <v>42982.43</v>
      </c>
      <c r="AE21" s="252">
        <v>52982.48</v>
      </c>
      <c r="AF21" s="252">
        <v>0</v>
      </c>
      <c r="AG21" s="252">
        <v>14759.55</v>
      </c>
      <c r="AH21" s="252">
        <v>275.64999999999998</v>
      </c>
      <c r="AI21" s="252">
        <v>4060.94</v>
      </c>
      <c r="AJ21" s="252">
        <v>45.13</v>
      </c>
      <c r="AK21" s="252">
        <v>0.01</v>
      </c>
      <c r="AL21" s="252">
        <v>0</v>
      </c>
      <c r="AM21" s="252">
        <v>19141.28</v>
      </c>
      <c r="AN21" s="252">
        <v>33841.199999999997</v>
      </c>
    </row>
    <row r="22" spans="1:41" ht="15" customHeight="1">
      <c r="A22" s="191" t="s">
        <v>41</v>
      </c>
      <c r="B22" s="186" t="str">
        <f t="shared" si="0"/>
        <v>SI</v>
      </c>
      <c r="C22" s="245" t="s">
        <v>40</v>
      </c>
      <c r="D22" s="17" t="s">
        <v>41</v>
      </c>
      <c r="E22" s="39">
        <v>3250.05</v>
      </c>
      <c r="F22" s="39">
        <f>+FACTURACION!V22</f>
        <v>0</v>
      </c>
      <c r="G22" s="39">
        <f>+FACTURACION!U22</f>
        <v>1299.99</v>
      </c>
      <c r="H22" s="39">
        <v>0</v>
      </c>
      <c r="I22" s="39">
        <f t="shared" si="2"/>
        <v>4550.04</v>
      </c>
      <c r="J22" s="39">
        <v>0</v>
      </c>
      <c r="K22" s="39">
        <v>442.91</v>
      </c>
      <c r="L22" s="39">
        <v>87.26</v>
      </c>
      <c r="M22" s="39">
        <f>+FACTURACION!AF22</f>
        <v>0</v>
      </c>
      <c r="N22" s="39">
        <f>+FACTURACION!AB22</f>
        <v>0</v>
      </c>
      <c r="O22" s="262">
        <v>-0.06</v>
      </c>
      <c r="P22" s="39">
        <f>+FACTURACION!Z22</f>
        <v>0</v>
      </c>
      <c r="Q22" s="39">
        <f>+FACTURACION!X22</f>
        <v>45.13</v>
      </c>
      <c r="R22" s="39">
        <f>+FACTURACION!AD22</f>
        <v>0</v>
      </c>
      <c r="S22" s="39">
        <f t="shared" si="3"/>
        <v>575.24000000000012</v>
      </c>
      <c r="T22" s="39">
        <f t="shared" si="4"/>
        <v>3974.7999999999997</v>
      </c>
      <c r="V22" s="51" t="s">
        <v>40</v>
      </c>
      <c r="W22" s="50" t="s">
        <v>41</v>
      </c>
      <c r="X22" s="48">
        <v>216.66666666666666</v>
      </c>
      <c r="Y22" s="244" t="b">
        <f t="shared" si="1"/>
        <v>1</v>
      </c>
      <c r="Z22" s="252">
        <f t="shared" si="5"/>
        <v>0</v>
      </c>
      <c r="AA22" s="245" t="s">
        <v>40</v>
      </c>
      <c r="AB22" s="244" t="s">
        <v>41</v>
      </c>
      <c r="AC22" s="252">
        <v>3250.05</v>
      </c>
      <c r="AD22" s="252">
        <v>1299.99</v>
      </c>
      <c r="AE22" s="252">
        <v>4550.04</v>
      </c>
      <c r="AF22" s="252">
        <v>0</v>
      </c>
      <c r="AG22" s="252">
        <v>442.91</v>
      </c>
      <c r="AH22" s="252">
        <v>87.26</v>
      </c>
      <c r="AI22" s="252">
        <v>0</v>
      </c>
      <c r="AJ22" s="252">
        <v>45.13</v>
      </c>
      <c r="AK22" s="253">
        <v>-0.06</v>
      </c>
      <c r="AL22" s="252">
        <v>0</v>
      </c>
      <c r="AM22" s="252">
        <v>575.24</v>
      </c>
      <c r="AN22" s="252">
        <v>3974.8</v>
      </c>
    </row>
    <row r="23" spans="1:41" ht="15" customHeight="1">
      <c r="A23" s="191" t="s">
        <v>43</v>
      </c>
      <c r="B23" s="186" t="str">
        <f t="shared" si="0"/>
        <v>SI</v>
      </c>
      <c r="C23" s="245" t="s">
        <v>42</v>
      </c>
      <c r="D23" s="17" t="s">
        <v>43</v>
      </c>
      <c r="E23" s="39">
        <v>3250.05</v>
      </c>
      <c r="F23" s="39">
        <f>+FACTURACION!V23</f>
        <v>0</v>
      </c>
      <c r="G23" s="39">
        <f>+FACTURACION!U23</f>
        <v>1299.99</v>
      </c>
      <c r="H23" s="39">
        <v>0</v>
      </c>
      <c r="I23" s="39">
        <f t="shared" si="2"/>
        <v>4550.04</v>
      </c>
      <c r="J23" s="39">
        <v>0</v>
      </c>
      <c r="K23" s="39">
        <v>442.91</v>
      </c>
      <c r="L23" s="39">
        <v>86.56</v>
      </c>
      <c r="M23" s="39">
        <f>+FACTURACION!AF23</f>
        <v>870</v>
      </c>
      <c r="N23" s="39">
        <f>+FACTURACION!AB23</f>
        <v>0</v>
      </c>
      <c r="O23" s="39">
        <v>0.04</v>
      </c>
      <c r="P23" s="39">
        <f>+FACTURACION!Z23</f>
        <v>0</v>
      </c>
      <c r="Q23" s="39">
        <f>+FACTURACION!X23</f>
        <v>45.13</v>
      </c>
      <c r="R23" s="39">
        <f>+FACTURACION!AD23</f>
        <v>0</v>
      </c>
      <c r="S23" s="39">
        <f t="shared" si="3"/>
        <v>1444.64</v>
      </c>
      <c r="T23" s="39">
        <f t="shared" si="4"/>
        <v>3105.3999999999996</v>
      </c>
      <c r="V23" s="51" t="s">
        <v>42</v>
      </c>
      <c r="W23" s="50" t="s">
        <v>43</v>
      </c>
      <c r="X23" s="48">
        <v>216.66666666666666</v>
      </c>
      <c r="Y23" s="244" t="b">
        <f t="shared" si="1"/>
        <v>1</v>
      </c>
      <c r="Z23" s="252">
        <f t="shared" si="5"/>
        <v>0</v>
      </c>
      <c r="AA23" s="245" t="s">
        <v>42</v>
      </c>
      <c r="AB23" s="244" t="s">
        <v>43</v>
      </c>
      <c r="AC23" s="252">
        <v>3250.05</v>
      </c>
      <c r="AD23" s="252">
        <v>1299.99</v>
      </c>
      <c r="AE23" s="252">
        <v>4550.04</v>
      </c>
      <c r="AF23" s="252">
        <v>0</v>
      </c>
      <c r="AG23" s="252">
        <v>442.91</v>
      </c>
      <c r="AH23" s="252">
        <v>86.56</v>
      </c>
      <c r="AI23" s="252">
        <v>870</v>
      </c>
      <c r="AJ23" s="252">
        <v>45.13</v>
      </c>
      <c r="AK23" s="252">
        <v>0.04</v>
      </c>
      <c r="AL23" s="252">
        <v>0</v>
      </c>
      <c r="AM23" s="252">
        <v>1444.64</v>
      </c>
      <c r="AN23" s="252">
        <v>3105.4</v>
      </c>
    </row>
    <row r="24" spans="1:41" s="54" customFormat="1" ht="15" customHeight="1">
      <c r="A24" s="43" t="s">
        <v>45</v>
      </c>
      <c r="B24" s="186" t="str">
        <f t="shared" si="0"/>
        <v>SI</v>
      </c>
      <c r="C24" s="245" t="s">
        <v>44</v>
      </c>
      <c r="D24" s="17" t="s">
        <v>45</v>
      </c>
      <c r="E24" s="39">
        <v>15000</v>
      </c>
      <c r="F24" s="39">
        <f>+FACTURACION!V24</f>
        <v>0</v>
      </c>
      <c r="G24" s="39">
        <f>+FACTURACION!U24</f>
        <v>194643.29</v>
      </c>
      <c r="H24" s="39">
        <v>0</v>
      </c>
      <c r="I24" s="39">
        <f t="shared" si="2"/>
        <v>209643.29</v>
      </c>
      <c r="J24" s="39">
        <v>0</v>
      </c>
      <c r="K24" s="39">
        <v>68887.11</v>
      </c>
      <c r="L24" s="39">
        <v>423.51</v>
      </c>
      <c r="M24" s="39">
        <f>+FACTURACION!AF24</f>
        <v>342</v>
      </c>
      <c r="N24" s="39">
        <f>+FACTURACION!AB24</f>
        <v>0</v>
      </c>
      <c r="O24" s="262">
        <v>-0.06</v>
      </c>
      <c r="P24" s="39">
        <f>+FACTURACION!Z24</f>
        <v>0</v>
      </c>
      <c r="Q24" s="39">
        <f>+FACTURACION!X24</f>
        <v>45.13</v>
      </c>
      <c r="R24" s="39">
        <f>+FACTURACION!AD24</f>
        <v>0</v>
      </c>
      <c r="S24" s="39">
        <f t="shared" si="3"/>
        <v>69697.69</v>
      </c>
      <c r="T24" s="39">
        <f t="shared" si="4"/>
        <v>139945.60000000001</v>
      </c>
      <c r="U24" s="1"/>
      <c r="V24" s="51" t="s">
        <v>44</v>
      </c>
      <c r="W24" s="50" t="s">
        <v>45</v>
      </c>
      <c r="X24" s="48">
        <v>1000</v>
      </c>
      <c r="Y24" s="244" t="b">
        <f t="shared" si="1"/>
        <v>1</v>
      </c>
      <c r="Z24" s="252">
        <f t="shared" si="5"/>
        <v>0</v>
      </c>
      <c r="AA24" s="245" t="s">
        <v>44</v>
      </c>
      <c r="AB24" s="244" t="s">
        <v>45</v>
      </c>
      <c r="AC24" s="252">
        <v>15000</v>
      </c>
      <c r="AD24" s="252">
        <v>194643.29</v>
      </c>
      <c r="AE24" s="252">
        <v>209643.29</v>
      </c>
      <c r="AF24" s="252">
        <v>0</v>
      </c>
      <c r="AG24" s="252">
        <v>68887.11</v>
      </c>
      <c r="AH24" s="252">
        <v>423.51</v>
      </c>
      <c r="AI24" s="252">
        <v>342</v>
      </c>
      <c r="AJ24" s="252">
        <v>45.13</v>
      </c>
      <c r="AK24" s="253">
        <v>-0.06</v>
      </c>
      <c r="AL24" s="252">
        <v>0</v>
      </c>
      <c r="AM24" s="252">
        <v>69697.69</v>
      </c>
      <c r="AN24" s="252">
        <v>139945.60000000001</v>
      </c>
    </row>
    <row r="25" spans="1:41" s="54" customFormat="1" ht="15" customHeight="1">
      <c r="A25" s="65" t="s">
        <v>299</v>
      </c>
      <c r="B25" s="186" t="str">
        <f t="shared" si="0"/>
        <v>SI</v>
      </c>
      <c r="C25" s="245" t="s">
        <v>324</v>
      </c>
      <c r="D25" s="17" t="s">
        <v>299</v>
      </c>
      <c r="E25" s="39">
        <v>2500.0500000000002</v>
      </c>
      <c r="F25" s="39">
        <f>+FACTURACION!V25</f>
        <v>0</v>
      </c>
      <c r="G25" s="39">
        <f>+FACTURACION!U25</f>
        <v>3960</v>
      </c>
      <c r="H25" s="39">
        <v>0</v>
      </c>
      <c r="I25" s="39">
        <f t="shared" si="2"/>
        <v>6460.05</v>
      </c>
      <c r="J25" s="39">
        <v>0</v>
      </c>
      <c r="K25" s="39">
        <v>832.6</v>
      </c>
      <c r="L25" s="39">
        <v>62.06</v>
      </c>
      <c r="M25" s="39">
        <f>+FACTURACION!AF25</f>
        <v>0</v>
      </c>
      <c r="N25" s="39">
        <f>+FACTURACION!AB25</f>
        <v>0</v>
      </c>
      <c r="O25" s="39">
        <v>0.06</v>
      </c>
      <c r="P25" s="39">
        <f>+FACTURACION!Z25</f>
        <v>0</v>
      </c>
      <c r="Q25" s="39">
        <f>+FACTURACION!X25</f>
        <v>45.13</v>
      </c>
      <c r="R25" s="39">
        <f>+FACTURACION!AD25</f>
        <v>0</v>
      </c>
      <c r="S25" s="39">
        <f t="shared" si="3"/>
        <v>939.85</v>
      </c>
      <c r="T25" s="39">
        <f t="shared" si="4"/>
        <v>5520.2</v>
      </c>
      <c r="V25" s="62" t="s">
        <v>324</v>
      </c>
      <c r="W25" s="61" t="s">
        <v>325</v>
      </c>
      <c r="X25" s="48">
        <v>166.66666666666666</v>
      </c>
      <c r="Y25" s="244" t="b">
        <f t="shared" si="1"/>
        <v>1</v>
      </c>
      <c r="Z25" s="252">
        <f t="shared" si="5"/>
        <v>0</v>
      </c>
      <c r="AA25" s="245" t="s">
        <v>324</v>
      </c>
      <c r="AB25" s="244" t="s">
        <v>325</v>
      </c>
      <c r="AC25" s="252">
        <v>2500.0500000000002</v>
      </c>
      <c r="AD25" s="252">
        <v>3960</v>
      </c>
      <c r="AE25" s="252">
        <v>6460.05</v>
      </c>
      <c r="AF25" s="252">
        <v>0</v>
      </c>
      <c r="AG25" s="252">
        <v>832.6</v>
      </c>
      <c r="AH25" s="252">
        <v>62.06</v>
      </c>
      <c r="AI25" s="252">
        <v>0</v>
      </c>
      <c r="AJ25" s="252">
        <v>45.13</v>
      </c>
      <c r="AK25" s="252">
        <v>0.06</v>
      </c>
      <c r="AL25" s="252">
        <v>0</v>
      </c>
      <c r="AM25" s="252">
        <v>939.85</v>
      </c>
      <c r="AN25" s="252">
        <v>5520.2</v>
      </c>
    </row>
    <row r="26" spans="1:41" ht="15" customHeight="1">
      <c r="A26" s="65" t="s">
        <v>301</v>
      </c>
      <c r="B26" s="186" t="str">
        <f t="shared" si="0"/>
        <v>SI</v>
      </c>
      <c r="C26" s="245" t="s">
        <v>322</v>
      </c>
      <c r="D26" s="17" t="s">
        <v>301</v>
      </c>
      <c r="E26" s="39">
        <v>2500.0500000000002</v>
      </c>
      <c r="F26" s="39">
        <f>+FACTURACION!V26</f>
        <v>0</v>
      </c>
      <c r="G26" s="39">
        <f>+FACTURACION!U26</f>
        <v>3960</v>
      </c>
      <c r="H26" s="39">
        <v>0</v>
      </c>
      <c r="I26" s="39">
        <f t="shared" si="2"/>
        <v>6460.05</v>
      </c>
      <c r="J26" s="39">
        <v>0</v>
      </c>
      <c r="K26" s="39">
        <v>832.6</v>
      </c>
      <c r="L26" s="39">
        <v>62.06</v>
      </c>
      <c r="M26" s="39">
        <f>+FACTURACION!AF26</f>
        <v>0</v>
      </c>
      <c r="N26" s="39">
        <f>+FACTURACION!AB26</f>
        <v>0</v>
      </c>
      <c r="O26" s="39">
        <v>0.06</v>
      </c>
      <c r="P26" s="39">
        <f>+FACTURACION!Z26</f>
        <v>0</v>
      </c>
      <c r="Q26" s="39">
        <f>+FACTURACION!X26</f>
        <v>45.13</v>
      </c>
      <c r="R26" s="39">
        <f>+FACTURACION!AD26</f>
        <v>0</v>
      </c>
      <c r="S26" s="39">
        <f t="shared" si="3"/>
        <v>939.85</v>
      </c>
      <c r="T26" s="39">
        <f t="shared" si="4"/>
        <v>5520.2</v>
      </c>
      <c r="U26" s="54"/>
      <c r="V26" s="62" t="s">
        <v>322</v>
      </c>
      <c r="W26" s="61" t="s">
        <v>323</v>
      </c>
      <c r="X26" s="48">
        <v>166.66666666666666</v>
      </c>
      <c r="Y26" s="244" t="b">
        <f t="shared" si="1"/>
        <v>1</v>
      </c>
      <c r="Z26" s="252">
        <f t="shared" si="5"/>
        <v>0</v>
      </c>
      <c r="AA26" s="245" t="s">
        <v>322</v>
      </c>
      <c r="AB26" s="244" t="s">
        <v>323</v>
      </c>
      <c r="AC26" s="252">
        <v>2500.0500000000002</v>
      </c>
      <c r="AD26" s="252">
        <v>3960</v>
      </c>
      <c r="AE26" s="252">
        <v>6460.05</v>
      </c>
      <c r="AF26" s="252">
        <v>0</v>
      </c>
      <c r="AG26" s="252">
        <v>832.6</v>
      </c>
      <c r="AH26" s="252">
        <v>62.06</v>
      </c>
      <c r="AI26" s="252">
        <v>0</v>
      </c>
      <c r="AJ26" s="252">
        <v>45.13</v>
      </c>
      <c r="AK26" s="252">
        <v>0.06</v>
      </c>
      <c r="AL26" s="252">
        <v>0</v>
      </c>
      <c r="AM26" s="252">
        <v>939.85</v>
      </c>
      <c r="AN26" s="252">
        <v>5520.2</v>
      </c>
    </row>
    <row r="27" spans="1:41" ht="15" customHeight="1">
      <c r="A27" s="191" t="s">
        <v>47</v>
      </c>
      <c r="B27" s="186" t="str">
        <f t="shared" si="0"/>
        <v>SI</v>
      </c>
      <c r="C27" s="245" t="s">
        <v>46</v>
      </c>
      <c r="D27" s="17" t="s">
        <v>47</v>
      </c>
      <c r="E27" s="39">
        <v>2500.0500000000002</v>
      </c>
      <c r="F27" s="39">
        <f>+FACTURACION!V27</f>
        <v>0</v>
      </c>
      <c r="G27" s="39">
        <f>+FACTURACION!U27</f>
        <v>17973.57</v>
      </c>
      <c r="H27" s="39">
        <v>0</v>
      </c>
      <c r="I27" s="39">
        <f t="shared" si="2"/>
        <v>20473.62</v>
      </c>
      <c r="J27" s="39">
        <v>0</v>
      </c>
      <c r="K27" s="39">
        <v>4326.74</v>
      </c>
      <c r="L27" s="39">
        <v>62.14</v>
      </c>
      <c r="M27" s="39">
        <f>+FACTURACION!AF27</f>
        <v>0</v>
      </c>
      <c r="N27" s="39">
        <f>+FACTURACION!AB27</f>
        <v>0</v>
      </c>
      <c r="O27" s="39">
        <v>0.01</v>
      </c>
      <c r="P27" s="39">
        <f>+FACTURACION!Z27</f>
        <v>0</v>
      </c>
      <c r="Q27" s="39">
        <f>+FACTURACION!X27</f>
        <v>45.13</v>
      </c>
      <c r="R27" s="39">
        <f>+FACTURACION!AD27</f>
        <v>0</v>
      </c>
      <c r="S27" s="39">
        <f t="shared" si="3"/>
        <v>4434.0200000000004</v>
      </c>
      <c r="T27" s="39">
        <f t="shared" si="4"/>
        <v>16039.599999999999</v>
      </c>
      <c r="V27" s="51" t="s">
        <v>46</v>
      </c>
      <c r="W27" s="50" t="s">
        <v>47</v>
      </c>
      <c r="X27" s="48">
        <v>166.66666666666666</v>
      </c>
      <c r="Y27" s="244" t="b">
        <f t="shared" si="1"/>
        <v>1</v>
      </c>
      <c r="Z27" s="252">
        <f t="shared" si="5"/>
        <v>0</v>
      </c>
      <c r="AA27" s="245" t="s">
        <v>46</v>
      </c>
      <c r="AB27" s="244" t="s">
        <v>47</v>
      </c>
      <c r="AC27" s="252">
        <v>2500.0500000000002</v>
      </c>
      <c r="AD27" s="252">
        <v>17973.57</v>
      </c>
      <c r="AE27" s="252">
        <v>20473.62</v>
      </c>
      <c r="AF27" s="252">
        <v>0</v>
      </c>
      <c r="AG27" s="252">
        <v>4326.74</v>
      </c>
      <c r="AH27" s="252">
        <v>62.14</v>
      </c>
      <c r="AI27" s="252">
        <v>0</v>
      </c>
      <c r="AJ27" s="252">
        <v>45.13</v>
      </c>
      <c r="AK27" s="252">
        <v>0.01</v>
      </c>
      <c r="AL27" s="252">
        <v>0</v>
      </c>
      <c r="AM27" s="252">
        <v>4434.0200000000004</v>
      </c>
      <c r="AN27" s="252">
        <v>16039.6</v>
      </c>
    </row>
    <row r="28" spans="1:41" ht="15" customHeight="1">
      <c r="A28" s="231" t="s">
        <v>283</v>
      </c>
      <c r="B28" s="186" t="str">
        <f t="shared" si="0"/>
        <v>NO</v>
      </c>
      <c r="C28" s="245" t="s">
        <v>105</v>
      </c>
      <c r="D28" s="191" t="s">
        <v>297</v>
      </c>
      <c r="E28" s="39">
        <v>1200.5999999999999</v>
      </c>
      <c r="F28" s="39">
        <f>+FACTURACION!V28</f>
        <v>0</v>
      </c>
      <c r="G28" s="39">
        <f>+FACTURACION!U28</f>
        <v>2136</v>
      </c>
      <c r="H28" s="39">
        <v>0</v>
      </c>
      <c r="I28" s="39">
        <f t="shared" si="2"/>
        <v>3336.6</v>
      </c>
      <c r="J28" s="39">
        <v>0</v>
      </c>
      <c r="K28" s="39">
        <v>133.88</v>
      </c>
      <c r="L28" s="39">
        <v>59.48</v>
      </c>
      <c r="M28" s="39">
        <f>+FACTURACION!AF28</f>
        <v>0</v>
      </c>
      <c r="N28" s="39">
        <f>+FACTURACION!AB28</f>
        <v>0</v>
      </c>
      <c r="O28" s="39">
        <v>0.11</v>
      </c>
      <c r="P28" s="39">
        <f>+FACTURACION!Z28</f>
        <v>0</v>
      </c>
      <c r="Q28" s="39">
        <f>+FACTURACION!X28</f>
        <v>45.13</v>
      </c>
      <c r="R28" s="39">
        <f>+FACTURACION!AD63</f>
        <v>0</v>
      </c>
      <c r="S28" s="39">
        <f t="shared" si="3"/>
        <v>238.6</v>
      </c>
      <c r="T28" s="39">
        <f t="shared" si="4"/>
        <v>3098</v>
      </c>
      <c r="V28" s="51" t="s">
        <v>105</v>
      </c>
      <c r="W28" s="50" t="s">
        <v>297</v>
      </c>
      <c r="X28" s="48">
        <v>80.040000000000006</v>
      </c>
      <c r="Y28" s="244" t="b">
        <f t="shared" si="1"/>
        <v>1</v>
      </c>
      <c r="Z28" s="252">
        <f t="shared" si="5"/>
        <v>0</v>
      </c>
      <c r="AA28" s="245" t="s">
        <v>105</v>
      </c>
      <c r="AB28" s="244" t="s">
        <v>297</v>
      </c>
      <c r="AC28" s="252">
        <v>1200.5999999999999</v>
      </c>
      <c r="AD28" s="252">
        <v>2136</v>
      </c>
      <c r="AE28" s="252">
        <v>3336.6</v>
      </c>
      <c r="AF28" s="252">
        <v>0</v>
      </c>
      <c r="AG28" s="252">
        <v>133.88</v>
      </c>
      <c r="AH28" s="252">
        <v>59.48</v>
      </c>
      <c r="AI28" s="252">
        <v>0</v>
      </c>
      <c r="AJ28" s="252">
        <v>45.13</v>
      </c>
      <c r="AK28" s="252">
        <v>0.11</v>
      </c>
      <c r="AL28" s="252">
        <v>0</v>
      </c>
      <c r="AM28" s="252">
        <v>238.6</v>
      </c>
      <c r="AN28" s="252">
        <v>3098</v>
      </c>
    </row>
    <row r="29" spans="1:41" ht="15" customHeight="1">
      <c r="A29" s="231" t="s">
        <v>107</v>
      </c>
      <c r="B29" s="186" t="str">
        <f t="shared" si="0"/>
        <v>SI</v>
      </c>
      <c r="C29" s="245" t="s">
        <v>106</v>
      </c>
      <c r="D29" s="191" t="s">
        <v>107</v>
      </c>
      <c r="E29" s="39">
        <v>1040.52</v>
      </c>
      <c r="F29" s="39">
        <f>+FACTURACION!V29</f>
        <v>0</v>
      </c>
      <c r="G29" s="39">
        <f>+FACTURACION!U29</f>
        <v>2870</v>
      </c>
      <c r="H29" s="39">
        <v>0</v>
      </c>
      <c r="I29" s="39">
        <f t="shared" si="2"/>
        <v>3910.52</v>
      </c>
      <c r="J29" s="39">
        <v>0</v>
      </c>
      <c r="K29" s="39">
        <v>334.71</v>
      </c>
      <c r="L29" s="39">
        <v>95.71</v>
      </c>
      <c r="M29" s="39">
        <f>+FACTURACION!AF29</f>
        <v>0</v>
      </c>
      <c r="N29" s="39">
        <f>+FACTURACION!AB29</f>
        <v>0</v>
      </c>
      <c r="O29" s="262">
        <v>-0.03</v>
      </c>
      <c r="P29" s="39">
        <f>+FACTURACION!Z29</f>
        <v>0</v>
      </c>
      <c r="Q29" s="39">
        <f>+FACTURACION!X29</f>
        <v>45.13</v>
      </c>
      <c r="R29" s="39">
        <f>+FACTURACION!AD64</f>
        <v>0</v>
      </c>
      <c r="S29" s="39">
        <f t="shared" si="3"/>
        <v>475.52</v>
      </c>
      <c r="T29" s="39">
        <f t="shared" si="4"/>
        <v>3435</v>
      </c>
      <c r="V29" s="51" t="s">
        <v>106</v>
      </c>
      <c r="W29" s="50" t="s">
        <v>107</v>
      </c>
      <c r="X29" s="48">
        <v>80.040000000000006</v>
      </c>
      <c r="Y29" s="244" t="b">
        <f t="shared" si="1"/>
        <v>1</v>
      </c>
      <c r="Z29" s="252">
        <f t="shared" si="5"/>
        <v>0</v>
      </c>
      <c r="AA29" s="245" t="s">
        <v>106</v>
      </c>
      <c r="AB29" s="244" t="s">
        <v>107</v>
      </c>
      <c r="AC29" s="252">
        <v>1040.52</v>
      </c>
      <c r="AD29" s="252">
        <v>2870</v>
      </c>
      <c r="AE29" s="252">
        <v>3910.52</v>
      </c>
      <c r="AF29" s="252">
        <v>0</v>
      </c>
      <c r="AG29" s="252">
        <v>334.71</v>
      </c>
      <c r="AH29" s="252">
        <v>95.71</v>
      </c>
      <c r="AI29" s="252">
        <v>0</v>
      </c>
      <c r="AJ29" s="252">
        <v>45.13</v>
      </c>
      <c r="AK29" s="253">
        <v>-0.03</v>
      </c>
      <c r="AL29" s="252">
        <v>0</v>
      </c>
      <c r="AM29" s="252">
        <v>475.52</v>
      </c>
      <c r="AN29" s="252">
        <v>3435</v>
      </c>
    </row>
    <row r="30" spans="1:41" ht="15" customHeight="1">
      <c r="A30" s="231" t="s">
        <v>109</v>
      </c>
      <c r="B30" s="186" t="str">
        <f t="shared" si="0"/>
        <v>SI</v>
      </c>
      <c r="C30" s="245" t="s">
        <v>108</v>
      </c>
      <c r="D30" s="191" t="s">
        <v>109</v>
      </c>
      <c r="E30" s="39">
        <v>1120.56</v>
      </c>
      <c r="F30" s="39">
        <f>+FACTURACION!V30</f>
        <v>0</v>
      </c>
      <c r="G30" s="39">
        <f>+FACTURACION!U30</f>
        <v>2431</v>
      </c>
      <c r="H30" s="39">
        <v>0</v>
      </c>
      <c r="I30" s="39">
        <f t="shared" si="2"/>
        <v>3551.56</v>
      </c>
      <c r="J30" s="39">
        <v>0</v>
      </c>
      <c r="K30" s="39">
        <v>175</v>
      </c>
      <c r="L30" s="39">
        <v>91.7</v>
      </c>
      <c r="M30" s="39">
        <f>+FACTURACION!AF30</f>
        <v>0</v>
      </c>
      <c r="N30" s="39">
        <f>+FACTURACION!AB30</f>
        <v>0</v>
      </c>
      <c r="O30" s="262">
        <v>-7.0000000000000007E-2</v>
      </c>
      <c r="P30" s="39">
        <f>+FACTURACION!Z30</f>
        <v>0</v>
      </c>
      <c r="Q30" s="39">
        <f>+FACTURACION!X30</f>
        <v>45.13</v>
      </c>
      <c r="R30" s="39">
        <f>+FACTURACION!AD65</f>
        <v>0</v>
      </c>
      <c r="S30" s="39">
        <f t="shared" si="3"/>
        <v>311.76</v>
      </c>
      <c r="T30" s="39">
        <f t="shared" si="4"/>
        <v>3239.8</v>
      </c>
      <c r="V30" s="51" t="s">
        <v>108</v>
      </c>
      <c r="W30" s="50" t="s">
        <v>109</v>
      </c>
      <c r="X30" s="48">
        <v>80.040000000000006</v>
      </c>
      <c r="Y30" s="244" t="b">
        <f t="shared" si="1"/>
        <v>1</v>
      </c>
      <c r="Z30" s="252">
        <f t="shared" si="5"/>
        <v>0</v>
      </c>
      <c r="AA30" s="245" t="s">
        <v>108</v>
      </c>
      <c r="AB30" s="244" t="s">
        <v>109</v>
      </c>
      <c r="AC30" s="252">
        <v>1120.56</v>
      </c>
      <c r="AD30" s="252">
        <v>2431</v>
      </c>
      <c r="AE30" s="252">
        <v>3551.56</v>
      </c>
      <c r="AF30" s="252">
        <v>0</v>
      </c>
      <c r="AG30" s="252">
        <v>175</v>
      </c>
      <c r="AH30" s="252">
        <v>91.7</v>
      </c>
      <c r="AI30" s="252">
        <v>0</v>
      </c>
      <c r="AJ30" s="252">
        <v>45.13</v>
      </c>
      <c r="AK30" s="253">
        <v>-7.0000000000000007E-2</v>
      </c>
      <c r="AL30" s="252">
        <v>0</v>
      </c>
      <c r="AM30" s="252">
        <v>311.76</v>
      </c>
      <c r="AN30" s="252">
        <v>3239.8</v>
      </c>
    </row>
    <row r="31" spans="1:41" ht="15" customHeight="1">
      <c r="A31" s="191" t="s">
        <v>49</v>
      </c>
      <c r="B31" s="186" t="str">
        <f t="shared" si="0"/>
        <v>SI</v>
      </c>
      <c r="C31" s="245" t="s">
        <v>48</v>
      </c>
      <c r="D31" s="17" t="s">
        <v>49</v>
      </c>
      <c r="E31" s="39">
        <v>2500.0500000000002</v>
      </c>
      <c r="F31" s="39">
        <f>+FACTURACION!V31</f>
        <v>0</v>
      </c>
      <c r="G31" s="39">
        <f>+FACTURACION!U31</f>
        <v>34850</v>
      </c>
      <c r="H31" s="39">
        <v>0</v>
      </c>
      <c r="I31" s="39">
        <f t="shared" si="2"/>
        <v>37350.050000000003</v>
      </c>
      <c r="J31" s="39">
        <v>0</v>
      </c>
      <c r="K31" s="39">
        <v>9519.89</v>
      </c>
      <c r="L31" s="39">
        <v>62.14</v>
      </c>
      <c r="M31" s="39">
        <f>+FACTURACION!AF31</f>
        <v>256.81</v>
      </c>
      <c r="N31" s="39">
        <f>+FACTURACION!AB31</f>
        <v>0</v>
      </c>
      <c r="O31" s="262">
        <v>-0.12</v>
      </c>
      <c r="P31" s="39">
        <f>+FACTURACION!Z31</f>
        <v>0</v>
      </c>
      <c r="Q31" s="39">
        <f>+FACTURACION!X31</f>
        <v>45.13</v>
      </c>
      <c r="R31" s="39">
        <f>+FACTURACION!AD28</f>
        <v>0</v>
      </c>
      <c r="S31" s="39">
        <f t="shared" si="3"/>
        <v>9883.8499999999967</v>
      </c>
      <c r="T31" s="39">
        <f t="shared" si="4"/>
        <v>27466.200000000004</v>
      </c>
      <c r="V31" s="51" t="s">
        <v>48</v>
      </c>
      <c r="W31" s="50" t="s">
        <v>49</v>
      </c>
      <c r="X31" s="48">
        <v>166.66666666666666</v>
      </c>
      <c r="Y31" s="244" t="b">
        <f t="shared" si="1"/>
        <v>1</v>
      </c>
      <c r="Z31" s="252">
        <f t="shared" si="5"/>
        <v>0</v>
      </c>
      <c r="AA31" s="245" t="s">
        <v>48</v>
      </c>
      <c r="AB31" s="244" t="s">
        <v>49</v>
      </c>
      <c r="AC31" s="252">
        <v>2500.0500000000002</v>
      </c>
      <c r="AD31" s="252">
        <v>34850</v>
      </c>
      <c r="AE31" s="252">
        <v>37350.050000000003</v>
      </c>
      <c r="AF31" s="252">
        <v>0</v>
      </c>
      <c r="AG31" s="252">
        <v>9519.89</v>
      </c>
      <c r="AH31" s="252">
        <v>62.14</v>
      </c>
      <c r="AI31" s="252">
        <v>256.81</v>
      </c>
      <c r="AJ31" s="252">
        <v>45.13</v>
      </c>
      <c r="AK31" s="253">
        <v>-0.12</v>
      </c>
      <c r="AL31" s="252">
        <v>0</v>
      </c>
      <c r="AM31" s="252">
        <v>9883.85</v>
      </c>
      <c r="AN31" s="252">
        <v>27466.2</v>
      </c>
    </row>
    <row r="32" spans="1:41" ht="15" customHeight="1">
      <c r="A32" s="43" t="s">
        <v>282</v>
      </c>
      <c r="B32" s="186" t="str">
        <f t="shared" si="0"/>
        <v>NO</v>
      </c>
      <c r="C32" s="245" t="s">
        <v>50</v>
      </c>
      <c r="D32" s="17" t="s">
        <v>295</v>
      </c>
      <c r="E32" s="39">
        <v>20000.099999999999</v>
      </c>
      <c r="F32" s="39">
        <f>+FACTURACION!V32</f>
        <v>0</v>
      </c>
      <c r="G32" s="39">
        <f>+FACTURACION!U32</f>
        <v>574350.61</v>
      </c>
      <c r="H32" s="39">
        <v>0</v>
      </c>
      <c r="I32" s="39">
        <f t="shared" si="2"/>
        <v>594350.71</v>
      </c>
      <c r="J32" s="39">
        <v>0</v>
      </c>
      <c r="K32" s="39">
        <v>203534.7</v>
      </c>
      <c r="L32" s="39">
        <v>566.44000000000005</v>
      </c>
      <c r="M32" s="39">
        <f>+FACTURACION!AF32</f>
        <v>0</v>
      </c>
      <c r="N32" s="39">
        <f>+FACTURACION!AB32</f>
        <v>0</v>
      </c>
      <c r="O32" s="39">
        <v>0.04</v>
      </c>
      <c r="P32" s="39">
        <f>+FACTURACION!Z32</f>
        <v>0</v>
      </c>
      <c r="Q32" s="39">
        <f>+FACTURACION!X32</f>
        <v>45.13</v>
      </c>
      <c r="R32" s="39">
        <f>+FACTURACION!AD29</f>
        <v>0</v>
      </c>
      <c r="S32" s="39">
        <f t="shared" si="3"/>
        <v>204146.31000000003</v>
      </c>
      <c r="T32" s="39">
        <f t="shared" si="4"/>
        <v>390204.39999999991</v>
      </c>
      <c r="V32" s="51" t="s">
        <v>50</v>
      </c>
      <c r="W32" s="50" t="s">
        <v>295</v>
      </c>
      <c r="X32" s="48">
        <v>1333.3333333333333</v>
      </c>
      <c r="Y32" s="244" t="b">
        <f t="shared" si="1"/>
        <v>1</v>
      </c>
      <c r="Z32" s="252">
        <f t="shared" si="5"/>
        <v>0</v>
      </c>
      <c r="AA32" s="245" t="s">
        <v>50</v>
      </c>
      <c r="AB32" s="244" t="s">
        <v>295</v>
      </c>
      <c r="AC32" s="252">
        <v>20000.099999999999</v>
      </c>
      <c r="AD32" s="252">
        <v>574350.61</v>
      </c>
      <c r="AE32" s="252">
        <v>594350.71</v>
      </c>
      <c r="AF32" s="252">
        <v>0</v>
      </c>
      <c r="AG32" s="252">
        <v>203534.7</v>
      </c>
      <c r="AH32" s="252">
        <v>566.44000000000005</v>
      </c>
      <c r="AI32" s="252">
        <v>0</v>
      </c>
      <c r="AJ32" s="252">
        <v>45.13</v>
      </c>
      <c r="AK32" s="252">
        <v>0.04</v>
      </c>
      <c r="AL32" s="252">
        <v>0</v>
      </c>
      <c r="AM32" s="252">
        <v>204146.31</v>
      </c>
      <c r="AN32" s="252">
        <v>390204.4</v>
      </c>
    </row>
    <row r="33" spans="1:40" ht="15" customHeight="1">
      <c r="A33" s="191" t="s">
        <v>52</v>
      </c>
      <c r="B33" s="186" t="str">
        <f t="shared" si="0"/>
        <v>SI</v>
      </c>
      <c r="C33" s="245" t="s">
        <v>51</v>
      </c>
      <c r="D33" s="17" t="s">
        <v>52</v>
      </c>
      <c r="E33" s="39">
        <v>2500.0500000000002</v>
      </c>
      <c r="F33" s="39">
        <f>+FACTURACION!V33</f>
        <v>0</v>
      </c>
      <c r="G33" s="39">
        <f>+FACTURACION!U33</f>
        <v>9900</v>
      </c>
      <c r="H33" s="39">
        <v>0</v>
      </c>
      <c r="I33" s="39">
        <f t="shared" si="2"/>
        <v>12400.05</v>
      </c>
      <c r="J33" s="39">
        <v>0</v>
      </c>
      <c r="K33" s="39">
        <v>2147.86</v>
      </c>
      <c r="L33" s="39">
        <v>62.06</v>
      </c>
      <c r="M33" s="39">
        <f>+FACTURACION!AF33</f>
        <v>0</v>
      </c>
      <c r="N33" s="39">
        <f>+FACTURACION!AB33</f>
        <v>0</v>
      </c>
      <c r="O33" s="39">
        <v>0</v>
      </c>
      <c r="P33" s="39">
        <f>+FACTURACION!Z33</f>
        <v>0</v>
      </c>
      <c r="Q33" s="39">
        <f>+FACTURACION!X33</f>
        <v>45.13</v>
      </c>
      <c r="R33" s="39">
        <f>+FACTURACION!AD30</f>
        <v>0</v>
      </c>
      <c r="S33" s="39">
        <f t="shared" si="3"/>
        <v>2255.0500000000002</v>
      </c>
      <c r="T33" s="39">
        <f t="shared" si="4"/>
        <v>10145</v>
      </c>
      <c r="V33" s="51" t="s">
        <v>51</v>
      </c>
      <c r="W33" s="50" t="s">
        <v>52</v>
      </c>
      <c r="X33" s="48">
        <v>166.66666666666666</v>
      </c>
      <c r="Y33" s="244" t="b">
        <f t="shared" si="1"/>
        <v>1</v>
      </c>
      <c r="Z33" s="252">
        <f t="shared" si="5"/>
        <v>0</v>
      </c>
      <c r="AA33" s="245" t="s">
        <v>51</v>
      </c>
      <c r="AB33" s="244" t="s">
        <v>52</v>
      </c>
      <c r="AC33" s="252">
        <v>2500.0500000000002</v>
      </c>
      <c r="AD33" s="252">
        <v>9900</v>
      </c>
      <c r="AE33" s="252">
        <v>12400.05</v>
      </c>
      <c r="AF33" s="252">
        <v>0</v>
      </c>
      <c r="AG33" s="252">
        <v>2147.86</v>
      </c>
      <c r="AH33" s="252">
        <v>62.06</v>
      </c>
      <c r="AI33" s="252">
        <v>0</v>
      </c>
      <c r="AJ33" s="252">
        <v>45.13</v>
      </c>
      <c r="AK33" s="252">
        <v>0</v>
      </c>
      <c r="AL33" s="252">
        <v>0</v>
      </c>
      <c r="AM33" s="252">
        <v>2255.0500000000002</v>
      </c>
      <c r="AN33" s="252">
        <v>10145</v>
      </c>
    </row>
    <row r="34" spans="1:40" ht="15" customHeight="1">
      <c r="A34" s="191" t="s">
        <v>54</v>
      </c>
      <c r="B34" s="186" t="str">
        <f t="shared" si="0"/>
        <v>SI</v>
      </c>
      <c r="C34" s="245" t="s">
        <v>53</v>
      </c>
      <c r="D34" s="17" t="s">
        <v>54</v>
      </c>
      <c r="E34" s="39">
        <v>33000</v>
      </c>
      <c r="F34" s="39">
        <f>+FACTURACION!V34</f>
        <v>0</v>
      </c>
      <c r="G34" s="39">
        <f>+FACTURACION!U34</f>
        <v>0</v>
      </c>
      <c r="H34" s="39">
        <v>0</v>
      </c>
      <c r="I34" s="39">
        <f t="shared" si="2"/>
        <v>33000</v>
      </c>
      <c r="J34" s="39">
        <v>0</v>
      </c>
      <c r="K34" s="39">
        <v>8127.88</v>
      </c>
      <c r="L34" s="39">
        <v>818.51</v>
      </c>
      <c r="M34" s="39">
        <f>+FACTURACION!AF34</f>
        <v>350.5</v>
      </c>
      <c r="N34" s="39">
        <f>+FACTURACION!AB34</f>
        <v>0</v>
      </c>
      <c r="O34" s="262">
        <v>-0.02</v>
      </c>
      <c r="P34" s="39">
        <f>+FACTURACION!Z34</f>
        <v>0</v>
      </c>
      <c r="Q34" s="39">
        <f>+FACTURACION!X34</f>
        <v>45.13</v>
      </c>
      <c r="R34" s="39">
        <f>+FACTURACION!AD31</f>
        <v>0</v>
      </c>
      <c r="S34" s="39">
        <f t="shared" si="3"/>
        <v>9341.9999999999982</v>
      </c>
      <c r="T34" s="39">
        <f t="shared" si="4"/>
        <v>23658</v>
      </c>
      <c r="V34" s="51" t="s">
        <v>53</v>
      </c>
      <c r="W34" s="50" t="s">
        <v>54</v>
      </c>
      <c r="X34" s="234">
        <v>2200</v>
      </c>
      <c r="Y34" s="244" t="b">
        <f t="shared" si="1"/>
        <v>1</v>
      </c>
      <c r="Z34" s="252">
        <f t="shared" si="5"/>
        <v>0</v>
      </c>
      <c r="AA34" s="245" t="s">
        <v>53</v>
      </c>
      <c r="AB34" s="244" t="s">
        <v>54</v>
      </c>
      <c r="AC34" s="252">
        <v>33000</v>
      </c>
      <c r="AD34" s="252">
        <v>0</v>
      </c>
      <c r="AE34" s="252">
        <v>33000</v>
      </c>
      <c r="AF34" s="252">
        <v>0</v>
      </c>
      <c r="AG34" s="252">
        <v>8127.88</v>
      </c>
      <c r="AH34" s="252">
        <v>818.51</v>
      </c>
      <c r="AI34" s="252">
        <v>350.5</v>
      </c>
      <c r="AJ34" s="252">
        <v>45.13</v>
      </c>
      <c r="AK34" s="253">
        <v>-0.02</v>
      </c>
      <c r="AL34" s="252">
        <v>0</v>
      </c>
      <c r="AM34" s="252">
        <v>9342</v>
      </c>
      <c r="AN34" s="252">
        <v>23658</v>
      </c>
    </row>
    <row r="35" spans="1:40" ht="15" customHeight="1">
      <c r="A35" s="191" t="s">
        <v>56</v>
      </c>
      <c r="B35" s="186" t="str">
        <f t="shared" si="0"/>
        <v>SI</v>
      </c>
      <c r="C35" s="245" t="s">
        <v>55</v>
      </c>
      <c r="D35" s="17" t="s">
        <v>56</v>
      </c>
      <c r="E35" s="39">
        <v>7500</v>
      </c>
      <c r="F35" s="39">
        <f>+FACTURACION!V35</f>
        <v>0</v>
      </c>
      <c r="G35" s="39">
        <f>+FACTURACION!U35</f>
        <v>20735.77</v>
      </c>
      <c r="H35" s="39">
        <v>0</v>
      </c>
      <c r="I35" s="39">
        <f t="shared" si="2"/>
        <v>28235.77</v>
      </c>
      <c r="J35" s="39">
        <v>0</v>
      </c>
      <c r="K35" s="39">
        <v>6655.38</v>
      </c>
      <c r="L35" s="39">
        <v>204.26</v>
      </c>
      <c r="M35" s="39">
        <f>+FACTURACION!AF35</f>
        <v>1354.19</v>
      </c>
      <c r="N35" s="39">
        <f>+FACTURACION!AB35</f>
        <v>0</v>
      </c>
      <c r="O35" s="39">
        <v>0.01</v>
      </c>
      <c r="P35" s="39">
        <f>+FACTURACION!Z35</f>
        <v>0</v>
      </c>
      <c r="Q35" s="39">
        <f>+FACTURACION!X35</f>
        <v>45.13</v>
      </c>
      <c r="R35" s="39">
        <f>+FACTURACION!AD32</f>
        <v>0</v>
      </c>
      <c r="S35" s="39">
        <f t="shared" si="3"/>
        <v>8258.9699999999993</v>
      </c>
      <c r="T35" s="39">
        <f t="shared" si="4"/>
        <v>19976.800000000003</v>
      </c>
      <c r="V35" s="51" t="s">
        <v>55</v>
      </c>
      <c r="W35" s="50" t="s">
        <v>56</v>
      </c>
      <c r="X35" s="48">
        <v>500</v>
      </c>
      <c r="Y35" s="244" t="b">
        <f t="shared" si="1"/>
        <v>1</v>
      </c>
      <c r="Z35" s="252">
        <f t="shared" si="5"/>
        <v>0</v>
      </c>
      <c r="AA35" s="245" t="s">
        <v>55</v>
      </c>
      <c r="AB35" s="244" t="s">
        <v>56</v>
      </c>
      <c r="AC35" s="252">
        <v>7500</v>
      </c>
      <c r="AD35" s="252">
        <v>20735.77</v>
      </c>
      <c r="AE35" s="252">
        <v>28235.77</v>
      </c>
      <c r="AF35" s="252">
        <v>0</v>
      </c>
      <c r="AG35" s="252">
        <v>6655.38</v>
      </c>
      <c r="AH35" s="252">
        <v>204.26</v>
      </c>
      <c r="AI35" s="252">
        <v>1354.19</v>
      </c>
      <c r="AJ35" s="252">
        <v>45.13</v>
      </c>
      <c r="AK35" s="252">
        <v>0.01</v>
      </c>
      <c r="AL35" s="252">
        <v>0</v>
      </c>
      <c r="AM35" s="252">
        <v>8258.9699999999993</v>
      </c>
      <c r="AN35" s="252">
        <v>19976.8</v>
      </c>
    </row>
    <row r="36" spans="1:40" s="191" customFormat="1" ht="15" customHeight="1">
      <c r="A36" s="26" t="s">
        <v>352</v>
      </c>
      <c r="B36" s="191" t="str">
        <f t="shared" ref="B36:B76" si="6">IF(A36=D36,"SI","NO")</f>
        <v>SI</v>
      </c>
      <c r="C36" s="245" t="s">
        <v>361</v>
      </c>
      <c r="D36" s="26" t="s">
        <v>352</v>
      </c>
      <c r="E36" s="39">
        <v>2566.63</v>
      </c>
      <c r="F36" s="39">
        <f>+FACTURACION!V36</f>
        <v>0</v>
      </c>
      <c r="G36" s="39">
        <f>+FACTURACION!U36</f>
        <v>466.66</v>
      </c>
      <c r="H36" s="39"/>
      <c r="I36" s="39">
        <f t="shared" si="2"/>
        <v>3033.29</v>
      </c>
      <c r="J36" s="39">
        <v>0</v>
      </c>
      <c r="K36" s="39">
        <v>80.61</v>
      </c>
      <c r="L36" s="39">
        <v>63.89</v>
      </c>
      <c r="M36" s="39">
        <f>+FACTURACION!AF36</f>
        <v>0</v>
      </c>
      <c r="N36" s="39">
        <f>+FACTURACION!AB36</f>
        <v>0</v>
      </c>
      <c r="O36" s="39">
        <v>0.06</v>
      </c>
      <c r="P36" s="39">
        <f>+FACTURACION!Z36</f>
        <v>0</v>
      </c>
      <c r="Q36" s="39">
        <f>+FACTURACION!X36</f>
        <v>45.13</v>
      </c>
      <c r="R36" s="39"/>
      <c r="S36" s="39">
        <f t="shared" si="3"/>
        <v>189.69</v>
      </c>
      <c r="T36" s="39">
        <f t="shared" si="4"/>
        <v>2843.6</v>
      </c>
      <c r="V36" s="192"/>
      <c r="X36" s="48">
        <v>171.1</v>
      </c>
      <c r="Y36" s="244" t="b">
        <f t="shared" si="1"/>
        <v>1</v>
      </c>
      <c r="Z36" s="252">
        <f t="shared" si="5"/>
        <v>0</v>
      </c>
      <c r="AA36" s="245" t="s">
        <v>361</v>
      </c>
      <c r="AB36" s="244" t="s">
        <v>367</v>
      </c>
      <c r="AC36" s="252">
        <v>2566.63</v>
      </c>
      <c r="AD36" s="252">
        <v>0</v>
      </c>
      <c r="AE36" s="252">
        <v>2566.63</v>
      </c>
      <c r="AF36" s="252">
        <v>0</v>
      </c>
      <c r="AG36" s="252">
        <v>14.91</v>
      </c>
      <c r="AH36" s="252">
        <v>63.89</v>
      </c>
      <c r="AI36" s="252">
        <v>0</v>
      </c>
      <c r="AJ36" s="252">
        <v>0</v>
      </c>
      <c r="AK36" s="252">
        <v>0.03</v>
      </c>
      <c r="AL36" s="252">
        <v>0</v>
      </c>
      <c r="AM36" s="252">
        <v>78.83</v>
      </c>
      <c r="AN36" s="252">
        <v>2843.6</v>
      </c>
    </row>
    <row r="37" spans="1:40" ht="15" customHeight="1">
      <c r="A37" s="191" t="s">
        <v>58</v>
      </c>
      <c r="B37" s="191" t="str">
        <f t="shared" si="6"/>
        <v>SI</v>
      </c>
      <c r="C37" s="245" t="s">
        <v>57</v>
      </c>
      <c r="D37" s="17" t="s">
        <v>58</v>
      </c>
      <c r="E37" s="39">
        <v>3750</v>
      </c>
      <c r="F37" s="39">
        <f>+FACTURACION!V37</f>
        <v>0</v>
      </c>
      <c r="G37" s="39">
        <f>+FACTURACION!U37</f>
        <v>0</v>
      </c>
      <c r="H37" s="39">
        <v>0</v>
      </c>
      <c r="I37" s="39">
        <f t="shared" si="2"/>
        <v>3750</v>
      </c>
      <c r="J37" s="39">
        <v>0</v>
      </c>
      <c r="K37" s="39">
        <v>309.02999999999997</v>
      </c>
      <c r="L37" s="39">
        <v>94.5</v>
      </c>
      <c r="M37" s="39">
        <f>+FACTURACION!AF37</f>
        <v>0</v>
      </c>
      <c r="N37" s="39">
        <f>+FACTURACION!AB37</f>
        <v>0</v>
      </c>
      <c r="O37" s="262">
        <v>-0.06</v>
      </c>
      <c r="P37" s="39">
        <f>+FACTURACION!Z37</f>
        <v>0</v>
      </c>
      <c r="Q37" s="39">
        <f>+FACTURACION!X37</f>
        <v>45.13</v>
      </c>
      <c r="R37" s="39">
        <f>+FACTURACION!AD33</f>
        <v>0</v>
      </c>
      <c r="S37" s="39">
        <f t="shared" si="3"/>
        <v>448.59999999999997</v>
      </c>
      <c r="T37" s="39">
        <f t="shared" si="4"/>
        <v>3301.4</v>
      </c>
      <c r="V37" s="51" t="s">
        <v>57</v>
      </c>
      <c r="W37" s="50" t="s">
        <v>58</v>
      </c>
      <c r="X37" s="48">
        <v>250</v>
      </c>
      <c r="Y37" s="244" t="b">
        <f t="shared" si="1"/>
        <v>1</v>
      </c>
      <c r="Z37" s="252">
        <f t="shared" si="5"/>
        <v>0</v>
      </c>
      <c r="AA37" s="245" t="s">
        <v>57</v>
      </c>
      <c r="AB37" s="244" t="s">
        <v>58</v>
      </c>
      <c r="AC37" s="252">
        <v>3750</v>
      </c>
      <c r="AD37" s="252">
        <v>0</v>
      </c>
      <c r="AE37" s="252">
        <v>3750</v>
      </c>
      <c r="AF37" s="252">
        <v>0</v>
      </c>
      <c r="AG37" s="252">
        <v>309.02999999999997</v>
      </c>
      <c r="AH37" s="252">
        <v>94.5</v>
      </c>
      <c r="AI37" s="252">
        <v>0</v>
      </c>
      <c r="AJ37" s="252">
        <v>45.13</v>
      </c>
      <c r="AK37" s="253">
        <v>-0.06</v>
      </c>
      <c r="AL37" s="252">
        <v>0</v>
      </c>
      <c r="AM37" s="252">
        <v>448.6</v>
      </c>
      <c r="AN37" s="252">
        <v>3301.4</v>
      </c>
    </row>
    <row r="38" spans="1:40" ht="15" customHeight="1">
      <c r="A38" s="231" t="s">
        <v>111</v>
      </c>
      <c r="B38" s="191" t="str">
        <f t="shared" si="6"/>
        <v>SI</v>
      </c>
      <c r="C38" s="245" t="s">
        <v>110</v>
      </c>
      <c r="D38" s="191" t="s">
        <v>111</v>
      </c>
      <c r="E38" s="39">
        <v>1200.5999999999999</v>
      </c>
      <c r="F38" s="39">
        <f>+FACTURACION!V38</f>
        <v>0</v>
      </c>
      <c r="G38" s="39">
        <f>+FACTURACION!U38</f>
        <v>3537.1</v>
      </c>
      <c r="H38" s="39">
        <v>0</v>
      </c>
      <c r="I38" s="39">
        <f t="shared" si="2"/>
        <v>4737.7</v>
      </c>
      <c r="J38" s="39">
        <v>0</v>
      </c>
      <c r="K38" s="39">
        <v>476.54</v>
      </c>
      <c r="L38" s="39">
        <v>119.73</v>
      </c>
      <c r="M38" s="39">
        <f>+FACTURACION!AF38</f>
        <v>0</v>
      </c>
      <c r="N38" s="39">
        <f>+FACTURACION!AB38</f>
        <v>0</v>
      </c>
      <c r="O38" s="262">
        <v>-0.1</v>
      </c>
      <c r="P38" s="39">
        <f>+FACTURACION!Z38</f>
        <v>1500</v>
      </c>
      <c r="Q38" s="39">
        <f>+FACTURACION!X38</f>
        <v>45.13</v>
      </c>
      <c r="R38" s="39">
        <f>+FACTURACION!AD66</f>
        <v>0</v>
      </c>
      <c r="S38" s="39">
        <f t="shared" si="3"/>
        <v>2141.3000000000002</v>
      </c>
      <c r="T38" s="39">
        <f t="shared" si="4"/>
        <v>2596.3999999999996</v>
      </c>
      <c r="V38" s="51" t="s">
        <v>110</v>
      </c>
      <c r="W38" s="50" t="s">
        <v>111</v>
      </c>
      <c r="X38" s="48">
        <v>80.040000000000006</v>
      </c>
      <c r="Y38" s="244" t="b">
        <f t="shared" si="1"/>
        <v>1</v>
      </c>
      <c r="Z38" s="252">
        <f t="shared" si="5"/>
        <v>0</v>
      </c>
      <c r="AA38" s="245" t="s">
        <v>110</v>
      </c>
      <c r="AB38" s="244" t="s">
        <v>111</v>
      </c>
      <c r="AC38" s="252">
        <v>1200.5999999999999</v>
      </c>
      <c r="AD38" s="252">
        <v>3537.1</v>
      </c>
      <c r="AE38" s="252">
        <v>4737.7</v>
      </c>
      <c r="AF38" s="252">
        <v>0</v>
      </c>
      <c r="AG38" s="252">
        <v>476.54</v>
      </c>
      <c r="AH38" s="252">
        <v>119.73</v>
      </c>
      <c r="AI38" s="252">
        <v>0</v>
      </c>
      <c r="AJ38" s="252">
        <v>45.13</v>
      </c>
      <c r="AK38" s="253">
        <v>-0.1</v>
      </c>
      <c r="AL38" s="252">
        <v>1500</v>
      </c>
      <c r="AM38" s="252">
        <v>2141.3000000000002</v>
      </c>
      <c r="AN38" s="252">
        <v>2596.4</v>
      </c>
    </row>
    <row r="39" spans="1:40" ht="15" customHeight="1">
      <c r="A39" s="231" t="s">
        <v>113</v>
      </c>
      <c r="B39" s="191" t="str">
        <f t="shared" si="6"/>
        <v>SI</v>
      </c>
      <c r="C39" s="245" t="s">
        <v>112</v>
      </c>
      <c r="D39" s="191" t="s">
        <v>113</v>
      </c>
      <c r="E39" s="39">
        <v>1200.5999999999999</v>
      </c>
      <c r="F39" s="39">
        <f>+FACTURACION!V39</f>
        <v>0</v>
      </c>
      <c r="G39" s="39">
        <f>+FACTURACION!U39</f>
        <v>2334.7199999999998</v>
      </c>
      <c r="H39" s="39">
        <v>0</v>
      </c>
      <c r="I39" s="39">
        <f t="shared" si="2"/>
        <v>3535.3199999999997</v>
      </c>
      <c r="J39" s="39">
        <v>0</v>
      </c>
      <c r="K39" s="39">
        <v>173.23</v>
      </c>
      <c r="L39" s="39">
        <v>76.45</v>
      </c>
      <c r="M39" s="39">
        <f>+FACTURACION!AF39</f>
        <v>0</v>
      </c>
      <c r="N39" s="39">
        <f>+FACTURACION!AB39</f>
        <v>0</v>
      </c>
      <c r="O39" s="262">
        <v>-0.09</v>
      </c>
      <c r="P39" s="39">
        <f>+FACTURACION!Z39</f>
        <v>0</v>
      </c>
      <c r="Q39" s="39">
        <f>+FACTURACION!X39</f>
        <v>45.13</v>
      </c>
      <c r="R39" s="39">
        <f>+FACTURACION!AD67</f>
        <v>0</v>
      </c>
      <c r="S39" s="39">
        <f t="shared" si="3"/>
        <v>294.72000000000003</v>
      </c>
      <c r="T39" s="39">
        <f t="shared" si="4"/>
        <v>3240.5999999999995</v>
      </c>
      <c r="V39" s="62" t="s">
        <v>112</v>
      </c>
      <c r="W39" s="191" t="s">
        <v>113</v>
      </c>
      <c r="X39" s="48">
        <v>80.040000000000006</v>
      </c>
      <c r="Y39" s="244" t="b">
        <f t="shared" si="1"/>
        <v>1</v>
      </c>
      <c r="Z39" s="252">
        <f t="shared" si="5"/>
        <v>0</v>
      </c>
      <c r="AA39" s="245" t="s">
        <v>112</v>
      </c>
      <c r="AB39" s="244" t="s">
        <v>113</v>
      </c>
      <c r="AC39" s="252">
        <v>1200.5999999999999</v>
      </c>
      <c r="AD39" s="252">
        <v>2334.7199999999998</v>
      </c>
      <c r="AE39" s="252">
        <v>3535.32</v>
      </c>
      <c r="AF39" s="252">
        <v>0</v>
      </c>
      <c r="AG39" s="252">
        <v>173.23</v>
      </c>
      <c r="AH39" s="252">
        <v>76.45</v>
      </c>
      <c r="AI39" s="252">
        <v>0</v>
      </c>
      <c r="AJ39" s="252">
        <v>45.13</v>
      </c>
      <c r="AK39" s="253">
        <v>-0.09</v>
      </c>
      <c r="AL39" s="252">
        <v>0</v>
      </c>
      <c r="AM39" s="252">
        <v>294.72000000000003</v>
      </c>
      <c r="AN39" s="252">
        <v>3240.6</v>
      </c>
    </row>
    <row r="40" spans="1:40" ht="15" customHeight="1">
      <c r="A40" s="191" t="s">
        <v>304</v>
      </c>
      <c r="B40" s="191" t="str">
        <f t="shared" si="6"/>
        <v>NO</v>
      </c>
      <c r="C40" s="245" t="s">
        <v>59</v>
      </c>
      <c r="D40" s="17" t="s">
        <v>60</v>
      </c>
      <c r="E40" s="39">
        <v>2333.38</v>
      </c>
      <c r="F40" s="39">
        <f>+FACTURACION!V40</f>
        <v>0</v>
      </c>
      <c r="G40" s="39">
        <f>+FACTURACION!U40</f>
        <v>3960</v>
      </c>
      <c r="H40" s="39">
        <v>0</v>
      </c>
      <c r="I40" s="39">
        <f t="shared" si="2"/>
        <v>6293.38</v>
      </c>
      <c r="J40" s="39">
        <v>0</v>
      </c>
      <c r="K40" s="39">
        <v>797</v>
      </c>
      <c r="L40" s="39">
        <v>59.01</v>
      </c>
      <c r="M40" s="39">
        <f>+FACTURACION!AF40</f>
        <v>0</v>
      </c>
      <c r="N40" s="39">
        <f>+FACTURACION!AB40</f>
        <v>0</v>
      </c>
      <c r="O40" s="262">
        <v>-0.16</v>
      </c>
      <c r="P40" s="39">
        <f>+FACTURACION!Z40</f>
        <v>0</v>
      </c>
      <c r="Q40" s="39">
        <f>+FACTURACION!X40</f>
        <v>45.13</v>
      </c>
      <c r="R40" s="39">
        <f>+FACTURACION!AD34</f>
        <v>0</v>
      </c>
      <c r="S40" s="39">
        <f t="shared" si="3"/>
        <v>900.98</v>
      </c>
      <c r="T40" s="39">
        <f t="shared" si="4"/>
        <v>5392.4</v>
      </c>
      <c r="U40" s="64"/>
      <c r="V40" s="183" t="s">
        <v>59</v>
      </c>
      <c r="W40" s="182" t="s">
        <v>60</v>
      </c>
      <c r="X40" s="48">
        <v>166.66666666666666</v>
      </c>
      <c r="Y40" s="244" t="b">
        <f t="shared" si="1"/>
        <v>1</v>
      </c>
      <c r="Z40" s="252">
        <f t="shared" si="5"/>
        <v>0</v>
      </c>
      <c r="AA40" s="245" t="s">
        <v>59</v>
      </c>
      <c r="AB40" s="244" t="s">
        <v>60</v>
      </c>
      <c r="AC40" s="252">
        <v>2333.38</v>
      </c>
      <c r="AD40" s="252">
        <v>3960</v>
      </c>
      <c r="AE40" s="252">
        <v>6293.38</v>
      </c>
      <c r="AF40" s="252">
        <v>0</v>
      </c>
      <c r="AG40" s="252">
        <v>797</v>
      </c>
      <c r="AH40" s="252">
        <v>59.01</v>
      </c>
      <c r="AI40" s="252">
        <v>0</v>
      </c>
      <c r="AJ40" s="252">
        <v>45.13</v>
      </c>
      <c r="AK40" s="253">
        <v>-0.16</v>
      </c>
      <c r="AL40" s="252">
        <v>0</v>
      </c>
      <c r="AM40" s="252">
        <v>900.98</v>
      </c>
      <c r="AN40" s="252">
        <v>5392.4</v>
      </c>
    </row>
    <row r="41" spans="1:40" ht="15" customHeight="1">
      <c r="A41" s="191" t="s">
        <v>62</v>
      </c>
      <c r="B41" s="191" t="str">
        <f t="shared" si="6"/>
        <v>SI</v>
      </c>
      <c r="C41" s="245" t="s">
        <v>61</v>
      </c>
      <c r="D41" s="17" t="s">
        <v>62</v>
      </c>
      <c r="E41" s="39">
        <v>3266.62</v>
      </c>
      <c r="F41" s="39">
        <f>+FACTURACION!V41</f>
        <v>0</v>
      </c>
      <c r="G41" s="39">
        <f>+FACTURACION!U41</f>
        <v>0</v>
      </c>
      <c r="H41" s="39">
        <v>0</v>
      </c>
      <c r="I41" s="39">
        <f t="shared" si="2"/>
        <v>3266.62</v>
      </c>
      <c r="J41" s="39">
        <v>0</v>
      </c>
      <c r="K41" s="39">
        <v>126.27</v>
      </c>
      <c r="L41" s="39">
        <v>82.85</v>
      </c>
      <c r="M41" s="39">
        <f>+FACTURACION!AF41</f>
        <v>1045.17</v>
      </c>
      <c r="N41" s="39">
        <f>+FACTURACION!AB41</f>
        <v>0</v>
      </c>
      <c r="O41" s="39">
        <v>0</v>
      </c>
      <c r="P41" s="39">
        <f>+FACTURACION!Z41</f>
        <v>0</v>
      </c>
      <c r="Q41" s="39">
        <f>+FACTURACION!X41</f>
        <v>45.13</v>
      </c>
      <c r="R41" s="39">
        <f>+FACTURACION!AD35</f>
        <v>0</v>
      </c>
      <c r="S41" s="39">
        <f t="shared" si="3"/>
        <v>1299.42</v>
      </c>
      <c r="T41" s="39">
        <f t="shared" si="4"/>
        <v>1967.1999999999998</v>
      </c>
      <c r="V41" s="51" t="s">
        <v>61</v>
      </c>
      <c r="W41" s="50" t="s">
        <v>62</v>
      </c>
      <c r="X41" s="48">
        <v>233.33333333333334</v>
      </c>
      <c r="Y41" s="244" t="b">
        <f t="shared" si="1"/>
        <v>1</v>
      </c>
      <c r="Z41" s="252">
        <f t="shared" si="5"/>
        <v>0</v>
      </c>
      <c r="AA41" s="245" t="s">
        <v>61</v>
      </c>
      <c r="AB41" s="244" t="s">
        <v>62</v>
      </c>
      <c r="AC41" s="252">
        <v>3266.62</v>
      </c>
      <c r="AD41" s="252">
        <v>0</v>
      </c>
      <c r="AE41" s="252">
        <v>3266.62</v>
      </c>
      <c r="AF41" s="252">
        <v>0</v>
      </c>
      <c r="AG41" s="252">
        <v>126.27</v>
      </c>
      <c r="AH41" s="252">
        <v>82.85</v>
      </c>
      <c r="AI41" s="252">
        <v>1045.17</v>
      </c>
      <c r="AJ41" s="252">
        <v>45.13</v>
      </c>
      <c r="AK41" s="252">
        <v>0</v>
      </c>
      <c r="AL41" s="252">
        <v>0</v>
      </c>
      <c r="AM41" s="252">
        <v>1299.42</v>
      </c>
      <c r="AN41" s="252">
        <v>1967.2</v>
      </c>
    </row>
    <row r="42" spans="1:40" ht="15" customHeight="1">
      <c r="A42" s="231" t="s">
        <v>115</v>
      </c>
      <c r="B42" s="191" t="str">
        <f t="shared" si="6"/>
        <v>SI</v>
      </c>
      <c r="C42" s="245" t="s">
        <v>114</v>
      </c>
      <c r="D42" s="191" t="s">
        <v>115</v>
      </c>
      <c r="E42" s="39">
        <v>1200.5999999999999</v>
      </c>
      <c r="F42" s="39">
        <f>+FACTURACION!V42</f>
        <v>0</v>
      </c>
      <c r="G42" s="39">
        <f>+FACTURACION!U42</f>
        <v>9900</v>
      </c>
      <c r="H42" s="39">
        <v>0</v>
      </c>
      <c r="I42" s="39">
        <f t="shared" si="2"/>
        <v>11100.6</v>
      </c>
      <c r="J42" s="39">
        <v>0</v>
      </c>
      <c r="K42" s="39">
        <v>1842.23</v>
      </c>
      <c r="L42" s="39">
        <v>163.79</v>
      </c>
      <c r="M42" s="39">
        <f>+FACTURACION!AF42</f>
        <v>0</v>
      </c>
      <c r="N42" s="39">
        <f>+FACTURACION!AB42</f>
        <v>0</v>
      </c>
      <c r="O42" s="39">
        <v>0.05</v>
      </c>
      <c r="P42" s="39">
        <f>+FACTURACION!Z42</f>
        <v>0</v>
      </c>
      <c r="Q42" s="39">
        <f>+FACTURACION!X42</f>
        <v>45.13</v>
      </c>
      <c r="R42" s="39">
        <f>+FACTURACION!AD68</f>
        <v>0</v>
      </c>
      <c r="S42" s="39">
        <f t="shared" si="3"/>
        <v>2051.1999999999998</v>
      </c>
      <c r="T42" s="39">
        <f t="shared" si="4"/>
        <v>9049.4000000000015</v>
      </c>
      <c r="V42" s="51" t="s">
        <v>114</v>
      </c>
      <c r="W42" s="50" t="s">
        <v>115</v>
      </c>
      <c r="X42" s="48">
        <v>80.040000000000006</v>
      </c>
      <c r="Y42" s="244" t="b">
        <f t="shared" si="1"/>
        <v>1</v>
      </c>
      <c r="Z42" s="252">
        <f t="shared" si="5"/>
        <v>0</v>
      </c>
      <c r="AA42" s="245" t="s">
        <v>114</v>
      </c>
      <c r="AB42" s="244" t="s">
        <v>115</v>
      </c>
      <c r="AC42" s="252">
        <v>1200.5999999999999</v>
      </c>
      <c r="AD42" s="252">
        <v>9900</v>
      </c>
      <c r="AE42" s="252">
        <v>11100.6</v>
      </c>
      <c r="AF42" s="252">
        <v>0</v>
      </c>
      <c r="AG42" s="252">
        <v>1842.23</v>
      </c>
      <c r="AH42" s="252">
        <v>163.79</v>
      </c>
      <c r="AI42" s="252">
        <v>0</v>
      </c>
      <c r="AJ42" s="252">
        <v>45.13</v>
      </c>
      <c r="AK42" s="252">
        <v>0.05</v>
      </c>
      <c r="AL42" s="252">
        <v>0</v>
      </c>
      <c r="AM42" s="252">
        <v>2051.1999999999998</v>
      </c>
      <c r="AN42" s="252">
        <v>9049.4</v>
      </c>
    </row>
    <row r="43" spans="1:40" ht="15" customHeight="1">
      <c r="A43" s="231" t="s">
        <v>117</v>
      </c>
      <c r="B43" s="191" t="str">
        <f t="shared" si="6"/>
        <v>SI</v>
      </c>
      <c r="C43" s="245" t="s">
        <v>116</v>
      </c>
      <c r="D43" s="191" t="s">
        <v>117</v>
      </c>
      <c r="E43" s="39">
        <v>1200.5999999999999</v>
      </c>
      <c r="F43" s="39">
        <f>+FACTURACION!V43</f>
        <v>0</v>
      </c>
      <c r="G43" s="39">
        <f>+FACTURACION!U43</f>
        <v>6110</v>
      </c>
      <c r="H43" s="39">
        <v>0</v>
      </c>
      <c r="I43" s="39">
        <f t="shared" si="2"/>
        <v>7310.6</v>
      </c>
      <c r="J43" s="39">
        <v>0</v>
      </c>
      <c r="K43" s="39">
        <v>1014.28</v>
      </c>
      <c r="L43" s="39">
        <v>151.25</v>
      </c>
      <c r="M43" s="39">
        <f>+FACTURACION!AF43</f>
        <v>0</v>
      </c>
      <c r="N43" s="39">
        <f>+FACTURACION!AB43</f>
        <v>0</v>
      </c>
      <c r="O43" s="39">
        <v>0.14000000000000001</v>
      </c>
      <c r="P43" s="39">
        <f>+FACTURACION!Z43</f>
        <v>0</v>
      </c>
      <c r="Q43" s="39">
        <f>+FACTURACION!X43</f>
        <v>45.13</v>
      </c>
      <c r="R43" s="39">
        <f>+FACTURACION!AD69</f>
        <v>0</v>
      </c>
      <c r="S43" s="39">
        <f t="shared" si="3"/>
        <v>1210.8000000000002</v>
      </c>
      <c r="T43" s="39">
        <f t="shared" si="4"/>
        <v>6099.8</v>
      </c>
      <c r="V43" s="51" t="s">
        <v>116</v>
      </c>
      <c r="W43" s="50" t="s">
        <v>117</v>
      </c>
      <c r="X43" s="48">
        <v>80.040000000000006</v>
      </c>
      <c r="Y43" s="244" t="b">
        <f t="shared" si="1"/>
        <v>1</v>
      </c>
      <c r="Z43" s="252">
        <f t="shared" si="5"/>
        <v>0</v>
      </c>
      <c r="AA43" s="245" t="s">
        <v>116</v>
      </c>
      <c r="AB43" s="244" t="s">
        <v>117</v>
      </c>
      <c r="AC43" s="252">
        <v>1200.5999999999999</v>
      </c>
      <c r="AD43" s="252">
        <v>6110</v>
      </c>
      <c r="AE43" s="252">
        <v>7310.6</v>
      </c>
      <c r="AF43" s="252">
        <v>0</v>
      </c>
      <c r="AG43" s="252">
        <v>1014.28</v>
      </c>
      <c r="AH43" s="252">
        <v>151.25</v>
      </c>
      <c r="AI43" s="252">
        <v>0</v>
      </c>
      <c r="AJ43" s="252">
        <v>45.13</v>
      </c>
      <c r="AK43" s="252">
        <v>0.14000000000000001</v>
      </c>
      <c r="AL43" s="252">
        <v>0</v>
      </c>
      <c r="AM43" s="252">
        <v>1210.8</v>
      </c>
      <c r="AN43" s="252">
        <v>6099.8</v>
      </c>
    </row>
    <row r="44" spans="1:40" ht="15" customHeight="1">
      <c r="A44" s="191" t="s">
        <v>64</v>
      </c>
      <c r="B44" s="191" t="str">
        <f t="shared" si="6"/>
        <v>SI</v>
      </c>
      <c r="C44" s="245" t="s">
        <v>63</v>
      </c>
      <c r="D44" s="17" t="s">
        <v>64</v>
      </c>
      <c r="E44" s="39">
        <v>3000</v>
      </c>
      <c r="F44" s="39">
        <f>+FACTURACION!V44</f>
        <v>0</v>
      </c>
      <c r="G44" s="39">
        <f>+FACTURACION!U44</f>
        <v>12622.1</v>
      </c>
      <c r="H44" s="39">
        <v>0</v>
      </c>
      <c r="I44" s="39">
        <f t="shared" si="2"/>
        <v>15622.1</v>
      </c>
      <c r="J44" s="39">
        <v>0</v>
      </c>
      <c r="K44" s="39">
        <v>2905.69</v>
      </c>
      <c r="L44" s="39">
        <v>74.48</v>
      </c>
      <c r="M44" s="39">
        <f>+FACTURACION!AF44</f>
        <v>0</v>
      </c>
      <c r="N44" s="39">
        <f>+FACTURACION!AB44</f>
        <v>0</v>
      </c>
      <c r="O44" s="39">
        <v>0</v>
      </c>
      <c r="P44" s="39">
        <f>+FACTURACION!Z44</f>
        <v>0</v>
      </c>
      <c r="Q44" s="39">
        <f>+FACTURACION!X44</f>
        <v>45.13</v>
      </c>
      <c r="R44" s="39">
        <f>+FACTURACION!AD36</f>
        <v>0</v>
      </c>
      <c r="S44" s="39">
        <f t="shared" si="3"/>
        <v>3025.3</v>
      </c>
      <c r="T44" s="39">
        <f t="shared" si="4"/>
        <v>12596.8</v>
      </c>
      <c r="V44" s="51" t="s">
        <v>63</v>
      </c>
      <c r="W44" s="50" t="s">
        <v>64</v>
      </c>
      <c r="X44" s="48">
        <v>200</v>
      </c>
      <c r="Y44" s="244" t="b">
        <f t="shared" ref="Y44:Y76" si="7">D44=AB44</f>
        <v>1</v>
      </c>
      <c r="Z44" s="252">
        <f t="shared" si="5"/>
        <v>0</v>
      </c>
      <c r="AA44" s="245" t="s">
        <v>63</v>
      </c>
      <c r="AB44" s="244" t="s">
        <v>64</v>
      </c>
      <c r="AC44" s="252">
        <v>3000</v>
      </c>
      <c r="AD44" s="252">
        <v>12622.1</v>
      </c>
      <c r="AE44" s="252">
        <v>15622.1</v>
      </c>
      <c r="AF44" s="252">
        <v>0</v>
      </c>
      <c r="AG44" s="252">
        <v>2905.69</v>
      </c>
      <c r="AH44" s="252">
        <v>74.48</v>
      </c>
      <c r="AI44" s="252">
        <v>0</v>
      </c>
      <c r="AJ44" s="252">
        <v>45.13</v>
      </c>
      <c r="AK44" s="252">
        <v>0</v>
      </c>
      <c r="AL44" s="252">
        <v>0</v>
      </c>
      <c r="AM44" s="252">
        <v>3025.3</v>
      </c>
      <c r="AN44" s="252">
        <v>12596.8</v>
      </c>
    </row>
    <row r="45" spans="1:40" ht="15" customHeight="1">
      <c r="A45" s="191" t="s">
        <v>66</v>
      </c>
      <c r="B45" s="191" t="str">
        <f t="shared" si="6"/>
        <v>SI</v>
      </c>
      <c r="C45" s="245" t="s">
        <v>65</v>
      </c>
      <c r="D45" s="17" t="s">
        <v>66</v>
      </c>
      <c r="E45" s="39">
        <v>2250</v>
      </c>
      <c r="F45" s="39">
        <f>+FACTURACION!V45</f>
        <v>0</v>
      </c>
      <c r="G45" s="39">
        <f>+FACTURACION!U45</f>
        <v>2460</v>
      </c>
      <c r="H45" s="39">
        <v>0</v>
      </c>
      <c r="I45" s="39">
        <f t="shared" si="2"/>
        <v>4710</v>
      </c>
      <c r="J45" s="39">
        <v>0</v>
      </c>
      <c r="K45" s="39">
        <v>471.57</v>
      </c>
      <c r="L45" s="39">
        <v>55.93</v>
      </c>
      <c r="M45" s="39">
        <f>+FACTURACION!AF45</f>
        <v>0</v>
      </c>
      <c r="N45" s="39">
        <f>+FACTURACION!AB45</f>
        <v>0</v>
      </c>
      <c r="O45" s="262">
        <v>-0.03</v>
      </c>
      <c r="P45" s="39">
        <f>+FACTURACION!Z45</f>
        <v>0</v>
      </c>
      <c r="Q45" s="39">
        <f>+FACTURACION!X45</f>
        <v>45.13</v>
      </c>
      <c r="R45" s="39">
        <f>+FACTURACION!AD37</f>
        <v>0</v>
      </c>
      <c r="S45" s="39">
        <f t="shared" si="3"/>
        <v>572.6</v>
      </c>
      <c r="T45" s="39">
        <f t="shared" si="4"/>
        <v>4137.3999999999996</v>
      </c>
      <c r="V45" s="51" t="s">
        <v>65</v>
      </c>
      <c r="W45" s="50" t="s">
        <v>66</v>
      </c>
      <c r="X45" s="48">
        <v>150</v>
      </c>
      <c r="Y45" s="244" t="b">
        <f t="shared" si="7"/>
        <v>1</v>
      </c>
      <c r="Z45" s="252">
        <f t="shared" si="5"/>
        <v>0</v>
      </c>
      <c r="AA45" s="245" t="s">
        <v>65</v>
      </c>
      <c r="AB45" s="244" t="s">
        <v>66</v>
      </c>
      <c r="AC45" s="252">
        <v>2250</v>
      </c>
      <c r="AD45" s="252">
        <v>2460</v>
      </c>
      <c r="AE45" s="252">
        <v>4710</v>
      </c>
      <c r="AF45" s="252">
        <v>0</v>
      </c>
      <c r="AG45" s="252">
        <v>471.57</v>
      </c>
      <c r="AH45" s="252">
        <v>55.93</v>
      </c>
      <c r="AI45" s="252">
        <v>0</v>
      </c>
      <c r="AJ45" s="252">
        <v>45.13</v>
      </c>
      <c r="AK45" s="253">
        <v>-0.03</v>
      </c>
      <c r="AL45" s="252">
        <v>0</v>
      </c>
      <c r="AM45" s="252">
        <v>572.6</v>
      </c>
      <c r="AN45" s="252">
        <v>4137.3999999999996</v>
      </c>
    </row>
    <row r="46" spans="1:40" s="54" customFormat="1" ht="15" customHeight="1">
      <c r="A46" s="191" t="s">
        <v>68</v>
      </c>
      <c r="B46" s="191" t="str">
        <f t="shared" si="6"/>
        <v>SI</v>
      </c>
      <c r="C46" s="244"/>
      <c r="D46" s="17" t="s">
        <v>68</v>
      </c>
      <c r="E46" s="39">
        <v>0</v>
      </c>
      <c r="F46" s="39">
        <f>+FACTURACION!V46</f>
        <v>0</v>
      </c>
      <c r="G46" s="39">
        <f>+FACTURACION!U46</f>
        <v>0</v>
      </c>
      <c r="H46" s="39">
        <v>0</v>
      </c>
      <c r="I46" s="39">
        <f t="shared" si="2"/>
        <v>0</v>
      </c>
      <c r="J46" s="39">
        <v>0</v>
      </c>
      <c r="K46" s="39">
        <v>0</v>
      </c>
      <c r="L46" s="39">
        <v>0</v>
      </c>
      <c r="M46" s="39">
        <f>+FACTURACION!AF46</f>
        <v>0</v>
      </c>
      <c r="N46" s="39">
        <f>+FACTURACION!AB46</f>
        <v>0</v>
      </c>
      <c r="O46" s="39">
        <v>0</v>
      </c>
      <c r="P46" s="39">
        <f>+FACTURACION!Z46</f>
        <v>0</v>
      </c>
      <c r="Q46" s="39">
        <f>+FACTURACION!X46</f>
        <v>0</v>
      </c>
      <c r="R46" s="39">
        <f>+FACTURACION!AD38</f>
        <v>0</v>
      </c>
      <c r="S46" s="39">
        <f t="shared" si="3"/>
        <v>0</v>
      </c>
      <c r="T46" s="39">
        <f t="shared" si="4"/>
        <v>0</v>
      </c>
      <c r="U46" s="43" t="s">
        <v>358</v>
      </c>
      <c r="V46" s="51" t="s">
        <v>67</v>
      </c>
      <c r="W46" s="17" t="s">
        <v>68</v>
      </c>
      <c r="X46" s="241" t="s">
        <v>358</v>
      </c>
      <c r="Y46" s="244" t="b">
        <f t="shared" si="7"/>
        <v>0</v>
      </c>
      <c r="Z46" s="252">
        <f t="shared" si="5"/>
        <v>0</v>
      </c>
    </row>
    <row r="47" spans="1:40" ht="15" customHeight="1">
      <c r="A47" s="191" t="s">
        <v>334</v>
      </c>
      <c r="B47" s="191" t="str">
        <f t="shared" si="6"/>
        <v>SI</v>
      </c>
      <c r="C47" s="245" t="s">
        <v>337</v>
      </c>
      <c r="D47" s="17" t="s">
        <v>334</v>
      </c>
      <c r="E47" s="39">
        <v>3250.05</v>
      </c>
      <c r="F47" s="39">
        <f>+FACTURACION!V47</f>
        <v>0</v>
      </c>
      <c r="G47" s="39">
        <f>+FACTURACION!U47</f>
        <v>1299.99</v>
      </c>
      <c r="H47" s="39">
        <v>0</v>
      </c>
      <c r="I47" s="39">
        <f t="shared" si="2"/>
        <v>4550.04</v>
      </c>
      <c r="J47" s="39">
        <v>0</v>
      </c>
      <c r="K47" s="39">
        <v>442.91</v>
      </c>
      <c r="L47" s="39">
        <v>80.680000000000007</v>
      </c>
      <c r="M47" s="39">
        <f>+FACTURACION!AF47</f>
        <v>328.09</v>
      </c>
      <c r="N47" s="39">
        <f>+FACTURACION!AB47</f>
        <v>0</v>
      </c>
      <c r="O47" s="39">
        <v>0.03</v>
      </c>
      <c r="P47" s="39">
        <f>+FACTURACION!Z47</f>
        <v>0</v>
      </c>
      <c r="Q47" s="39">
        <f>+FACTURACION!X47</f>
        <v>45.13</v>
      </c>
      <c r="R47" s="39">
        <f>+FACTURACION!AD39</f>
        <v>0</v>
      </c>
      <c r="S47" s="39">
        <f t="shared" si="3"/>
        <v>896.84</v>
      </c>
      <c r="T47" s="39">
        <f t="shared" si="4"/>
        <v>3653.2</v>
      </c>
      <c r="V47" s="51" t="s">
        <v>337</v>
      </c>
      <c r="W47" s="50" t="s">
        <v>338</v>
      </c>
      <c r="X47" s="48">
        <v>216.66666666666666</v>
      </c>
      <c r="Y47" s="244" t="b">
        <f t="shared" si="7"/>
        <v>1</v>
      </c>
      <c r="Z47" s="252">
        <f t="shared" si="5"/>
        <v>0</v>
      </c>
      <c r="AA47" s="245" t="s">
        <v>337</v>
      </c>
      <c r="AB47" s="244" t="s">
        <v>338</v>
      </c>
      <c r="AC47" s="252">
        <v>3250.05</v>
      </c>
      <c r="AD47" s="252">
        <v>1299.99</v>
      </c>
      <c r="AE47" s="252">
        <v>4550.04</v>
      </c>
      <c r="AF47" s="252">
        <v>0</v>
      </c>
      <c r="AG47" s="252">
        <v>442.91</v>
      </c>
      <c r="AH47" s="252">
        <v>80.680000000000007</v>
      </c>
      <c r="AI47" s="252">
        <v>328.09</v>
      </c>
      <c r="AJ47" s="252">
        <v>45.13</v>
      </c>
      <c r="AK47" s="252">
        <v>0.03</v>
      </c>
      <c r="AL47" s="252">
        <v>0</v>
      </c>
      <c r="AM47" s="252">
        <v>896.84</v>
      </c>
      <c r="AN47" s="252">
        <v>3653.2</v>
      </c>
    </row>
    <row r="48" spans="1:40" ht="15" customHeight="1">
      <c r="A48" s="191" t="s">
        <v>70</v>
      </c>
      <c r="B48" s="191" t="str">
        <f t="shared" si="6"/>
        <v>SI</v>
      </c>
      <c r="C48" s="245" t="s">
        <v>69</v>
      </c>
      <c r="D48" s="17" t="s">
        <v>70</v>
      </c>
      <c r="E48" s="39">
        <v>1750.05</v>
      </c>
      <c r="F48" s="39">
        <f>+FACTURACION!V48</f>
        <v>0</v>
      </c>
      <c r="G48" s="39">
        <f>+FACTURACION!U48</f>
        <v>10475.200000000001</v>
      </c>
      <c r="H48" s="39">
        <v>0</v>
      </c>
      <c r="I48" s="39">
        <f t="shared" si="2"/>
        <v>12225.25</v>
      </c>
      <c r="J48" s="39">
        <v>0</v>
      </c>
      <c r="K48" s="39">
        <v>2106.75</v>
      </c>
      <c r="L48" s="39">
        <v>43.68</v>
      </c>
      <c r="M48" s="39">
        <f>+FACTURACION!AF48</f>
        <v>0</v>
      </c>
      <c r="N48" s="39">
        <f>+FACTURACION!AB48</f>
        <v>0</v>
      </c>
      <c r="O48" s="39">
        <v>0.09</v>
      </c>
      <c r="P48" s="39">
        <f>+FACTURACION!Z48</f>
        <v>0</v>
      </c>
      <c r="Q48" s="39">
        <f>+FACTURACION!X48</f>
        <v>45.13</v>
      </c>
      <c r="R48" s="39">
        <f>+FACTURACION!AD40</f>
        <v>0</v>
      </c>
      <c r="S48" s="39">
        <f t="shared" si="3"/>
        <v>2195.65</v>
      </c>
      <c r="T48" s="39">
        <f t="shared" si="4"/>
        <v>10029.6</v>
      </c>
      <c r="U48" s="54"/>
      <c r="V48" s="62" t="s">
        <v>69</v>
      </c>
      <c r="W48" s="61" t="s">
        <v>70</v>
      </c>
      <c r="X48" s="48">
        <v>116.66666666666667</v>
      </c>
      <c r="Y48" s="244" t="b">
        <f t="shared" si="7"/>
        <v>1</v>
      </c>
      <c r="Z48" s="252">
        <f t="shared" si="5"/>
        <v>0</v>
      </c>
      <c r="AA48" s="245" t="s">
        <v>69</v>
      </c>
      <c r="AB48" s="244" t="s">
        <v>70</v>
      </c>
      <c r="AC48" s="252">
        <v>1750.05</v>
      </c>
      <c r="AD48" s="252">
        <v>10475.200000000001</v>
      </c>
      <c r="AE48" s="252">
        <v>12225.25</v>
      </c>
      <c r="AF48" s="252">
        <v>0</v>
      </c>
      <c r="AG48" s="252">
        <v>2106.75</v>
      </c>
      <c r="AH48" s="252">
        <v>43.68</v>
      </c>
      <c r="AI48" s="252">
        <v>0</v>
      </c>
      <c r="AJ48" s="252">
        <v>45.13</v>
      </c>
      <c r="AK48" s="252">
        <v>0.09</v>
      </c>
      <c r="AL48" s="252">
        <v>0</v>
      </c>
      <c r="AM48" s="252">
        <v>2195.65</v>
      </c>
      <c r="AN48" s="252">
        <v>10029.6</v>
      </c>
    </row>
    <row r="49" spans="1:40" ht="15" customHeight="1">
      <c r="A49" s="191" t="s">
        <v>72</v>
      </c>
      <c r="B49" s="191" t="str">
        <f t="shared" si="6"/>
        <v>SI</v>
      </c>
      <c r="C49" s="244"/>
      <c r="D49" s="17" t="s">
        <v>72</v>
      </c>
      <c r="E49" s="39">
        <v>0</v>
      </c>
      <c r="F49" s="39">
        <f>+FACTURACION!V49</f>
        <v>0</v>
      </c>
      <c r="G49" s="39">
        <f>+FACTURACION!U49</f>
        <v>0</v>
      </c>
      <c r="H49" s="39">
        <v>0</v>
      </c>
      <c r="I49" s="39">
        <f t="shared" si="2"/>
        <v>0</v>
      </c>
      <c r="J49" s="39">
        <v>0</v>
      </c>
      <c r="K49" s="39">
        <v>0</v>
      </c>
      <c r="L49" s="39">
        <v>0</v>
      </c>
      <c r="M49" s="39">
        <f>+FACTURACION!AF49</f>
        <v>0</v>
      </c>
      <c r="N49" s="39">
        <f>+FACTURACION!AB49</f>
        <v>0</v>
      </c>
      <c r="O49" s="39">
        <v>0</v>
      </c>
      <c r="P49" s="39">
        <f>+FACTURACION!Z49</f>
        <v>0</v>
      </c>
      <c r="Q49" s="39">
        <f>+FACTURACION!X49</f>
        <v>0</v>
      </c>
      <c r="R49" s="39">
        <f>+FACTURACION!AD41</f>
        <v>0</v>
      </c>
      <c r="S49" s="39">
        <f t="shared" si="3"/>
        <v>0</v>
      </c>
      <c r="T49" s="39">
        <f t="shared" si="4"/>
        <v>0</v>
      </c>
      <c r="U49" s="43" t="s">
        <v>358</v>
      </c>
      <c r="V49" s="51" t="s">
        <v>71</v>
      </c>
      <c r="W49" s="50" t="s">
        <v>72</v>
      </c>
      <c r="X49" s="241" t="s">
        <v>358</v>
      </c>
      <c r="Y49" s="244" t="b">
        <f t="shared" si="7"/>
        <v>0</v>
      </c>
      <c r="Z49" s="252">
        <f t="shared" si="5"/>
        <v>0</v>
      </c>
    </row>
    <row r="50" spans="1:40" ht="15" customHeight="1">
      <c r="A50" s="191" t="s">
        <v>74</v>
      </c>
      <c r="B50" s="191" t="str">
        <f t="shared" si="6"/>
        <v>SI</v>
      </c>
      <c r="C50" s="245" t="s">
        <v>73</v>
      </c>
      <c r="D50" s="17" t="s">
        <v>74</v>
      </c>
      <c r="E50" s="39">
        <v>2750.1</v>
      </c>
      <c r="F50" s="39">
        <f>+FACTURACION!V50</f>
        <v>0</v>
      </c>
      <c r="G50" s="39">
        <f>+FACTURACION!U50</f>
        <v>12357.51</v>
      </c>
      <c r="H50" s="39">
        <v>0</v>
      </c>
      <c r="I50" s="39">
        <f t="shared" si="2"/>
        <v>15107.61</v>
      </c>
      <c r="J50" s="39">
        <v>0</v>
      </c>
      <c r="K50" s="39">
        <v>2784.68</v>
      </c>
      <c r="L50" s="39">
        <v>68.36</v>
      </c>
      <c r="M50" s="39">
        <f>+FACTURACION!AF50</f>
        <v>0</v>
      </c>
      <c r="N50" s="39">
        <f>+FACTURACION!AB50</f>
        <v>0</v>
      </c>
      <c r="O50" s="39">
        <v>0.04</v>
      </c>
      <c r="P50" s="39">
        <f>+FACTURACION!Z50</f>
        <v>0</v>
      </c>
      <c r="Q50" s="39">
        <f>+FACTURACION!X50</f>
        <v>45.13</v>
      </c>
      <c r="R50" s="39">
        <f>+FACTURACION!AD42</f>
        <v>0</v>
      </c>
      <c r="S50" s="39">
        <f t="shared" si="3"/>
        <v>2898.21</v>
      </c>
      <c r="T50" s="39">
        <f t="shared" si="4"/>
        <v>12209.400000000001</v>
      </c>
      <c r="V50" s="51" t="s">
        <v>73</v>
      </c>
      <c r="W50" s="50" t="s">
        <v>74</v>
      </c>
      <c r="X50" s="48">
        <v>183.33333333333334</v>
      </c>
      <c r="Y50" s="244" t="b">
        <f t="shared" si="7"/>
        <v>1</v>
      </c>
      <c r="Z50" s="252">
        <f t="shared" si="5"/>
        <v>0</v>
      </c>
      <c r="AA50" s="245" t="s">
        <v>73</v>
      </c>
      <c r="AB50" s="244" t="s">
        <v>74</v>
      </c>
      <c r="AC50" s="252">
        <v>2750.1</v>
      </c>
      <c r="AD50" s="252">
        <v>12357.51</v>
      </c>
      <c r="AE50" s="252">
        <v>15107.61</v>
      </c>
      <c r="AF50" s="252">
        <v>0</v>
      </c>
      <c r="AG50" s="252">
        <v>2784.68</v>
      </c>
      <c r="AH50" s="252">
        <v>68.36</v>
      </c>
      <c r="AI50" s="252">
        <v>0</v>
      </c>
      <c r="AJ50" s="252">
        <v>45.13</v>
      </c>
      <c r="AK50" s="252">
        <v>0.04</v>
      </c>
      <c r="AL50" s="252">
        <v>0</v>
      </c>
      <c r="AM50" s="252">
        <v>2898.21</v>
      </c>
      <c r="AN50" s="252">
        <v>12209.4</v>
      </c>
    </row>
    <row r="51" spans="1:40" ht="15" customHeight="1">
      <c r="A51" s="191" t="s">
        <v>76</v>
      </c>
      <c r="B51" s="191" t="str">
        <f t="shared" si="6"/>
        <v>SI</v>
      </c>
      <c r="C51" s="245" t="s">
        <v>75</v>
      </c>
      <c r="D51" s="17" t="s">
        <v>76</v>
      </c>
      <c r="E51" s="39">
        <v>3750</v>
      </c>
      <c r="F51" s="39">
        <f>+FACTURACION!V51</f>
        <v>0</v>
      </c>
      <c r="G51" s="39">
        <f>+FACTURACION!U51</f>
        <v>38088.78</v>
      </c>
      <c r="H51" s="39">
        <v>0</v>
      </c>
      <c r="I51" s="39">
        <f t="shared" si="2"/>
        <v>41838.78</v>
      </c>
      <c r="J51" s="39">
        <v>0</v>
      </c>
      <c r="K51" s="39">
        <v>10970.7</v>
      </c>
      <c r="L51" s="39">
        <v>95.06</v>
      </c>
      <c r="M51" s="39">
        <f>+FACTURACION!AF51</f>
        <v>386.98</v>
      </c>
      <c r="N51" s="39">
        <f>+FACTURACION!AB51</f>
        <v>0</v>
      </c>
      <c r="O51" s="39">
        <v>0.11</v>
      </c>
      <c r="P51" s="39">
        <f>+FACTURACION!Z51</f>
        <v>0</v>
      </c>
      <c r="Q51" s="39">
        <f>+FACTURACION!X51</f>
        <v>45.13</v>
      </c>
      <c r="R51" s="39">
        <f>+FACTURACION!AD43</f>
        <v>0</v>
      </c>
      <c r="S51" s="39">
        <f t="shared" si="3"/>
        <v>11497.98</v>
      </c>
      <c r="T51" s="39">
        <f t="shared" si="4"/>
        <v>30340.799999999999</v>
      </c>
      <c r="V51" s="51" t="s">
        <v>75</v>
      </c>
      <c r="W51" s="50" t="s">
        <v>76</v>
      </c>
      <c r="X51" s="48">
        <v>250</v>
      </c>
      <c r="Y51" s="244" t="b">
        <f t="shared" si="7"/>
        <v>1</v>
      </c>
      <c r="Z51" s="252">
        <f t="shared" si="5"/>
        <v>0</v>
      </c>
      <c r="AA51" s="245" t="s">
        <v>75</v>
      </c>
      <c r="AB51" s="244" t="s">
        <v>76</v>
      </c>
      <c r="AC51" s="252">
        <v>3750</v>
      </c>
      <c r="AD51" s="252">
        <v>38088.78</v>
      </c>
      <c r="AE51" s="252">
        <v>41838.78</v>
      </c>
      <c r="AF51" s="252">
        <v>0</v>
      </c>
      <c r="AG51" s="252">
        <v>10970.7</v>
      </c>
      <c r="AH51" s="252">
        <v>95.06</v>
      </c>
      <c r="AI51" s="252">
        <v>386.98</v>
      </c>
      <c r="AJ51" s="252">
        <v>45.13</v>
      </c>
      <c r="AK51" s="252">
        <v>0.11</v>
      </c>
      <c r="AL51" s="252">
        <v>0</v>
      </c>
      <c r="AM51" s="252">
        <v>11497.98</v>
      </c>
      <c r="AN51" s="252">
        <v>30340.799999999999</v>
      </c>
    </row>
    <row r="52" spans="1:40" ht="15" customHeight="1">
      <c r="A52" s="191" t="s">
        <v>78</v>
      </c>
      <c r="B52" s="191" t="str">
        <f t="shared" si="6"/>
        <v>SI</v>
      </c>
      <c r="C52" s="245" t="s">
        <v>77</v>
      </c>
      <c r="D52" s="17" t="s">
        <v>78</v>
      </c>
      <c r="E52" s="39">
        <v>1866.76</v>
      </c>
      <c r="F52" s="39">
        <f>+FACTURACION!V52</f>
        <v>0</v>
      </c>
      <c r="G52" s="39">
        <f>+FACTURACION!U52</f>
        <v>860</v>
      </c>
      <c r="H52" s="39">
        <v>0</v>
      </c>
      <c r="I52" s="39">
        <f t="shared" si="2"/>
        <v>2726.76</v>
      </c>
      <c r="J52" s="39">
        <v>0</v>
      </c>
      <c r="K52" s="39">
        <v>47.26</v>
      </c>
      <c r="L52" s="39">
        <v>47.51</v>
      </c>
      <c r="M52" s="39">
        <f>+FACTURACION!AF52</f>
        <v>0</v>
      </c>
      <c r="N52" s="39">
        <f>+FACTURACION!AB52</f>
        <v>0</v>
      </c>
      <c r="O52" s="39">
        <v>0.06</v>
      </c>
      <c r="P52" s="39">
        <f>+FACTURACION!Z52</f>
        <v>0</v>
      </c>
      <c r="Q52" s="39">
        <f>+FACTURACION!X52</f>
        <v>45.13</v>
      </c>
      <c r="R52" s="39">
        <f>+FACTURACION!AD44</f>
        <v>0</v>
      </c>
      <c r="S52" s="39">
        <f t="shared" si="3"/>
        <v>139.96</v>
      </c>
      <c r="T52" s="39">
        <f t="shared" si="4"/>
        <v>2586.8000000000002</v>
      </c>
      <c r="V52" s="51" t="s">
        <v>77</v>
      </c>
      <c r="W52" s="50" t="s">
        <v>78</v>
      </c>
      <c r="X52" s="48">
        <v>133.33333333333334</v>
      </c>
      <c r="Y52" s="244" t="b">
        <f t="shared" si="7"/>
        <v>1</v>
      </c>
      <c r="Z52" s="252">
        <f t="shared" si="5"/>
        <v>0</v>
      </c>
      <c r="AA52" s="245" t="s">
        <v>77</v>
      </c>
      <c r="AB52" s="244" t="s">
        <v>78</v>
      </c>
      <c r="AC52" s="252">
        <v>1866.76</v>
      </c>
      <c r="AD52" s="252">
        <v>860</v>
      </c>
      <c r="AE52" s="252">
        <v>2726.76</v>
      </c>
      <c r="AF52" s="252">
        <v>0</v>
      </c>
      <c r="AG52" s="252">
        <v>47.26</v>
      </c>
      <c r="AH52" s="252">
        <v>47.51</v>
      </c>
      <c r="AI52" s="252">
        <v>0</v>
      </c>
      <c r="AJ52" s="252">
        <v>45.13</v>
      </c>
      <c r="AK52" s="252">
        <v>0.06</v>
      </c>
      <c r="AL52" s="252">
        <v>0</v>
      </c>
      <c r="AM52" s="252">
        <v>139.96</v>
      </c>
      <c r="AN52" s="252">
        <v>2586.8000000000002</v>
      </c>
    </row>
    <row r="53" spans="1:40" ht="15" customHeight="1">
      <c r="A53" s="191" t="s">
        <v>305</v>
      </c>
      <c r="B53" s="191" t="str">
        <f t="shared" si="6"/>
        <v>NO</v>
      </c>
      <c r="C53" s="245" t="s">
        <v>79</v>
      </c>
      <c r="D53" s="17" t="s">
        <v>80</v>
      </c>
      <c r="E53" s="39">
        <v>7000.05</v>
      </c>
      <c r="F53" s="39">
        <f>+FACTURACION!V53</f>
        <v>0</v>
      </c>
      <c r="G53" s="39">
        <f>+FACTURACION!U53</f>
        <v>0</v>
      </c>
      <c r="H53" s="39">
        <v>0</v>
      </c>
      <c r="I53" s="39">
        <f t="shared" si="2"/>
        <v>7000.05</v>
      </c>
      <c r="J53" s="39">
        <v>0</v>
      </c>
      <c r="K53" s="39">
        <v>947.95</v>
      </c>
      <c r="L53" s="39">
        <v>188.9</v>
      </c>
      <c r="M53" s="39">
        <f>+FACTURACION!AF53</f>
        <v>0</v>
      </c>
      <c r="N53" s="39">
        <f>+FACTURACION!AB53</f>
        <v>0</v>
      </c>
      <c r="O53" s="262">
        <v>-0.13</v>
      </c>
      <c r="P53" s="39">
        <f>+FACTURACION!Z53</f>
        <v>0</v>
      </c>
      <c r="Q53" s="39">
        <f>+FACTURACION!X53</f>
        <v>45.13</v>
      </c>
      <c r="R53" s="39">
        <f>+FACTURACION!AD45</f>
        <v>0</v>
      </c>
      <c r="S53" s="39">
        <f t="shared" si="3"/>
        <v>1181.8500000000001</v>
      </c>
      <c r="T53" s="39">
        <f t="shared" si="4"/>
        <v>5818.2</v>
      </c>
      <c r="V53" s="51" t="s">
        <v>79</v>
      </c>
      <c r="W53" s="50" t="s">
        <v>80</v>
      </c>
      <c r="X53" s="234">
        <v>466.66666666666669</v>
      </c>
      <c r="Y53" s="244" t="b">
        <f t="shared" si="7"/>
        <v>1</v>
      </c>
      <c r="Z53" s="252">
        <f t="shared" si="5"/>
        <v>0</v>
      </c>
      <c r="AA53" s="245" t="s">
        <v>79</v>
      </c>
      <c r="AB53" s="244" t="s">
        <v>80</v>
      </c>
      <c r="AC53" s="252">
        <v>7000.05</v>
      </c>
      <c r="AD53" s="252">
        <v>0</v>
      </c>
      <c r="AE53" s="252">
        <v>7000.05</v>
      </c>
      <c r="AF53" s="252">
        <v>0</v>
      </c>
      <c r="AG53" s="252">
        <v>947.95</v>
      </c>
      <c r="AH53" s="252">
        <v>188.9</v>
      </c>
      <c r="AI53" s="252">
        <v>0</v>
      </c>
      <c r="AJ53" s="252">
        <v>45.13</v>
      </c>
      <c r="AK53" s="253">
        <v>-0.13</v>
      </c>
      <c r="AL53" s="252">
        <v>0</v>
      </c>
      <c r="AM53" s="252">
        <v>1181.8499999999999</v>
      </c>
      <c r="AN53" s="252">
        <v>5818.2</v>
      </c>
    </row>
    <row r="54" spans="1:40" ht="15" customHeight="1">
      <c r="A54" s="231" t="s">
        <v>119</v>
      </c>
      <c r="B54" s="191" t="str">
        <f t="shared" si="6"/>
        <v>SI</v>
      </c>
      <c r="C54" s="245" t="s">
        <v>118</v>
      </c>
      <c r="D54" s="191" t="s">
        <v>119</v>
      </c>
      <c r="E54" s="39">
        <v>1200.5999999999999</v>
      </c>
      <c r="F54" s="39">
        <f>+FACTURACION!V54</f>
        <v>0</v>
      </c>
      <c r="G54" s="39">
        <f>+FACTURACION!U54</f>
        <v>1800</v>
      </c>
      <c r="H54" s="39">
        <v>0</v>
      </c>
      <c r="I54" s="39">
        <f t="shared" si="2"/>
        <v>3000.6</v>
      </c>
      <c r="J54" s="39">
        <v>0</v>
      </c>
      <c r="K54" s="39">
        <v>77.05</v>
      </c>
      <c r="L54" s="39">
        <v>61.01</v>
      </c>
      <c r="M54" s="39">
        <f>+FACTURACION!AF54</f>
        <v>0</v>
      </c>
      <c r="N54" s="39">
        <f>+FACTURACION!AB54</f>
        <v>0</v>
      </c>
      <c r="O54" s="39">
        <v>0.01</v>
      </c>
      <c r="P54" s="39">
        <f>+FACTURACION!Z54</f>
        <v>0</v>
      </c>
      <c r="Q54" s="39">
        <f>+FACTURACION!X54</f>
        <v>45.13</v>
      </c>
      <c r="R54" s="39">
        <f>+FACTURACION!AD70</f>
        <v>0</v>
      </c>
      <c r="S54" s="39">
        <f t="shared" si="3"/>
        <v>183.2</v>
      </c>
      <c r="T54" s="39">
        <f t="shared" si="4"/>
        <v>2817.4</v>
      </c>
      <c r="V54" s="51" t="s">
        <v>118</v>
      </c>
      <c r="W54" s="50" t="s">
        <v>119</v>
      </c>
      <c r="X54" s="48">
        <v>80</v>
      </c>
      <c r="Y54" s="244" t="b">
        <f t="shared" si="7"/>
        <v>1</v>
      </c>
      <c r="Z54" s="252">
        <f t="shared" si="5"/>
        <v>0</v>
      </c>
      <c r="AA54" s="245" t="s">
        <v>118</v>
      </c>
      <c r="AB54" s="244" t="s">
        <v>119</v>
      </c>
      <c r="AC54" s="252">
        <v>1200.5999999999999</v>
      </c>
      <c r="AD54" s="252">
        <v>1800</v>
      </c>
      <c r="AE54" s="252">
        <v>3000.6</v>
      </c>
      <c r="AF54" s="252">
        <v>0</v>
      </c>
      <c r="AG54" s="252">
        <v>77.05</v>
      </c>
      <c r="AH54" s="252">
        <v>61.01</v>
      </c>
      <c r="AI54" s="252">
        <v>0</v>
      </c>
      <c r="AJ54" s="252">
        <v>45.13</v>
      </c>
      <c r="AK54" s="252">
        <v>0.01</v>
      </c>
      <c r="AL54" s="252">
        <v>0</v>
      </c>
      <c r="AM54" s="252">
        <v>183.2</v>
      </c>
      <c r="AN54" s="252">
        <v>2817.4</v>
      </c>
    </row>
    <row r="55" spans="1:40" s="191" customFormat="1" ht="15" customHeight="1">
      <c r="A55" s="26" t="s">
        <v>354</v>
      </c>
      <c r="B55" s="191" t="str">
        <f t="shared" si="6"/>
        <v>SI</v>
      </c>
      <c r="C55" s="245" t="s">
        <v>363</v>
      </c>
      <c r="D55" s="26" t="s">
        <v>354</v>
      </c>
      <c r="E55" s="39">
        <v>2053.2600000000002</v>
      </c>
      <c r="F55" s="39">
        <f>+FACTURACION!V55</f>
        <v>0</v>
      </c>
      <c r="G55" s="39">
        <f>+FACTURACION!U55</f>
        <v>0</v>
      </c>
      <c r="H55" s="39"/>
      <c r="I55" s="39">
        <f t="shared" si="2"/>
        <v>2053.2600000000002</v>
      </c>
      <c r="J55" s="262">
        <v>-68.27</v>
      </c>
      <c r="K55" s="39">
        <v>0</v>
      </c>
      <c r="L55" s="39">
        <v>50.97</v>
      </c>
      <c r="M55" s="39">
        <f>+FACTURACION!AF55</f>
        <v>0</v>
      </c>
      <c r="N55" s="39">
        <f>+FACTURACION!AB55</f>
        <v>0</v>
      </c>
      <c r="O55" s="39">
        <v>0.03</v>
      </c>
      <c r="P55" s="39">
        <f>+FACTURACION!Z55</f>
        <v>0</v>
      </c>
      <c r="Q55" s="39">
        <f>+FACTURACION!X55</f>
        <v>45.13</v>
      </c>
      <c r="R55" s="39"/>
      <c r="S55" s="39">
        <f t="shared" si="3"/>
        <v>27.860000000000007</v>
      </c>
      <c r="T55" s="39">
        <f t="shared" si="4"/>
        <v>2025.4000000000003</v>
      </c>
      <c r="V55" s="192"/>
      <c r="X55" s="48">
        <v>0</v>
      </c>
      <c r="Y55" s="244" t="b">
        <f t="shared" si="7"/>
        <v>1</v>
      </c>
      <c r="Z55" s="252">
        <f t="shared" si="5"/>
        <v>0</v>
      </c>
      <c r="AA55" s="245" t="s">
        <v>363</v>
      </c>
      <c r="AB55" s="244" t="s">
        <v>364</v>
      </c>
      <c r="AC55" s="252">
        <v>2053.2600000000002</v>
      </c>
      <c r="AD55" s="252">
        <v>0</v>
      </c>
      <c r="AE55" s="252">
        <v>2053.2600000000002</v>
      </c>
      <c r="AF55" s="253">
        <v>-68.27</v>
      </c>
      <c r="AG55" s="252">
        <v>0</v>
      </c>
      <c r="AH55" s="252">
        <v>50.97</v>
      </c>
      <c r="AI55" s="252">
        <v>0</v>
      </c>
      <c r="AJ55" s="252">
        <v>0</v>
      </c>
      <c r="AK55" s="253">
        <v>-0.04</v>
      </c>
      <c r="AL55" s="252">
        <v>0</v>
      </c>
      <c r="AM55" s="252">
        <v>-17.34</v>
      </c>
      <c r="AN55" s="252">
        <v>2025.4</v>
      </c>
    </row>
    <row r="56" spans="1:40" ht="15" customHeight="1">
      <c r="A56" s="17" t="s">
        <v>82</v>
      </c>
      <c r="B56" s="191" t="str">
        <f t="shared" si="6"/>
        <v>SI</v>
      </c>
      <c r="C56" s="245" t="s">
        <v>81</v>
      </c>
      <c r="D56" s="17" t="s">
        <v>82</v>
      </c>
      <c r="E56" s="39">
        <v>7500</v>
      </c>
      <c r="F56" s="39">
        <f>+FACTURACION!V56</f>
        <v>0</v>
      </c>
      <c r="G56" s="39">
        <f>+FACTURACION!U56</f>
        <v>54884.97</v>
      </c>
      <c r="H56" s="39">
        <v>0</v>
      </c>
      <c r="I56" s="39">
        <f t="shared" si="2"/>
        <v>62384.97</v>
      </c>
      <c r="J56" s="39">
        <v>0</v>
      </c>
      <c r="K56" s="39">
        <v>17956.400000000001</v>
      </c>
      <c r="L56" s="39">
        <v>204.26</v>
      </c>
      <c r="M56" s="39">
        <f>+FACTURACION!AF56</f>
        <v>990.41</v>
      </c>
      <c r="N56" s="39">
        <f>+FACTURACION!AB56</f>
        <v>0</v>
      </c>
      <c r="O56" s="262">
        <v>-0.16</v>
      </c>
      <c r="P56" s="39">
        <f>+FACTURACION!Z56</f>
        <v>4207.53</v>
      </c>
      <c r="Q56" s="39">
        <f>+FACTURACION!X56</f>
        <v>45.13</v>
      </c>
      <c r="R56" s="39">
        <f>+FACTURACION!AD46</f>
        <v>0</v>
      </c>
      <c r="S56" s="39">
        <f t="shared" si="3"/>
        <v>23403.57</v>
      </c>
      <c r="T56" s="39">
        <f t="shared" si="4"/>
        <v>38981.4</v>
      </c>
      <c r="V56" s="51" t="s">
        <v>81</v>
      </c>
      <c r="W56" s="50" t="s">
        <v>82</v>
      </c>
      <c r="X56" s="48">
        <v>500</v>
      </c>
      <c r="Y56" s="244" t="b">
        <f t="shared" si="7"/>
        <v>1</v>
      </c>
      <c r="Z56" s="252">
        <f t="shared" si="5"/>
        <v>0</v>
      </c>
      <c r="AA56" s="245" t="s">
        <v>81</v>
      </c>
      <c r="AB56" s="244" t="s">
        <v>82</v>
      </c>
      <c r="AC56" s="252">
        <v>7500</v>
      </c>
      <c r="AD56" s="252">
        <v>54884.97</v>
      </c>
      <c r="AE56" s="252">
        <v>62384.97</v>
      </c>
      <c r="AF56" s="252">
        <v>0</v>
      </c>
      <c r="AG56" s="252">
        <v>17956.400000000001</v>
      </c>
      <c r="AH56" s="252">
        <v>204.26</v>
      </c>
      <c r="AI56" s="252">
        <v>990.41</v>
      </c>
      <c r="AJ56" s="252">
        <v>45.13</v>
      </c>
      <c r="AK56" s="253">
        <v>-0.16</v>
      </c>
      <c r="AL56" s="252">
        <v>4207.53</v>
      </c>
      <c r="AM56" s="252">
        <v>23403.57</v>
      </c>
      <c r="AN56" s="252">
        <v>38981.4</v>
      </c>
    </row>
    <row r="57" spans="1:40" ht="15" customHeight="1">
      <c r="A57" s="65" t="s">
        <v>306</v>
      </c>
      <c r="B57" s="191" t="str">
        <f t="shared" si="6"/>
        <v>SI</v>
      </c>
      <c r="C57" s="245" t="s">
        <v>320</v>
      </c>
      <c r="D57" s="17" t="s">
        <v>306</v>
      </c>
      <c r="E57" s="39">
        <v>3250.05</v>
      </c>
      <c r="F57" s="39">
        <f>+FACTURACION!V57</f>
        <v>0</v>
      </c>
      <c r="G57" s="39">
        <f>+FACTURACION!U57</f>
        <v>1299.99</v>
      </c>
      <c r="H57" s="39">
        <v>0</v>
      </c>
      <c r="I57" s="39">
        <f t="shared" si="2"/>
        <v>4550.04</v>
      </c>
      <c r="J57" s="39">
        <v>0</v>
      </c>
      <c r="K57" s="39">
        <v>442.91</v>
      </c>
      <c r="L57" s="39">
        <v>84.18</v>
      </c>
      <c r="M57" s="39">
        <f>+FACTURACION!AF57</f>
        <v>0</v>
      </c>
      <c r="N57" s="39">
        <f>+FACTURACION!AB57</f>
        <v>0</v>
      </c>
      <c r="O57" s="39">
        <v>0.02</v>
      </c>
      <c r="P57" s="39">
        <f>+FACTURACION!Z57</f>
        <v>0</v>
      </c>
      <c r="Q57" s="39">
        <f>+FACTURACION!X57</f>
        <v>45.13</v>
      </c>
      <c r="R57" s="39">
        <f>+FACTURACION!AD47</f>
        <v>0</v>
      </c>
      <c r="S57" s="39">
        <f t="shared" si="3"/>
        <v>572.24</v>
      </c>
      <c r="T57" s="39">
        <f t="shared" si="4"/>
        <v>3977.8</v>
      </c>
      <c r="V57" s="51" t="s">
        <v>320</v>
      </c>
      <c r="W57" s="50" t="s">
        <v>321</v>
      </c>
      <c r="X57" s="48">
        <v>216.66666666666666</v>
      </c>
      <c r="Y57" s="244" t="b">
        <f t="shared" si="7"/>
        <v>1</v>
      </c>
      <c r="Z57" s="252">
        <f t="shared" si="5"/>
        <v>0</v>
      </c>
      <c r="AA57" s="245" t="s">
        <v>320</v>
      </c>
      <c r="AB57" s="244" t="s">
        <v>321</v>
      </c>
      <c r="AC57" s="252">
        <v>3250.05</v>
      </c>
      <c r="AD57" s="252">
        <v>1299.99</v>
      </c>
      <c r="AE57" s="252">
        <v>4550.04</v>
      </c>
      <c r="AF57" s="252">
        <v>0</v>
      </c>
      <c r="AG57" s="252">
        <v>442.91</v>
      </c>
      <c r="AH57" s="252">
        <v>84.18</v>
      </c>
      <c r="AI57" s="252">
        <v>0</v>
      </c>
      <c r="AJ57" s="252">
        <v>45.13</v>
      </c>
      <c r="AK57" s="252">
        <v>0.02</v>
      </c>
      <c r="AL57" s="252">
        <v>0</v>
      </c>
      <c r="AM57" s="252">
        <v>572.24</v>
      </c>
      <c r="AN57" s="252">
        <v>3977.8</v>
      </c>
    </row>
    <row r="58" spans="1:40">
      <c r="A58" s="232" t="s">
        <v>123</v>
      </c>
      <c r="B58" s="191" t="str">
        <f t="shared" si="6"/>
        <v>SI</v>
      </c>
      <c r="C58" s="245" t="s">
        <v>122</v>
      </c>
      <c r="D58" s="17" t="s">
        <v>123</v>
      </c>
      <c r="E58" s="39">
        <v>1200.5999999999999</v>
      </c>
      <c r="F58" s="39">
        <f>+FACTURACION!V58</f>
        <v>0</v>
      </c>
      <c r="G58" s="39">
        <f>+FACTURACION!U58</f>
        <v>3283.21</v>
      </c>
      <c r="H58" s="39">
        <v>0</v>
      </c>
      <c r="I58" s="39">
        <f t="shared" si="2"/>
        <v>4483.8099999999995</v>
      </c>
      <c r="J58" s="39">
        <v>0</v>
      </c>
      <c r="K58" s="39">
        <v>431.04</v>
      </c>
      <c r="L58" s="39">
        <v>100.09</v>
      </c>
      <c r="M58" s="39">
        <f>+FACTURACION!AF58</f>
        <v>0</v>
      </c>
      <c r="N58" s="39">
        <f>+FACTURACION!AB58</f>
        <v>0</v>
      </c>
      <c r="O58" s="39">
        <v>0.04</v>
      </c>
      <c r="P58" s="39">
        <f>+FACTURACION!Z58</f>
        <v>951.51</v>
      </c>
      <c r="Q58" s="39">
        <f>+FACTURACION!X58</f>
        <v>45.13</v>
      </c>
      <c r="R58" s="39">
        <f>+FACTURACION!AD71</f>
        <v>0</v>
      </c>
      <c r="S58" s="39">
        <f t="shared" si="3"/>
        <v>1527.81</v>
      </c>
      <c r="T58" s="39">
        <f t="shared" si="4"/>
        <v>2955.9999999999995</v>
      </c>
      <c r="V58" s="192" t="s">
        <v>122</v>
      </c>
      <c r="W58" s="1" t="s">
        <v>123</v>
      </c>
      <c r="X58" s="48">
        <v>80</v>
      </c>
      <c r="Y58" s="244" t="b">
        <f t="shared" si="7"/>
        <v>1</v>
      </c>
      <c r="Z58" s="252">
        <f t="shared" si="5"/>
        <v>0</v>
      </c>
      <c r="AA58" s="245" t="s">
        <v>122</v>
      </c>
      <c r="AB58" s="244" t="s">
        <v>123</v>
      </c>
      <c r="AC58" s="252">
        <v>1200.5999999999999</v>
      </c>
      <c r="AD58" s="252">
        <v>3283.21</v>
      </c>
      <c r="AE58" s="252">
        <v>4483.8100000000004</v>
      </c>
      <c r="AF58" s="252">
        <v>0</v>
      </c>
      <c r="AG58" s="252">
        <v>431.04</v>
      </c>
      <c r="AH58" s="252">
        <v>100.09</v>
      </c>
      <c r="AI58" s="252">
        <v>0</v>
      </c>
      <c r="AJ58" s="252">
        <v>45.13</v>
      </c>
      <c r="AK58" s="252">
        <v>0.04</v>
      </c>
      <c r="AL58" s="252">
        <v>951.51</v>
      </c>
      <c r="AM58" s="252">
        <v>1527.81</v>
      </c>
      <c r="AN58" s="252">
        <v>2956</v>
      </c>
    </row>
    <row r="59" spans="1:40" s="7" customFormat="1" ht="15" customHeight="1">
      <c r="A59" s="231" t="s">
        <v>125</v>
      </c>
      <c r="B59" s="191" t="str">
        <f t="shared" si="6"/>
        <v>SI</v>
      </c>
      <c r="C59" s="245" t="s">
        <v>124</v>
      </c>
      <c r="D59" s="17" t="s">
        <v>125</v>
      </c>
      <c r="E59" s="39">
        <v>1200.5999999999999</v>
      </c>
      <c r="F59" s="39">
        <f>+FACTURACION!V59</f>
        <v>0</v>
      </c>
      <c r="G59" s="39">
        <f>+FACTURACION!U59</f>
        <v>4896</v>
      </c>
      <c r="H59" s="39">
        <v>0</v>
      </c>
      <c r="I59" s="39">
        <f t="shared" si="2"/>
        <v>6096.6</v>
      </c>
      <c r="J59" s="39">
        <v>0</v>
      </c>
      <c r="K59" s="39">
        <v>754.97</v>
      </c>
      <c r="L59" s="39">
        <v>123.43</v>
      </c>
      <c r="M59" s="39">
        <f>+FACTURACION!AF59</f>
        <v>0</v>
      </c>
      <c r="N59" s="39">
        <f>+FACTURACION!AB59</f>
        <v>0</v>
      </c>
      <c r="O59" s="39">
        <v>7.0000000000000007E-2</v>
      </c>
      <c r="P59" s="39">
        <f>+FACTURACION!Z59</f>
        <v>0</v>
      </c>
      <c r="Q59" s="39">
        <f>+FACTURACION!X59</f>
        <v>45.13</v>
      </c>
      <c r="R59" s="39">
        <f>+FACTURACION!AD72</f>
        <v>0</v>
      </c>
      <c r="S59" s="39">
        <f t="shared" si="3"/>
        <v>923.60000000000014</v>
      </c>
      <c r="T59" s="39">
        <f t="shared" si="4"/>
        <v>5173</v>
      </c>
      <c r="U59" s="30"/>
      <c r="V59" s="51" t="s">
        <v>124</v>
      </c>
      <c r="W59" s="50" t="s">
        <v>125</v>
      </c>
      <c r="X59" s="48">
        <v>80</v>
      </c>
      <c r="Y59" s="244" t="b">
        <f t="shared" si="7"/>
        <v>1</v>
      </c>
      <c r="Z59" s="252">
        <f t="shared" si="5"/>
        <v>0</v>
      </c>
      <c r="AA59" s="245" t="s">
        <v>124</v>
      </c>
      <c r="AB59" s="244" t="s">
        <v>125</v>
      </c>
      <c r="AC59" s="252">
        <v>1200.5999999999999</v>
      </c>
      <c r="AD59" s="252">
        <v>4896</v>
      </c>
      <c r="AE59" s="252">
        <v>6096.6</v>
      </c>
      <c r="AF59" s="252">
        <v>0</v>
      </c>
      <c r="AG59" s="252">
        <v>754.97</v>
      </c>
      <c r="AH59" s="252">
        <v>123.43</v>
      </c>
      <c r="AI59" s="252">
        <v>0</v>
      </c>
      <c r="AJ59" s="252">
        <v>45.13</v>
      </c>
      <c r="AK59" s="252">
        <v>7.0000000000000007E-2</v>
      </c>
      <c r="AL59" s="252">
        <v>0</v>
      </c>
      <c r="AM59" s="252">
        <v>923.6</v>
      </c>
      <c r="AN59" s="252">
        <v>5173</v>
      </c>
    </row>
    <row r="60" spans="1:40" s="54" customFormat="1" ht="15" customHeight="1">
      <c r="A60" s="191" t="s">
        <v>84</v>
      </c>
      <c r="B60" s="191" t="str">
        <f t="shared" si="6"/>
        <v>SI</v>
      </c>
      <c r="C60" s="245" t="s">
        <v>83</v>
      </c>
      <c r="D60" s="17" t="s">
        <v>84</v>
      </c>
      <c r="E60" s="39">
        <v>3000</v>
      </c>
      <c r="F60" s="39">
        <f>+FACTURACION!V60</f>
        <v>0</v>
      </c>
      <c r="G60" s="39">
        <f>+FACTURACION!U60</f>
        <v>1000</v>
      </c>
      <c r="H60" s="39">
        <v>0</v>
      </c>
      <c r="I60" s="39">
        <f t="shared" si="2"/>
        <v>4000</v>
      </c>
      <c r="J60" s="39">
        <v>0</v>
      </c>
      <c r="K60" s="39">
        <v>349.03</v>
      </c>
      <c r="L60" s="39">
        <v>74.56</v>
      </c>
      <c r="M60" s="39">
        <f>+FACTURACION!AF60</f>
        <v>0</v>
      </c>
      <c r="N60" s="39">
        <f>+FACTURACION!AB60</f>
        <v>0</v>
      </c>
      <c r="O60" s="39">
        <v>0.08</v>
      </c>
      <c r="P60" s="39">
        <f>+FACTURACION!Z60</f>
        <v>0</v>
      </c>
      <c r="Q60" s="39">
        <f>+FACTURACION!X60</f>
        <v>45.13</v>
      </c>
      <c r="R60" s="39">
        <f>+FACTURACION!AD48</f>
        <v>0</v>
      </c>
      <c r="S60" s="39">
        <f t="shared" si="3"/>
        <v>468.79999999999995</v>
      </c>
      <c r="T60" s="39">
        <f t="shared" si="4"/>
        <v>3531.2</v>
      </c>
      <c r="U60" s="191"/>
      <c r="V60" s="62" t="s">
        <v>83</v>
      </c>
      <c r="W60" s="64" t="s">
        <v>84</v>
      </c>
      <c r="X60" s="48">
        <v>200</v>
      </c>
      <c r="Y60" s="244" t="b">
        <f t="shared" si="7"/>
        <v>1</v>
      </c>
      <c r="Z60" s="252">
        <f t="shared" si="5"/>
        <v>0</v>
      </c>
      <c r="AA60" s="245" t="s">
        <v>83</v>
      </c>
      <c r="AB60" s="244" t="s">
        <v>84</v>
      </c>
      <c r="AC60" s="252">
        <v>3000</v>
      </c>
      <c r="AD60" s="252">
        <v>1000</v>
      </c>
      <c r="AE60" s="252">
        <v>4000</v>
      </c>
      <c r="AF60" s="252">
        <v>0</v>
      </c>
      <c r="AG60" s="252">
        <v>349.03</v>
      </c>
      <c r="AH60" s="252">
        <v>74.56</v>
      </c>
      <c r="AI60" s="252">
        <v>0</v>
      </c>
      <c r="AJ60" s="252">
        <v>45.13</v>
      </c>
      <c r="AK60" s="252">
        <v>0.08</v>
      </c>
      <c r="AL60" s="252">
        <v>0</v>
      </c>
      <c r="AM60" s="252">
        <v>468.8</v>
      </c>
      <c r="AN60" s="252">
        <v>3531.2</v>
      </c>
    </row>
    <row r="61" spans="1:40" s="56" customFormat="1" ht="15" customHeight="1">
      <c r="A61" s="191" t="s">
        <v>284</v>
      </c>
      <c r="B61" s="191" t="str">
        <f t="shared" si="6"/>
        <v>NO</v>
      </c>
      <c r="C61" s="245" t="s">
        <v>126</v>
      </c>
      <c r="D61" s="17" t="s">
        <v>296</v>
      </c>
      <c r="E61" s="39">
        <v>1999.95</v>
      </c>
      <c r="F61" s="39">
        <f>+FACTURACION!V61</f>
        <v>0</v>
      </c>
      <c r="G61" s="39">
        <f>+FACTURACION!U61</f>
        <v>16013.06</v>
      </c>
      <c r="H61" s="39">
        <v>0</v>
      </c>
      <c r="I61" s="39">
        <f t="shared" si="2"/>
        <v>18013.009999999998</v>
      </c>
      <c r="J61" s="39">
        <v>0</v>
      </c>
      <c r="K61" s="39">
        <v>3588.56</v>
      </c>
      <c r="L61" s="39">
        <v>49.9</v>
      </c>
      <c r="M61" s="39">
        <f>+FACTURACION!AF61</f>
        <v>380.9</v>
      </c>
      <c r="N61" s="39">
        <f>+FACTURACION!AB61</f>
        <v>0</v>
      </c>
      <c r="O61" s="39">
        <v>0.12</v>
      </c>
      <c r="P61" s="39">
        <f>+FACTURACION!Z61</f>
        <v>0</v>
      </c>
      <c r="Q61" s="39">
        <f>+FACTURACION!X61</f>
        <v>45.13</v>
      </c>
      <c r="R61" s="39">
        <f>+FACTURACION!AD73</f>
        <v>0</v>
      </c>
      <c r="S61" s="39">
        <f t="shared" si="3"/>
        <v>4064.61</v>
      </c>
      <c r="T61" s="39">
        <f t="shared" si="4"/>
        <v>13948.399999999998</v>
      </c>
      <c r="U61" s="1"/>
      <c r="V61" s="55" t="s">
        <v>126</v>
      </c>
      <c r="W61" s="54" t="s">
        <v>296</v>
      </c>
      <c r="X61" s="48">
        <v>133.33333333333334</v>
      </c>
      <c r="Y61" s="244" t="b">
        <f t="shared" si="7"/>
        <v>1</v>
      </c>
      <c r="Z61" s="252">
        <f t="shared" si="5"/>
        <v>0</v>
      </c>
      <c r="AA61" s="245" t="s">
        <v>126</v>
      </c>
      <c r="AB61" s="244" t="s">
        <v>296</v>
      </c>
      <c r="AC61" s="252">
        <v>1999.95</v>
      </c>
      <c r="AD61" s="252">
        <v>16013.06</v>
      </c>
      <c r="AE61" s="252">
        <v>18013.009999999998</v>
      </c>
      <c r="AF61" s="252">
        <v>0</v>
      </c>
      <c r="AG61" s="252">
        <v>3588.56</v>
      </c>
      <c r="AH61" s="252">
        <v>49.9</v>
      </c>
      <c r="AI61" s="252">
        <v>380.9</v>
      </c>
      <c r="AJ61" s="252">
        <v>45.13</v>
      </c>
      <c r="AK61" s="252">
        <v>0.12</v>
      </c>
      <c r="AL61" s="252">
        <v>0</v>
      </c>
      <c r="AM61" s="252">
        <v>4064.61</v>
      </c>
      <c r="AN61" s="252">
        <v>13948.4</v>
      </c>
    </row>
    <row r="62" spans="1:40" ht="15" customHeight="1">
      <c r="A62" s="191" t="s">
        <v>86</v>
      </c>
      <c r="B62" s="191" t="str">
        <f t="shared" si="6"/>
        <v>SI</v>
      </c>
      <c r="C62" s="245" t="s">
        <v>85</v>
      </c>
      <c r="D62" s="17" t="s">
        <v>86</v>
      </c>
      <c r="E62" s="39">
        <v>2000.1</v>
      </c>
      <c r="F62" s="39">
        <f>+FACTURACION!V62</f>
        <v>0</v>
      </c>
      <c r="G62" s="39">
        <f>+FACTURACION!U62</f>
        <v>24925.86</v>
      </c>
      <c r="H62" s="39">
        <v>0</v>
      </c>
      <c r="I62" s="39">
        <f t="shared" si="2"/>
        <v>26925.96</v>
      </c>
      <c r="J62" s="39">
        <v>0</v>
      </c>
      <c r="K62" s="39">
        <v>6262.44</v>
      </c>
      <c r="L62" s="39">
        <v>49.85</v>
      </c>
      <c r="M62" s="39">
        <f>+FACTURACION!AF62</f>
        <v>0</v>
      </c>
      <c r="N62" s="39">
        <f>+FACTURACION!AB62</f>
        <v>0</v>
      </c>
      <c r="O62" s="39">
        <v>0.14000000000000001</v>
      </c>
      <c r="P62" s="39">
        <f>+FACTURACION!Z62</f>
        <v>0</v>
      </c>
      <c r="Q62" s="39">
        <f>+FACTURACION!X62</f>
        <v>45.13</v>
      </c>
      <c r="R62" s="39">
        <f>+FACTURACION!AD49</f>
        <v>0</v>
      </c>
      <c r="S62" s="39">
        <f t="shared" si="3"/>
        <v>6357.56</v>
      </c>
      <c r="T62" s="39">
        <f t="shared" si="4"/>
        <v>20568.399999999998</v>
      </c>
      <c r="V62" s="55" t="s">
        <v>85</v>
      </c>
      <c r="W62" s="54" t="s">
        <v>86</v>
      </c>
      <c r="X62" s="48">
        <v>133.33333333333334</v>
      </c>
      <c r="Y62" s="244" t="b">
        <f t="shared" si="7"/>
        <v>1</v>
      </c>
      <c r="Z62" s="252">
        <f t="shared" si="5"/>
        <v>0</v>
      </c>
      <c r="AA62" s="245" t="s">
        <v>85</v>
      </c>
      <c r="AB62" s="240" t="s">
        <v>86</v>
      </c>
      <c r="AC62" s="252">
        <v>2000.1</v>
      </c>
      <c r="AD62" s="252">
        <v>24925.86</v>
      </c>
      <c r="AE62" s="252">
        <v>26925.96</v>
      </c>
      <c r="AF62" s="252">
        <v>0</v>
      </c>
      <c r="AG62" s="252">
        <v>6262.44</v>
      </c>
      <c r="AH62" s="252">
        <v>49.85</v>
      </c>
      <c r="AI62" s="252">
        <v>0</v>
      </c>
      <c r="AJ62" s="252">
        <v>45.13</v>
      </c>
      <c r="AK62" s="252">
        <v>0.14000000000000001</v>
      </c>
      <c r="AL62" s="252">
        <v>0</v>
      </c>
      <c r="AM62" s="252">
        <v>6357.56</v>
      </c>
      <c r="AN62" s="252">
        <v>20568.400000000001</v>
      </c>
    </row>
    <row r="63" spans="1:40" ht="15" customHeight="1">
      <c r="A63" s="191" t="s">
        <v>340</v>
      </c>
      <c r="B63" s="191" t="str">
        <f t="shared" si="6"/>
        <v>SI</v>
      </c>
      <c r="C63" s="245" t="s">
        <v>359</v>
      </c>
      <c r="D63" s="65" t="s">
        <v>340</v>
      </c>
      <c r="E63" s="39">
        <v>3000</v>
      </c>
      <c r="F63" s="39">
        <f>+FACTURACION!V63</f>
        <v>0</v>
      </c>
      <c r="G63" s="39">
        <f>+FACTURACION!U63</f>
        <v>2000</v>
      </c>
      <c r="H63" s="39">
        <v>0</v>
      </c>
      <c r="I63" s="39">
        <f t="shared" si="2"/>
        <v>5000</v>
      </c>
      <c r="J63" s="39">
        <v>0</v>
      </c>
      <c r="K63" s="39">
        <v>523.54</v>
      </c>
      <c r="L63" s="39">
        <v>74.48</v>
      </c>
      <c r="M63" s="39">
        <f>+FACTURACION!AF63</f>
        <v>0</v>
      </c>
      <c r="N63" s="39">
        <f>+FACTURACION!AB63</f>
        <v>0</v>
      </c>
      <c r="O63" s="39">
        <v>0.05</v>
      </c>
      <c r="P63" s="39">
        <f>+FACTURACION!Z63</f>
        <v>0</v>
      </c>
      <c r="Q63" s="39">
        <f>+FACTURACION!X63</f>
        <v>45.13</v>
      </c>
      <c r="R63" s="39">
        <f>+FACTURACION!AD58</f>
        <v>0</v>
      </c>
      <c r="S63" s="39">
        <f t="shared" si="3"/>
        <v>643.19999999999993</v>
      </c>
      <c r="T63" s="39">
        <f t="shared" si="4"/>
        <v>4356.8</v>
      </c>
      <c r="V63" s="55"/>
      <c r="W63" s="54"/>
      <c r="X63" s="48">
        <v>200</v>
      </c>
      <c r="Y63" s="244" t="b">
        <f t="shared" si="7"/>
        <v>1</v>
      </c>
      <c r="Z63" s="252">
        <f t="shared" si="5"/>
        <v>0</v>
      </c>
      <c r="AA63" s="245" t="s">
        <v>359</v>
      </c>
      <c r="AB63" s="244" t="s">
        <v>365</v>
      </c>
      <c r="AC63" s="252">
        <v>3000</v>
      </c>
      <c r="AD63" s="252">
        <v>2000</v>
      </c>
      <c r="AE63" s="252">
        <v>5000</v>
      </c>
      <c r="AF63" s="252">
        <v>0</v>
      </c>
      <c r="AG63" s="252">
        <v>523.54</v>
      </c>
      <c r="AH63" s="252">
        <v>74.48</v>
      </c>
      <c r="AI63" s="252">
        <v>0</v>
      </c>
      <c r="AJ63" s="252">
        <v>45.13</v>
      </c>
      <c r="AK63" s="252">
        <v>0.05</v>
      </c>
      <c r="AL63" s="252">
        <v>0</v>
      </c>
      <c r="AM63" s="252">
        <v>643.20000000000005</v>
      </c>
      <c r="AN63" s="252">
        <v>4356.8</v>
      </c>
    </row>
    <row r="64" spans="1:40" ht="15" customHeight="1">
      <c r="A64" s="191" t="s">
        <v>88</v>
      </c>
      <c r="B64" s="191" t="str">
        <f t="shared" si="6"/>
        <v>SI</v>
      </c>
      <c r="C64" s="245" t="s">
        <v>87</v>
      </c>
      <c r="D64" s="17" t="s">
        <v>88</v>
      </c>
      <c r="E64" s="39">
        <v>7000.05</v>
      </c>
      <c r="F64" s="39">
        <f>+FACTURACION!V64</f>
        <v>0</v>
      </c>
      <c r="G64" s="39">
        <f>+FACTURACION!U64</f>
        <v>21033.52</v>
      </c>
      <c r="H64" s="39">
        <v>0</v>
      </c>
      <c r="I64" s="39">
        <f t="shared" si="2"/>
        <v>28033.57</v>
      </c>
      <c r="J64" s="39">
        <v>0</v>
      </c>
      <c r="K64" s="39">
        <v>6594.72</v>
      </c>
      <c r="L64" s="39">
        <v>189.69</v>
      </c>
      <c r="M64" s="39">
        <f>+FACTURACION!AF64</f>
        <v>0</v>
      </c>
      <c r="N64" s="39">
        <f>+FACTURACION!AB64</f>
        <v>0</v>
      </c>
      <c r="O64" s="262">
        <v>-0.17</v>
      </c>
      <c r="P64" s="39">
        <f>+FACTURACION!Z64</f>
        <v>0</v>
      </c>
      <c r="Q64" s="39">
        <f>+FACTURACION!X64</f>
        <v>45.13</v>
      </c>
      <c r="R64" s="39">
        <f>+FACTURACION!AD50</f>
        <v>0</v>
      </c>
      <c r="S64" s="39">
        <f t="shared" si="3"/>
        <v>6829.37</v>
      </c>
      <c r="T64" s="39">
        <f t="shared" si="4"/>
        <v>21204.2</v>
      </c>
      <c r="V64" s="55" t="s">
        <v>87</v>
      </c>
      <c r="W64" s="54" t="s">
        <v>88</v>
      </c>
      <c r="X64" s="48">
        <v>466.66666666666669</v>
      </c>
      <c r="Y64" s="244" t="b">
        <f t="shared" si="7"/>
        <v>1</v>
      </c>
      <c r="Z64" s="252">
        <f t="shared" si="5"/>
        <v>0</v>
      </c>
      <c r="AA64" s="245" t="s">
        <v>87</v>
      </c>
      <c r="AB64" s="244" t="s">
        <v>88</v>
      </c>
      <c r="AC64" s="252">
        <v>7000.05</v>
      </c>
      <c r="AD64" s="252">
        <v>21033.52</v>
      </c>
      <c r="AE64" s="252">
        <v>28033.57</v>
      </c>
      <c r="AF64" s="252">
        <v>0</v>
      </c>
      <c r="AG64" s="252">
        <v>6594.72</v>
      </c>
      <c r="AH64" s="252">
        <v>189.69</v>
      </c>
      <c r="AI64" s="252">
        <v>0</v>
      </c>
      <c r="AJ64" s="252">
        <v>45.13</v>
      </c>
      <c r="AK64" s="253">
        <v>-0.17</v>
      </c>
      <c r="AL64" s="252">
        <v>0</v>
      </c>
      <c r="AM64" s="252">
        <v>6829.37</v>
      </c>
      <c r="AN64" s="252">
        <v>21204.2</v>
      </c>
    </row>
    <row r="65" spans="1:40" ht="15" customHeight="1">
      <c r="A65" s="191" t="s">
        <v>90</v>
      </c>
      <c r="B65" s="191" t="str">
        <f t="shared" si="6"/>
        <v>SI</v>
      </c>
      <c r="C65" s="245" t="s">
        <v>89</v>
      </c>
      <c r="D65" s="17" t="s">
        <v>90</v>
      </c>
      <c r="E65" s="39">
        <v>12499.95</v>
      </c>
      <c r="F65" s="39">
        <f>+FACTURACION!V65</f>
        <v>0</v>
      </c>
      <c r="G65" s="39">
        <f>+FACTURACION!U65</f>
        <v>0</v>
      </c>
      <c r="H65" s="39">
        <v>0</v>
      </c>
      <c r="I65" s="39">
        <f t="shared" si="2"/>
        <v>12499.95</v>
      </c>
      <c r="J65" s="39">
        <v>0</v>
      </c>
      <c r="K65" s="39">
        <v>2171.36</v>
      </c>
      <c r="L65" s="39">
        <v>349.1</v>
      </c>
      <c r="M65" s="39">
        <f>+FACTURACION!AF65</f>
        <v>0</v>
      </c>
      <c r="N65" s="39">
        <f>+FACTURACION!AB65</f>
        <v>108.1</v>
      </c>
      <c r="O65" s="39">
        <v>0.06</v>
      </c>
      <c r="P65" s="39">
        <f>+FACTURACION!Z65</f>
        <v>0</v>
      </c>
      <c r="Q65" s="39">
        <f>+FACTURACION!X65</f>
        <v>45.13</v>
      </c>
      <c r="R65" s="39">
        <f>+FACTURACION!AD51</f>
        <v>0</v>
      </c>
      <c r="S65" s="39">
        <f t="shared" si="3"/>
        <v>2673.75</v>
      </c>
      <c r="T65" s="39">
        <f t="shared" si="4"/>
        <v>9826.2000000000007</v>
      </c>
      <c r="V65" s="55" t="s">
        <v>89</v>
      </c>
      <c r="W65" s="54" t="s">
        <v>90</v>
      </c>
      <c r="X65" s="234">
        <v>833.33333333333337</v>
      </c>
      <c r="Y65" s="244" t="b">
        <f t="shared" si="7"/>
        <v>1</v>
      </c>
      <c r="Z65" s="252">
        <f t="shared" si="5"/>
        <v>-108.19999999999891</v>
      </c>
      <c r="AA65" s="245" t="s">
        <v>89</v>
      </c>
      <c r="AB65" s="244" t="s">
        <v>90</v>
      </c>
      <c r="AC65" s="252">
        <v>12499.95</v>
      </c>
      <c r="AD65" s="252">
        <v>0</v>
      </c>
      <c r="AE65" s="252">
        <v>12499.95</v>
      </c>
      <c r="AF65" s="252">
        <v>0</v>
      </c>
      <c r="AG65" s="252">
        <v>2171.36</v>
      </c>
      <c r="AH65" s="252">
        <v>349.1</v>
      </c>
      <c r="AI65" s="252">
        <v>0</v>
      </c>
      <c r="AJ65" s="252">
        <v>45.13</v>
      </c>
      <c r="AK65" s="253">
        <v>-0.04</v>
      </c>
      <c r="AL65" s="252">
        <v>0</v>
      </c>
      <c r="AM65" s="252">
        <v>2565.5500000000002</v>
      </c>
      <c r="AN65" s="252">
        <v>9934.4</v>
      </c>
    </row>
    <row r="66" spans="1:40" ht="15" customHeight="1">
      <c r="A66" s="191" t="s">
        <v>92</v>
      </c>
      <c r="B66" s="191" t="str">
        <f t="shared" si="6"/>
        <v>SI</v>
      </c>
      <c r="C66" s="245" t="s">
        <v>91</v>
      </c>
      <c r="D66" s="17" t="s">
        <v>92</v>
      </c>
      <c r="E66" s="39">
        <v>2250</v>
      </c>
      <c r="F66" s="39">
        <f>+FACTURACION!V66</f>
        <v>0</v>
      </c>
      <c r="G66" s="39">
        <f>+FACTURACION!U66</f>
        <v>2075</v>
      </c>
      <c r="H66" s="39">
        <v>0</v>
      </c>
      <c r="I66" s="39">
        <f t="shared" si="2"/>
        <v>4325</v>
      </c>
      <c r="J66" s="39">
        <v>0</v>
      </c>
      <c r="K66" s="39">
        <v>402.58</v>
      </c>
      <c r="L66" s="39">
        <v>55.86</v>
      </c>
      <c r="M66" s="39">
        <f>+FACTURACION!AF66</f>
        <v>0</v>
      </c>
      <c r="N66" s="39">
        <f>+FACTURACION!AB66</f>
        <v>0</v>
      </c>
      <c r="O66" s="262">
        <v>-0.17</v>
      </c>
      <c r="P66" s="39">
        <f>+FACTURACION!Z66</f>
        <v>0</v>
      </c>
      <c r="Q66" s="39">
        <f>+FACTURACION!X66</f>
        <v>45.13</v>
      </c>
      <c r="R66" s="39">
        <f>+FACTURACION!AD52</f>
        <v>0</v>
      </c>
      <c r="S66" s="39">
        <f t="shared" si="3"/>
        <v>503.4</v>
      </c>
      <c r="T66" s="39">
        <f t="shared" si="4"/>
        <v>3821.6</v>
      </c>
      <c r="V66" s="55" t="s">
        <v>91</v>
      </c>
      <c r="W66" s="54" t="s">
        <v>92</v>
      </c>
      <c r="X66" s="48">
        <v>150</v>
      </c>
      <c r="Y66" s="244" t="b">
        <f t="shared" si="7"/>
        <v>1</v>
      </c>
      <c r="Z66" s="252">
        <f t="shared" si="5"/>
        <v>0</v>
      </c>
      <c r="AA66" s="245" t="s">
        <v>91</v>
      </c>
      <c r="AB66" s="244" t="s">
        <v>92</v>
      </c>
      <c r="AC66" s="252">
        <v>2250</v>
      </c>
      <c r="AD66" s="252">
        <v>2075</v>
      </c>
      <c r="AE66" s="252">
        <v>4325</v>
      </c>
      <c r="AF66" s="252">
        <v>0</v>
      </c>
      <c r="AG66" s="252">
        <v>402.58</v>
      </c>
      <c r="AH66" s="252">
        <v>55.86</v>
      </c>
      <c r="AI66" s="252">
        <v>0</v>
      </c>
      <c r="AJ66" s="252">
        <v>45.13</v>
      </c>
      <c r="AK66" s="253">
        <v>-0.17</v>
      </c>
      <c r="AL66" s="252">
        <v>0</v>
      </c>
      <c r="AM66" s="252">
        <v>503.4</v>
      </c>
      <c r="AN66" s="252">
        <v>3821.6</v>
      </c>
    </row>
    <row r="67" spans="1:40" ht="15" customHeight="1">
      <c r="A67" s="191" t="s">
        <v>94</v>
      </c>
      <c r="B67" s="191" t="str">
        <f t="shared" si="6"/>
        <v>SI</v>
      </c>
      <c r="C67" s="245" t="s">
        <v>93</v>
      </c>
      <c r="D67" s="17" t="s">
        <v>94</v>
      </c>
      <c r="E67" s="39">
        <v>5868.75</v>
      </c>
      <c r="F67" s="39">
        <f>+FACTURACION!V67</f>
        <v>0</v>
      </c>
      <c r="G67" s="39">
        <f>+FACTURACION!U67</f>
        <v>3000</v>
      </c>
      <c r="H67" s="39">
        <v>0</v>
      </c>
      <c r="I67" s="39">
        <f t="shared" si="2"/>
        <v>8868.75</v>
      </c>
      <c r="J67" s="39">
        <v>0</v>
      </c>
      <c r="K67" s="39">
        <v>1347.1</v>
      </c>
      <c r="L67" s="39">
        <v>155.82</v>
      </c>
      <c r="M67" s="39">
        <f>+FACTURACION!AF67</f>
        <v>0</v>
      </c>
      <c r="N67" s="39">
        <f>+FACTURACION!AB67</f>
        <v>0</v>
      </c>
      <c r="O67" s="262">
        <v>-0.1</v>
      </c>
      <c r="P67" s="39">
        <f>+FACTURACION!Z67</f>
        <v>0</v>
      </c>
      <c r="Q67" s="39">
        <f>+FACTURACION!X67</f>
        <v>45.13</v>
      </c>
      <c r="R67" s="39">
        <f>+FACTURACION!AD53</f>
        <v>0</v>
      </c>
      <c r="S67" s="39">
        <f t="shared" si="3"/>
        <v>1547.95</v>
      </c>
      <c r="T67" s="39">
        <f t="shared" si="4"/>
        <v>7320.8</v>
      </c>
      <c r="V67" s="55" t="s">
        <v>93</v>
      </c>
      <c r="W67" s="54" t="s">
        <v>94</v>
      </c>
      <c r="X67" s="48">
        <v>391.25</v>
      </c>
      <c r="Y67" s="244" t="b">
        <f t="shared" si="7"/>
        <v>1</v>
      </c>
      <c r="Z67" s="252">
        <f t="shared" si="5"/>
        <v>0</v>
      </c>
      <c r="AA67" s="245" t="s">
        <v>93</v>
      </c>
      <c r="AB67" s="244" t="s">
        <v>94</v>
      </c>
      <c r="AC67" s="252">
        <v>5868.75</v>
      </c>
      <c r="AD67" s="252">
        <v>3000</v>
      </c>
      <c r="AE67" s="252">
        <v>8868.75</v>
      </c>
      <c r="AF67" s="252">
        <v>0</v>
      </c>
      <c r="AG67" s="252">
        <v>1347.1</v>
      </c>
      <c r="AH67" s="252">
        <v>155.82</v>
      </c>
      <c r="AI67" s="252">
        <v>0</v>
      </c>
      <c r="AJ67" s="252">
        <v>45.13</v>
      </c>
      <c r="AK67" s="253">
        <v>-0.1</v>
      </c>
      <c r="AL67" s="252">
        <v>0</v>
      </c>
      <c r="AM67" s="252">
        <v>1547.95</v>
      </c>
      <c r="AN67" s="252">
        <v>7320.8</v>
      </c>
    </row>
    <row r="68" spans="1:40" ht="15" customHeight="1">
      <c r="A68" s="191" t="s">
        <v>96</v>
      </c>
      <c r="B68" s="191" t="str">
        <f t="shared" si="6"/>
        <v>SI</v>
      </c>
      <c r="C68" s="245" t="s">
        <v>95</v>
      </c>
      <c r="D68" s="17" t="s">
        <v>96</v>
      </c>
      <c r="E68" s="39">
        <v>3750</v>
      </c>
      <c r="F68" s="39">
        <f>+FACTURACION!V68</f>
        <v>0</v>
      </c>
      <c r="G68" s="39">
        <f>+FACTURACION!U68</f>
        <v>16013.06</v>
      </c>
      <c r="H68" s="39">
        <v>0</v>
      </c>
      <c r="I68" s="39">
        <f t="shared" si="2"/>
        <v>19763.059999999998</v>
      </c>
      <c r="J68" s="39">
        <v>0</v>
      </c>
      <c r="K68" s="39">
        <v>4113.57</v>
      </c>
      <c r="L68" s="39">
        <v>95.06</v>
      </c>
      <c r="M68" s="39">
        <f>+FACTURACION!AF68</f>
        <v>834.69</v>
      </c>
      <c r="N68" s="39">
        <f>+FACTURACION!AB68</f>
        <v>0</v>
      </c>
      <c r="O68" s="39">
        <v>0.01</v>
      </c>
      <c r="P68" s="39">
        <f>+FACTURACION!Z68</f>
        <v>0</v>
      </c>
      <c r="Q68" s="39">
        <f>+FACTURACION!X68</f>
        <v>45.13</v>
      </c>
      <c r="R68" s="39">
        <f>+FACTURACION!AD54</f>
        <v>0</v>
      </c>
      <c r="S68" s="39">
        <f t="shared" si="3"/>
        <v>5088.46</v>
      </c>
      <c r="T68" s="39">
        <f t="shared" si="4"/>
        <v>14674.599999999999</v>
      </c>
      <c r="V68" s="55" t="s">
        <v>95</v>
      </c>
      <c r="W68" s="54" t="s">
        <v>96</v>
      </c>
      <c r="X68" s="48">
        <v>250</v>
      </c>
      <c r="Y68" s="244" t="b">
        <f t="shared" si="7"/>
        <v>1</v>
      </c>
      <c r="Z68" s="252">
        <f t="shared" si="5"/>
        <v>0</v>
      </c>
      <c r="AA68" s="245" t="s">
        <v>95</v>
      </c>
      <c r="AB68" s="244" t="s">
        <v>96</v>
      </c>
      <c r="AC68" s="252">
        <v>3750</v>
      </c>
      <c r="AD68" s="252">
        <v>16013.06</v>
      </c>
      <c r="AE68" s="252">
        <v>19763.060000000001</v>
      </c>
      <c r="AF68" s="252">
        <v>0</v>
      </c>
      <c r="AG68" s="252">
        <v>4113.57</v>
      </c>
      <c r="AH68" s="252">
        <v>95.06</v>
      </c>
      <c r="AI68" s="252">
        <v>834.69</v>
      </c>
      <c r="AJ68" s="252">
        <v>45.13</v>
      </c>
      <c r="AK68" s="252">
        <v>0.01</v>
      </c>
      <c r="AL68" s="252">
        <v>0</v>
      </c>
      <c r="AM68" s="252">
        <v>5088.46</v>
      </c>
      <c r="AN68" s="252">
        <v>14674.6</v>
      </c>
    </row>
    <row r="69" spans="1:40" ht="15" customHeight="1">
      <c r="A69" s="230" t="s">
        <v>307</v>
      </c>
      <c r="B69" s="191" t="str">
        <f t="shared" si="6"/>
        <v>SI</v>
      </c>
      <c r="C69" s="245" t="s">
        <v>326</v>
      </c>
      <c r="D69" s="65" t="s">
        <v>307</v>
      </c>
      <c r="E69" s="39">
        <v>1200.5999999999999</v>
      </c>
      <c r="F69" s="39">
        <f>+FACTURACION!V69</f>
        <v>0</v>
      </c>
      <c r="G69" s="39">
        <f>+FACTURACION!U69</f>
        <v>2028</v>
      </c>
      <c r="H69" s="39">
        <v>0</v>
      </c>
      <c r="I69" s="39">
        <f t="shared" si="2"/>
        <v>3228.6</v>
      </c>
      <c r="J69" s="39">
        <v>0</v>
      </c>
      <c r="K69" s="39">
        <v>122.13</v>
      </c>
      <c r="L69" s="39">
        <v>62.5</v>
      </c>
      <c r="M69" s="39">
        <f>+FACTURACION!AF69</f>
        <v>0</v>
      </c>
      <c r="N69" s="39">
        <f>+FACTURACION!AB69</f>
        <v>0</v>
      </c>
      <c r="O69" s="39">
        <v>0.04</v>
      </c>
      <c r="P69" s="39">
        <f>+FACTURACION!Z69</f>
        <v>0</v>
      </c>
      <c r="Q69" s="39">
        <f>+FACTURACION!X69</f>
        <v>45.13</v>
      </c>
      <c r="R69" s="39">
        <f>+FACTURACION!AD77</f>
        <v>0</v>
      </c>
      <c r="S69" s="39">
        <f t="shared" si="3"/>
        <v>229.79999999999998</v>
      </c>
      <c r="T69" s="39">
        <f t="shared" si="4"/>
        <v>2998.7999999999997</v>
      </c>
      <c r="V69" s="55" t="s">
        <v>326</v>
      </c>
      <c r="W69" s="54" t="s">
        <v>327</v>
      </c>
      <c r="X69" s="48">
        <v>80</v>
      </c>
      <c r="Y69" s="244" t="b">
        <f t="shared" si="7"/>
        <v>1</v>
      </c>
      <c r="Z69" s="252">
        <f t="shared" si="5"/>
        <v>0</v>
      </c>
      <c r="AA69" s="245" t="s">
        <v>326</v>
      </c>
      <c r="AB69" s="244" t="s">
        <v>327</v>
      </c>
      <c r="AC69" s="252">
        <v>1200.5999999999999</v>
      </c>
      <c r="AD69" s="252">
        <v>2028</v>
      </c>
      <c r="AE69" s="252">
        <v>3228.6</v>
      </c>
      <c r="AF69" s="252">
        <v>0</v>
      </c>
      <c r="AG69" s="252">
        <v>122.13</v>
      </c>
      <c r="AH69" s="252">
        <v>62.5</v>
      </c>
      <c r="AI69" s="252">
        <v>0</v>
      </c>
      <c r="AJ69" s="252">
        <v>45.13</v>
      </c>
      <c r="AK69" s="252">
        <v>0.04</v>
      </c>
      <c r="AL69" s="252">
        <v>0</v>
      </c>
      <c r="AM69" s="252">
        <v>229.8</v>
      </c>
      <c r="AN69" s="252">
        <v>2998.8</v>
      </c>
    </row>
    <row r="70" spans="1:40" ht="15" customHeight="1">
      <c r="A70" s="231" t="s">
        <v>98</v>
      </c>
      <c r="B70" s="191" t="str">
        <f t="shared" si="6"/>
        <v>SI</v>
      </c>
      <c r="C70" s="245" t="s">
        <v>97</v>
      </c>
      <c r="D70" s="17" t="s">
        <v>98</v>
      </c>
      <c r="E70" s="39">
        <v>1120.56</v>
      </c>
      <c r="F70" s="39">
        <f>+FACTURACION!V70</f>
        <v>0</v>
      </c>
      <c r="G70" s="39">
        <f>+FACTURACION!U70</f>
        <v>1203.8</v>
      </c>
      <c r="H70" s="263">
        <v>0</v>
      </c>
      <c r="I70" s="39">
        <f t="shared" si="2"/>
        <v>2324.3599999999997</v>
      </c>
      <c r="J70" s="262">
        <v>-25.93</v>
      </c>
      <c r="K70" s="39">
        <v>0</v>
      </c>
      <c r="L70" s="39">
        <v>33.72</v>
      </c>
      <c r="M70" s="39">
        <f>+FACTURACION!AF70</f>
        <v>0</v>
      </c>
      <c r="N70" s="39">
        <f>+FACTURACION!AB70</f>
        <v>0</v>
      </c>
      <c r="O70" s="262">
        <v>-0.16</v>
      </c>
      <c r="P70" s="39">
        <f>+FACTURACION!Z70</f>
        <v>0</v>
      </c>
      <c r="Q70" s="39">
        <f>+FACTURACION!X70</f>
        <v>45.13</v>
      </c>
      <c r="R70" s="263">
        <f>+FACTURACION!AD74</f>
        <v>0</v>
      </c>
      <c r="S70" s="39">
        <f t="shared" si="3"/>
        <v>52.760000000000005</v>
      </c>
      <c r="T70" s="39">
        <f t="shared" si="4"/>
        <v>2271.5999999999995</v>
      </c>
      <c r="U70" s="191"/>
      <c r="V70" s="55" t="s">
        <v>97</v>
      </c>
      <c r="W70" s="54" t="s">
        <v>98</v>
      </c>
      <c r="X70" s="48">
        <v>80</v>
      </c>
      <c r="Y70" s="244" t="b">
        <f t="shared" si="7"/>
        <v>1</v>
      </c>
      <c r="Z70" s="252">
        <f t="shared" si="5"/>
        <v>0</v>
      </c>
      <c r="AA70" s="245" t="s">
        <v>97</v>
      </c>
      <c r="AB70" s="244" t="s">
        <v>98</v>
      </c>
      <c r="AC70" s="252">
        <v>1120.56</v>
      </c>
      <c r="AD70" s="252">
        <v>1203.8</v>
      </c>
      <c r="AE70" s="252">
        <v>2324.36</v>
      </c>
      <c r="AF70" s="253">
        <v>-25.93</v>
      </c>
      <c r="AG70" s="252">
        <v>0</v>
      </c>
      <c r="AH70" s="252">
        <v>33.72</v>
      </c>
      <c r="AI70" s="252">
        <v>0</v>
      </c>
      <c r="AJ70" s="252">
        <v>45.13</v>
      </c>
      <c r="AK70" s="253">
        <v>-0.16</v>
      </c>
      <c r="AL70" s="252">
        <v>0</v>
      </c>
      <c r="AM70" s="252">
        <v>52.76</v>
      </c>
      <c r="AN70" s="252">
        <v>2271.6</v>
      </c>
    </row>
    <row r="71" spans="1:40" ht="15" customHeight="1">
      <c r="A71" s="191" t="s">
        <v>100</v>
      </c>
      <c r="B71" s="191" t="str">
        <f t="shared" si="6"/>
        <v>SI</v>
      </c>
      <c r="C71" s="245" t="s">
        <v>99</v>
      </c>
      <c r="D71" s="17" t="s">
        <v>100</v>
      </c>
      <c r="E71" s="39">
        <v>3750</v>
      </c>
      <c r="F71" s="39">
        <f>+FACTURACION!V71</f>
        <v>0</v>
      </c>
      <c r="G71" s="39">
        <f>+FACTURACION!U71</f>
        <v>24336.15</v>
      </c>
      <c r="H71" s="39">
        <v>0</v>
      </c>
      <c r="I71" s="39">
        <f t="shared" si="2"/>
        <v>28086.15</v>
      </c>
      <c r="J71" s="39">
        <v>0</v>
      </c>
      <c r="K71" s="39">
        <v>6610.5</v>
      </c>
      <c r="L71" s="39">
        <v>94.5</v>
      </c>
      <c r="M71" s="39">
        <f>+FACTURACION!AF71</f>
        <v>374.82</v>
      </c>
      <c r="N71" s="39">
        <f>+FACTURACION!AB71</f>
        <v>0</v>
      </c>
      <c r="O71" s="39">
        <v>0</v>
      </c>
      <c r="P71" s="39">
        <f>+FACTURACION!Z71</f>
        <v>0</v>
      </c>
      <c r="Q71" s="39">
        <f>+FACTURACION!X71</f>
        <v>45.13</v>
      </c>
      <c r="R71" s="39">
        <f>+FACTURACION!AD55</f>
        <v>0</v>
      </c>
      <c r="S71" s="39">
        <f t="shared" si="3"/>
        <v>7124.95</v>
      </c>
      <c r="T71" s="39">
        <f t="shared" si="4"/>
        <v>20961.2</v>
      </c>
      <c r="V71" s="55" t="s">
        <v>99</v>
      </c>
      <c r="W71" s="54" t="s">
        <v>100</v>
      </c>
      <c r="X71" s="48">
        <v>250</v>
      </c>
      <c r="Y71" s="244" t="b">
        <f t="shared" si="7"/>
        <v>1</v>
      </c>
      <c r="Z71" s="252">
        <f t="shared" si="5"/>
        <v>0</v>
      </c>
      <c r="AA71" s="245" t="s">
        <v>99</v>
      </c>
      <c r="AB71" s="244" t="s">
        <v>100</v>
      </c>
      <c r="AC71" s="252">
        <v>3750</v>
      </c>
      <c r="AD71" s="252">
        <v>24336.15</v>
      </c>
      <c r="AE71" s="252">
        <v>28086.15</v>
      </c>
      <c r="AF71" s="252">
        <v>0</v>
      </c>
      <c r="AG71" s="252">
        <v>6610.5</v>
      </c>
      <c r="AH71" s="252">
        <v>94.5</v>
      </c>
      <c r="AI71" s="252">
        <v>374.82</v>
      </c>
      <c r="AJ71" s="252">
        <v>45.13</v>
      </c>
      <c r="AK71" s="252">
        <v>0</v>
      </c>
      <c r="AL71" s="252">
        <v>0</v>
      </c>
      <c r="AM71" s="252">
        <v>7124.95</v>
      </c>
      <c r="AN71" s="252">
        <v>20961.2</v>
      </c>
    </row>
    <row r="72" spans="1:40" s="54" customFormat="1" ht="15" customHeight="1">
      <c r="A72" s="65" t="s">
        <v>308</v>
      </c>
      <c r="B72" s="191" t="str">
        <f t="shared" si="6"/>
        <v>SI</v>
      </c>
      <c r="C72" s="245" t="s">
        <v>328</v>
      </c>
      <c r="D72" s="17" t="s">
        <v>308</v>
      </c>
      <c r="E72" s="39">
        <v>3499.95</v>
      </c>
      <c r="F72" s="39">
        <f>+FACTURACION!V72</f>
        <v>0</v>
      </c>
      <c r="G72" s="39">
        <f>+FACTURACION!U72</f>
        <v>6100.42</v>
      </c>
      <c r="H72" s="39">
        <v>0</v>
      </c>
      <c r="I72" s="39">
        <f t="shared" si="2"/>
        <v>9600.369999999999</v>
      </c>
      <c r="J72" s="39">
        <v>0</v>
      </c>
      <c r="K72" s="39">
        <v>1503.38</v>
      </c>
      <c r="L72" s="39">
        <v>87.11</v>
      </c>
      <c r="M72" s="39">
        <f>+FACTURACION!AF72</f>
        <v>0</v>
      </c>
      <c r="N72" s="39">
        <f>+FACTURACION!AB72</f>
        <v>0</v>
      </c>
      <c r="O72" s="262">
        <v>-0.05</v>
      </c>
      <c r="P72" s="39">
        <f>+FACTURACION!Z72</f>
        <v>0</v>
      </c>
      <c r="Q72" s="39">
        <f>+FACTURACION!X72</f>
        <v>45.13</v>
      </c>
      <c r="R72" s="39">
        <f>+FACTURACION!AD56</f>
        <v>0</v>
      </c>
      <c r="S72" s="39">
        <f t="shared" si="3"/>
        <v>1635.5700000000002</v>
      </c>
      <c r="T72" s="39">
        <f t="shared" si="4"/>
        <v>7964.7999999999993</v>
      </c>
      <c r="U72" s="1"/>
      <c r="V72" s="51" t="s">
        <v>328</v>
      </c>
      <c r="W72" s="50" t="s">
        <v>329</v>
      </c>
      <c r="X72" s="48">
        <v>233.33333333333334</v>
      </c>
      <c r="Y72" s="244" t="b">
        <f t="shared" si="7"/>
        <v>1</v>
      </c>
      <c r="Z72" s="252">
        <f t="shared" si="5"/>
        <v>0</v>
      </c>
      <c r="AA72" s="245" t="s">
        <v>328</v>
      </c>
      <c r="AB72" s="244" t="s">
        <v>329</v>
      </c>
      <c r="AC72" s="252">
        <v>3499.95</v>
      </c>
      <c r="AD72" s="252">
        <v>6100.42</v>
      </c>
      <c r="AE72" s="252">
        <v>9600.3700000000008</v>
      </c>
      <c r="AF72" s="252">
        <v>0</v>
      </c>
      <c r="AG72" s="252">
        <v>1503.38</v>
      </c>
      <c r="AH72" s="252">
        <v>87.11</v>
      </c>
      <c r="AI72" s="252">
        <v>0</v>
      </c>
      <c r="AJ72" s="252">
        <v>45.13</v>
      </c>
      <c r="AK72" s="253">
        <v>-0.05</v>
      </c>
      <c r="AL72" s="252">
        <v>0</v>
      </c>
      <c r="AM72" s="252">
        <v>1635.57</v>
      </c>
      <c r="AN72" s="252">
        <v>7964.8</v>
      </c>
    </row>
    <row r="73" spans="1:40" s="7" customFormat="1" ht="15" customHeight="1">
      <c r="A73" s="231" t="s">
        <v>128</v>
      </c>
      <c r="B73" s="191" t="str">
        <f t="shared" si="6"/>
        <v>SI</v>
      </c>
      <c r="C73" s="245" t="s">
        <v>127</v>
      </c>
      <c r="D73" s="17" t="s">
        <v>128</v>
      </c>
      <c r="E73" s="39">
        <v>1200.5999999999999</v>
      </c>
      <c r="F73" s="39">
        <f>+FACTURACION!V73</f>
        <v>0</v>
      </c>
      <c r="G73" s="39">
        <f>+FACTURACION!U73</f>
        <v>5227.5</v>
      </c>
      <c r="H73" s="39">
        <v>0</v>
      </c>
      <c r="I73" s="39">
        <f t="shared" si="2"/>
        <v>6428.1</v>
      </c>
      <c r="J73" s="39">
        <v>0</v>
      </c>
      <c r="K73" s="39">
        <v>825.78</v>
      </c>
      <c r="L73" s="39">
        <v>119.77</v>
      </c>
      <c r="M73" s="39">
        <f>+FACTURACION!AF73</f>
        <v>775.27</v>
      </c>
      <c r="N73" s="39">
        <f>+FACTURACION!AB73</f>
        <v>0</v>
      </c>
      <c r="O73" s="262">
        <v>-0.05</v>
      </c>
      <c r="P73" s="39">
        <f>+FACTURACION!Z73</f>
        <v>1000</v>
      </c>
      <c r="Q73" s="39">
        <f>+FACTURACION!X73</f>
        <v>45.13</v>
      </c>
      <c r="R73" s="39">
        <f>+FACTURACION!AD75</f>
        <v>0</v>
      </c>
      <c r="S73" s="39">
        <f t="shared" si="3"/>
        <v>2765.9</v>
      </c>
      <c r="T73" s="39">
        <f t="shared" si="4"/>
        <v>3662.2000000000003</v>
      </c>
      <c r="U73" s="1"/>
      <c r="V73" s="55" t="s">
        <v>127</v>
      </c>
      <c r="W73" s="54" t="s">
        <v>128</v>
      </c>
      <c r="X73" s="48">
        <v>80</v>
      </c>
      <c r="Y73" s="244" t="b">
        <f t="shared" si="7"/>
        <v>1</v>
      </c>
      <c r="Z73" s="252">
        <f t="shared" si="5"/>
        <v>0</v>
      </c>
      <c r="AA73" s="245" t="s">
        <v>127</v>
      </c>
      <c r="AB73" s="244" t="s">
        <v>128</v>
      </c>
      <c r="AC73" s="252">
        <v>1200.5999999999999</v>
      </c>
      <c r="AD73" s="252">
        <v>5227.5</v>
      </c>
      <c r="AE73" s="252">
        <v>6428.1</v>
      </c>
      <c r="AF73" s="252">
        <v>0</v>
      </c>
      <c r="AG73" s="252">
        <v>825.78</v>
      </c>
      <c r="AH73" s="252">
        <v>119.77</v>
      </c>
      <c r="AI73" s="252">
        <v>775.27</v>
      </c>
      <c r="AJ73" s="252">
        <v>45.13</v>
      </c>
      <c r="AK73" s="253">
        <v>-0.05</v>
      </c>
      <c r="AL73" s="252">
        <v>1000</v>
      </c>
      <c r="AM73" s="252">
        <v>2765.9</v>
      </c>
      <c r="AN73" s="252">
        <v>3662.2</v>
      </c>
    </row>
    <row r="74" spans="1:40" ht="15" customHeight="1">
      <c r="A74" s="191" t="s">
        <v>102</v>
      </c>
      <c r="B74" s="191" t="str">
        <f t="shared" si="6"/>
        <v>SI</v>
      </c>
      <c r="C74" s="245" t="s">
        <v>101</v>
      </c>
      <c r="D74" s="17" t="s">
        <v>102</v>
      </c>
      <c r="E74" s="39">
        <v>3250.05</v>
      </c>
      <c r="F74" s="39">
        <f>+FACTURACION!V74</f>
        <v>0</v>
      </c>
      <c r="G74" s="39">
        <f>+FACTURACION!U74</f>
        <v>0</v>
      </c>
      <c r="H74" s="39">
        <v>0</v>
      </c>
      <c r="I74" s="39">
        <f t="shared" si="2"/>
        <v>3250.05</v>
      </c>
      <c r="J74" s="39">
        <v>0</v>
      </c>
      <c r="K74" s="39">
        <v>124.46</v>
      </c>
      <c r="L74" s="39">
        <v>80.680000000000007</v>
      </c>
      <c r="M74" s="39">
        <f>+FACTURACION!AF74</f>
        <v>0</v>
      </c>
      <c r="N74" s="39">
        <f>+FACTURACION!AB74</f>
        <v>0</v>
      </c>
      <c r="O74" s="262">
        <v>-0.02</v>
      </c>
      <c r="P74" s="39">
        <f>+FACTURACION!Z74</f>
        <v>0</v>
      </c>
      <c r="Q74" s="39">
        <f>+FACTURACION!X74</f>
        <v>45.13</v>
      </c>
      <c r="R74" s="39">
        <f>+FACTURACION!AD57</f>
        <v>0</v>
      </c>
      <c r="S74" s="39">
        <f t="shared" si="3"/>
        <v>250.24999999999997</v>
      </c>
      <c r="T74" s="39">
        <f t="shared" si="4"/>
        <v>2999.8</v>
      </c>
      <c r="U74" s="191"/>
      <c r="V74" s="55" t="s">
        <v>101</v>
      </c>
      <c r="W74" s="54" t="s">
        <v>102</v>
      </c>
      <c r="X74" s="48">
        <v>216.66666666666666</v>
      </c>
      <c r="Y74" s="244" t="b">
        <f t="shared" si="7"/>
        <v>1</v>
      </c>
      <c r="Z74" s="252">
        <f t="shared" si="5"/>
        <v>0</v>
      </c>
      <c r="AA74" s="245" t="s">
        <v>101</v>
      </c>
      <c r="AB74" s="244" t="s">
        <v>102</v>
      </c>
      <c r="AC74" s="252">
        <v>3250.05</v>
      </c>
      <c r="AD74" s="252">
        <v>0</v>
      </c>
      <c r="AE74" s="252">
        <v>3250.05</v>
      </c>
      <c r="AF74" s="252">
        <v>0</v>
      </c>
      <c r="AG74" s="252">
        <v>124.46</v>
      </c>
      <c r="AH74" s="252">
        <v>80.680000000000007</v>
      </c>
      <c r="AI74" s="252">
        <v>0</v>
      </c>
      <c r="AJ74" s="252">
        <v>45.13</v>
      </c>
      <c r="AK74" s="253">
        <v>-0.02</v>
      </c>
      <c r="AL74" s="252">
        <v>0</v>
      </c>
      <c r="AM74" s="252">
        <v>250.25</v>
      </c>
      <c r="AN74" s="252">
        <v>2999.8</v>
      </c>
    </row>
    <row r="75" spans="1:40" ht="15" customHeight="1">
      <c r="A75" s="231" t="s">
        <v>130</v>
      </c>
      <c r="B75" s="191" t="str">
        <f t="shared" si="6"/>
        <v>SI</v>
      </c>
      <c r="C75" s="245" t="s">
        <v>129</v>
      </c>
      <c r="D75" s="17" t="s">
        <v>130</v>
      </c>
      <c r="E75" s="39">
        <v>1120.56</v>
      </c>
      <c r="F75" s="39">
        <f>+FACTURACION!V75</f>
        <v>0</v>
      </c>
      <c r="G75" s="39">
        <f>+FACTURACION!U75</f>
        <v>2096</v>
      </c>
      <c r="H75" s="39">
        <v>0</v>
      </c>
      <c r="I75" s="39">
        <f t="shared" si="2"/>
        <v>3216.56</v>
      </c>
      <c r="J75" s="39">
        <v>0</v>
      </c>
      <c r="K75" s="39">
        <v>120.82</v>
      </c>
      <c r="L75" s="39">
        <v>75.64</v>
      </c>
      <c r="M75" s="39">
        <f>+FACTURACION!AF75</f>
        <v>300.04000000000002</v>
      </c>
      <c r="N75" s="39">
        <f>+FACTURACION!AB75</f>
        <v>0</v>
      </c>
      <c r="O75" s="262">
        <v>-7.0000000000000007E-2</v>
      </c>
      <c r="P75" s="39">
        <f>+FACTURACION!Z75</f>
        <v>0</v>
      </c>
      <c r="Q75" s="39">
        <f>+FACTURACION!X75</f>
        <v>45.13</v>
      </c>
      <c r="R75" s="39">
        <f>+FACTURACION!AD76</f>
        <v>0</v>
      </c>
      <c r="S75" s="39">
        <f t="shared" si="3"/>
        <v>541.56000000000006</v>
      </c>
      <c r="T75" s="39">
        <f t="shared" si="4"/>
        <v>2675</v>
      </c>
      <c r="U75" s="30"/>
      <c r="V75" s="62" t="s">
        <v>129</v>
      </c>
      <c r="W75" s="61" t="s">
        <v>130</v>
      </c>
      <c r="X75" s="48">
        <v>80</v>
      </c>
      <c r="Y75" s="244" t="b">
        <f t="shared" si="7"/>
        <v>1</v>
      </c>
      <c r="Z75" s="252">
        <f t="shared" si="5"/>
        <v>0</v>
      </c>
      <c r="AA75" s="245" t="s">
        <v>129</v>
      </c>
      <c r="AB75" s="244" t="s">
        <v>130</v>
      </c>
      <c r="AC75" s="252">
        <v>1120.56</v>
      </c>
      <c r="AD75" s="252">
        <v>2096</v>
      </c>
      <c r="AE75" s="252">
        <v>3216.56</v>
      </c>
      <c r="AF75" s="252">
        <v>0</v>
      </c>
      <c r="AG75" s="252">
        <v>120.82</v>
      </c>
      <c r="AH75" s="252">
        <v>75.64</v>
      </c>
      <c r="AI75" s="252">
        <v>300.04000000000002</v>
      </c>
      <c r="AJ75" s="252">
        <v>45.13</v>
      </c>
      <c r="AK75" s="253">
        <v>-7.0000000000000007E-2</v>
      </c>
      <c r="AL75" s="252">
        <v>0</v>
      </c>
      <c r="AM75" s="252">
        <v>541.55999999999995</v>
      </c>
      <c r="AN75" s="252">
        <v>2675</v>
      </c>
    </row>
    <row r="76" spans="1:40" s="7" customFormat="1" ht="15" customHeight="1">
      <c r="A76" s="65" t="s">
        <v>310</v>
      </c>
      <c r="B76" s="191" t="str">
        <f t="shared" si="6"/>
        <v>SI</v>
      </c>
      <c r="C76" s="177" t="s">
        <v>330</v>
      </c>
      <c r="D76" s="65" t="s">
        <v>310</v>
      </c>
      <c r="E76" s="39">
        <v>0</v>
      </c>
      <c r="F76" s="39">
        <f>+FACTURACION!V76</f>
        <v>0</v>
      </c>
      <c r="G76" s="39">
        <v>0</v>
      </c>
      <c r="H76" s="39">
        <v>0</v>
      </c>
      <c r="I76" s="39">
        <f t="shared" si="2"/>
        <v>0</v>
      </c>
      <c r="J76" s="39">
        <v>0</v>
      </c>
      <c r="K76" s="39">
        <v>0</v>
      </c>
      <c r="L76" s="39">
        <v>0</v>
      </c>
      <c r="M76" s="39">
        <f>+FACTURACION!AF76</f>
        <v>0</v>
      </c>
      <c r="N76" s="39">
        <f>+FACTURACION!AB76</f>
        <v>0</v>
      </c>
      <c r="O76" s="262">
        <v>0</v>
      </c>
      <c r="P76" s="39">
        <f>+FACTURACION!Z76</f>
        <v>0</v>
      </c>
      <c r="Q76" s="39">
        <f>+FACTURACION!X76</f>
        <v>0</v>
      </c>
      <c r="R76" s="39">
        <v>0</v>
      </c>
      <c r="S76" s="39">
        <f t="shared" si="3"/>
        <v>0</v>
      </c>
      <c r="T76" s="39">
        <f t="shared" si="4"/>
        <v>0</v>
      </c>
      <c r="U76" s="43" t="s">
        <v>358</v>
      </c>
      <c r="V76" s="62" t="s">
        <v>330</v>
      </c>
      <c r="W76" s="61" t="s">
        <v>331</v>
      </c>
      <c r="X76" s="241" t="s">
        <v>358</v>
      </c>
      <c r="Y76" s="244" t="b">
        <f t="shared" si="7"/>
        <v>0</v>
      </c>
      <c r="Z76" s="252">
        <f t="shared" si="5"/>
        <v>0</v>
      </c>
    </row>
    <row r="77" spans="1:40">
      <c r="B77" s="191"/>
      <c r="C77" s="192"/>
      <c r="D77" s="191"/>
      <c r="E77" s="264" t="s">
        <v>104</v>
      </c>
      <c r="F77" s="264" t="s">
        <v>104</v>
      </c>
      <c r="G77" s="264" t="s">
        <v>104</v>
      </c>
      <c r="H77" s="264" t="s">
        <v>104</v>
      </c>
      <c r="I77" s="264" t="s">
        <v>104</v>
      </c>
      <c r="J77" s="264" t="s">
        <v>104</v>
      </c>
      <c r="K77" s="264" t="s">
        <v>104</v>
      </c>
      <c r="L77" s="264" t="s">
        <v>104</v>
      </c>
      <c r="M77" s="264" t="s">
        <v>104</v>
      </c>
      <c r="N77" s="264" t="s">
        <v>104</v>
      </c>
      <c r="O77" s="264" t="s">
        <v>104</v>
      </c>
      <c r="P77" s="264" t="s">
        <v>104</v>
      </c>
      <c r="Q77" s="264" t="s">
        <v>104</v>
      </c>
      <c r="R77" s="264" t="s">
        <v>104</v>
      </c>
      <c r="S77" s="264" t="s">
        <v>104</v>
      </c>
      <c r="T77" s="264" t="s">
        <v>104</v>
      </c>
      <c r="V77" s="191"/>
      <c r="W77" s="54"/>
      <c r="Y77" s="244"/>
      <c r="AA77" s="254"/>
      <c r="AB77" s="246"/>
      <c r="AC77" s="246"/>
      <c r="AD77" s="246"/>
      <c r="AE77" s="246"/>
      <c r="AF77" s="246"/>
      <c r="AG77" s="246"/>
      <c r="AH77" s="246"/>
      <c r="AI77" s="246"/>
      <c r="AJ77" s="246"/>
      <c r="AK77" s="246"/>
      <c r="AL77" s="246"/>
      <c r="AM77" s="246"/>
      <c r="AN77" s="246"/>
    </row>
    <row r="78" spans="1:40" s="191" customFormat="1" ht="15.75">
      <c r="C78" s="177"/>
      <c r="D78" s="65"/>
      <c r="E78" s="39">
        <f t="shared" ref="E78:T78" si="8">SUM(E12:E76)</f>
        <v>250678.16000000006</v>
      </c>
      <c r="F78" s="39">
        <f t="shared" si="8"/>
        <v>0</v>
      </c>
      <c r="G78" s="39">
        <f t="shared" si="8"/>
        <v>1275150.0699999998</v>
      </c>
      <c r="H78" s="39">
        <f t="shared" si="8"/>
        <v>0</v>
      </c>
      <c r="I78" s="39">
        <f t="shared" si="8"/>
        <v>1525828.2300000011</v>
      </c>
      <c r="J78" s="39">
        <f t="shared" si="8"/>
        <v>-150.06</v>
      </c>
      <c r="K78" s="39">
        <f t="shared" si="8"/>
        <v>418243.12</v>
      </c>
      <c r="L78" s="39">
        <f t="shared" si="8"/>
        <v>7468.1100000000033</v>
      </c>
      <c r="M78" s="39">
        <f t="shared" si="8"/>
        <v>17456.939999999999</v>
      </c>
      <c r="N78" s="39">
        <f t="shared" si="8"/>
        <v>108.1</v>
      </c>
      <c r="O78" s="39">
        <f t="shared" si="8"/>
        <v>5.0000000000000058E-2</v>
      </c>
      <c r="P78" s="39">
        <f t="shared" si="8"/>
        <v>7659.04</v>
      </c>
      <c r="Q78" s="39">
        <f t="shared" si="8"/>
        <v>2752.9300000000039</v>
      </c>
      <c r="R78" s="39">
        <f t="shared" si="8"/>
        <v>0</v>
      </c>
      <c r="S78" s="39">
        <f t="shared" si="8"/>
        <v>453538.23</v>
      </c>
      <c r="T78" s="39">
        <f t="shared" si="8"/>
        <v>1072290.0000000002</v>
      </c>
      <c r="V78" s="192"/>
      <c r="Y78" s="244"/>
      <c r="Z78" s="244"/>
      <c r="AA78" s="243"/>
      <c r="AB78" s="243"/>
      <c r="AC78" s="255"/>
      <c r="AD78" s="255"/>
      <c r="AE78" s="255"/>
      <c r="AF78" s="256"/>
      <c r="AG78" s="255"/>
      <c r="AH78" s="255"/>
      <c r="AI78" s="255"/>
      <c r="AJ78" s="255"/>
      <c r="AK78" s="256"/>
      <c r="AL78" s="255"/>
      <c r="AM78" s="255"/>
      <c r="AN78" s="255"/>
    </row>
    <row r="79" spans="1:40" s="191" customFormat="1" ht="15.75">
      <c r="C79" s="177"/>
      <c r="D79" s="65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262"/>
      <c r="P79" s="39"/>
      <c r="Q79" s="39"/>
      <c r="R79" s="39"/>
      <c r="S79" s="39"/>
      <c r="T79" s="39"/>
      <c r="V79" s="192"/>
      <c r="Y79" s="244"/>
      <c r="Z79" s="244"/>
      <c r="AA79" s="244"/>
      <c r="AB79" s="244"/>
      <c r="AC79" s="244"/>
      <c r="AD79" s="244"/>
      <c r="AE79" s="244"/>
      <c r="AF79" s="244"/>
      <c r="AG79" s="244"/>
      <c r="AH79" s="244"/>
      <c r="AI79" s="244"/>
      <c r="AJ79" s="244"/>
      <c r="AK79" s="244"/>
      <c r="AL79" s="244"/>
      <c r="AM79" s="244"/>
      <c r="AN79" s="244"/>
    </row>
    <row r="80" spans="1:40" s="191" customFormat="1" ht="15.75">
      <c r="C80" s="177"/>
      <c r="D80" s="65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262"/>
      <c r="P80" s="39"/>
      <c r="Q80" s="39"/>
      <c r="R80" s="39"/>
      <c r="S80" s="39"/>
      <c r="T80" s="39"/>
      <c r="V80" s="192"/>
      <c r="Y80" s="244"/>
      <c r="Z80" s="244"/>
      <c r="AA80" s="251"/>
      <c r="AB80" s="243"/>
      <c r="AC80" s="243"/>
      <c r="AD80" s="243"/>
      <c r="AE80" s="243"/>
      <c r="AF80" s="243"/>
      <c r="AG80" s="243"/>
      <c r="AH80" s="243"/>
      <c r="AI80" s="243"/>
      <c r="AJ80" s="243"/>
      <c r="AK80" s="243"/>
      <c r="AL80" s="243"/>
      <c r="AM80" s="243"/>
      <c r="AN80" s="243"/>
    </row>
    <row r="81" spans="1:40" ht="15" customHeight="1">
      <c r="C81" s="62" t="s">
        <v>120</v>
      </c>
      <c r="D81" s="191" t="s">
        <v>121</v>
      </c>
      <c r="E81" s="39">
        <v>1750.05</v>
      </c>
      <c r="F81" s="39">
        <f>+FACTURACION!V81</f>
        <v>0</v>
      </c>
      <c r="G81" s="266">
        <f>+FACTURACION!U81</f>
        <v>6467.01</v>
      </c>
      <c r="H81" s="39">
        <v>0</v>
      </c>
      <c r="I81" s="39">
        <f>SUM(E81:H81)</f>
        <v>8217.06</v>
      </c>
      <c r="J81" s="39">
        <v>0</v>
      </c>
      <c r="K81" s="39">
        <v>1207.9000000000001</v>
      </c>
      <c r="L81" s="39">
        <v>139.80000000000001</v>
      </c>
      <c r="M81" s="266">
        <f>+FACTURACION!AF81</f>
        <v>4000</v>
      </c>
      <c r="N81" s="39">
        <f>+FACTURACION!AF82</f>
        <v>0</v>
      </c>
      <c r="O81" s="262">
        <v>-0.04</v>
      </c>
      <c r="P81" s="39">
        <f>+FACTURACION!Y82</f>
        <v>0</v>
      </c>
      <c r="Q81" s="39">
        <f>+FACTURACION!W82</f>
        <v>0</v>
      </c>
      <c r="R81" s="39">
        <f>+FACTURACION!AD82</f>
        <v>0</v>
      </c>
      <c r="S81" s="39">
        <f>SUM(J81:R81)</f>
        <v>5347.66</v>
      </c>
      <c r="T81" s="39">
        <f>+I81-S81</f>
        <v>2869.3999999999996</v>
      </c>
      <c r="U81" s="54"/>
      <c r="V81" s="62" t="s">
        <v>120</v>
      </c>
      <c r="W81" s="61" t="s">
        <v>121</v>
      </c>
      <c r="AA81" s="245" t="s">
        <v>120</v>
      </c>
      <c r="AB81" s="244" t="s">
        <v>121</v>
      </c>
      <c r="AC81" s="252">
        <v>1750.05</v>
      </c>
      <c r="AD81" s="252">
        <v>0</v>
      </c>
      <c r="AE81" s="252">
        <v>1750.05</v>
      </c>
      <c r="AF81" s="253">
        <v>-87.68</v>
      </c>
      <c r="AG81" s="252">
        <v>0</v>
      </c>
      <c r="AH81" s="252">
        <v>139.80000000000001</v>
      </c>
      <c r="AI81" s="252">
        <v>0</v>
      </c>
      <c r="AJ81" s="252">
        <v>0</v>
      </c>
      <c r="AK81" s="253">
        <v>-7.0000000000000007E-2</v>
      </c>
      <c r="AL81" s="252">
        <v>0</v>
      </c>
      <c r="AM81" s="252">
        <v>52.05</v>
      </c>
      <c r="AN81" s="252">
        <v>1698</v>
      </c>
    </row>
    <row r="82" spans="1:40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</row>
    <row r="83" spans="1:40">
      <c r="A83" s="30"/>
      <c r="C83" s="13" t="s">
        <v>103</v>
      </c>
      <c r="D83" s="7"/>
      <c r="E83" s="264" t="s">
        <v>104</v>
      </c>
      <c r="F83" s="264" t="s">
        <v>104</v>
      </c>
      <c r="G83" s="264" t="s">
        <v>104</v>
      </c>
      <c r="H83" s="264" t="s">
        <v>104</v>
      </c>
      <c r="I83" s="264" t="s">
        <v>104</v>
      </c>
      <c r="J83" s="264" t="s">
        <v>104</v>
      </c>
      <c r="K83" s="264" t="s">
        <v>104</v>
      </c>
      <c r="L83" s="264" t="s">
        <v>104</v>
      </c>
      <c r="M83" s="264" t="s">
        <v>104</v>
      </c>
      <c r="N83" s="264" t="s">
        <v>104</v>
      </c>
      <c r="O83" s="264" t="s">
        <v>104</v>
      </c>
      <c r="P83" s="264" t="s">
        <v>104</v>
      </c>
      <c r="Q83" s="264" t="s">
        <v>104</v>
      </c>
      <c r="R83" s="264" t="s">
        <v>104</v>
      </c>
      <c r="S83" s="264" t="s">
        <v>104</v>
      </c>
      <c r="T83" s="264" t="s">
        <v>104</v>
      </c>
    </row>
    <row r="84" spans="1:40">
      <c r="A84" s="191" t="s">
        <v>132</v>
      </c>
      <c r="E84" s="265">
        <f>SUM(E81)</f>
        <v>1750.05</v>
      </c>
      <c r="F84" s="265">
        <f t="shared" ref="F84:T84" si="9">SUM(F81)</f>
        <v>0</v>
      </c>
      <c r="G84" s="265">
        <f t="shared" si="9"/>
        <v>6467.01</v>
      </c>
      <c r="H84" s="265">
        <f t="shared" si="9"/>
        <v>0</v>
      </c>
      <c r="I84" s="265">
        <f t="shared" si="9"/>
        <v>8217.06</v>
      </c>
      <c r="J84" s="265">
        <f t="shared" si="9"/>
        <v>0</v>
      </c>
      <c r="K84" s="265">
        <f t="shared" si="9"/>
        <v>1207.9000000000001</v>
      </c>
      <c r="L84" s="265">
        <f t="shared" si="9"/>
        <v>139.80000000000001</v>
      </c>
      <c r="M84" s="265">
        <f t="shared" si="9"/>
        <v>4000</v>
      </c>
      <c r="N84" s="265">
        <f t="shared" si="9"/>
        <v>0</v>
      </c>
      <c r="O84" s="265">
        <f t="shared" si="9"/>
        <v>-0.04</v>
      </c>
      <c r="P84" s="265">
        <f t="shared" si="9"/>
        <v>0</v>
      </c>
      <c r="Q84" s="265">
        <f t="shared" si="9"/>
        <v>0</v>
      </c>
      <c r="R84" s="265">
        <f t="shared" si="9"/>
        <v>0</v>
      </c>
      <c r="S84" s="265">
        <f t="shared" si="9"/>
        <v>5347.66</v>
      </c>
      <c r="T84" s="265">
        <f t="shared" si="9"/>
        <v>2869.3999999999996</v>
      </c>
    </row>
    <row r="85" spans="1:40"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</row>
    <row r="86" spans="1:40">
      <c r="C86" s="191"/>
      <c r="D86" s="191"/>
      <c r="E86" s="264" t="s">
        <v>104</v>
      </c>
      <c r="F86" s="264" t="s">
        <v>104</v>
      </c>
      <c r="G86" s="264" t="s">
        <v>104</v>
      </c>
      <c r="H86" s="264" t="s">
        <v>104</v>
      </c>
      <c r="I86" s="264" t="s">
        <v>104</v>
      </c>
      <c r="J86" s="264" t="s">
        <v>104</v>
      </c>
      <c r="K86" s="264" t="s">
        <v>104</v>
      </c>
      <c r="L86" s="264" t="s">
        <v>104</v>
      </c>
      <c r="M86" s="264" t="s">
        <v>104</v>
      </c>
      <c r="N86" s="264" t="s">
        <v>104</v>
      </c>
      <c r="O86" s="264" t="s">
        <v>104</v>
      </c>
      <c r="P86" s="264" t="s">
        <v>104</v>
      </c>
      <c r="Q86" s="264" t="s">
        <v>104</v>
      </c>
      <c r="R86" s="264" t="s">
        <v>104</v>
      </c>
      <c r="S86" s="264" t="s">
        <v>104</v>
      </c>
      <c r="T86" s="264" t="s">
        <v>104</v>
      </c>
    </row>
    <row r="87" spans="1:40">
      <c r="A87" s="23"/>
      <c r="C87" s="191"/>
      <c r="D87" s="191"/>
      <c r="E87" s="39">
        <f>+E78+E84</f>
        <v>252428.21000000005</v>
      </c>
      <c r="F87" s="39">
        <f t="shared" ref="F87:T87" si="10">+F78+F84</f>
        <v>0</v>
      </c>
      <c r="G87" s="39">
        <f t="shared" si="10"/>
        <v>1281617.0799999998</v>
      </c>
      <c r="H87" s="39">
        <f t="shared" si="10"/>
        <v>0</v>
      </c>
      <c r="I87" s="39">
        <f t="shared" si="10"/>
        <v>1534045.2900000012</v>
      </c>
      <c r="J87" s="39">
        <f t="shared" si="10"/>
        <v>-150.06</v>
      </c>
      <c r="K87" s="39">
        <f t="shared" si="10"/>
        <v>419451.02</v>
      </c>
      <c r="L87" s="39">
        <f t="shared" si="10"/>
        <v>7607.9100000000035</v>
      </c>
      <c r="M87" s="39">
        <f t="shared" si="10"/>
        <v>21456.94</v>
      </c>
      <c r="N87" s="39">
        <f t="shared" si="10"/>
        <v>108.1</v>
      </c>
      <c r="O87" s="39">
        <f t="shared" si="10"/>
        <v>1.0000000000000057E-2</v>
      </c>
      <c r="P87" s="39">
        <f t="shared" si="10"/>
        <v>7659.04</v>
      </c>
      <c r="Q87" s="39">
        <f t="shared" si="10"/>
        <v>2752.9300000000039</v>
      </c>
      <c r="R87" s="39">
        <f t="shared" si="10"/>
        <v>0</v>
      </c>
      <c r="S87" s="39">
        <f t="shared" si="10"/>
        <v>458885.88999999996</v>
      </c>
      <c r="T87" s="39">
        <f t="shared" si="10"/>
        <v>1075159.4000000001</v>
      </c>
      <c r="U87" s="191"/>
    </row>
    <row r="88" spans="1:40"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O88" s="191"/>
      <c r="P88" s="191"/>
      <c r="Q88" s="191"/>
      <c r="R88" s="191"/>
      <c r="S88" s="191"/>
      <c r="T88" s="191"/>
      <c r="U88" s="191"/>
    </row>
    <row r="89" spans="1:40">
      <c r="E89" s="1" t="s">
        <v>132</v>
      </c>
      <c r="G89" s="1" t="s">
        <v>132</v>
      </c>
      <c r="I89" s="1" t="s">
        <v>132</v>
      </c>
      <c r="J89" s="1" t="s">
        <v>132</v>
      </c>
      <c r="K89" s="1" t="s">
        <v>132</v>
      </c>
      <c r="L89" s="1" t="s">
        <v>132</v>
      </c>
      <c r="M89" s="1" t="s">
        <v>132</v>
      </c>
      <c r="O89" s="1" t="s">
        <v>132</v>
      </c>
      <c r="P89" s="1" t="s">
        <v>132</v>
      </c>
      <c r="S89" s="1" t="s">
        <v>132</v>
      </c>
      <c r="T89" s="63"/>
    </row>
    <row r="90" spans="1:40">
      <c r="C90" s="2" t="s">
        <v>132</v>
      </c>
      <c r="D90" s="1" t="s">
        <v>132</v>
      </c>
      <c r="E90" s="14"/>
      <c r="F90" s="34"/>
      <c r="G90" s="14"/>
      <c r="H90" s="34"/>
      <c r="I90" s="14"/>
      <c r="J90" s="14"/>
      <c r="K90" s="14"/>
      <c r="L90" s="14"/>
      <c r="M90" s="14"/>
      <c r="N90" s="34"/>
      <c r="O90" s="14"/>
      <c r="P90" s="14"/>
      <c r="Q90" s="34"/>
      <c r="R90" s="34"/>
      <c r="S90" s="14"/>
      <c r="T90" s="63"/>
    </row>
  </sheetData>
  <sortState ref="AA28:AN80">
    <sortCondition ref="AB28:AB80"/>
  </sortState>
  <mergeCells count="1">
    <mergeCell ref="D1:E1"/>
  </mergeCells>
  <pageMargins left="0.31496062992125984" right="0.31496062992125984" top="0.19685039370078741" bottom="0.15748031496062992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0"/>
  <sheetViews>
    <sheetView topLeftCell="B49" workbookViewId="0">
      <selection activeCell="D70" sqref="D70"/>
    </sheetView>
  </sheetViews>
  <sheetFormatPr baseColWidth="10" defaultRowHeight="15"/>
  <cols>
    <col min="2" max="2" width="14.28515625" customWidth="1"/>
    <col min="3" max="3" width="18.85546875" bestFit="1" customWidth="1"/>
    <col min="4" max="4" width="19.5703125" bestFit="1" customWidth="1"/>
    <col min="5" max="5" width="40.140625" bestFit="1" customWidth="1"/>
  </cols>
  <sheetData>
    <row r="1" spans="1:5">
      <c r="A1" s="271" t="s">
        <v>0</v>
      </c>
      <c r="B1" s="270"/>
      <c r="C1" s="270"/>
      <c r="D1" s="270"/>
      <c r="E1" s="270"/>
    </row>
    <row r="2" spans="1:5">
      <c r="A2" s="272" t="s">
        <v>1</v>
      </c>
      <c r="B2" s="270"/>
      <c r="C2" s="270"/>
      <c r="D2" s="270"/>
      <c r="E2" s="270"/>
    </row>
    <row r="3" spans="1:5" ht="23.25">
      <c r="A3" s="274" t="s">
        <v>2</v>
      </c>
      <c r="B3" s="273"/>
      <c r="C3" s="275"/>
      <c r="D3" s="273"/>
      <c r="E3" s="273"/>
    </row>
    <row r="4" spans="1:5" ht="15.75">
      <c r="A4" s="276" t="s">
        <v>377</v>
      </c>
      <c r="B4" s="273"/>
      <c r="C4" s="273"/>
      <c r="D4" s="273"/>
      <c r="E4" s="273"/>
    </row>
    <row r="6" spans="1:5">
      <c r="A6" s="277"/>
      <c r="B6" s="277"/>
      <c r="C6" s="277"/>
      <c r="D6" s="277"/>
      <c r="E6" s="277"/>
    </row>
    <row r="7" spans="1:5">
      <c r="A7" s="278"/>
      <c r="B7" s="278"/>
      <c r="C7" s="278"/>
      <c r="D7" s="278"/>
      <c r="E7" s="278"/>
    </row>
    <row r="8" spans="1:5">
      <c r="A8" s="279" t="s">
        <v>370</v>
      </c>
      <c r="B8" s="279" t="s">
        <v>163</v>
      </c>
      <c r="C8" s="279" t="s">
        <v>371</v>
      </c>
      <c r="D8" s="280" t="s">
        <v>372</v>
      </c>
      <c r="E8" s="279" t="s">
        <v>137</v>
      </c>
    </row>
    <row r="9" spans="1:5">
      <c r="A9" s="281" t="s">
        <v>22</v>
      </c>
      <c r="B9" s="270">
        <v>2744500016</v>
      </c>
      <c r="C9" s="270" t="s">
        <v>373</v>
      </c>
      <c r="D9" s="270">
        <v>16835.400000000001</v>
      </c>
      <c r="E9" s="270" t="s">
        <v>23</v>
      </c>
    </row>
    <row r="10" spans="1:5">
      <c r="A10" s="281" t="s">
        <v>24</v>
      </c>
      <c r="B10" s="270">
        <v>2858200513</v>
      </c>
      <c r="C10" s="270" t="s">
        <v>373</v>
      </c>
      <c r="D10" s="270">
        <v>5392.2000000000007</v>
      </c>
      <c r="E10" s="270" t="s">
        <v>25</v>
      </c>
    </row>
    <row r="11" spans="1:5">
      <c r="A11" s="281" t="s">
        <v>335</v>
      </c>
      <c r="B11" s="270">
        <v>2774820320</v>
      </c>
      <c r="C11" s="270" t="s">
        <v>373</v>
      </c>
      <c r="D11" s="270">
        <v>15168</v>
      </c>
      <c r="E11" s="270" t="s">
        <v>336</v>
      </c>
    </row>
    <row r="12" spans="1:5">
      <c r="A12" s="281" t="s">
        <v>26</v>
      </c>
      <c r="B12" s="270">
        <v>2887403623</v>
      </c>
      <c r="C12" s="270" t="s">
        <v>373</v>
      </c>
      <c r="D12" s="270">
        <v>5368.6</v>
      </c>
      <c r="E12" s="270" t="s">
        <v>27</v>
      </c>
    </row>
    <row r="13" spans="1:5">
      <c r="A13" s="281" t="s">
        <v>28</v>
      </c>
      <c r="B13" s="270">
        <v>2903220311</v>
      </c>
      <c r="C13" s="270" t="s">
        <v>373</v>
      </c>
      <c r="D13" s="270">
        <v>15300.6</v>
      </c>
      <c r="E13" s="270" t="s">
        <v>29</v>
      </c>
    </row>
    <row r="14" spans="1:5">
      <c r="A14" s="281" t="s">
        <v>30</v>
      </c>
      <c r="B14" s="270">
        <v>2871175246</v>
      </c>
      <c r="C14" s="270" t="s">
        <v>373</v>
      </c>
      <c r="D14" s="270">
        <v>6196.6</v>
      </c>
      <c r="E14" s="270" t="s">
        <v>31</v>
      </c>
    </row>
    <row r="15" spans="1:5">
      <c r="A15" s="281" t="s">
        <v>32</v>
      </c>
      <c r="B15" s="270">
        <v>2852539802</v>
      </c>
      <c r="C15" s="270" t="s">
        <v>373</v>
      </c>
      <c r="D15" s="270">
        <v>2630</v>
      </c>
      <c r="E15" s="270" t="s">
        <v>33</v>
      </c>
    </row>
    <row r="16" spans="1:5">
      <c r="A16" s="281" t="s">
        <v>36</v>
      </c>
      <c r="B16" s="270">
        <v>2972862034</v>
      </c>
      <c r="C16" s="270" t="s">
        <v>373</v>
      </c>
      <c r="D16" s="270">
        <v>1648.8</v>
      </c>
      <c r="E16" s="270" t="s">
        <v>37</v>
      </c>
    </row>
    <row r="17" spans="1:5">
      <c r="A17" s="281" t="s">
        <v>38</v>
      </c>
      <c r="B17" s="270">
        <v>2693866491</v>
      </c>
      <c r="C17" s="270" t="s">
        <v>373</v>
      </c>
      <c r="D17" s="270">
        <v>33841.200000000004</v>
      </c>
      <c r="E17" s="270" t="s">
        <v>39</v>
      </c>
    </row>
    <row r="18" spans="1:5">
      <c r="A18" s="281" t="s">
        <v>40</v>
      </c>
      <c r="B18" s="270">
        <v>1143805395</v>
      </c>
      <c r="C18" s="270" t="s">
        <v>373</v>
      </c>
      <c r="D18" s="270">
        <v>3974.8</v>
      </c>
      <c r="E18" s="270" t="s">
        <v>41</v>
      </c>
    </row>
    <row r="19" spans="1:5">
      <c r="A19" s="281" t="s">
        <v>42</v>
      </c>
      <c r="B19" s="270">
        <v>1165894999</v>
      </c>
      <c r="C19" s="270" t="s">
        <v>373</v>
      </c>
      <c r="D19" s="270">
        <v>3105.4</v>
      </c>
      <c r="E19" s="270" t="s">
        <v>43</v>
      </c>
    </row>
    <row r="20" spans="1:5">
      <c r="A20" s="281" t="s">
        <v>44</v>
      </c>
      <c r="B20" s="270">
        <v>1256980872</v>
      </c>
      <c r="C20" s="270" t="s">
        <v>373</v>
      </c>
      <c r="D20" s="270">
        <v>139945.60000000001</v>
      </c>
      <c r="E20" s="270" t="s">
        <v>45</v>
      </c>
    </row>
    <row r="21" spans="1:5">
      <c r="A21" s="281" t="s">
        <v>324</v>
      </c>
      <c r="B21" s="270">
        <v>1501459155</v>
      </c>
      <c r="C21" s="270" t="s">
        <v>373</v>
      </c>
      <c r="D21" s="270">
        <v>5520.2000000000007</v>
      </c>
      <c r="E21" s="270" t="s">
        <v>325</v>
      </c>
    </row>
    <row r="22" spans="1:5">
      <c r="A22" s="281" t="s">
        <v>322</v>
      </c>
      <c r="B22" s="270">
        <v>1500835080</v>
      </c>
      <c r="C22" s="270" t="s">
        <v>373</v>
      </c>
      <c r="D22" s="270">
        <v>5520.2000000000007</v>
      </c>
      <c r="E22" s="270" t="s">
        <v>323</v>
      </c>
    </row>
    <row r="23" spans="1:5">
      <c r="A23" s="281" t="s">
        <v>46</v>
      </c>
      <c r="B23" s="270">
        <v>2903153908</v>
      </c>
      <c r="C23" s="270" t="s">
        <v>373</v>
      </c>
      <c r="D23" s="270">
        <v>16039.6</v>
      </c>
      <c r="E23" s="270" t="s">
        <v>47</v>
      </c>
    </row>
    <row r="24" spans="1:5">
      <c r="A24" s="281" t="s">
        <v>105</v>
      </c>
      <c r="B24" s="270">
        <v>1132634759</v>
      </c>
      <c r="C24" s="270" t="s">
        <v>373</v>
      </c>
      <c r="D24" s="270">
        <v>3098</v>
      </c>
      <c r="E24" s="270" t="s">
        <v>297</v>
      </c>
    </row>
    <row r="25" spans="1:5">
      <c r="A25" s="281" t="s">
        <v>106</v>
      </c>
      <c r="B25" s="270">
        <v>1167104413</v>
      </c>
      <c r="C25" s="270" t="s">
        <v>373</v>
      </c>
      <c r="D25" s="270">
        <v>3435</v>
      </c>
      <c r="E25" s="270" t="s">
        <v>107</v>
      </c>
    </row>
    <row r="26" spans="1:5">
      <c r="A26" s="281" t="s">
        <v>108</v>
      </c>
      <c r="B26" s="270">
        <v>1155298938</v>
      </c>
      <c r="C26" s="270" t="s">
        <v>373</v>
      </c>
      <c r="D26" s="270">
        <v>3239.8</v>
      </c>
      <c r="E26" s="270" t="s">
        <v>109</v>
      </c>
    </row>
    <row r="27" spans="1:5">
      <c r="A27" s="281" t="s">
        <v>48</v>
      </c>
      <c r="B27" s="270">
        <v>2885831555</v>
      </c>
      <c r="C27" s="270" t="s">
        <v>373</v>
      </c>
      <c r="D27" s="270">
        <v>27466.2</v>
      </c>
      <c r="E27" s="270" t="s">
        <v>49</v>
      </c>
    </row>
    <row r="28" spans="1:5">
      <c r="A28" s="281" t="s">
        <v>50</v>
      </c>
      <c r="B28" s="270">
        <v>2984454235</v>
      </c>
      <c r="C28" s="270" t="s">
        <v>373</v>
      </c>
      <c r="D28" s="270">
        <v>390204.4</v>
      </c>
      <c r="E28" s="270" t="s">
        <v>295</v>
      </c>
    </row>
    <row r="29" spans="1:5">
      <c r="A29" s="281" t="s">
        <v>51</v>
      </c>
      <c r="B29" s="270">
        <v>2849681825</v>
      </c>
      <c r="C29" s="270" t="s">
        <v>373</v>
      </c>
      <c r="D29" s="270">
        <v>10145</v>
      </c>
      <c r="E29" s="270" t="s">
        <v>52</v>
      </c>
    </row>
    <row r="30" spans="1:5">
      <c r="A30" s="281" t="s">
        <v>53</v>
      </c>
      <c r="B30" s="270">
        <v>2606499058</v>
      </c>
      <c r="C30" s="270" t="s">
        <v>373</v>
      </c>
      <c r="D30" s="270">
        <v>23658</v>
      </c>
      <c r="E30" s="270" t="s">
        <v>54</v>
      </c>
    </row>
    <row r="31" spans="1:5">
      <c r="A31" s="281" t="s">
        <v>55</v>
      </c>
      <c r="B31" s="270">
        <v>2745564778</v>
      </c>
      <c r="C31" s="270" t="s">
        <v>373</v>
      </c>
      <c r="D31" s="270">
        <v>19976.800000000003</v>
      </c>
      <c r="E31" s="270" t="s">
        <v>56</v>
      </c>
    </row>
    <row r="32" spans="1:5">
      <c r="A32" s="281" t="s">
        <v>361</v>
      </c>
      <c r="B32" s="270">
        <v>2896740960</v>
      </c>
      <c r="C32" s="270" t="s">
        <v>373</v>
      </c>
      <c r="D32" s="270">
        <v>2843.6000000000004</v>
      </c>
      <c r="E32" s="270" t="s">
        <v>367</v>
      </c>
    </row>
    <row r="33" spans="1:5">
      <c r="A33" s="281" t="s">
        <v>57</v>
      </c>
      <c r="B33" s="270">
        <v>2948180032</v>
      </c>
      <c r="C33" s="270" t="s">
        <v>373</v>
      </c>
      <c r="D33" s="270">
        <v>3301.4</v>
      </c>
      <c r="E33" s="270" t="s">
        <v>58</v>
      </c>
    </row>
    <row r="34" spans="1:5">
      <c r="A34" s="281" t="s">
        <v>110</v>
      </c>
      <c r="B34" s="270">
        <v>1168261504</v>
      </c>
      <c r="C34" s="270" t="s">
        <v>373</v>
      </c>
      <c r="D34" s="270">
        <v>2596.4</v>
      </c>
      <c r="E34" s="270" t="s">
        <v>111</v>
      </c>
    </row>
    <row r="35" spans="1:5">
      <c r="A35" s="281" t="s">
        <v>112</v>
      </c>
      <c r="B35" s="270">
        <v>1147943679</v>
      </c>
      <c r="C35" s="270" t="s">
        <v>373</v>
      </c>
      <c r="D35" s="270">
        <v>3240.6000000000004</v>
      </c>
      <c r="E35" s="270" t="s">
        <v>113</v>
      </c>
    </row>
    <row r="36" spans="1:5">
      <c r="A36" s="281" t="s">
        <v>59</v>
      </c>
      <c r="B36" s="270">
        <v>2990259950</v>
      </c>
      <c r="C36" s="270" t="s">
        <v>373</v>
      </c>
      <c r="D36" s="270">
        <v>5392.4000000000005</v>
      </c>
      <c r="E36" s="270" t="s">
        <v>60</v>
      </c>
    </row>
    <row r="37" spans="1:5">
      <c r="A37" s="281" t="s">
        <v>61</v>
      </c>
      <c r="B37" s="270">
        <v>1127295456</v>
      </c>
      <c r="C37" s="270" t="s">
        <v>373</v>
      </c>
      <c r="D37" s="270">
        <v>1967.2</v>
      </c>
      <c r="E37" s="270" t="s">
        <v>62</v>
      </c>
    </row>
    <row r="38" spans="1:5">
      <c r="A38" s="281" t="s">
        <v>114</v>
      </c>
      <c r="B38" s="270">
        <v>1118281017</v>
      </c>
      <c r="C38" s="270" t="s">
        <v>373</v>
      </c>
      <c r="D38" s="270">
        <v>9049.4</v>
      </c>
      <c r="E38" s="270" t="s">
        <v>115</v>
      </c>
    </row>
    <row r="39" spans="1:5">
      <c r="A39" s="281" t="s">
        <v>116</v>
      </c>
      <c r="B39" s="270">
        <v>2981497219</v>
      </c>
      <c r="C39" s="270" t="s">
        <v>373</v>
      </c>
      <c r="D39" s="270">
        <v>6099.8</v>
      </c>
      <c r="E39" s="270" t="s">
        <v>117</v>
      </c>
    </row>
    <row r="40" spans="1:5">
      <c r="A40" s="281" t="s">
        <v>63</v>
      </c>
      <c r="B40" s="270">
        <v>1190429015</v>
      </c>
      <c r="C40" s="270" t="s">
        <v>373</v>
      </c>
      <c r="D40" s="270">
        <v>12596.800000000001</v>
      </c>
      <c r="E40" s="270" t="s">
        <v>64</v>
      </c>
    </row>
    <row r="41" spans="1:5">
      <c r="A41" s="281" t="s">
        <v>65</v>
      </c>
      <c r="B41" s="270">
        <v>2892547139</v>
      </c>
      <c r="C41" s="270" t="s">
        <v>373</v>
      </c>
      <c r="D41" s="270">
        <v>4137.4000000000005</v>
      </c>
      <c r="E41" s="270" t="s">
        <v>66</v>
      </c>
    </row>
    <row r="42" spans="1:5">
      <c r="A42" s="281" t="s">
        <v>69</v>
      </c>
      <c r="B42" s="270">
        <v>2691096109</v>
      </c>
      <c r="C42" s="270" t="s">
        <v>373</v>
      </c>
      <c r="D42" s="270">
        <v>10029.6</v>
      </c>
      <c r="E42" s="270" t="s">
        <v>70</v>
      </c>
    </row>
    <row r="43" spans="1:5">
      <c r="A43" s="281" t="s">
        <v>73</v>
      </c>
      <c r="B43" s="270">
        <v>2970227897</v>
      </c>
      <c r="C43" s="270" t="s">
        <v>373</v>
      </c>
      <c r="D43" s="270">
        <v>12209.400000000001</v>
      </c>
      <c r="E43" s="270" t="s">
        <v>74</v>
      </c>
    </row>
    <row r="44" spans="1:5">
      <c r="A44" s="281" t="s">
        <v>75</v>
      </c>
      <c r="B44" s="270">
        <v>1473807924</v>
      </c>
      <c r="C44" s="270" t="s">
        <v>373</v>
      </c>
      <c r="D44" s="270">
        <v>30340.800000000003</v>
      </c>
      <c r="E44" s="270" t="s">
        <v>76</v>
      </c>
    </row>
    <row r="45" spans="1:5">
      <c r="A45" s="281" t="s">
        <v>77</v>
      </c>
      <c r="B45" s="270">
        <v>2618036896</v>
      </c>
      <c r="C45" s="270" t="s">
        <v>373</v>
      </c>
      <c r="D45" s="270">
        <v>2586.8000000000002</v>
      </c>
      <c r="E45" s="270" t="s">
        <v>78</v>
      </c>
    </row>
    <row r="46" spans="1:5">
      <c r="A46" s="281" t="s">
        <v>79</v>
      </c>
      <c r="B46" s="270">
        <v>2694584996</v>
      </c>
      <c r="C46" s="270" t="s">
        <v>373</v>
      </c>
      <c r="D46" s="270">
        <v>5818.2000000000007</v>
      </c>
      <c r="E46" s="270" t="s">
        <v>80</v>
      </c>
    </row>
    <row r="47" spans="1:5">
      <c r="A47" s="281" t="s">
        <v>118</v>
      </c>
      <c r="B47" s="270">
        <v>2705849497</v>
      </c>
      <c r="C47" s="270" t="s">
        <v>373</v>
      </c>
      <c r="D47" s="270">
        <v>2817.4</v>
      </c>
      <c r="E47" s="270" t="s">
        <v>119</v>
      </c>
    </row>
    <row r="48" spans="1:5">
      <c r="A48" s="281" t="s">
        <v>363</v>
      </c>
      <c r="B48" s="270">
        <v>1505406986</v>
      </c>
      <c r="C48" s="270" t="s">
        <v>373</v>
      </c>
      <c r="D48" s="270">
        <v>2025.4</v>
      </c>
      <c r="E48" s="270" t="s">
        <v>364</v>
      </c>
    </row>
    <row r="49" spans="1:5">
      <c r="A49" s="281" t="s">
        <v>81</v>
      </c>
      <c r="B49" s="270">
        <v>2650346551</v>
      </c>
      <c r="C49" s="270" t="s">
        <v>373</v>
      </c>
      <c r="D49" s="270">
        <v>38981.4</v>
      </c>
      <c r="E49" s="270" t="s">
        <v>82</v>
      </c>
    </row>
    <row r="50" spans="1:5">
      <c r="A50" s="281" t="s">
        <v>320</v>
      </c>
      <c r="B50" s="270">
        <v>1501687778</v>
      </c>
      <c r="C50" s="270" t="s">
        <v>373</v>
      </c>
      <c r="D50" s="270">
        <v>3977.8</v>
      </c>
      <c r="E50" s="270" t="s">
        <v>321</v>
      </c>
    </row>
    <row r="51" spans="1:5">
      <c r="A51" s="281" t="s">
        <v>120</v>
      </c>
      <c r="B51" s="270">
        <v>2603237745</v>
      </c>
      <c r="C51" s="270" t="s">
        <v>373</v>
      </c>
      <c r="D51" s="270">
        <v>2869.4</v>
      </c>
      <c r="E51" s="270" t="s">
        <v>121</v>
      </c>
    </row>
    <row r="52" spans="1:5">
      <c r="A52" s="281" t="s">
        <v>122</v>
      </c>
      <c r="B52" s="270">
        <v>2665864283</v>
      </c>
      <c r="C52" s="270" t="s">
        <v>373</v>
      </c>
      <c r="D52" s="270">
        <v>2956</v>
      </c>
      <c r="E52" s="270" t="s">
        <v>123</v>
      </c>
    </row>
    <row r="53" spans="1:5">
      <c r="A53" s="281" t="s">
        <v>124</v>
      </c>
      <c r="B53" s="270">
        <v>1169445331</v>
      </c>
      <c r="C53" s="270" t="s">
        <v>373</v>
      </c>
      <c r="D53" s="270">
        <v>5173</v>
      </c>
      <c r="E53" s="270" t="s">
        <v>125</v>
      </c>
    </row>
    <row r="54" spans="1:5">
      <c r="A54" s="281" t="s">
        <v>83</v>
      </c>
      <c r="B54" s="270">
        <v>1496058264</v>
      </c>
      <c r="C54" s="270" t="s">
        <v>373</v>
      </c>
      <c r="D54" s="270">
        <v>3531.2000000000003</v>
      </c>
      <c r="E54" s="270" t="s">
        <v>84</v>
      </c>
    </row>
    <row r="55" spans="1:5">
      <c r="A55" s="281" t="s">
        <v>126</v>
      </c>
      <c r="B55" s="270">
        <v>2728413096</v>
      </c>
      <c r="C55" s="270" t="s">
        <v>373</v>
      </c>
      <c r="D55" s="270">
        <v>13948.400000000001</v>
      </c>
      <c r="E55" s="270" t="s">
        <v>296</v>
      </c>
    </row>
    <row r="56" spans="1:5">
      <c r="A56" s="281" t="s">
        <v>85</v>
      </c>
      <c r="B56" s="270">
        <v>2968629145</v>
      </c>
      <c r="C56" s="270" t="s">
        <v>373</v>
      </c>
      <c r="D56" s="270">
        <v>20568.400000000001</v>
      </c>
      <c r="E56" s="270" t="s">
        <v>86</v>
      </c>
    </row>
    <row r="57" spans="1:5">
      <c r="A57" s="281" t="s">
        <v>359</v>
      </c>
      <c r="B57" s="270">
        <v>1500977438</v>
      </c>
      <c r="C57" s="270" t="s">
        <v>373</v>
      </c>
      <c r="D57" s="270">
        <v>4356.8</v>
      </c>
      <c r="E57" s="270" t="s">
        <v>365</v>
      </c>
    </row>
    <row r="58" spans="1:5">
      <c r="A58" s="281" t="s">
        <v>87</v>
      </c>
      <c r="B58" s="270">
        <v>2621332406</v>
      </c>
      <c r="C58" s="270" t="s">
        <v>373</v>
      </c>
      <c r="D58" s="270">
        <v>21204.2</v>
      </c>
      <c r="E58" s="270" t="s">
        <v>88</v>
      </c>
    </row>
    <row r="59" spans="1:5">
      <c r="A59" s="281" t="s">
        <v>89</v>
      </c>
      <c r="B59" s="270">
        <v>2849178457</v>
      </c>
      <c r="C59" s="270" t="s">
        <v>373</v>
      </c>
      <c r="D59" s="270">
        <v>9826.2000000000007</v>
      </c>
      <c r="E59" s="270" t="s">
        <v>90</v>
      </c>
    </row>
    <row r="60" spans="1:5">
      <c r="A60" s="281" t="s">
        <v>91</v>
      </c>
      <c r="B60" s="270">
        <v>1136601197</v>
      </c>
      <c r="C60" s="270" t="s">
        <v>373</v>
      </c>
      <c r="D60" s="270">
        <v>3821.6000000000004</v>
      </c>
      <c r="E60" s="270" t="s">
        <v>92</v>
      </c>
    </row>
    <row r="61" spans="1:5">
      <c r="A61" s="281" t="s">
        <v>93</v>
      </c>
      <c r="B61" s="270">
        <v>2885978777</v>
      </c>
      <c r="C61" s="270" t="s">
        <v>373</v>
      </c>
      <c r="D61" s="270">
        <v>7320.8</v>
      </c>
      <c r="E61" s="270" t="s">
        <v>94</v>
      </c>
    </row>
    <row r="62" spans="1:5">
      <c r="A62" s="281" t="s">
        <v>95</v>
      </c>
      <c r="B62" s="270">
        <v>1443382265</v>
      </c>
      <c r="C62" s="270" t="s">
        <v>373</v>
      </c>
      <c r="D62" s="270">
        <v>14674.6</v>
      </c>
      <c r="E62" s="270" t="s">
        <v>96</v>
      </c>
    </row>
    <row r="63" spans="1:5">
      <c r="A63" s="281" t="s">
        <v>326</v>
      </c>
      <c r="B63" s="270">
        <v>1501247905</v>
      </c>
      <c r="C63" s="270" t="s">
        <v>373</v>
      </c>
      <c r="D63" s="270">
        <v>2998.8</v>
      </c>
      <c r="E63" s="270" t="s">
        <v>327</v>
      </c>
    </row>
    <row r="64" spans="1:5">
      <c r="A64" s="281" t="s">
        <v>97</v>
      </c>
      <c r="B64" s="270">
        <v>2964966236</v>
      </c>
      <c r="C64" s="270" t="s">
        <v>373</v>
      </c>
      <c r="D64" s="270">
        <v>2271.6</v>
      </c>
      <c r="E64" s="270" t="s">
        <v>98</v>
      </c>
    </row>
    <row r="65" spans="1:5">
      <c r="A65" s="281" t="s">
        <v>99</v>
      </c>
      <c r="B65" s="270">
        <v>2759868704</v>
      </c>
      <c r="C65" s="270" t="s">
        <v>373</v>
      </c>
      <c r="D65" s="270">
        <v>20961.2</v>
      </c>
      <c r="E65" s="270" t="s">
        <v>100</v>
      </c>
    </row>
    <row r="66" spans="1:5">
      <c r="A66" s="281" t="s">
        <v>328</v>
      </c>
      <c r="B66" s="270">
        <v>1129582916</v>
      </c>
      <c r="C66" s="270" t="s">
        <v>373</v>
      </c>
      <c r="D66" s="270">
        <v>7964.8</v>
      </c>
      <c r="E66" s="270" t="s">
        <v>329</v>
      </c>
    </row>
    <row r="67" spans="1:5">
      <c r="A67" s="281" t="s">
        <v>127</v>
      </c>
      <c r="B67" s="270">
        <v>2643837181</v>
      </c>
      <c r="C67" s="270" t="s">
        <v>373</v>
      </c>
      <c r="D67" s="270">
        <v>3662.2000000000003</v>
      </c>
      <c r="E67" s="270" t="s">
        <v>128</v>
      </c>
    </row>
    <row r="68" spans="1:5">
      <c r="A68" s="281" t="s">
        <v>101</v>
      </c>
      <c r="B68" s="270">
        <v>1171167405</v>
      </c>
      <c r="C68" s="270" t="s">
        <v>373</v>
      </c>
      <c r="D68" s="270">
        <v>2999.8</v>
      </c>
      <c r="E68" s="270" t="s">
        <v>102</v>
      </c>
    </row>
    <row r="69" spans="1:5">
      <c r="A69" s="281" t="s">
        <v>129</v>
      </c>
      <c r="B69" s="270">
        <v>2976521746</v>
      </c>
      <c r="C69" s="270" t="s">
        <v>373</v>
      </c>
      <c r="D69" s="270">
        <v>2675</v>
      </c>
      <c r="E69" s="270" t="s">
        <v>130</v>
      </c>
    </row>
    <row r="70" spans="1:5">
      <c r="A70" s="273"/>
      <c r="B70" s="273" t="s">
        <v>374</v>
      </c>
      <c r="C70" s="273"/>
      <c r="D70" s="282">
        <f>SUM(D9:D69)</f>
        <v>1071506.2000000004</v>
      </c>
      <c r="E70" s="273" t="s">
        <v>375</v>
      </c>
    </row>
    <row r="71" spans="1:5">
      <c r="A71" s="268"/>
      <c r="B71" s="267"/>
      <c r="C71" s="267"/>
      <c r="D71" s="267"/>
      <c r="E71" s="267"/>
    </row>
    <row r="72" spans="1:5">
      <c r="A72" s="281" t="s">
        <v>337</v>
      </c>
      <c r="B72" s="270"/>
      <c r="C72" s="270" t="s">
        <v>378</v>
      </c>
      <c r="D72" s="270">
        <v>3653.2000000000003</v>
      </c>
      <c r="E72" s="270" t="s">
        <v>338</v>
      </c>
    </row>
    <row r="73" spans="1:5">
      <c r="A73" s="273"/>
      <c r="B73" s="273" t="s">
        <v>379</v>
      </c>
      <c r="C73" s="273"/>
      <c r="D73" s="282">
        <v>3653.2000000000003</v>
      </c>
      <c r="E73" s="273" t="s">
        <v>381</v>
      </c>
    </row>
    <row r="76" spans="1:5" ht="18.75">
      <c r="A76" s="283"/>
      <c r="B76" s="283" t="s">
        <v>374</v>
      </c>
      <c r="C76" s="283"/>
      <c r="D76" s="284">
        <f>+D70</f>
        <v>1071506.2000000004</v>
      </c>
      <c r="E76" s="283" t="s">
        <v>375</v>
      </c>
    </row>
    <row r="77" spans="1:5" ht="18.75">
      <c r="A77" s="283"/>
      <c r="B77" s="283" t="s">
        <v>376</v>
      </c>
      <c r="C77" s="283"/>
      <c r="D77" s="284">
        <v>3653.2000000000003</v>
      </c>
      <c r="E77" s="283" t="s">
        <v>381</v>
      </c>
    </row>
    <row r="78" spans="1:5" ht="18.75">
      <c r="A78" s="283"/>
      <c r="B78" s="283"/>
      <c r="C78" s="283"/>
      <c r="D78" s="284">
        <f>+D76+D77</f>
        <v>1075159.4000000004</v>
      </c>
      <c r="E78" s="283" t="s">
        <v>380</v>
      </c>
    </row>
    <row r="80" spans="1:5">
      <c r="D80" s="269">
        <f>+D78-FISCAL!T87</f>
        <v>0</v>
      </c>
    </row>
  </sheetData>
  <sortState ref="A9:E69">
    <sortCondition ref="E9:E6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/>
  </sheetViews>
  <sheetFormatPr baseColWidth="10" defaultRowHeight="15"/>
  <cols>
    <col min="1" max="1" width="26.28515625" customWidth="1"/>
    <col min="2" max="2" width="14.7109375" customWidth="1"/>
  </cols>
  <sheetData>
    <row r="1" spans="1:6">
      <c r="A1" s="299" t="s">
        <v>382</v>
      </c>
      <c r="B1" s="299"/>
      <c r="C1" s="300"/>
      <c r="D1" s="301"/>
      <c r="E1" s="301"/>
      <c r="F1" s="270"/>
    </row>
    <row r="2" spans="1:6">
      <c r="A2" s="299" t="s">
        <v>383</v>
      </c>
      <c r="B2" s="299"/>
      <c r="C2" s="300"/>
      <c r="D2" s="301"/>
      <c r="E2" s="301"/>
      <c r="F2" s="270"/>
    </row>
    <row r="3" spans="1:6">
      <c r="A3" s="299" t="s">
        <v>394</v>
      </c>
      <c r="B3" s="302" t="s">
        <v>346</v>
      </c>
      <c r="C3" s="300"/>
      <c r="D3" s="301"/>
      <c r="E3" s="301"/>
      <c r="F3" s="270"/>
    </row>
    <row r="4" spans="1:6">
      <c r="A4" s="300"/>
      <c r="B4" s="300"/>
      <c r="C4" s="300"/>
      <c r="D4" s="301"/>
      <c r="E4" s="301"/>
      <c r="F4" s="270"/>
    </row>
    <row r="5" spans="1:6">
      <c r="A5" s="300" t="s">
        <v>384</v>
      </c>
      <c r="B5" s="300" t="s">
        <v>385</v>
      </c>
      <c r="C5" s="300"/>
      <c r="D5" s="301"/>
      <c r="E5" s="301"/>
      <c r="F5" s="270"/>
    </row>
    <row r="6" spans="1:6">
      <c r="A6" s="301" t="s">
        <v>386</v>
      </c>
      <c r="B6" s="303">
        <v>1058056.77</v>
      </c>
      <c r="C6" s="301"/>
      <c r="D6" s="301"/>
      <c r="E6" s="301"/>
      <c r="F6" s="270"/>
    </row>
    <row r="7" spans="1:6">
      <c r="A7" s="301" t="s">
        <v>387</v>
      </c>
      <c r="B7" s="303">
        <v>47699.3</v>
      </c>
      <c r="C7" s="301"/>
      <c r="D7" s="301"/>
      <c r="E7" s="301"/>
      <c r="F7" s="270"/>
    </row>
    <row r="8" spans="1:6">
      <c r="A8" s="301" t="s">
        <v>388</v>
      </c>
      <c r="B8" s="303">
        <v>98975.62</v>
      </c>
      <c r="C8" s="301"/>
      <c r="D8" s="301"/>
      <c r="E8" s="301"/>
      <c r="F8" s="270"/>
    </row>
    <row r="9" spans="1:6">
      <c r="A9" s="301" t="s">
        <v>389</v>
      </c>
      <c r="B9" s="303">
        <v>230607.18</v>
      </c>
      <c r="C9" s="301"/>
      <c r="D9" s="301"/>
      <c r="E9" s="301"/>
      <c r="F9" s="270"/>
    </row>
    <row r="10" spans="1:6">
      <c r="A10" s="301" t="s">
        <v>390</v>
      </c>
      <c r="B10" s="303">
        <v>30651.63</v>
      </c>
      <c r="C10" s="301"/>
      <c r="D10" s="304"/>
      <c r="E10" s="301"/>
      <c r="F10" s="270"/>
    </row>
    <row r="11" spans="1:6">
      <c r="A11" s="301" t="s">
        <v>391</v>
      </c>
      <c r="B11" s="303">
        <v>139156.74</v>
      </c>
      <c r="C11" s="301"/>
      <c r="D11" s="301"/>
      <c r="E11" s="301"/>
      <c r="F11" s="270"/>
    </row>
    <row r="12" spans="1:6">
      <c r="A12" s="301" t="s">
        <v>392</v>
      </c>
      <c r="B12" s="305">
        <v>0</v>
      </c>
      <c r="C12" s="301"/>
      <c r="D12" s="301"/>
      <c r="E12" s="301"/>
      <c r="F12" s="270"/>
    </row>
    <row r="13" spans="1:6" ht="15.75" thickBot="1">
      <c r="A13" s="301" t="s">
        <v>393</v>
      </c>
      <c r="B13" s="306">
        <v>71924.56</v>
      </c>
      <c r="C13" s="301"/>
      <c r="D13" s="301"/>
      <c r="E13" s="301"/>
      <c r="F13" s="270"/>
    </row>
    <row r="14" spans="1:6">
      <c r="A14" s="301"/>
      <c r="B14" s="307">
        <f>SUM(B6:B13)</f>
        <v>1677071.7999999998</v>
      </c>
      <c r="C14" s="301"/>
      <c r="D14" s="301"/>
      <c r="E14" s="301"/>
      <c r="F14" s="270"/>
    </row>
    <row r="15" spans="1:6" ht="15.75" thickBot="1">
      <c r="A15" s="301"/>
      <c r="B15" s="308">
        <f>B14*0.16</f>
        <v>268331.48799999995</v>
      </c>
      <c r="C15" s="301"/>
      <c r="D15" s="301"/>
      <c r="E15" s="301"/>
      <c r="F15" s="270"/>
    </row>
    <row r="16" spans="1:6" ht="15.75" thickTop="1">
      <c r="A16" s="301"/>
      <c r="B16" s="309">
        <f>+B14+B15</f>
        <v>1945403.2879999997</v>
      </c>
      <c r="C16" s="301"/>
      <c r="D16" s="301"/>
      <c r="E16" s="301"/>
      <c r="F16" s="270"/>
    </row>
    <row r="17" spans="1:6">
      <c r="A17" s="301"/>
      <c r="B17" s="303">
        <v>1945403.28</v>
      </c>
      <c r="C17" s="301"/>
      <c r="D17" s="301"/>
      <c r="E17" s="301"/>
      <c r="F17" s="270"/>
    </row>
    <row r="18" spans="1:6">
      <c r="A18" s="301"/>
      <c r="B18" s="303">
        <f>B16-B17</f>
        <v>7.9999996814876795E-3</v>
      </c>
      <c r="C18" s="301"/>
      <c r="D18" s="301"/>
      <c r="E18" s="301"/>
      <c r="F18" s="270"/>
    </row>
    <row r="19" spans="1:6">
      <c r="A19" s="301"/>
      <c r="B19" s="303"/>
      <c r="C19" s="301"/>
      <c r="D19" s="301"/>
      <c r="E19" s="301"/>
      <c r="F19" s="270"/>
    </row>
    <row r="20" spans="1:6">
      <c r="A20" s="301"/>
      <c r="B20" s="301"/>
      <c r="C20" s="301"/>
      <c r="D20" s="301"/>
      <c r="E20" s="301"/>
      <c r="F20" s="270"/>
    </row>
    <row r="21" spans="1:6">
      <c r="A21" s="270"/>
      <c r="B21" s="270"/>
      <c r="C21" s="270"/>
      <c r="D21" s="270"/>
      <c r="E21" s="270"/>
      <c r="F21" s="2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FACTURACION</vt:lpstr>
      <vt:lpstr>FISCAL</vt:lpstr>
      <vt:lpstr>ARCHIVO BANCO</vt:lpstr>
      <vt:lpstr>POLIZA</vt:lpstr>
      <vt:lpstr>FISCAL!Área_de_impresión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2016-11-29T16:38:15Z</cp:lastPrinted>
  <dcterms:created xsi:type="dcterms:W3CDTF">2016-10-27T17:37:55Z</dcterms:created>
  <dcterms:modified xsi:type="dcterms:W3CDTF">2017-01-16T15:46:46Z</dcterms:modified>
</cp:coreProperties>
</file>