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312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Hoja1!$A$5:$AB$69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/>
  <c r="R50" l="1"/>
  <c r="T50" s="1"/>
  <c r="S50"/>
  <c r="R64"/>
  <c r="T64" s="1"/>
  <c r="S64"/>
  <c r="J41" l="1"/>
  <c r="R41" s="1"/>
  <c r="F71"/>
  <c r="S41" l="1"/>
  <c r="T41" s="1"/>
  <c r="J9" l="1"/>
  <c r="R9" s="1"/>
  <c r="J50"/>
  <c r="J61"/>
  <c r="J62"/>
  <c r="J63"/>
  <c r="J64"/>
  <c r="J65"/>
  <c r="J66"/>
  <c r="J67"/>
  <c r="J68"/>
  <c r="J20"/>
  <c r="J21"/>
  <c r="J7"/>
  <c r="I71"/>
  <c r="S68" l="1"/>
  <c r="R68"/>
  <c r="T68" s="1"/>
  <c r="R61"/>
  <c r="S61"/>
  <c r="R21"/>
  <c r="S21"/>
  <c r="S20"/>
  <c r="R20"/>
  <c r="S9"/>
  <c r="T9" s="1"/>
  <c r="Q71"/>
  <c r="T61" l="1"/>
  <c r="T21"/>
  <c r="T20"/>
  <c r="L71"/>
  <c r="J32" l="1"/>
  <c r="S32" s="1"/>
  <c r="R32" l="1"/>
  <c r="T32" s="1"/>
  <c r="J58"/>
  <c r="R58" s="1"/>
  <c r="T58" s="1"/>
  <c r="J35" l="1"/>
  <c r="R35" s="1"/>
  <c r="S35" l="1"/>
  <c r="T35" s="1"/>
  <c r="J59"/>
  <c r="J60"/>
  <c r="S65"/>
  <c r="J23"/>
  <c r="S23" s="1"/>
  <c r="R65" l="1"/>
  <c r="T65" s="1"/>
  <c r="R23"/>
  <c r="T23" s="1"/>
  <c r="R7"/>
  <c r="T7" s="1"/>
  <c r="J14" l="1"/>
  <c r="S14" s="1"/>
  <c r="R14" l="1"/>
  <c r="T14" s="1"/>
  <c r="P71"/>
  <c r="J17"/>
  <c r="R17" s="1"/>
  <c r="T17" s="1"/>
  <c r="K71" l="1"/>
  <c r="J33"/>
  <c r="U33" s="1"/>
  <c r="S62"/>
  <c r="V33"/>
  <c r="V25"/>
  <c r="J25"/>
  <c r="U25" l="1"/>
  <c r="W25" s="1"/>
  <c r="R25"/>
  <c r="R33"/>
  <c r="S25"/>
  <c r="U62"/>
  <c r="S33"/>
  <c r="W33"/>
  <c r="R62"/>
  <c r="T62" s="1"/>
  <c r="J57"/>
  <c r="R57" s="1"/>
  <c r="T57" s="1"/>
  <c r="J47"/>
  <c r="J29"/>
  <c r="J12"/>
  <c r="R12" s="1"/>
  <c r="T12" s="1"/>
  <c r="J19"/>
  <c r="R19" s="1"/>
  <c r="J43"/>
  <c r="R43" s="1"/>
  <c r="T43" s="1"/>
  <c r="J16"/>
  <c r="R16" s="1"/>
  <c r="T16" s="1"/>
  <c r="U47" l="1"/>
  <c r="R47"/>
  <c r="T33"/>
  <c r="T25"/>
  <c r="R29"/>
  <c r="T29" s="1"/>
  <c r="S19"/>
  <c r="T19" s="1"/>
  <c r="S47"/>
  <c r="U19"/>
  <c r="T47" l="1"/>
  <c r="V30"/>
  <c r="J30"/>
  <c r="V59"/>
  <c r="U59" l="1"/>
  <c r="W59" s="1"/>
  <c r="R59"/>
  <c r="S30"/>
  <c r="R30"/>
  <c r="U30"/>
  <c r="W30" s="1"/>
  <c r="S59"/>
  <c r="T30" l="1"/>
  <c r="T59"/>
  <c r="J75"/>
  <c r="R75" s="1"/>
  <c r="T75" s="1"/>
  <c r="J74"/>
  <c r="R74" s="1"/>
  <c r="T74" s="1"/>
  <c r="O71"/>
  <c r="N71"/>
  <c r="M71"/>
  <c r="H71"/>
  <c r="G71"/>
  <c r="V67"/>
  <c r="R67"/>
  <c r="V66"/>
  <c r="R66"/>
  <c r="V63"/>
  <c r="R63"/>
  <c r="V60"/>
  <c r="R60"/>
  <c r="V56"/>
  <c r="J56"/>
  <c r="R56" s="1"/>
  <c r="V55"/>
  <c r="J55"/>
  <c r="R55" s="1"/>
  <c r="V54"/>
  <c r="J54"/>
  <c r="R54" s="1"/>
  <c r="V53"/>
  <c r="J53"/>
  <c r="V52"/>
  <c r="J52"/>
  <c r="R52" s="1"/>
  <c r="V51"/>
  <c r="J51"/>
  <c r="R51" s="1"/>
  <c r="V49"/>
  <c r="J49"/>
  <c r="R49" s="1"/>
  <c r="V48"/>
  <c r="J48"/>
  <c r="R48" s="1"/>
  <c r="V46"/>
  <c r="J46"/>
  <c r="R46" s="1"/>
  <c r="V45"/>
  <c r="J45"/>
  <c r="R45" s="1"/>
  <c r="V44"/>
  <c r="J44"/>
  <c r="R44" s="1"/>
  <c r="V42"/>
  <c r="J42"/>
  <c r="R42" s="1"/>
  <c r="V40"/>
  <c r="J40"/>
  <c r="U40" s="1"/>
  <c r="V39"/>
  <c r="J39"/>
  <c r="U39" s="1"/>
  <c r="V38"/>
  <c r="J38"/>
  <c r="U38" s="1"/>
  <c r="V37"/>
  <c r="J37"/>
  <c r="R37" s="1"/>
  <c r="V36"/>
  <c r="J36"/>
  <c r="U36" s="1"/>
  <c r="V34"/>
  <c r="J34"/>
  <c r="U34" s="1"/>
  <c r="V31"/>
  <c r="J31"/>
  <c r="U31" s="1"/>
  <c r="V28"/>
  <c r="J28"/>
  <c r="R28" s="1"/>
  <c r="V27"/>
  <c r="J27"/>
  <c r="V26"/>
  <c r="J26"/>
  <c r="V24"/>
  <c r="J24"/>
  <c r="V22"/>
  <c r="J22"/>
  <c r="R22" s="1"/>
  <c r="V18"/>
  <c r="J18"/>
  <c r="V15"/>
  <c r="J15"/>
  <c r="V13"/>
  <c r="J13"/>
  <c r="V11"/>
  <c r="J11"/>
  <c r="U11" s="1"/>
  <c r="V10"/>
  <c r="J10"/>
  <c r="U10" s="1"/>
  <c r="V8"/>
  <c r="J8"/>
  <c r="R26" l="1"/>
  <c r="U15"/>
  <c r="W15" s="1"/>
  <c r="R15"/>
  <c r="U13"/>
  <c r="W13" s="1"/>
  <c r="R13"/>
  <c r="U18"/>
  <c r="W18" s="1"/>
  <c r="R18"/>
  <c r="U24"/>
  <c r="W24" s="1"/>
  <c r="R24"/>
  <c r="U27"/>
  <c r="W27" s="1"/>
  <c r="R27"/>
  <c r="R53"/>
  <c r="J71"/>
  <c r="U37"/>
  <c r="W37" s="1"/>
  <c r="U66"/>
  <c r="W66" s="1"/>
  <c r="U67"/>
  <c r="W67" s="1"/>
  <c r="R31"/>
  <c r="S66"/>
  <c r="T66" s="1"/>
  <c r="Z66" s="1"/>
  <c r="S67"/>
  <c r="T67" s="1"/>
  <c r="Z67" s="1"/>
  <c r="R38"/>
  <c r="R40"/>
  <c r="R36"/>
  <c r="R39"/>
  <c r="R10"/>
  <c r="S11"/>
  <c r="S13"/>
  <c r="S15"/>
  <c r="S18"/>
  <c r="S10"/>
  <c r="U28"/>
  <c r="W28" s="1"/>
  <c r="R11"/>
  <c r="R8"/>
  <c r="S8"/>
  <c r="W10"/>
  <c r="W11"/>
  <c r="V71"/>
  <c r="U22"/>
  <c r="W22" s="1"/>
  <c r="S27"/>
  <c r="W34"/>
  <c r="S34"/>
  <c r="U8"/>
  <c r="S24"/>
  <c r="S26"/>
  <c r="U26"/>
  <c r="W26" s="1"/>
  <c r="R34"/>
  <c r="S63"/>
  <c r="T63" s="1"/>
  <c r="Z63" s="1"/>
  <c r="U69"/>
  <c r="W69" s="1"/>
  <c r="S28"/>
  <c r="S37"/>
  <c r="T37" s="1"/>
  <c r="Z37" s="1"/>
  <c r="S42"/>
  <c r="T42" s="1"/>
  <c r="Z42" s="1"/>
  <c r="U42"/>
  <c r="W42" s="1"/>
  <c r="S22"/>
  <c r="T22" s="1"/>
  <c r="W31"/>
  <c r="S31"/>
  <c r="W36"/>
  <c r="S36"/>
  <c r="W38"/>
  <c r="S38"/>
  <c r="W39"/>
  <c r="S39"/>
  <c r="W40"/>
  <c r="S40"/>
  <c r="U63"/>
  <c r="W63" s="1"/>
  <c r="S74"/>
  <c r="U74"/>
  <c r="W74" s="1"/>
  <c r="U75"/>
  <c r="W75" s="1"/>
  <c r="S75"/>
  <c r="U44"/>
  <c r="W44" s="1"/>
  <c r="U45"/>
  <c r="W45" s="1"/>
  <c r="U46"/>
  <c r="W46" s="1"/>
  <c r="U48"/>
  <c r="W48" s="1"/>
  <c r="U49"/>
  <c r="W49" s="1"/>
  <c r="U51"/>
  <c r="W51" s="1"/>
  <c r="U52"/>
  <c r="W52" s="1"/>
  <c r="U53"/>
  <c r="W53" s="1"/>
  <c r="U54"/>
  <c r="W54" s="1"/>
  <c r="U55"/>
  <c r="W55" s="1"/>
  <c r="U56"/>
  <c r="W56" s="1"/>
  <c r="U60"/>
  <c r="W60" s="1"/>
  <c r="S44"/>
  <c r="S45"/>
  <c r="S46"/>
  <c r="T46" s="1"/>
  <c r="S48"/>
  <c r="S49"/>
  <c r="T49" s="1"/>
  <c r="Z49" s="1"/>
  <c r="S51"/>
  <c r="T51" s="1"/>
  <c r="Z51" s="1"/>
  <c r="S52"/>
  <c r="T52" s="1"/>
  <c r="Z52" s="1"/>
  <c r="S53"/>
  <c r="S54"/>
  <c r="T54" s="1"/>
  <c r="Z54" s="1"/>
  <c r="S55"/>
  <c r="T55" s="1"/>
  <c r="Z55" s="1"/>
  <c r="S56"/>
  <c r="T56" s="1"/>
  <c r="Z56" s="1"/>
  <c r="S60"/>
  <c r="T60" s="1"/>
  <c r="T26" l="1"/>
  <c r="Z26" s="1"/>
  <c r="T53"/>
  <c r="Z53" s="1"/>
  <c r="T38"/>
  <c r="Z38" s="1"/>
  <c r="T31"/>
  <c r="Z31" s="1"/>
  <c r="T27"/>
  <c r="Z27" s="1"/>
  <c r="T18"/>
  <c r="T45"/>
  <c r="Z45" s="1"/>
  <c r="T15"/>
  <c r="Z15" s="1"/>
  <c r="Z46"/>
  <c r="T28"/>
  <c r="Z28" s="1"/>
  <c r="T13"/>
  <c r="Z13" s="1"/>
  <c r="T48"/>
  <c r="Z48" s="1"/>
  <c r="T24"/>
  <c r="Z24" s="1"/>
  <c r="Z60"/>
  <c r="T44"/>
  <c r="Z44" s="1"/>
  <c r="R71"/>
  <c r="T40"/>
  <c r="Z40" s="1"/>
  <c r="W76"/>
  <c r="W77" s="1"/>
  <c r="W78" s="1"/>
  <c r="T39"/>
  <c r="Z39" s="1"/>
  <c r="T10"/>
  <c r="T34"/>
  <c r="Z34" s="1"/>
  <c r="T36"/>
  <c r="Z36" s="1"/>
  <c r="T11"/>
  <c r="Z11" s="1"/>
  <c r="T8"/>
  <c r="Z8" s="1"/>
  <c r="S71"/>
  <c r="S73" s="1"/>
  <c r="U71"/>
  <c r="W8"/>
  <c r="W71" s="1"/>
  <c r="Z22"/>
  <c r="Z10" l="1"/>
  <c r="T71"/>
</calcChain>
</file>

<file path=xl/sharedStrings.xml><?xml version="1.0" encoding="utf-8"?>
<sst xmlns="http://schemas.openxmlformats.org/spreadsheetml/2006/main" count="265" uniqueCount="183">
  <si>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</si>
  <si>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</si>
  <si>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</si>
  <si>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</si>
  <si>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</si>
  <si>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</si>
  <si>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</si>
  <si>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</si>
  <si>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</si>
  <si>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</si>
  <si>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</si>
  <si>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</si>
  <si>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</si>
  <si>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</si>
  <si>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</si>
  <si>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</si>
  <si>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</si>
  <si>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</si>
  <si>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</si>
  <si>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</si>
  <si>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</si>
  <si>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</si>
  <si>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</si>
  <si>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</si>
  <si>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</si>
  <si>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</si>
  <si>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</si>
  <si>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</si>
  <si>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</si>
  <si>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</si>
  <si>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</si>
  <si>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</si>
  <si>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</si>
  <si>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</si>
  <si>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</si>
  <si>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</si>
  <si>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</si>
  <si>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</si>
  <si>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</si>
  <si>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</si>
  <si>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</si>
  <si>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</si>
  <si>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</si>
  <si>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</si>
  <si>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</si>
  <si>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</si>
  <si>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</si>
  <si>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</si>
  <si>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</si>
  <si>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</si>
  <si>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</si>
  <si>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</si>
  <si>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</si>
  <si>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</si>
  <si>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</si>
  <si>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</si>
  <si>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</si>
  <si>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</si>
  <si>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</si>
  <si>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</si>
  <si>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</si>
  <si>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</si>
  <si>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</si>
  <si>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</si>
  <si>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</si>
  <si>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</si>
  <si>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</si>
  <si>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</si>
  <si>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MANDUJANO ESTRADA ILSE GEORGINA</t>
  </si>
  <si>
    <t>ME05</t>
  </si>
  <si>
    <t>GREETER</t>
  </si>
  <si>
    <t>MARTINEZ DIAZ LEOBARDO ADRIAN</t>
  </si>
  <si>
    <t>MARTINEZ HERRERA CRISTIAN</t>
  </si>
  <si>
    <t>MH02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</si>
  <si>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</si>
  <si>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</si>
  <si>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</si>
  <si>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</si>
  <si>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</si>
  <si>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</si>
  <si>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</si>
  <si>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</si>
  <si>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</si>
  <si>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</si>
  <si>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</si>
  <si>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</si>
  <si>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NAVARRETE RODRIGUEZ MARIA TERESA</t>
  </si>
  <si>
    <t>INTERCAMBIOS</t>
  </si>
  <si>
    <t>NAVARRETE RODRIGUEZ MIGUEL ANGEL</t>
  </si>
  <si>
    <t>NIEVES OSORNIO SILVESTRE</t>
  </si>
  <si>
    <t>NO05</t>
  </si>
  <si>
    <t>ESTETICAS</t>
  </si>
  <si>
    <t>F&amp;I</t>
  </si>
  <si>
    <t>PATIÑO MUÑOZ ANA LAURA</t>
  </si>
  <si>
    <t>GERENTE POST-VENTA</t>
  </si>
  <si>
    <t>PREVIADOR</t>
  </si>
  <si>
    <t>REFACCIONES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</si>
  <si>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</si>
  <si>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</si>
  <si>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</si>
  <si>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</si>
  <si>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</si>
  <si>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</si>
  <si>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</si>
  <si>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</si>
  <si>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</si>
  <si>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</si>
  <si>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</si>
  <si>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</si>
  <si>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</si>
  <si>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</si>
  <si>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</si>
  <si>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</si>
  <si>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</si>
  <si>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</si>
  <si>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</si>
  <si>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</si>
  <si>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</si>
  <si>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</si>
  <si>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</si>
  <si>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</si>
  <si>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</si>
  <si>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</si>
  <si>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</si>
  <si>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LIZARDI URZUA ARIZBETH</t>
  </si>
  <si>
    <t>SOLORZANO JUAREZ MONICA ELISA</t>
  </si>
  <si>
    <t>RECURSOS HUMANOS</t>
  </si>
  <si>
    <t>DIAZ ROJAS ROCIO JANET</t>
  </si>
  <si>
    <t>MUÑOZ MARTINEZ PATRICIA VANESSA</t>
  </si>
  <si>
    <t>GALLEGOS RIOS OCTAVIO ALBERTO</t>
  </si>
  <si>
    <t>CAMPOS SANCEN LUIS FELIPE</t>
  </si>
  <si>
    <t>CS27</t>
  </si>
  <si>
    <t>AUX CONTABLE</t>
  </si>
  <si>
    <t>JIMENEZ SUAREZ LUDIVINA</t>
  </si>
  <si>
    <t>GERENTE ADMINISTRATIVO</t>
  </si>
  <si>
    <t>NAVARRO MACIAS JENIFER</t>
  </si>
  <si>
    <t>NM17</t>
  </si>
  <si>
    <t>AUX ADMINISTRATIVO</t>
  </si>
  <si>
    <t>SANTANA ANAYA GILDARDO ENRIQUE</t>
  </si>
  <si>
    <t>SA03</t>
  </si>
  <si>
    <t>GERENTE DE SISTEMAS</t>
  </si>
  <si>
    <t>FACTURACION</t>
  </si>
  <si>
    <t>RODRIGUEZ NUÑEZ JOSE ANTONIO</t>
  </si>
  <si>
    <t>JEFE DE SERVICIO</t>
  </si>
  <si>
    <t>ESCAMILLA LOPEZ ROGELIO</t>
  </si>
  <si>
    <t>COSTO</t>
  </si>
  <si>
    <t>GUERRERO MARTINEZ JUAN PABLO</t>
  </si>
  <si>
    <t>MALDONADO CRUZ CARLOS IVAN</t>
  </si>
  <si>
    <t>VAZQUEZ AMEZCUA GILBERTO RAMON</t>
  </si>
  <si>
    <t>GERENTE DE VENTAS</t>
  </si>
  <si>
    <t>CRUZ MENDOZA SALOMON</t>
  </si>
  <si>
    <t>2896758940</t>
  </si>
  <si>
    <t>MDT</t>
  </si>
  <si>
    <t>KAIZEN</t>
  </si>
  <si>
    <t>ALMANZA MARTINEZ MARIBEL</t>
  </si>
  <si>
    <t>SINIESTROS</t>
  </si>
  <si>
    <t>GUERRA FRANCO JOSE MANUEL</t>
  </si>
  <si>
    <t>VILLEGAS ALONSO DIEGO ARMANDO</t>
  </si>
  <si>
    <t>MANJARREZ MORENO JULIO CESAR</t>
  </si>
  <si>
    <t>MANTENIMIENTO</t>
  </si>
  <si>
    <t>SEGURA MEJIA DIANA JANETTE</t>
  </si>
  <si>
    <t>LUNA NIETO JOSE ENRIQUE</t>
  </si>
  <si>
    <t>INCAPACIDAD POR MATERNIDAD EXPEDIDA POR EL IMSS DE 84 DIAS A PARTIR DEL DIA 19 DE OCTUBRE DEL 2016</t>
  </si>
  <si>
    <t>VENTURA SANTAMARIA EFRAIN ENRIQUE</t>
  </si>
  <si>
    <t>TOVAR CHAVEZ JOSE CARMEN</t>
  </si>
  <si>
    <t>ZAMORA SOLANO ROBERTO AARON</t>
  </si>
  <si>
    <t>PATIÑO VERA JOSE ANGEL</t>
  </si>
  <si>
    <t>GARCIA RENTERIA GABRIELA</t>
  </si>
  <si>
    <t>GONZALEZ OLALDE YADIRA JANETH</t>
  </si>
  <si>
    <t>TRAINER</t>
  </si>
  <si>
    <t>1501586211</t>
  </si>
  <si>
    <t>1501459155</t>
  </si>
  <si>
    <t>1500835080</t>
  </si>
  <si>
    <t>Periodo 1RA QUINCENA</t>
  </si>
  <si>
    <t>01/12/2016 AL 15/12/2016</t>
  </si>
  <si>
    <t>BALBUENA SALAZAR PATRICIA</t>
  </si>
  <si>
    <t>MOSQUEDA GASCA TOMAS</t>
  </si>
  <si>
    <t>DESCUENTO CTA 254 POR CONCEPTO DE VIATICOS</t>
  </si>
  <si>
    <t>DESCUENTO CTA 254 POR FACTURA. CAMBIAR SUELDO A $1,200 QUINCENAL</t>
  </si>
  <si>
    <t>DECUENTO CTA 254 POR FACTURA.</t>
  </si>
  <si>
    <t>PAGO DE PRIMA VACACIONAL PERIODO 2015-2016</t>
  </si>
  <si>
    <t>NUEVO INGRESO 02/12/2016, PAGAR 14 DIAS, SUELDO QUINCENAL $3250</t>
  </si>
  <si>
    <t>CAMBIAR SUELDO MENSUALES A $7,000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</si>
</sst>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  <font>
      <sz val="12"/>
      <color rgb="FFFF0000"/>
      <name val="Calibri"/>
      <family val="2"/>
    </font>
    <font>
      <sz val="11"/>
      <name val="Calibri  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7" xfId="1" applyFont="1" applyFill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9" borderId="0" xfId="0" applyFont="1" applyFill="1"/>
    <xf numFmtId="0" fontId="6" fillId="9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0" fontId="4" fillId="12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0" fontId="4" fillId="3" borderId="7" xfId="0" applyFont="1" applyFill="1" applyBorder="1" applyAlignment="1">
      <alignment horizontal="right"/>
    </xf>
    <xf numFmtId="44" fontId="4" fillId="3" borderId="7" xfId="4" applyFont="1" applyFill="1" applyBorder="1"/>
    <xf numFmtId="43" fontId="4" fillId="3" borderId="7" xfId="1" applyFont="1" applyFill="1" applyBorder="1"/>
    <xf numFmtId="43" fontId="4" fillId="3" borderId="7" xfId="1" applyFont="1" applyFill="1" applyBorder="1" applyAlignment="1">
      <alignment horizontal="center"/>
    </xf>
    <xf numFmtId="43" fontId="11" fillId="3" borderId="7" xfId="1" applyFont="1" applyFill="1" applyBorder="1"/>
    <xf numFmtId="0" fontId="5" fillId="3" borderId="7" xfId="1" applyNumberFormat="1" applyFont="1" applyFill="1" applyBorder="1" applyAlignment="1">
      <alignment horizontal="center"/>
    </xf>
    <xf numFmtId="0" fontId="5" fillId="0" borderId="7" xfId="0" applyFont="1" applyBorder="1"/>
    <xf numFmtId="43" fontId="9" fillId="3" borderId="7" xfId="1" applyFont="1" applyFill="1" applyBorder="1"/>
    <xf numFmtId="43" fontId="5" fillId="3" borderId="7" xfId="1" applyFont="1" applyFill="1" applyBorder="1"/>
    <xf numFmtId="43" fontId="1" fillId="3" borderId="7" xfId="1" applyFont="1" applyFill="1" applyBorder="1"/>
    <xf numFmtId="4" fontId="8" fillId="3" borderId="7" xfId="0" applyNumberFormat="1" applyFont="1" applyFill="1" applyBorder="1" applyAlignment="1">
      <alignment wrapText="1"/>
    </xf>
    <xf numFmtId="0" fontId="12" fillId="3" borderId="7" xfId="0" applyFont="1" applyFill="1" applyBorder="1" applyAlignment="1">
      <alignment horizontal="right" wrapText="1"/>
    </xf>
    <xf numFmtId="43" fontId="8" fillId="3" borderId="7" xfId="0" applyNumberFormat="1" applyFont="1" applyFill="1" applyBorder="1"/>
    <xf numFmtId="0" fontId="5" fillId="3" borderId="7" xfId="0" applyFont="1" applyFill="1" applyBorder="1" applyAlignment="1">
      <alignment wrapText="1"/>
    </xf>
    <xf numFmtId="0" fontId="8" fillId="0" borderId="7" xfId="0" applyNumberFormat="1" applyFont="1" applyFill="1" applyBorder="1" applyAlignment="1">
      <alignment horizontal="left"/>
    </xf>
    <xf numFmtId="43" fontId="5" fillId="6" borderId="7" xfId="1" applyFont="1" applyFill="1" applyBorder="1" applyAlignment="1">
      <alignment horizontal="center"/>
    </xf>
    <xf numFmtId="44" fontId="16" fillId="0" borderId="7" xfId="4" applyFont="1" applyBorder="1"/>
    <xf numFmtId="44" fontId="16" fillId="0" borderId="7" xfId="4" applyFont="1" applyFill="1" applyBorder="1"/>
    <xf numFmtId="164" fontId="8" fillId="3" borderId="7" xfId="0" applyNumberFormat="1" applyFont="1" applyFill="1" applyBorder="1" applyAlignment="1">
      <alignment horizontal="left"/>
    </xf>
    <xf numFmtId="164" fontId="17" fillId="0" borderId="7" xfId="0" applyNumberFormat="1" applyFont="1" applyBorder="1" applyAlignment="1">
      <alignment horizontal="left" vertical="center"/>
    </xf>
    <xf numFmtId="0" fontId="18" fillId="0" borderId="7" xfId="0" applyFont="1" applyBorder="1"/>
    <xf numFmtId="0" fontId="4" fillId="9" borderId="7" xfId="0" applyFont="1" applyFill="1" applyBorder="1"/>
    <xf numFmtId="0" fontId="4" fillId="9" borderId="7" xfId="0" applyFont="1" applyFill="1" applyBorder="1" applyAlignment="1">
      <alignment horizontal="right"/>
    </xf>
    <xf numFmtId="164" fontId="8" fillId="9" borderId="7" xfId="0" applyNumberFormat="1" applyFont="1" applyFill="1" applyBorder="1" applyAlignment="1">
      <alignment horizontal="left" vertical="center"/>
    </xf>
    <xf numFmtId="44" fontId="4" fillId="9" borderId="7" xfId="4" applyFont="1" applyFill="1" applyBorder="1"/>
    <xf numFmtId="43" fontId="4" fillId="9" borderId="7" xfId="1" applyFont="1" applyFill="1" applyBorder="1"/>
    <xf numFmtId="43" fontId="8" fillId="9" borderId="7" xfId="0" applyNumberFormat="1" applyFont="1" applyFill="1" applyBorder="1"/>
    <xf numFmtId="0" fontId="5" fillId="9" borderId="7" xfId="0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5">
          <cell r="D35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1">
          <cell r="D41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9">
          <cell r="D49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Y30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98" bestFit="1" customWidth="1"/>
    <col min="7" max="7" width="20.28515625" style="13" customWidth="1"/>
    <col min="8" max="8" width="21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86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20.42578125" style="16" customWidth="1"/>
    <col min="28" max="28" width="135.28515625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97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97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173</v>
      </c>
      <c r="B3" s="10" t="s">
        <v>174</v>
      </c>
      <c r="C3" s="10"/>
      <c r="D3" s="10"/>
      <c r="E3" s="11"/>
      <c r="F3" s="97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98"/>
      <c r="G4" s="13"/>
      <c r="H4" s="13"/>
      <c r="I4" s="13"/>
      <c r="J4" s="14"/>
      <c r="K4" s="13"/>
      <c r="L4" s="86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140" t="s">
        <v>3</v>
      </c>
      <c r="B5" s="140" t="s">
        <v>4</v>
      </c>
      <c r="C5" s="140" t="s">
        <v>5</v>
      </c>
      <c r="D5" s="19"/>
      <c r="E5" s="140" t="s">
        <v>6</v>
      </c>
      <c r="F5" s="99"/>
      <c r="G5" s="138" t="s">
        <v>7</v>
      </c>
      <c r="H5" s="138" t="s">
        <v>8</v>
      </c>
      <c r="I5" s="138" t="s">
        <v>9</v>
      </c>
      <c r="J5" s="138" t="s">
        <v>10</v>
      </c>
      <c r="K5" s="138" t="s">
        <v>11</v>
      </c>
      <c r="L5" s="20"/>
      <c r="M5" s="138" t="s">
        <v>12</v>
      </c>
      <c r="N5" s="138" t="s">
        <v>13</v>
      </c>
      <c r="O5" s="138" t="s">
        <v>14</v>
      </c>
      <c r="P5" s="138" t="s">
        <v>15</v>
      </c>
      <c r="Q5" s="138" t="s">
        <v>16</v>
      </c>
      <c r="R5" s="138" t="s">
        <v>17</v>
      </c>
      <c r="S5" s="138" t="s">
        <v>18</v>
      </c>
      <c r="T5" s="138" t="s">
        <v>19</v>
      </c>
      <c r="U5" s="138" t="s">
        <v>20</v>
      </c>
      <c r="V5" s="138" t="s">
        <v>21</v>
      </c>
      <c r="W5" s="138" t="s">
        <v>22</v>
      </c>
      <c r="X5" s="142" t="s">
        <v>23</v>
      </c>
      <c r="Y5" s="143"/>
      <c r="Z5" s="144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141"/>
      <c r="B6" s="141"/>
      <c r="C6" s="141"/>
      <c r="D6" s="24" t="s">
        <v>26</v>
      </c>
      <c r="E6" s="141"/>
      <c r="F6" s="100" t="s">
        <v>27</v>
      </c>
      <c r="G6" s="139"/>
      <c r="H6" s="139"/>
      <c r="I6" s="139"/>
      <c r="J6" s="139"/>
      <c r="K6" s="139"/>
      <c r="L6" s="25" t="s">
        <v>28</v>
      </c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26" t="s">
        <v>29</v>
      </c>
      <c r="Y6" s="26" t="s">
        <v>30</v>
      </c>
      <c r="Z6" s="138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27" t="s">
        <v>35</v>
      </c>
      <c r="B7" s="27" t="s">
        <v>154</v>
      </c>
      <c r="C7" s="29"/>
      <c r="D7" s="30">
        <v>42632</v>
      </c>
      <c r="E7" s="27" t="s">
        <v>155</v>
      </c>
      <c r="F7" s="101">
        <v>14764.74</v>
      </c>
      <c r="G7" s="49"/>
      <c r="H7" s="32"/>
      <c r="I7" s="33">
        <v>45.13</v>
      </c>
      <c r="J7" s="37">
        <f t="shared" ref="J7:J48" si="0">SUM(F7:H7)-I7</f>
        <v>14719.61</v>
      </c>
      <c r="K7" s="44"/>
      <c r="L7" s="87"/>
      <c r="M7" s="34"/>
      <c r="N7" s="34"/>
      <c r="O7" s="34"/>
      <c r="P7" s="35"/>
      <c r="Q7" s="36">
        <v>2075</v>
      </c>
      <c r="R7" s="37">
        <f>+J7-SUM(K7:Q7)</f>
        <v>12644.61</v>
      </c>
      <c r="S7" s="38"/>
      <c r="T7" s="37">
        <f>+R7-S7</f>
        <v>12644.61</v>
      </c>
      <c r="U7" s="39"/>
      <c r="V7" s="38"/>
      <c r="W7" s="37"/>
      <c r="X7" s="40"/>
      <c r="Y7" s="41"/>
      <c r="Z7" s="42"/>
      <c r="AA7" s="109">
        <v>2744500016</v>
      </c>
      <c r="AB7" s="45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32</v>
      </c>
      <c r="B8" s="27" t="s">
        <v>33</v>
      </c>
      <c r="C8" s="29"/>
      <c r="D8" s="50">
        <v>42409</v>
      </c>
      <c r="E8" s="27" t="s">
        <v>34</v>
      </c>
      <c r="F8" s="101">
        <v>2516</v>
      </c>
      <c r="G8" s="49"/>
      <c r="H8" s="32"/>
      <c r="I8" s="33">
        <v>45.13</v>
      </c>
      <c r="J8" s="37">
        <f t="shared" si="0"/>
        <v>2470.87</v>
      </c>
      <c r="K8" s="44"/>
      <c r="L8" s="88"/>
      <c r="M8" s="34"/>
      <c r="N8" s="34"/>
      <c r="O8" s="34"/>
      <c r="P8" s="35"/>
      <c r="Q8" s="36">
        <v>0</v>
      </c>
      <c r="R8" s="37">
        <f>+J8-SUM(K8:Q8)</f>
        <v>2470.87</v>
      </c>
      <c r="S8" s="38">
        <f>IF(J8&gt;4500,J8*0.1,0)</f>
        <v>0</v>
      </c>
      <c r="T8" s="37">
        <f>+R8-S8</f>
        <v>2470.87</v>
      </c>
      <c r="U8" s="39">
        <f>IF(J8&lt;4500,J8*0.1,0)</f>
        <v>247.08699999999999</v>
      </c>
      <c r="V8" s="38">
        <f>+'[1]C&amp;A'!D12*0.02</f>
        <v>21.911999999999999</v>
      </c>
      <c r="W8" s="37">
        <f>+J8+U8+V8</f>
        <v>2739.8689999999997</v>
      </c>
      <c r="X8" s="40"/>
      <c r="Y8" s="41"/>
      <c r="Z8" s="42">
        <f>+X8+Y8-T8</f>
        <v>-2470.87</v>
      </c>
      <c r="AA8" s="109"/>
      <c r="AB8" s="45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35</v>
      </c>
      <c r="B9" s="27" t="s">
        <v>175</v>
      </c>
      <c r="C9" s="29"/>
      <c r="D9" s="129">
        <v>40701</v>
      </c>
      <c r="E9" s="130" t="s">
        <v>137</v>
      </c>
      <c r="F9" s="101">
        <v>14500</v>
      </c>
      <c r="G9" s="49"/>
      <c r="H9" s="32"/>
      <c r="I9" s="33">
        <v>45.13</v>
      </c>
      <c r="J9" s="37">
        <f t="shared" si="0"/>
        <v>14454.87</v>
      </c>
      <c r="K9" s="44"/>
      <c r="L9" s="88"/>
      <c r="M9" s="34"/>
      <c r="N9" s="34"/>
      <c r="O9" s="34"/>
      <c r="P9" s="35"/>
      <c r="Q9" s="36">
        <v>2200</v>
      </c>
      <c r="R9" s="37">
        <f>+J9-SUM(K9:Q9)</f>
        <v>12254.87</v>
      </c>
      <c r="S9" s="38">
        <f>IF(J9&gt;4500,J9*0.1,0)</f>
        <v>1445.4870000000001</v>
      </c>
      <c r="T9" s="37">
        <f>+R9-S9</f>
        <v>10809.383000000002</v>
      </c>
      <c r="U9" s="39"/>
      <c r="V9" s="38"/>
      <c r="W9" s="37"/>
      <c r="X9" s="40"/>
      <c r="Y9" s="41"/>
      <c r="Z9" s="42"/>
      <c r="AA9" s="109"/>
      <c r="AB9" s="45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35</v>
      </c>
      <c r="B10" s="27" t="s">
        <v>36</v>
      </c>
      <c r="C10" s="29" t="s">
        <v>37</v>
      </c>
      <c r="D10" s="30">
        <v>42072</v>
      </c>
      <c r="E10" s="27" t="s">
        <v>141</v>
      </c>
      <c r="F10" s="101">
        <v>2870</v>
      </c>
      <c r="G10" s="32"/>
      <c r="H10" s="32"/>
      <c r="I10" s="33">
        <v>45.13</v>
      </c>
      <c r="J10" s="37">
        <f t="shared" si="0"/>
        <v>2824.87</v>
      </c>
      <c r="K10" s="44"/>
      <c r="L10" s="88"/>
      <c r="M10" s="34"/>
      <c r="N10" s="34"/>
      <c r="O10" s="34"/>
      <c r="P10" s="35"/>
      <c r="Q10" s="36">
        <v>900</v>
      </c>
      <c r="R10" s="37">
        <f>+J10-SUM(K10:Q10)</f>
        <v>1924.87</v>
      </c>
      <c r="S10" s="38">
        <f>IF(J10&gt;4500,J10*0.1,0)</f>
        <v>0</v>
      </c>
      <c r="T10" s="37">
        <f>+R10-S10</f>
        <v>1924.87</v>
      </c>
      <c r="U10" s="39">
        <f>IF(J10&lt;4500,J10*0.1,0)</f>
        <v>282.48700000000002</v>
      </c>
      <c r="V10" s="38">
        <f>+'[1]C&amp;A'!D14*0.02</f>
        <v>21.911999999999999</v>
      </c>
      <c r="W10" s="37">
        <f>+J10+U10+V10</f>
        <v>3129.2689999999998</v>
      </c>
      <c r="X10" s="40"/>
      <c r="Y10" s="41"/>
      <c r="Z10" s="42">
        <f>+X10+Y10-T10</f>
        <v>-1924.87</v>
      </c>
      <c r="AA10" s="42"/>
      <c r="AB10" s="45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35</v>
      </c>
      <c r="B11" s="27" t="s">
        <v>39</v>
      </c>
      <c r="C11" s="29" t="s">
        <v>40</v>
      </c>
      <c r="D11" s="30">
        <v>42298</v>
      </c>
      <c r="E11" s="27" t="s">
        <v>41</v>
      </c>
      <c r="F11" s="101">
        <v>7333.12</v>
      </c>
      <c r="G11" s="32"/>
      <c r="H11" s="32"/>
      <c r="I11" s="33">
        <v>45.13</v>
      </c>
      <c r="J11" s="37">
        <f t="shared" si="0"/>
        <v>7287.99</v>
      </c>
      <c r="K11" s="44"/>
      <c r="L11" s="88"/>
      <c r="M11" s="34"/>
      <c r="N11" s="34"/>
      <c r="O11" s="34"/>
      <c r="P11" s="35"/>
      <c r="Q11" s="36">
        <v>0</v>
      </c>
      <c r="R11" s="37">
        <f>+J11-SUM(K11:Q11)</f>
        <v>7287.99</v>
      </c>
      <c r="S11" s="38">
        <f>IF(J11&gt;4500,J11*0.1,0)</f>
        <v>728.79899999999998</v>
      </c>
      <c r="T11" s="37">
        <f>+R11-S11</f>
        <v>6559.1909999999998</v>
      </c>
      <c r="U11" s="39">
        <f>IF(J11&lt;4500,J11*0.1,0)</f>
        <v>0</v>
      </c>
      <c r="V11" s="38">
        <f>+'[1]C&amp;A'!D15*0.02</f>
        <v>21.911999999999999</v>
      </c>
      <c r="W11" s="37">
        <f>+J11+U11+V11</f>
        <v>7309.902</v>
      </c>
      <c r="X11" s="40"/>
      <c r="Y11" s="46"/>
      <c r="Z11" s="42">
        <f>+X11+Y11-T11</f>
        <v>-6559.1909999999998</v>
      </c>
      <c r="AA11" s="42"/>
      <c r="AB11" s="45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35</v>
      </c>
      <c r="B12" s="106" t="s">
        <v>130</v>
      </c>
      <c r="C12" s="29" t="s">
        <v>131</v>
      </c>
      <c r="D12" s="30">
        <v>41939</v>
      </c>
      <c r="E12" s="27" t="s">
        <v>132</v>
      </c>
      <c r="F12" s="101">
        <v>1000</v>
      </c>
      <c r="G12" s="32"/>
      <c r="H12" s="32"/>
      <c r="I12" s="33">
        <v>45.13</v>
      </c>
      <c r="J12" s="37">
        <f t="shared" si="0"/>
        <v>954.87</v>
      </c>
      <c r="K12" s="44"/>
      <c r="L12" s="88"/>
      <c r="M12" s="34"/>
      <c r="N12" s="34"/>
      <c r="O12" s="34"/>
      <c r="P12" s="35"/>
      <c r="Q12" s="36">
        <v>0</v>
      </c>
      <c r="R12" s="37">
        <f t="shared" ref="R12:R30" si="1">+J12-SUM(K12:Q12)</f>
        <v>954.87</v>
      </c>
      <c r="S12" s="38"/>
      <c r="T12" s="37">
        <f t="shared" ref="T12:T29" si="2">+R12-S12</f>
        <v>954.87</v>
      </c>
      <c r="U12" s="39"/>
      <c r="V12" s="38"/>
      <c r="W12" s="37"/>
      <c r="X12" s="40"/>
      <c r="Y12" s="46"/>
      <c r="Z12" s="42"/>
      <c r="AA12" s="42"/>
      <c r="AB12" s="45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43" customFormat="1">
      <c r="A13" s="27" t="s">
        <v>42</v>
      </c>
      <c r="B13" s="27" t="s">
        <v>43</v>
      </c>
      <c r="C13" s="29" t="s">
        <v>44</v>
      </c>
      <c r="D13" s="30">
        <v>41822</v>
      </c>
      <c r="E13" s="27" t="s">
        <v>45</v>
      </c>
      <c r="F13" s="101"/>
      <c r="G13" s="32"/>
      <c r="H13" s="32"/>
      <c r="I13" s="33">
        <v>45.13</v>
      </c>
      <c r="J13" s="37">
        <f t="shared" si="0"/>
        <v>-45.13</v>
      </c>
      <c r="K13" s="44"/>
      <c r="L13" s="88"/>
      <c r="M13" s="34"/>
      <c r="N13" s="34"/>
      <c r="O13" s="34"/>
      <c r="P13" s="35"/>
      <c r="Q13" s="36">
        <v>0</v>
      </c>
      <c r="R13" s="37">
        <f t="shared" si="1"/>
        <v>-45.13</v>
      </c>
      <c r="S13" s="38">
        <f>IF(J13&gt;4500,J13*0.1,0)</f>
        <v>0</v>
      </c>
      <c r="T13" s="37">
        <f t="shared" si="2"/>
        <v>-45.13</v>
      </c>
      <c r="U13" s="39">
        <f>IF(J13&lt;4500,J13*0.1,0)</f>
        <v>-4.5130000000000008</v>
      </c>
      <c r="V13" s="38">
        <f>+'[1]C&amp;A'!D17*0.02</f>
        <v>21.911999999999999</v>
      </c>
      <c r="W13" s="37">
        <f>+J13+U13+V13</f>
        <v>-27.731000000000002</v>
      </c>
      <c r="X13" s="40"/>
      <c r="Y13" s="41"/>
      <c r="Z13" s="42">
        <f>+X13+Y13-T13</f>
        <v>45.13</v>
      </c>
      <c r="AA13" s="42"/>
      <c r="AB13" s="45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s="43" customFormat="1">
      <c r="A14" s="27" t="s">
        <v>42</v>
      </c>
      <c r="B14" s="27" t="s">
        <v>150</v>
      </c>
      <c r="C14" s="29"/>
      <c r="D14" s="30">
        <v>42611</v>
      </c>
      <c r="E14" s="27" t="s">
        <v>153</v>
      </c>
      <c r="F14" s="101"/>
      <c r="G14" s="32"/>
      <c r="H14" s="32"/>
      <c r="I14" s="33">
        <v>45.13</v>
      </c>
      <c r="J14" s="37">
        <f t="shared" si="0"/>
        <v>-45.13</v>
      </c>
      <c r="K14" s="44"/>
      <c r="L14" s="88"/>
      <c r="M14" s="34"/>
      <c r="N14" s="34"/>
      <c r="O14" s="34"/>
      <c r="P14" s="35"/>
      <c r="Q14" s="36">
        <v>0</v>
      </c>
      <c r="R14" s="37">
        <f t="shared" si="1"/>
        <v>-45.13</v>
      </c>
      <c r="S14" s="38">
        <f>IF(J14&gt;4500,J14*0.1,0)</f>
        <v>0</v>
      </c>
      <c r="T14" s="37">
        <f t="shared" ref="T14" si="3">+R14-S14</f>
        <v>-45.13</v>
      </c>
      <c r="U14" s="39"/>
      <c r="V14" s="38"/>
      <c r="W14" s="37"/>
      <c r="X14" s="40"/>
      <c r="Y14" s="41"/>
      <c r="Z14" s="42"/>
      <c r="AA14" s="42" t="s">
        <v>151</v>
      </c>
      <c r="AB14" s="48" t="s">
        <v>182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1:45" s="96" customFormat="1">
      <c r="A15" s="27" t="s">
        <v>42</v>
      </c>
      <c r="B15" s="45" t="s">
        <v>46</v>
      </c>
      <c r="C15" s="29" t="s">
        <v>47</v>
      </c>
      <c r="D15" s="30">
        <v>41474</v>
      </c>
      <c r="E15" s="27" t="s">
        <v>45</v>
      </c>
      <c r="F15" s="101"/>
      <c r="G15" s="32"/>
      <c r="H15" s="32"/>
      <c r="I15" s="33">
        <v>45.13</v>
      </c>
      <c r="J15" s="37">
        <f t="shared" si="0"/>
        <v>-45.13</v>
      </c>
      <c r="K15" s="44"/>
      <c r="L15" s="88"/>
      <c r="M15" s="34"/>
      <c r="N15" s="34"/>
      <c r="O15" s="34"/>
      <c r="P15" s="35"/>
      <c r="Q15" s="36">
        <v>0</v>
      </c>
      <c r="R15" s="37">
        <f t="shared" si="1"/>
        <v>-45.13</v>
      </c>
      <c r="S15" s="38">
        <f>IF(J15&gt;4500,J15*0.1,0)</f>
        <v>0</v>
      </c>
      <c r="T15" s="37">
        <f t="shared" si="2"/>
        <v>-45.13</v>
      </c>
      <c r="U15" s="39">
        <f>IF(J15&lt;4500,J15*0.1,0)</f>
        <v>-4.5130000000000008</v>
      </c>
      <c r="V15" s="38">
        <f>+'[1]C&amp;A'!D18*0.02</f>
        <v>21.911999999999999</v>
      </c>
      <c r="W15" s="37">
        <f>+J15+U15+V15</f>
        <v>-27.731000000000002</v>
      </c>
      <c r="X15" s="40"/>
      <c r="Y15" s="41"/>
      <c r="Z15" s="42">
        <f>+X15+Y15-T15</f>
        <v>45.13</v>
      </c>
      <c r="AA15" s="42"/>
      <c r="AB15" s="47"/>
      <c r="AC15" s="17"/>
      <c r="AD15" s="17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96" customFormat="1">
      <c r="A16" s="27" t="s">
        <v>55</v>
      </c>
      <c r="B16" s="45" t="s">
        <v>127</v>
      </c>
      <c r="C16" s="29"/>
      <c r="D16" s="30">
        <v>42583</v>
      </c>
      <c r="E16" s="27" t="s">
        <v>94</v>
      </c>
      <c r="F16" s="101">
        <v>30544.83</v>
      </c>
      <c r="G16" s="32"/>
      <c r="H16" s="32"/>
      <c r="I16" s="33">
        <v>45.13</v>
      </c>
      <c r="J16" s="37">
        <f t="shared" si="0"/>
        <v>30499.7</v>
      </c>
      <c r="K16" s="44"/>
      <c r="L16" s="88"/>
      <c r="M16" s="34"/>
      <c r="N16" s="34"/>
      <c r="O16" s="34"/>
      <c r="P16" s="35"/>
      <c r="Q16" s="36">
        <v>8122</v>
      </c>
      <c r="R16" s="37">
        <f t="shared" si="1"/>
        <v>22377.7</v>
      </c>
      <c r="S16" s="38"/>
      <c r="T16" s="37">
        <f t="shared" si="2"/>
        <v>22377.7</v>
      </c>
      <c r="U16" s="39"/>
      <c r="V16" s="38"/>
      <c r="W16" s="37"/>
      <c r="X16" s="40"/>
      <c r="Y16" s="41"/>
      <c r="Z16" s="42"/>
      <c r="AA16" s="42"/>
      <c r="AB16" s="47"/>
      <c r="AC16" s="17"/>
      <c r="AD16" s="17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45" s="96" customFormat="1">
      <c r="A17" s="27" t="s">
        <v>35</v>
      </c>
      <c r="B17" s="45" t="s">
        <v>144</v>
      </c>
      <c r="C17" s="29"/>
      <c r="D17" s="30">
        <v>42608</v>
      </c>
      <c r="E17" s="27" t="s">
        <v>49</v>
      </c>
      <c r="F17" s="101">
        <v>1083.33</v>
      </c>
      <c r="G17" s="32"/>
      <c r="H17" s="32"/>
      <c r="I17" s="33">
        <v>45.13</v>
      </c>
      <c r="J17" s="37">
        <f t="shared" si="0"/>
        <v>1038.1999999999998</v>
      </c>
      <c r="K17" s="44"/>
      <c r="L17" s="88"/>
      <c r="M17" s="34"/>
      <c r="N17" s="34"/>
      <c r="O17" s="34"/>
      <c r="P17" s="35"/>
      <c r="Q17" s="36">
        <v>0</v>
      </c>
      <c r="R17" s="37">
        <f t="shared" si="1"/>
        <v>1038.1999999999998</v>
      </c>
      <c r="S17" s="38"/>
      <c r="T17" s="37">
        <f t="shared" si="2"/>
        <v>1038.1999999999998</v>
      </c>
      <c r="U17" s="39"/>
      <c r="V17" s="38"/>
      <c r="W17" s="37"/>
      <c r="X17" s="40"/>
      <c r="Y17" s="41"/>
      <c r="Z17" s="42"/>
      <c r="AA17" s="42"/>
      <c r="AB17" s="48"/>
      <c r="AC17" s="17"/>
      <c r="AD17" s="17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</row>
    <row r="18" spans="1:45" s="43" customFormat="1">
      <c r="A18" s="27" t="s">
        <v>35</v>
      </c>
      <c r="B18" s="45" t="s">
        <v>48</v>
      </c>
      <c r="C18" s="29"/>
      <c r="D18" s="30">
        <v>42552</v>
      </c>
      <c r="E18" s="27" t="s">
        <v>49</v>
      </c>
      <c r="F18" s="101">
        <v>1083.33</v>
      </c>
      <c r="G18" s="32"/>
      <c r="H18" s="32"/>
      <c r="I18" s="33">
        <v>45.13</v>
      </c>
      <c r="J18" s="37">
        <f t="shared" si="0"/>
        <v>1038.1999999999998</v>
      </c>
      <c r="K18" s="44"/>
      <c r="L18" s="88"/>
      <c r="M18" s="34"/>
      <c r="N18" s="34"/>
      <c r="O18" s="34"/>
      <c r="P18" s="35"/>
      <c r="Q18" s="36">
        <v>2000</v>
      </c>
      <c r="R18" s="37">
        <f t="shared" si="1"/>
        <v>-961.80000000000018</v>
      </c>
      <c r="S18" s="38">
        <f t="shared" ref="S18:S42" si="4">IF(J18&gt;4500,J18*0.1,0)</f>
        <v>0</v>
      </c>
      <c r="T18" s="37">
        <f t="shared" si="2"/>
        <v>-961.80000000000018</v>
      </c>
      <c r="U18" s="39">
        <f t="shared" ref="U18:U42" si="5">IF(J18&lt;4500,J18*0.1,0)</f>
        <v>103.82</v>
      </c>
      <c r="V18" s="38">
        <f>+'[1]C&amp;A'!D19*0.02</f>
        <v>21.911999999999999</v>
      </c>
      <c r="W18" s="37">
        <f>+J18+U18+V18</f>
        <v>1163.9319999999998</v>
      </c>
      <c r="X18" s="40"/>
      <c r="Y18" s="41"/>
      <c r="Z18" s="42"/>
      <c r="AA18" s="42"/>
      <c r="AB18" s="4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43" customFormat="1">
      <c r="A19" s="27" t="s">
        <v>55</v>
      </c>
      <c r="B19" s="45" t="s">
        <v>129</v>
      </c>
      <c r="C19" s="29"/>
      <c r="D19" s="30">
        <v>38873</v>
      </c>
      <c r="E19" s="108" t="s">
        <v>149</v>
      </c>
      <c r="F19" s="101">
        <v>101673.47</v>
      </c>
      <c r="G19" s="32"/>
      <c r="H19" s="32"/>
      <c r="I19" s="33">
        <v>45.13</v>
      </c>
      <c r="J19" s="37">
        <f t="shared" si="0"/>
        <v>101628.34</v>
      </c>
      <c r="K19" s="44">
        <v>3535</v>
      </c>
      <c r="L19" s="88"/>
      <c r="M19" s="34"/>
      <c r="N19" s="34"/>
      <c r="O19" s="34"/>
      <c r="P19" s="35"/>
      <c r="Q19" s="36">
        <v>345</v>
      </c>
      <c r="R19" s="37">
        <f t="shared" si="1"/>
        <v>97748.34</v>
      </c>
      <c r="S19" s="38">
        <f t="shared" si="4"/>
        <v>10162.834000000001</v>
      </c>
      <c r="T19" s="37">
        <f t="shared" si="2"/>
        <v>87585.505999999994</v>
      </c>
      <c r="U19" s="39">
        <f t="shared" si="5"/>
        <v>0</v>
      </c>
      <c r="V19" s="38"/>
      <c r="W19" s="37"/>
      <c r="X19" s="40"/>
      <c r="Y19" s="41"/>
      <c r="Z19" s="42"/>
      <c r="AA19" s="42"/>
      <c r="AB19" s="47" t="s">
        <v>177</v>
      </c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43" customFormat="1">
      <c r="A20" s="27" t="s">
        <v>55</v>
      </c>
      <c r="B20" s="45" t="s">
        <v>167</v>
      </c>
      <c r="C20" s="29"/>
      <c r="D20" s="30">
        <v>42686</v>
      </c>
      <c r="E20" s="108" t="s">
        <v>70</v>
      </c>
      <c r="F20" s="101">
        <v>1698.98</v>
      </c>
      <c r="G20" s="32"/>
      <c r="H20" s="32"/>
      <c r="I20" s="33">
        <v>45.13</v>
      </c>
      <c r="J20" s="37">
        <f t="shared" si="0"/>
        <v>1653.85</v>
      </c>
      <c r="K20" s="44"/>
      <c r="L20" s="88"/>
      <c r="M20" s="34"/>
      <c r="N20" s="34"/>
      <c r="O20" s="34"/>
      <c r="P20" s="35"/>
      <c r="Q20" s="36"/>
      <c r="R20" s="37">
        <f t="shared" ref="R20:R21" si="6">+J20-SUM(K20:Q20)</f>
        <v>1653.85</v>
      </c>
      <c r="S20" s="38">
        <f t="shared" ref="S20:S21" si="7">IF(J20&gt;4500,J20*0.1,0)</f>
        <v>0</v>
      </c>
      <c r="T20" s="37">
        <f t="shared" ref="T20:T21" si="8">+R20-S20</f>
        <v>1653.85</v>
      </c>
      <c r="U20" s="39"/>
      <c r="V20" s="38"/>
      <c r="W20" s="37"/>
      <c r="X20" s="40"/>
      <c r="Y20" s="41"/>
      <c r="Z20" s="42"/>
      <c r="AA20" s="42" t="s">
        <v>171</v>
      </c>
      <c r="AB20" s="4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43" customFormat="1">
      <c r="A21" s="27" t="s">
        <v>55</v>
      </c>
      <c r="B21" s="45" t="s">
        <v>168</v>
      </c>
      <c r="C21" s="29"/>
      <c r="D21" s="30">
        <v>42692</v>
      </c>
      <c r="E21" s="108" t="s">
        <v>70</v>
      </c>
      <c r="F21" s="101">
        <v>1162.46</v>
      </c>
      <c r="G21" s="32"/>
      <c r="H21" s="32"/>
      <c r="I21" s="33">
        <v>45.13</v>
      </c>
      <c r="J21" s="37">
        <f t="shared" si="0"/>
        <v>1117.33</v>
      </c>
      <c r="K21" s="44"/>
      <c r="L21" s="88"/>
      <c r="M21" s="34"/>
      <c r="N21" s="34"/>
      <c r="O21" s="34"/>
      <c r="P21" s="35"/>
      <c r="Q21" s="36"/>
      <c r="R21" s="37">
        <f t="shared" si="6"/>
        <v>1117.33</v>
      </c>
      <c r="S21" s="38">
        <f t="shared" si="7"/>
        <v>0</v>
      </c>
      <c r="T21" s="37">
        <f t="shared" si="8"/>
        <v>1117.33</v>
      </c>
      <c r="U21" s="39"/>
      <c r="V21" s="38"/>
      <c r="W21" s="37"/>
      <c r="X21" s="40"/>
      <c r="Y21" s="41"/>
      <c r="Z21" s="42"/>
      <c r="AA21" s="42" t="s">
        <v>172</v>
      </c>
      <c r="AB21" s="4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27" t="s">
        <v>42</v>
      </c>
      <c r="B22" s="45" t="s">
        <v>50</v>
      </c>
      <c r="C22" s="29" t="s">
        <v>51</v>
      </c>
      <c r="D22" s="30">
        <v>42298</v>
      </c>
      <c r="E22" s="27" t="s">
        <v>52</v>
      </c>
      <c r="F22" s="101">
        <v>12427.99</v>
      </c>
      <c r="G22" s="49"/>
      <c r="H22" s="32"/>
      <c r="I22" s="33">
        <v>45.13</v>
      </c>
      <c r="J22" s="37">
        <f t="shared" si="0"/>
        <v>12382.86</v>
      </c>
      <c r="K22" s="44"/>
      <c r="L22" s="88"/>
      <c r="M22" s="34"/>
      <c r="N22" s="34"/>
      <c r="O22" s="34"/>
      <c r="P22" s="35"/>
      <c r="Q22" s="36">
        <v>0</v>
      </c>
      <c r="R22" s="37">
        <f t="shared" si="1"/>
        <v>12382.86</v>
      </c>
      <c r="S22" s="38">
        <f t="shared" si="4"/>
        <v>1238.2860000000001</v>
      </c>
      <c r="T22" s="37">
        <f t="shared" si="2"/>
        <v>11144.574000000001</v>
      </c>
      <c r="U22" s="39">
        <f t="shared" si="5"/>
        <v>0</v>
      </c>
      <c r="V22" s="38">
        <f>+'[1]C&amp;A'!D22*0.02</f>
        <v>21.911999999999999</v>
      </c>
      <c r="W22" s="37">
        <f t="shared" ref="W22:W42" si="9">+J22+U22+V22</f>
        <v>12404.772000000001</v>
      </c>
      <c r="X22" s="40"/>
      <c r="Y22" s="46"/>
      <c r="Z22" s="42">
        <f t="shared" ref="Z22:Z28" si="10">+X22+Y22-T22</f>
        <v>-11144.574000000001</v>
      </c>
      <c r="AA22" s="42"/>
      <c r="AB22" s="45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145</v>
      </c>
      <c r="B23" s="45" t="s">
        <v>156</v>
      </c>
      <c r="C23" s="29"/>
      <c r="D23" s="30">
        <v>42635</v>
      </c>
      <c r="E23" s="27" t="s">
        <v>54</v>
      </c>
      <c r="F23" s="101">
        <v>1568</v>
      </c>
      <c r="G23" s="49"/>
      <c r="H23" s="32"/>
      <c r="I23" s="33">
        <v>45.13</v>
      </c>
      <c r="J23" s="37">
        <f t="shared" si="0"/>
        <v>1522.87</v>
      </c>
      <c r="K23" s="44"/>
      <c r="L23" s="88"/>
      <c r="M23" s="34"/>
      <c r="N23" s="34"/>
      <c r="O23" s="34"/>
      <c r="P23" s="35"/>
      <c r="Q23" s="36">
        <v>0</v>
      </c>
      <c r="R23" s="37">
        <f t="shared" ref="R23" si="11">+J23-SUM(K23:Q23)</f>
        <v>1522.87</v>
      </c>
      <c r="S23" s="38">
        <f t="shared" ref="S23" si="12">IF(J23&gt;4500,J23*0.1,0)</f>
        <v>0</v>
      </c>
      <c r="T23" s="37">
        <f t="shared" ref="T23" si="13">+R23-S23</f>
        <v>1522.87</v>
      </c>
      <c r="U23" s="39"/>
      <c r="V23" s="38"/>
      <c r="W23" s="37"/>
      <c r="X23" s="40"/>
      <c r="Y23" s="46"/>
      <c r="Z23" s="42"/>
      <c r="AA23" s="109">
        <v>1132634759</v>
      </c>
      <c r="AB23" s="45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145</v>
      </c>
      <c r="B24" s="27" t="s">
        <v>53</v>
      </c>
      <c r="C24" s="29"/>
      <c r="D24" s="50">
        <v>42429</v>
      </c>
      <c r="E24" s="27" t="s">
        <v>54</v>
      </c>
      <c r="F24" s="101">
        <v>4200</v>
      </c>
      <c r="G24" s="49"/>
      <c r="H24" s="32"/>
      <c r="I24" s="33">
        <v>45.13</v>
      </c>
      <c r="J24" s="37">
        <f t="shared" si="0"/>
        <v>4154.87</v>
      </c>
      <c r="K24" s="44"/>
      <c r="L24" s="88"/>
      <c r="M24" s="34"/>
      <c r="N24" s="34"/>
      <c r="O24" s="34"/>
      <c r="P24" s="35"/>
      <c r="Q24" s="36">
        <v>0</v>
      </c>
      <c r="R24" s="37">
        <f t="shared" si="1"/>
        <v>4154.87</v>
      </c>
      <c r="S24" s="38">
        <f t="shared" si="4"/>
        <v>0</v>
      </c>
      <c r="T24" s="37">
        <f t="shared" si="2"/>
        <v>4154.87</v>
      </c>
      <c r="U24" s="39">
        <f t="shared" si="5"/>
        <v>415.48700000000002</v>
      </c>
      <c r="V24" s="38">
        <f>+'[1]C&amp;A'!D23*0.02</f>
        <v>21.911999999999999</v>
      </c>
      <c r="W24" s="37">
        <f t="shared" si="9"/>
        <v>4592.2690000000002</v>
      </c>
      <c r="X24" s="40"/>
      <c r="Y24" s="41"/>
      <c r="Z24" s="42">
        <f t="shared" si="10"/>
        <v>-4154.87</v>
      </c>
      <c r="AA24" s="42"/>
      <c r="AB24" s="45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145</v>
      </c>
      <c r="B25" s="27" t="s">
        <v>146</v>
      </c>
      <c r="C25" s="29"/>
      <c r="D25" s="50">
        <v>42599</v>
      </c>
      <c r="E25" s="27" t="s">
        <v>54</v>
      </c>
      <c r="F25" s="101">
        <v>3216</v>
      </c>
      <c r="G25" s="49"/>
      <c r="H25" s="32"/>
      <c r="I25" s="33">
        <v>45.13</v>
      </c>
      <c r="J25" s="37">
        <f t="shared" si="0"/>
        <v>3170.87</v>
      </c>
      <c r="K25" s="44"/>
      <c r="L25" s="88"/>
      <c r="M25" s="34"/>
      <c r="N25" s="34"/>
      <c r="O25" s="34"/>
      <c r="P25" s="35"/>
      <c r="Q25" s="36">
        <v>0</v>
      </c>
      <c r="R25" s="37">
        <f t="shared" si="1"/>
        <v>3170.87</v>
      </c>
      <c r="S25" s="38">
        <f t="shared" ref="S25" si="14">IF(J25&gt;4500,J25*0.1,0)</f>
        <v>0</v>
      </c>
      <c r="T25" s="37">
        <f t="shared" si="2"/>
        <v>3170.87</v>
      </c>
      <c r="U25" s="39">
        <f t="shared" ref="U25" si="15">IF(J25&lt;4500,J25*0.1,0)</f>
        <v>317.08699999999999</v>
      </c>
      <c r="V25" s="38">
        <f>+'[1]C&amp;A'!D24*0.02</f>
        <v>21.911999999999999</v>
      </c>
      <c r="W25" s="37">
        <f t="shared" ref="W25" si="16">+J25+U25+V25</f>
        <v>3509.8689999999997</v>
      </c>
      <c r="X25" s="40"/>
      <c r="Y25" s="41"/>
      <c r="Z25" s="42"/>
      <c r="AA25" s="42"/>
      <c r="AB25" s="45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32</v>
      </c>
      <c r="B26" s="27" t="s">
        <v>56</v>
      </c>
      <c r="C26" s="29"/>
      <c r="D26" s="30">
        <v>42038</v>
      </c>
      <c r="E26" s="27" t="s">
        <v>57</v>
      </c>
      <c r="F26" s="101">
        <v>30750</v>
      </c>
      <c r="G26" s="49"/>
      <c r="H26" s="32"/>
      <c r="I26" s="33">
        <v>45.13</v>
      </c>
      <c r="J26" s="37">
        <f t="shared" si="0"/>
        <v>30704.87</v>
      </c>
      <c r="K26" s="44"/>
      <c r="L26" s="88"/>
      <c r="M26" s="34"/>
      <c r="N26" s="34"/>
      <c r="O26" s="34"/>
      <c r="P26" s="35"/>
      <c r="Q26" s="36">
        <v>240</v>
      </c>
      <c r="R26" s="37">
        <f t="shared" si="1"/>
        <v>30464.87</v>
      </c>
      <c r="S26" s="38">
        <f t="shared" si="4"/>
        <v>3070.4870000000001</v>
      </c>
      <c r="T26" s="37">
        <f t="shared" si="2"/>
        <v>27394.382999999998</v>
      </c>
      <c r="U26" s="39">
        <f t="shared" si="5"/>
        <v>0</v>
      </c>
      <c r="V26" s="38">
        <f>+'[1]C&amp;A'!D24*0.02</f>
        <v>21.911999999999999</v>
      </c>
      <c r="W26" s="37">
        <f t="shared" si="9"/>
        <v>30726.781999999999</v>
      </c>
      <c r="X26" s="40"/>
      <c r="Y26" s="46"/>
      <c r="Z26" s="42">
        <f t="shared" si="10"/>
        <v>-27394.382999999998</v>
      </c>
      <c r="AA26" s="42"/>
      <c r="AB26" s="45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43" customFormat="1">
      <c r="A27" s="27" t="s">
        <v>55</v>
      </c>
      <c r="B27" s="27" t="s">
        <v>58</v>
      </c>
      <c r="C27" s="27" t="s">
        <v>59</v>
      </c>
      <c r="D27" s="30">
        <v>41582</v>
      </c>
      <c r="E27" s="27" t="s">
        <v>60</v>
      </c>
      <c r="F27" s="101">
        <v>216930.96</v>
      </c>
      <c r="G27" s="32"/>
      <c r="H27" s="32"/>
      <c r="I27" s="33">
        <v>45.13</v>
      </c>
      <c r="J27" s="37">
        <f t="shared" si="0"/>
        <v>216885.83</v>
      </c>
      <c r="K27" s="44"/>
      <c r="L27" s="88"/>
      <c r="M27" s="34"/>
      <c r="N27" s="34"/>
      <c r="O27" s="34"/>
      <c r="P27" s="35"/>
      <c r="Q27" s="36">
        <v>0</v>
      </c>
      <c r="R27" s="37">
        <f t="shared" si="1"/>
        <v>216885.83</v>
      </c>
      <c r="S27" s="38">
        <f t="shared" si="4"/>
        <v>21688.582999999999</v>
      </c>
      <c r="T27" s="37">
        <f t="shared" si="2"/>
        <v>195197.24699999997</v>
      </c>
      <c r="U27" s="39">
        <f t="shared" si="5"/>
        <v>0</v>
      </c>
      <c r="V27" s="38">
        <f>+'[1]C&amp;A'!D25*0.02</f>
        <v>21.911999999999999</v>
      </c>
      <c r="W27" s="37">
        <f t="shared" si="9"/>
        <v>216907.742</v>
      </c>
      <c r="X27" s="40"/>
      <c r="Y27" s="46"/>
      <c r="Z27" s="42">
        <f t="shared" si="10"/>
        <v>-195197.24699999997</v>
      </c>
      <c r="AA27" s="42"/>
      <c r="AB27" s="45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43" customFormat="1">
      <c r="A28" s="27" t="s">
        <v>55</v>
      </c>
      <c r="B28" s="45" t="s">
        <v>62</v>
      </c>
      <c r="C28" s="29" t="s">
        <v>63</v>
      </c>
      <c r="D28" s="30">
        <v>42380</v>
      </c>
      <c r="E28" s="27" t="s">
        <v>64</v>
      </c>
      <c r="F28" s="101">
        <v>6392</v>
      </c>
      <c r="G28" s="32"/>
      <c r="H28" s="32"/>
      <c r="I28" s="33">
        <v>45.13</v>
      </c>
      <c r="J28" s="37">
        <f t="shared" si="0"/>
        <v>6346.87</v>
      </c>
      <c r="K28" s="44"/>
      <c r="L28" s="88"/>
      <c r="M28" s="34"/>
      <c r="N28" s="34"/>
      <c r="O28" s="34"/>
      <c r="P28" s="35"/>
      <c r="Q28" s="36">
        <v>0</v>
      </c>
      <c r="R28" s="37">
        <f t="shared" si="1"/>
        <v>6346.87</v>
      </c>
      <c r="S28" s="38">
        <f t="shared" si="4"/>
        <v>634.68700000000001</v>
      </c>
      <c r="T28" s="37">
        <f t="shared" si="2"/>
        <v>5712.183</v>
      </c>
      <c r="U28" s="39">
        <f t="shared" si="5"/>
        <v>0</v>
      </c>
      <c r="V28" s="38">
        <f>+'[1]C&amp;A'!D27*0.02</f>
        <v>21.911999999999999</v>
      </c>
      <c r="W28" s="37">
        <f t="shared" si="9"/>
        <v>6368.7820000000002</v>
      </c>
      <c r="X28" s="40"/>
      <c r="Y28" s="46"/>
      <c r="Z28" s="42">
        <f t="shared" si="10"/>
        <v>-5712.183</v>
      </c>
      <c r="AA28" s="42"/>
      <c r="AB28" s="45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27" t="s">
        <v>35</v>
      </c>
      <c r="B29" s="106" t="s">
        <v>133</v>
      </c>
      <c r="C29" s="29">
        <v>3</v>
      </c>
      <c r="D29" s="30">
        <v>39465</v>
      </c>
      <c r="E29" s="27" t="s">
        <v>134</v>
      </c>
      <c r="F29" s="101">
        <v>13890</v>
      </c>
      <c r="G29" s="32"/>
      <c r="H29" s="32"/>
      <c r="I29" s="33">
        <v>45.13</v>
      </c>
      <c r="J29" s="37">
        <f t="shared" si="0"/>
        <v>13844.87</v>
      </c>
      <c r="K29" s="44"/>
      <c r="L29" s="88"/>
      <c r="M29" s="34"/>
      <c r="N29" s="34"/>
      <c r="O29" s="34"/>
      <c r="P29" s="107"/>
      <c r="Q29" s="36">
        <v>323.91000000000003</v>
      </c>
      <c r="R29" s="37">
        <f t="shared" si="1"/>
        <v>13520.960000000001</v>
      </c>
      <c r="S29" s="38"/>
      <c r="T29" s="37">
        <f t="shared" si="2"/>
        <v>13520.960000000001</v>
      </c>
      <c r="U29" s="39"/>
      <c r="V29" s="38"/>
      <c r="W29" s="37"/>
      <c r="X29" s="40"/>
      <c r="Y29" s="46"/>
      <c r="Z29" s="42"/>
      <c r="AA29" s="42"/>
      <c r="AB29" s="48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27" t="s">
        <v>35</v>
      </c>
      <c r="B30" s="45" t="s">
        <v>124</v>
      </c>
      <c r="C30" s="29"/>
      <c r="D30" s="30">
        <v>40530</v>
      </c>
      <c r="E30" s="27" t="s">
        <v>85</v>
      </c>
      <c r="F30" s="101">
        <v>17665.189999999999</v>
      </c>
      <c r="G30" s="32"/>
      <c r="H30" s="32"/>
      <c r="I30" s="33">
        <v>45.13</v>
      </c>
      <c r="J30" s="37">
        <f t="shared" si="0"/>
        <v>17620.059999999998</v>
      </c>
      <c r="K30" s="44"/>
      <c r="L30" s="88"/>
      <c r="M30" s="34"/>
      <c r="N30" s="34"/>
      <c r="O30" s="34"/>
      <c r="P30" s="35"/>
      <c r="Q30" s="36">
        <v>1237</v>
      </c>
      <c r="R30" s="37">
        <f t="shared" si="1"/>
        <v>16383.059999999998</v>
      </c>
      <c r="S30" s="38">
        <f t="shared" si="4"/>
        <v>1762.0059999999999</v>
      </c>
      <c r="T30" s="37">
        <f t="shared" ref="T30:T48" si="17">+R30-S30</f>
        <v>14621.053999999998</v>
      </c>
      <c r="U30" s="39">
        <f t="shared" si="5"/>
        <v>0</v>
      </c>
      <c r="V30" s="38">
        <f>+'[1]C&amp;A'!D28*0.02</f>
        <v>21.911999999999999</v>
      </c>
      <c r="W30" s="37">
        <f t="shared" si="9"/>
        <v>17641.971999999998</v>
      </c>
      <c r="X30" s="40"/>
      <c r="Y30" s="41"/>
      <c r="Z30" s="42"/>
      <c r="AA30" s="42"/>
      <c r="AB30" s="45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27" t="s">
        <v>55</v>
      </c>
      <c r="B31" s="45" t="s">
        <v>65</v>
      </c>
      <c r="C31" s="27" t="s">
        <v>66</v>
      </c>
      <c r="D31" s="30">
        <v>42310</v>
      </c>
      <c r="E31" s="27" t="s">
        <v>67</v>
      </c>
      <c r="F31" s="101"/>
      <c r="G31" s="32"/>
      <c r="H31" s="32"/>
      <c r="I31" s="33">
        <v>45.13</v>
      </c>
      <c r="J31" s="37">
        <f t="shared" si="0"/>
        <v>-45.13</v>
      </c>
      <c r="K31" s="44"/>
      <c r="L31" s="88"/>
      <c r="M31" s="34"/>
      <c r="N31" s="34"/>
      <c r="O31" s="34"/>
      <c r="P31" s="35"/>
      <c r="Q31" s="36">
        <v>0</v>
      </c>
      <c r="R31" s="37">
        <f t="shared" ref="R31:R47" si="18">+J31-SUM(K31:Q31)</f>
        <v>-45.13</v>
      </c>
      <c r="S31" s="38">
        <f t="shared" si="4"/>
        <v>0</v>
      </c>
      <c r="T31" s="37">
        <f t="shared" si="17"/>
        <v>-45.13</v>
      </c>
      <c r="U31" s="39">
        <f t="shared" si="5"/>
        <v>-4.5130000000000008</v>
      </c>
      <c r="V31" s="38">
        <f>+'[1]C&amp;A'!D29*0.02</f>
        <v>21.911999999999999</v>
      </c>
      <c r="W31" s="37">
        <f t="shared" si="9"/>
        <v>-27.731000000000002</v>
      </c>
      <c r="X31" s="40"/>
      <c r="Y31" s="46"/>
      <c r="Z31" s="42">
        <f t="shared" ref="Z31:Z42" si="19">+X31+Y31-T31</f>
        <v>45.13</v>
      </c>
      <c r="AA31" s="42"/>
      <c r="AB31" s="45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43" customFormat="1">
      <c r="A32" s="27" t="s">
        <v>145</v>
      </c>
      <c r="B32" s="45" t="s">
        <v>161</v>
      </c>
      <c r="C32" s="27"/>
      <c r="D32" s="30">
        <v>42660</v>
      </c>
      <c r="E32" s="27" t="s">
        <v>61</v>
      </c>
      <c r="F32" s="101">
        <v>4285.7</v>
      </c>
      <c r="G32" s="32"/>
      <c r="H32" s="32"/>
      <c r="I32" s="33">
        <v>45.13</v>
      </c>
      <c r="J32" s="37">
        <f t="shared" si="0"/>
        <v>4240.57</v>
      </c>
      <c r="K32" s="125"/>
      <c r="L32" s="88"/>
      <c r="M32" s="34"/>
      <c r="N32" s="34"/>
      <c r="O32" s="34"/>
      <c r="P32" s="35"/>
      <c r="Q32" s="36"/>
      <c r="R32" s="37">
        <f t="shared" ref="R32" si="20">+J32-SUM(K32:Q32)</f>
        <v>4240.57</v>
      </c>
      <c r="S32" s="38">
        <f t="shared" ref="S32" si="21">IF(J32&gt;4500,J32*0.1,0)</f>
        <v>0</v>
      </c>
      <c r="T32" s="37">
        <f t="shared" ref="T32" si="22">+R32-S32</f>
        <v>4240.57</v>
      </c>
      <c r="U32" s="39"/>
      <c r="V32" s="38"/>
      <c r="W32" s="37"/>
      <c r="X32" s="40"/>
      <c r="Y32" s="46"/>
      <c r="Z32" s="42"/>
      <c r="AA32" s="124">
        <v>1168261504</v>
      </c>
      <c r="AB32" s="45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s="43" customFormat="1">
      <c r="A33" s="27" t="s">
        <v>145</v>
      </c>
      <c r="B33" s="45" t="s">
        <v>147</v>
      </c>
      <c r="C33" s="27"/>
      <c r="D33" s="30">
        <v>42598</v>
      </c>
      <c r="E33" s="27" t="s">
        <v>91</v>
      </c>
      <c r="F33" s="101">
        <v>2234.56</v>
      </c>
      <c r="G33" s="32"/>
      <c r="H33" s="32"/>
      <c r="I33" s="33">
        <v>45.13</v>
      </c>
      <c r="J33" s="37">
        <f t="shared" si="0"/>
        <v>2189.4299999999998</v>
      </c>
      <c r="K33" s="44"/>
      <c r="L33" s="88"/>
      <c r="M33" s="34"/>
      <c r="N33" s="34"/>
      <c r="O33" s="34"/>
      <c r="P33" s="35"/>
      <c r="Q33" s="36">
        <v>0</v>
      </c>
      <c r="R33" s="37">
        <f t="shared" ref="R33" si="23">+J33-SUM(K33:Q33)</f>
        <v>2189.4299999999998</v>
      </c>
      <c r="S33" s="38">
        <f t="shared" ref="S33" si="24">IF(J33&gt;4500,J33*0.1,0)</f>
        <v>0</v>
      </c>
      <c r="T33" s="37">
        <f t="shared" ref="T33" si="25">+R33-S33</f>
        <v>2189.4299999999998</v>
      </c>
      <c r="U33" s="39">
        <f t="shared" ref="U33" si="26">IF(J33&lt;4500,J33*0.1,0)</f>
        <v>218.94299999999998</v>
      </c>
      <c r="V33" s="38">
        <f>+'[1]C&amp;A'!D30*0.02</f>
        <v>21.911999999999999</v>
      </c>
      <c r="W33" s="37">
        <f t="shared" ref="W33" si="27">+J33+U33+V33</f>
        <v>2430.2849999999994</v>
      </c>
      <c r="X33" s="40"/>
      <c r="Y33" s="46"/>
      <c r="Z33" s="42"/>
      <c r="AA33" s="42"/>
      <c r="AB33" s="45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s="43" customFormat="1">
      <c r="A34" s="27" t="s">
        <v>55</v>
      </c>
      <c r="B34" s="45" t="s">
        <v>68</v>
      </c>
      <c r="C34" s="29" t="s">
        <v>69</v>
      </c>
      <c r="D34" s="30">
        <v>42374</v>
      </c>
      <c r="E34" s="27" t="s">
        <v>70</v>
      </c>
      <c r="F34" s="101">
        <v>2516</v>
      </c>
      <c r="G34" s="32"/>
      <c r="H34" s="32"/>
      <c r="I34" s="33">
        <v>45.13</v>
      </c>
      <c r="J34" s="37">
        <f t="shared" si="0"/>
        <v>2470.87</v>
      </c>
      <c r="K34" s="44"/>
      <c r="L34" s="88"/>
      <c r="M34" s="34"/>
      <c r="N34" s="34"/>
      <c r="O34" s="34"/>
      <c r="P34" s="35"/>
      <c r="Q34" s="36">
        <v>0</v>
      </c>
      <c r="R34" s="37">
        <f t="shared" si="18"/>
        <v>2470.87</v>
      </c>
      <c r="S34" s="38">
        <f t="shared" si="4"/>
        <v>0</v>
      </c>
      <c r="T34" s="37">
        <f t="shared" si="17"/>
        <v>2470.87</v>
      </c>
      <c r="U34" s="39">
        <f t="shared" si="5"/>
        <v>247.08699999999999</v>
      </c>
      <c r="V34" s="38">
        <f>+'[1]C&amp;A'!D30*0.02</f>
        <v>21.911999999999999</v>
      </c>
      <c r="W34" s="37">
        <f t="shared" si="9"/>
        <v>2739.8689999999997</v>
      </c>
      <c r="X34" s="40"/>
      <c r="Y34" s="41"/>
      <c r="Z34" s="42">
        <f t="shared" si="19"/>
        <v>-2470.87</v>
      </c>
      <c r="AA34" s="42"/>
      <c r="AB34" s="48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s="43" customFormat="1">
      <c r="A35" s="27" t="s">
        <v>55</v>
      </c>
      <c r="B35" s="45" t="s">
        <v>158</v>
      </c>
      <c r="C35" s="29"/>
      <c r="D35" s="30">
        <v>42653</v>
      </c>
      <c r="E35" s="27" t="s">
        <v>159</v>
      </c>
      <c r="F35" s="101"/>
      <c r="G35" s="32"/>
      <c r="H35" s="32"/>
      <c r="I35" s="33">
        <v>45.13</v>
      </c>
      <c r="J35" s="37">
        <f t="shared" si="0"/>
        <v>-45.13</v>
      </c>
      <c r="K35" s="44"/>
      <c r="L35" s="88"/>
      <c r="M35" s="34"/>
      <c r="N35" s="34"/>
      <c r="O35" s="34"/>
      <c r="P35" s="35"/>
      <c r="Q35" s="36">
        <v>675</v>
      </c>
      <c r="R35" s="37">
        <f t="shared" ref="R35" si="28">+J35-SUM(K35:Q35)</f>
        <v>-720.13</v>
      </c>
      <c r="S35" s="38">
        <f t="shared" ref="S35" si="29">IF(J35&gt;4500,J35*0.1,0)</f>
        <v>0</v>
      </c>
      <c r="T35" s="37">
        <f t="shared" ref="T35" si="30">+R35-S35</f>
        <v>-720.13</v>
      </c>
      <c r="U35" s="39"/>
      <c r="V35" s="38"/>
      <c r="W35" s="37"/>
      <c r="X35" s="40"/>
      <c r="Y35" s="41"/>
      <c r="Z35" s="42"/>
      <c r="AA35" s="109">
        <v>1127295456</v>
      </c>
      <c r="AB35" s="48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45" s="43" customFormat="1">
      <c r="A36" s="45" t="s">
        <v>145</v>
      </c>
      <c r="B36" s="45" t="s">
        <v>71</v>
      </c>
      <c r="C36" s="51"/>
      <c r="D36" s="50">
        <v>5</v>
      </c>
      <c r="E36" s="45" t="s">
        <v>61</v>
      </c>
      <c r="F36" s="102">
        <v>8145</v>
      </c>
      <c r="G36" s="32"/>
      <c r="H36" s="32"/>
      <c r="I36" s="33">
        <v>45.13</v>
      </c>
      <c r="J36" s="37">
        <f t="shared" si="0"/>
        <v>8099.87</v>
      </c>
      <c r="K36" s="44"/>
      <c r="L36" s="88"/>
      <c r="M36" s="34"/>
      <c r="N36" s="34"/>
      <c r="O36" s="34"/>
      <c r="P36" s="52"/>
      <c r="Q36" s="52">
        <v>0</v>
      </c>
      <c r="R36" s="37">
        <f t="shared" si="18"/>
        <v>8099.87</v>
      </c>
      <c r="S36" s="38">
        <f t="shared" si="4"/>
        <v>809.98700000000008</v>
      </c>
      <c r="T36" s="37">
        <f t="shared" si="17"/>
        <v>7289.8829999999998</v>
      </c>
      <c r="U36" s="39">
        <f t="shared" si="5"/>
        <v>0</v>
      </c>
      <c r="V36" s="38">
        <f>+'[1]C&amp;A'!D31*0.02</f>
        <v>21.911999999999999</v>
      </c>
      <c r="W36" s="37">
        <f t="shared" si="9"/>
        <v>8121.7820000000002</v>
      </c>
      <c r="X36" s="40"/>
      <c r="Y36" s="46"/>
      <c r="Z36" s="42">
        <f t="shared" si="19"/>
        <v>-7289.8829999999998</v>
      </c>
      <c r="AA36" s="53"/>
      <c r="AB36" s="45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45" s="43" customFormat="1">
      <c r="A37" s="27" t="s">
        <v>145</v>
      </c>
      <c r="B37" s="27" t="s">
        <v>72</v>
      </c>
      <c r="C37" s="29" t="s">
        <v>73</v>
      </c>
      <c r="D37" s="30">
        <v>41852</v>
      </c>
      <c r="E37" s="27" t="s">
        <v>54</v>
      </c>
      <c r="F37" s="101">
        <v>4365</v>
      </c>
      <c r="G37" s="32"/>
      <c r="H37" s="32"/>
      <c r="I37" s="33">
        <v>45.13</v>
      </c>
      <c r="J37" s="37">
        <f t="shared" si="0"/>
        <v>4319.87</v>
      </c>
      <c r="K37" s="44"/>
      <c r="L37" s="88"/>
      <c r="M37" s="34"/>
      <c r="N37" s="34"/>
      <c r="O37" s="34"/>
      <c r="P37" s="35"/>
      <c r="Q37" s="36">
        <v>0</v>
      </c>
      <c r="R37" s="37">
        <f t="shared" si="18"/>
        <v>4319.87</v>
      </c>
      <c r="S37" s="38">
        <f t="shared" si="4"/>
        <v>0</v>
      </c>
      <c r="T37" s="37">
        <f t="shared" si="17"/>
        <v>4319.87</v>
      </c>
      <c r="U37" s="39">
        <f t="shared" si="5"/>
        <v>431.98700000000002</v>
      </c>
      <c r="V37" s="38">
        <f>+'[1]C&amp;A'!D32*0.02</f>
        <v>21.911999999999999</v>
      </c>
      <c r="W37" s="37">
        <f t="shared" si="9"/>
        <v>4773.7690000000002</v>
      </c>
      <c r="X37" s="40"/>
      <c r="Y37" s="46"/>
      <c r="Z37" s="42">
        <f t="shared" si="19"/>
        <v>-4319.87</v>
      </c>
      <c r="AA37" s="42"/>
      <c r="AB37" s="48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s="43" customFormat="1">
      <c r="A38" s="45" t="s">
        <v>35</v>
      </c>
      <c r="B38" s="45" t="s">
        <v>74</v>
      </c>
      <c r="C38" s="51"/>
      <c r="D38" s="50">
        <v>42499</v>
      </c>
      <c r="E38" s="45" t="s">
        <v>75</v>
      </c>
      <c r="F38" s="102">
        <v>4224</v>
      </c>
      <c r="G38" s="32"/>
      <c r="H38" s="32"/>
      <c r="I38" s="33">
        <v>45.13</v>
      </c>
      <c r="J38" s="37">
        <f t="shared" si="0"/>
        <v>4178.87</v>
      </c>
      <c r="K38" s="44"/>
      <c r="L38" s="88"/>
      <c r="M38" s="34"/>
      <c r="N38" s="34"/>
      <c r="O38" s="34"/>
      <c r="P38" s="35"/>
      <c r="Q38" s="36">
        <v>0</v>
      </c>
      <c r="R38" s="37">
        <f t="shared" si="18"/>
        <v>4178.87</v>
      </c>
      <c r="S38" s="38">
        <f t="shared" si="4"/>
        <v>0</v>
      </c>
      <c r="T38" s="37">
        <f t="shared" si="17"/>
        <v>4178.87</v>
      </c>
      <c r="U38" s="39">
        <f t="shared" si="5"/>
        <v>417.887</v>
      </c>
      <c r="V38" s="38">
        <f>+'[1]C&amp;A'!D33*0.02</f>
        <v>21.911999999999999</v>
      </c>
      <c r="W38" s="37">
        <f t="shared" si="9"/>
        <v>4618.6689999999999</v>
      </c>
      <c r="X38" s="54"/>
      <c r="Y38" s="55"/>
      <c r="Z38" s="42">
        <f t="shared" si="19"/>
        <v>-4178.87</v>
      </c>
      <c r="AA38" s="56"/>
      <c r="AB38" s="48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s="43" customFormat="1">
      <c r="A39" s="45" t="s">
        <v>42</v>
      </c>
      <c r="B39" s="45" t="s">
        <v>76</v>
      </c>
      <c r="C39" s="51" t="s">
        <v>77</v>
      </c>
      <c r="D39" s="30">
        <v>42086</v>
      </c>
      <c r="E39" s="45" t="s">
        <v>78</v>
      </c>
      <c r="F39" s="127">
        <v>1900</v>
      </c>
      <c r="G39" s="32"/>
      <c r="H39" s="32"/>
      <c r="I39" s="33">
        <v>45.13</v>
      </c>
      <c r="J39" s="37">
        <f t="shared" si="0"/>
        <v>1854.87</v>
      </c>
      <c r="K39" s="44"/>
      <c r="L39" s="88"/>
      <c r="M39" s="34"/>
      <c r="N39" s="34"/>
      <c r="O39" s="34"/>
      <c r="P39" s="52"/>
      <c r="Q39" s="52">
        <v>0</v>
      </c>
      <c r="R39" s="37">
        <f t="shared" si="18"/>
        <v>1854.87</v>
      </c>
      <c r="S39" s="38">
        <f t="shared" si="4"/>
        <v>0</v>
      </c>
      <c r="T39" s="37">
        <f t="shared" si="17"/>
        <v>1854.87</v>
      </c>
      <c r="U39" s="39">
        <f t="shared" si="5"/>
        <v>185.48699999999999</v>
      </c>
      <c r="V39" s="38">
        <f>+'[1]C&amp;A'!D35*0.02</f>
        <v>21.911999999999999</v>
      </c>
      <c r="W39" s="37">
        <f t="shared" si="9"/>
        <v>2062.2689999999998</v>
      </c>
      <c r="X39" s="40"/>
      <c r="Y39" s="46"/>
      <c r="Z39" s="42">
        <f t="shared" si="19"/>
        <v>-1854.87</v>
      </c>
      <c r="AA39" s="42"/>
      <c r="AB39" s="48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s="57" customFormat="1" ht="19.5" customHeight="1">
      <c r="A40" s="28" t="s">
        <v>55</v>
      </c>
      <c r="B40" s="28" t="s">
        <v>79</v>
      </c>
      <c r="C40" s="110" t="s">
        <v>80</v>
      </c>
      <c r="D40" s="128">
        <v>41464</v>
      </c>
      <c r="E40" s="28" t="s">
        <v>70</v>
      </c>
      <c r="F40" s="111"/>
      <c r="G40" s="112"/>
      <c r="H40" s="112"/>
      <c r="I40" s="117"/>
      <c r="J40" s="118">
        <f t="shared" si="0"/>
        <v>0</v>
      </c>
      <c r="K40" s="112"/>
      <c r="L40" s="115"/>
      <c r="M40" s="113"/>
      <c r="N40" s="113"/>
      <c r="O40" s="113"/>
      <c r="P40" s="119"/>
      <c r="Q40" s="114"/>
      <c r="R40" s="118">
        <f t="shared" si="18"/>
        <v>0</v>
      </c>
      <c r="S40" s="113">
        <f t="shared" si="4"/>
        <v>0</v>
      </c>
      <c r="T40" s="118">
        <f t="shared" si="17"/>
        <v>0</v>
      </c>
      <c r="U40" s="113">
        <f t="shared" si="5"/>
        <v>0</v>
      </c>
      <c r="V40" s="113">
        <f>+'[1]C&amp;A'!D37*0.02</f>
        <v>21.911999999999999</v>
      </c>
      <c r="W40" s="118">
        <f t="shared" si="9"/>
        <v>21.911999999999999</v>
      </c>
      <c r="X40" s="120"/>
      <c r="Y40" s="121"/>
      <c r="Z40" s="122">
        <f t="shared" si="19"/>
        <v>0</v>
      </c>
      <c r="AA40" s="122"/>
      <c r="AB40" s="123" t="s">
        <v>162</v>
      </c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s="57" customFormat="1">
      <c r="A41" s="131" t="s">
        <v>35</v>
      </c>
      <c r="B41" s="131" t="s">
        <v>176</v>
      </c>
      <c r="C41" s="132"/>
      <c r="D41" s="133">
        <v>42706</v>
      </c>
      <c r="E41" s="131" t="s">
        <v>49</v>
      </c>
      <c r="F41" s="134">
        <v>1083.33</v>
      </c>
      <c r="G41" s="135"/>
      <c r="H41" s="135"/>
      <c r="I41" s="33">
        <v>45.13</v>
      </c>
      <c r="J41" s="37">
        <f t="shared" si="0"/>
        <v>1038.1999999999998</v>
      </c>
      <c r="K41" s="44"/>
      <c r="L41" s="88"/>
      <c r="M41" s="34"/>
      <c r="N41" s="34"/>
      <c r="O41" s="34"/>
      <c r="P41" s="35"/>
      <c r="Q41" s="36"/>
      <c r="R41" s="37">
        <f t="shared" ref="R41" si="31">+J41-SUM(K41:Q41)</f>
        <v>1038.1999999999998</v>
      </c>
      <c r="S41" s="38">
        <f t="shared" ref="S41" si="32">IF(J41&gt;4500,J41*0.1,0)</f>
        <v>0</v>
      </c>
      <c r="T41" s="37">
        <f t="shared" ref="T41" si="33">+R41-S41</f>
        <v>1038.1999999999998</v>
      </c>
      <c r="U41" s="39"/>
      <c r="V41" s="38"/>
      <c r="W41" s="37"/>
      <c r="X41" s="40"/>
      <c r="Y41" s="41"/>
      <c r="Z41" s="42"/>
      <c r="AA41" s="136"/>
      <c r="AB41" s="137" t="s">
        <v>181</v>
      </c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s="57" customFormat="1">
      <c r="A42" s="27" t="s">
        <v>55</v>
      </c>
      <c r="B42" s="27" t="s">
        <v>81</v>
      </c>
      <c r="C42" s="29">
        <v>56</v>
      </c>
      <c r="D42" s="30">
        <v>40033</v>
      </c>
      <c r="E42" s="27" t="s">
        <v>82</v>
      </c>
      <c r="F42" s="101">
        <v>8675.77</v>
      </c>
      <c r="G42" s="32"/>
      <c r="H42" s="32"/>
      <c r="I42" s="33">
        <v>45.13</v>
      </c>
      <c r="J42" s="37">
        <f t="shared" si="0"/>
        <v>8630.6400000000012</v>
      </c>
      <c r="K42" s="44"/>
      <c r="L42" s="88"/>
      <c r="M42" s="34"/>
      <c r="N42" s="34"/>
      <c r="O42" s="34"/>
      <c r="P42" s="35"/>
      <c r="Q42" s="36">
        <v>0</v>
      </c>
      <c r="R42" s="37">
        <f t="shared" si="18"/>
        <v>8630.6400000000012</v>
      </c>
      <c r="S42" s="38">
        <f t="shared" si="4"/>
        <v>863.06400000000019</v>
      </c>
      <c r="T42" s="37">
        <f t="shared" si="17"/>
        <v>7767.5760000000009</v>
      </c>
      <c r="U42" s="39">
        <f t="shared" si="5"/>
        <v>0</v>
      </c>
      <c r="V42" s="38">
        <f>+'[1]C&amp;A'!D38*0.02</f>
        <v>21.911999999999999</v>
      </c>
      <c r="W42" s="37">
        <f t="shared" si="9"/>
        <v>8652.5520000000015</v>
      </c>
      <c r="X42" s="40"/>
      <c r="Y42" s="41"/>
      <c r="Z42" s="42">
        <f t="shared" si="19"/>
        <v>-7767.5760000000009</v>
      </c>
      <c r="AA42" s="42"/>
      <c r="AB42" s="48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s="57" customFormat="1">
      <c r="A43" s="27" t="s">
        <v>55</v>
      </c>
      <c r="B43" s="27" t="s">
        <v>128</v>
      </c>
      <c r="C43" s="29"/>
      <c r="D43" s="30">
        <v>42591</v>
      </c>
      <c r="E43" s="27" t="s">
        <v>38</v>
      </c>
      <c r="F43" s="101"/>
      <c r="G43" s="32"/>
      <c r="H43" s="32"/>
      <c r="I43" s="33">
        <v>45.13</v>
      </c>
      <c r="J43" s="37">
        <f t="shared" si="0"/>
        <v>-45.13</v>
      </c>
      <c r="K43" s="44"/>
      <c r="L43" s="88"/>
      <c r="M43" s="34"/>
      <c r="N43" s="34"/>
      <c r="O43" s="34"/>
      <c r="P43" s="35"/>
      <c r="Q43" s="36">
        <v>0</v>
      </c>
      <c r="R43" s="37">
        <f t="shared" si="18"/>
        <v>-45.13</v>
      </c>
      <c r="S43" s="38"/>
      <c r="T43" s="37">
        <f t="shared" si="17"/>
        <v>-45.13</v>
      </c>
      <c r="U43" s="39"/>
      <c r="V43" s="38"/>
      <c r="W43" s="37"/>
      <c r="X43" s="40"/>
      <c r="Y43" s="41"/>
      <c r="Z43" s="42"/>
      <c r="AA43" s="42"/>
      <c r="AB43" s="45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</row>
    <row r="44" spans="1:45" s="43" customFormat="1">
      <c r="A44" s="27" t="s">
        <v>42</v>
      </c>
      <c r="B44" s="45" t="s">
        <v>83</v>
      </c>
      <c r="C44" s="29" t="s">
        <v>84</v>
      </c>
      <c r="D44" s="30">
        <v>42275</v>
      </c>
      <c r="E44" s="27" t="s">
        <v>85</v>
      </c>
      <c r="F44" s="101">
        <v>7319.41</v>
      </c>
      <c r="G44" s="32"/>
      <c r="H44" s="32"/>
      <c r="I44" s="33">
        <v>45.13</v>
      </c>
      <c r="J44" s="37">
        <f t="shared" si="0"/>
        <v>7274.28</v>
      </c>
      <c r="K44" s="44"/>
      <c r="L44" s="88"/>
      <c r="M44" s="34"/>
      <c r="N44" s="34"/>
      <c r="O44" s="34"/>
      <c r="P44" s="35"/>
      <c r="Q44" s="36">
        <v>0</v>
      </c>
      <c r="R44" s="37">
        <f t="shared" si="18"/>
        <v>7274.28</v>
      </c>
      <c r="S44" s="38">
        <f t="shared" ref="S44:S67" si="34">IF(J44&gt;4500,J44*0.1,0)</f>
        <v>727.428</v>
      </c>
      <c r="T44" s="37">
        <f t="shared" si="17"/>
        <v>6546.8519999999999</v>
      </c>
      <c r="U44" s="39">
        <f t="shared" ref="U44:U69" si="35">IF(J44&lt;4500,J44*0.1,0)</f>
        <v>0</v>
      </c>
      <c r="V44" s="38">
        <f>+'[1]C&amp;A'!D39*0.02</f>
        <v>21.911999999999999</v>
      </c>
      <c r="W44" s="37">
        <f t="shared" ref="W44:W69" si="36">+J44+U44+V44</f>
        <v>7296.192</v>
      </c>
      <c r="X44" s="40"/>
      <c r="Y44" s="46"/>
      <c r="Z44" s="42">
        <f t="shared" ref="Z44:Z56" si="37">+X44+Y44-T44</f>
        <v>-6546.8519999999999</v>
      </c>
      <c r="AA44" s="42"/>
      <c r="AB44" s="58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</row>
    <row r="45" spans="1:45" s="43" customFormat="1">
      <c r="A45" s="27" t="s">
        <v>55</v>
      </c>
      <c r="B45" s="27" t="s">
        <v>86</v>
      </c>
      <c r="C45" s="27">
        <v>23</v>
      </c>
      <c r="D45" s="30">
        <v>39114</v>
      </c>
      <c r="E45" s="27" t="s">
        <v>87</v>
      </c>
      <c r="F45" s="101">
        <v>16399.91</v>
      </c>
      <c r="G45" s="32"/>
      <c r="H45" s="32"/>
      <c r="I45" s="33">
        <v>45.13</v>
      </c>
      <c r="J45" s="37">
        <f t="shared" si="0"/>
        <v>16354.78</v>
      </c>
      <c r="K45" s="125"/>
      <c r="L45" s="88"/>
      <c r="M45" s="34"/>
      <c r="N45" s="34"/>
      <c r="O45" s="34"/>
      <c r="P45" s="35"/>
      <c r="Q45" s="36">
        <v>357.22</v>
      </c>
      <c r="R45" s="37">
        <f t="shared" si="18"/>
        <v>15997.560000000001</v>
      </c>
      <c r="S45" s="38">
        <f t="shared" si="34"/>
        <v>1635.4780000000001</v>
      </c>
      <c r="T45" s="37">
        <f t="shared" si="17"/>
        <v>14362.082000000002</v>
      </c>
      <c r="U45" s="39">
        <f t="shared" si="35"/>
        <v>0</v>
      </c>
      <c r="V45" s="38">
        <f>+'[1]C&amp;A'!D40*0.02</f>
        <v>21.911999999999999</v>
      </c>
      <c r="W45" s="37">
        <f t="shared" si="36"/>
        <v>16376.692000000001</v>
      </c>
      <c r="X45" s="40"/>
      <c r="Y45" s="59"/>
      <c r="Z45" s="42">
        <f t="shared" si="37"/>
        <v>-14362.082000000002</v>
      </c>
      <c r="AA45" s="42"/>
      <c r="AB45" s="45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s="43" customFormat="1">
      <c r="A46" s="27" t="s">
        <v>42</v>
      </c>
      <c r="B46" s="27" t="s">
        <v>88</v>
      </c>
      <c r="C46" s="27">
        <v>12</v>
      </c>
      <c r="D46" s="30">
        <v>39356</v>
      </c>
      <c r="E46" s="27" t="s">
        <v>78</v>
      </c>
      <c r="F46" s="126">
        <v>580</v>
      </c>
      <c r="G46" s="32"/>
      <c r="H46" s="32"/>
      <c r="I46" s="33">
        <v>45.13</v>
      </c>
      <c r="J46" s="37">
        <f t="shared" si="0"/>
        <v>534.87</v>
      </c>
      <c r="K46" s="44"/>
      <c r="L46" s="88"/>
      <c r="M46" s="34"/>
      <c r="N46" s="34"/>
      <c r="O46" s="34"/>
      <c r="P46" s="35"/>
      <c r="Q46" s="36">
        <v>0</v>
      </c>
      <c r="R46" s="37">
        <f t="shared" si="18"/>
        <v>534.87</v>
      </c>
      <c r="S46" s="38">
        <f t="shared" si="34"/>
        <v>0</v>
      </c>
      <c r="T46" s="37">
        <f t="shared" si="17"/>
        <v>534.87</v>
      </c>
      <c r="U46" s="39">
        <f t="shared" si="35"/>
        <v>53.487000000000002</v>
      </c>
      <c r="V46" s="38">
        <f>+'[1]C&amp;A'!D41*0.02</f>
        <v>21.911999999999999</v>
      </c>
      <c r="W46" s="37">
        <f t="shared" si="36"/>
        <v>610.26900000000001</v>
      </c>
      <c r="X46" s="40"/>
      <c r="Y46" s="59"/>
      <c r="Z46" s="42">
        <f t="shared" si="37"/>
        <v>-534.87</v>
      </c>
      <c r="AA46" s="42"/>
      <c r="AB46" s="45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45" s="43" customFormat="1">
      <c r="A47" s="45" t="s">
        <v>35</v>
      </c>
      <c r="B47" s="106" t="s">
        <v>135</v>
      </c>
      <c r="C47" s="66" t="s">
        <v>136</v>
      </c>
      <c r="D47" s="30">
        <v>42325</v>
      </c>
      <c r="E47" s="27" t="s">
        <v>137</v>
      </c>
      <c r="F47" s="102">
        <v>1500</v>
      </c>
      <c r="G47" s="45"/>
      <c r="H47" s="32"/>
      <c r="I47" s="33">
        <v>45.13</v>
      </c>
      <c r="J47" s="37">
        <f t="shared" si="0"/>
        <v>1454.87</v>
      </c>
      <c r="K47" s="44"/>
      <c r="L47" s="88"/>
      <c r="M47" s="34"/>
      <c r="N47" s="34"/>
      <c r="O47" s="34"/>
      <c r="P47" s="52"/>
      <c r="Q47" s="52">
        <v>0</v>
      </c>
      <c r="R47" s="37">
        <f t="shared" si="18"/>
        <v>1454.87</v>
      </c>
      <c r="S47" s="38">
        <f t="shared" si="34"/>
        <v>0</v>
      </c>
      <c r="T47" s="37">
        <f t="shared" si="17"/>
        <v>1454.87</v>
      </c>
      <c r="U47" s="39">
        <f t="shared" si="35"/>
        <v>145.48699999999999</v>
      </c>
      <c r="V47" s="38"/>
      <c r="W47" s="37"/>
      <c r="X47" s="40"/>
      <c r="Y47" s="59"/>
      <c r="Z47" s="42"/>
      <c r="AA47" s="42"/>
      <c r="AB47" s="4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s="43" customFormat="1">
      <c r="A48" s="27" t="s">
        <v>145</v>
      </c>
      <c r="B48" s="27" t="s">
        <v>89</v>
      </c>
      <c r="C48" s="29" t="s">
        <v>90</v>
      </c>
      <c r="D48" s="30">
        <v>40122</v>
      </c>
      <c r="E48" s="27" t="s">
        <v>91</v>
      </c>
      <c r="F48" s="101">
        <v>1800</v>
      </c>
      <c r="G48" s="32"/>
      <c r="H48" s="32"/>
      <c r="I48" s="33">
        <v>45.13</v>
      </c>
      <c r="J48" s="37">
        <f t="shared" si="0"/>
        <v>1754.87</v>
      </c>
      <c r="K48" s="44"/>
      <c r="L48" s="88"/>
      <c r="M48" s="34"/>
      <c r="N48" s="34"/>
      <c r="O48" s="34"/>
      <c r="P48" s="35"/>
      <c r="Q48" s="36">
        <v>0</v>
      </c>
      <c r="R48" s="37">
        <f t="shared" ref="R48:R67" si="38">+J48-SUM(K48:Q48)</f>
        <v>1754.87</v>
      </c>
      <c r="S48" s="38">
        <f t="shared" si="34"/>
        <v>0</v>
      </c>
      <c r="T48" s="37">
        <f t="shared" si="17"/>
        <v>1754.87</v>
      </c>
      <c r="U48" s="39">
        <f t="shared" si="35"/>
        <v>175.48699999999999</v>
      </c>
      <c r="V48" s="38">
        <f>+'[1]C&amp;A'!D43*0.02</f>
        <v>21.911999999999999</v>
      </c>
      <c r="W48" s="37">
        <f t="shared" si="36"/>
        <v>1952.269</v>
      </c>
      <c r="X48" s="40"/>
      <c r="Y48" s="46"/>
      <c r="Z48" s="42">
        <f t="shared" si="37"/>
        <v>-1754.87</v>
      </c>
      <c r="AA48" s="42"/>
      <c r="AB48" s="4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</row>
    <row r="49" spans="1:181" s="43" customFormat="1">
      <c r="A49" s="27" t="s">
        <v>92</v>
      </c>
      <c r="B49" s="27" t="s">
        <v>93</v>
      </c>
      <c r="C49" s="29">
        <v>9</v>
      </c>
      <c r="D49" s="30">
        <v>39814</v>
      </c>
      <c r="E49" s="27" t="s">
        <v>92</v>
      </c>
      <c r="F49" s="101">
        <v>41693.83</v>
      </c>
      <c r="G49" s="32"/>
      <c r="H49" s="32"/>
      <c r="I49" s="33">
        <v>45.13</v>
      </c>
      <c r="J49" s="37">
        <f t="shared" ref="J49:J68" si="39">SUM(F49:H49)-I49</f>
        <v>41648.700000000004</v>
      </c>
      <c r="K49" s="44">
        <v>4207.53</v>
      </c>
      <c r="L49" s="88"/>
      <c r="M49" s="34"/>
      <c r="N49" s="34"/>
      <c r="O49" s="34"/>
      <c r="P49" s="35"/>
      <c r="Q49" s="36">
        <v>905</v>
      </c>
      <c r="R49" s="37">
        <f t="shared" si="38"/>
        <v>36536.170000000006</v>
      </c>
      <c r="S49" s="38">
        <f t="shared" si="34"/>
        <v>4164.8700000000008</v>
      </c>
      <c r="T49" s="37">
        <f t="shared" ref="T49:T67" si="40">+R49-S49</f>
        <v>32371.300000000003</v>
      </c>
      <c r="U49" s="39">
        <f t="shared" si="35"/>
        <v>0</v>
      </c>
      <c r="V49" s="38">
        <f>+'[1]C&amp;A'!D44*0.02</f>
        <v>21.911999999999999</v>
      </c>
      <c r="W49" s="37">
        <f t="shared" si="36"/>
        <v>41670.612000000001</v>
      </c>
      <c r="X49" s="40"/>
      <c r="Y49" s="46"/>
      <c r="Z49" s="42">
        <f t="shared" si="37"/>
        <v>-32371.300000000003</v>
      </c>
      <c r="AA49" s="42"/>
      <c r="AB49" s="4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181" s="43" customFormat="1">
      <c r="A50" s="27" t="s">
        <v>35</v>
      </c>
      <c r="B50" s="27" t="s">
        <v>166</v>
      </c>
      <c r="C50" s="29"/>
      <c r="D50" s="30">
        <v>42692</v>
      </c>
      <c r="E50" s="27" t="s">
        <v>49</v>
      </c>
      <c r="F50" s="101">
        <v>1083.33</v>
      </c>
      <c r="G50" s="32"/>
      <c r="H50" s="32"/>
      <c r="I50" s="33">
        <v>45.13</v>
      </c>
      <c r="J50" s="37">
        <f t="shared" si="39"/>
        <v>1038.1999999999998</v>
      </c>
      <c r="K50" s="44"/>
      <c r="L50" s="88"/>
      <c r="M50" s="34"/>
      <c r="N50" s="34"/>
      <c r="O50" s="34"/>
      <c r="P50" s="35"/>
      <c r="Q50" s="36"/>
      <c r="R50" s="37">
        <f t="shared" ref="R50" si="41">+J50-SUM(K50:Q50)</f>
        <v>1038.1999999999998</v>
      </c>
      <c r="S50" s="38">
        <f t="shared" ref="S50" si="42">IF(J50&gt;4500,J50*0.1,0)</f>
        <v>0</v>
      </c>
      <c r="T50" s="37">
        <f t="shared" ref="T50" si="43">+R50-S50</f>
        <v>1038.1999999999998</v>
      </c>
      <c r="U50" s="39"/>
      <c r="V50" s="38"/>
      <c r="W50" s="37"/>
      <c r="X50" s="40"/>
      <c r="Y50" s="46"/>
      <c r="Z50" s="42"/>
      <c r="AA50" s="42">
        <v>1501687778</v>
      </c>
      <c r="AB50" s="48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</row>
    <row r="51" spans="1:181" s="43" customFormat="1">
      <c r="A51" s="27" t="s">
        <v>145</v>
      </c>
      <c r="B51" s="27" t="s">
        <v>142</v>
      </c>
      <c r="C51" s="27">
        <v>33</v>
      </c>
      <c r="D51" s="30">
        <v>39833</v>
      </c>
      <c r="E51" s="27" t="s">
        <v>95</v>
      </c>
      <c r="F51" s="101">
        <v>3290.65</v>
      </c>
      <c r="G51" s="32"/>
      <c r="H51" s="32"/>
      <c r="I51" s="33">
        <v>45.13</v>
      </c>
      <c r="J51" s="37">
        <f t="shared" si="39"/>
        <v>3245.52</v>
      </c>
      <c r="K51" s="125"/>
      <c r="L51" s="88"/>
      <c r="M51" s="34"/>
      <c r="N51" s="34"/>
      <c r="O51" s="34"/>
      <c r="P51" s="35"/>
      <c r="Q51" s="36">
        <v>0</v>
      </c>
      <c r="R51" s="37">
        <f t="shared" si="38"/>
        <v>3245.52</v>
      </c>
      <c r="S51" s="38">
        <f t="shared" si="34"/>
        <v>0</v>
      </c>
      <c r="T51" s="37">
        <f t="shared" si="40"/>
        <v>3245.52</v>
      </c>
      <c r="U51" s="39">
        <f t="shared" si="35"/>
        <v>324.55200000000002</v>
      </c>
      <c r="V51" s="38">
        <f>+'[1]C&amp;A'!D49*0.02</f>
        <v>21.911999999999999</v>
      </c>
      <c r="W51" s="37">
        <f t="shared" si="36"/>
        <v>3591.9839999999999</v>
      </c>
      <c r="X51" s="40"/>
      <c r="Y51" s="46"/>
      <c r="Z51" s="42">
        <f t="shared" si="37"/>
        <v>-3245.52</v>
      </c>
      <c r="AA51" s="42"/>
      <c r="AB51" s="4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</row>
    <row r="52" spans="1:181" s="43" customFormat="1">
      <c r="A52" s="45" t="s">
        <v>145</v>
      </c>
      <c r="B52" s="45" t="s">
        <v>97</v>
      </c>
      <c r="C52" s="51"/>
      <c r="D52" s="50">
        <v>42429</v>
      </c>
      <c r="E52" s="27" t="s">
        <v>61</v>
      </c>
      <c r="F52" s="101">
        <v>4814.3999999999996</v>
      </c>
      <c r="G52" s="32"/>
      <c r="H52" s="32"/>
      <c r="I52" s="33">
        <v>45.13</v>
      </c>
      <c r="J52" s="37">
        <f t="shared" si="39"/>
        <v>4769.2699999999995</v>
      </c>
      <c r="K52" s="44"/>
      <c r="L52" s="88"/>
      <c r="M52" s="34"/>
      <c r="N52" s="34"/>
      <c r="O52" s="34"/>
      <c r="P52" s="52"/>
      <c r="Q52" s="36">
        <v>0</v>
      </c>
      <c r="R52" s="37">
        <f t="shared" si="38"/>
        <v>4769.2699999999995</v>
      </c>
      <c r="S52" s="38">
        <f t="shared" si="34"/>
        <v>476.92699999999996</v>
      </c>
      <c r="T52" s="37">
        <f t="shared" si="40"/>
        <v>4292.3429999999998</v>
      </c>
      <c r="U52" s="39">
        <f t="shared" si="35"/>
        <v>0</v>
      </c>
      <c r="V52" s="38">
        <f>+'[1]C&amp;A'!D51*0.02</f>
        <v>21.911999999999999</v>
      </c>
      <c r="W52" s="37">
        <f t="shared" si="36"/>
        <v>4791.1819999999998</v>
      </c>
      <c r="X52" s="40"/>
      <c r="Y52" s="46"/>
      <c r="Z52" s="42">
        <f t="shared" si="37"/>
        <v>-4292.3429999999998</v>
      </c>
      <c r="AA52" s="42"/>
      <c r="AB52" s="4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</row>
    <row r="53" spans="1:181" s="43" customFormat="1">
      <c r="A53" s="27" t="s">
        <v>42</v>
      </c>
      <c r="B53" s="45" t="s">
        <v>98</v>
      </c>
      <c r="C53" s="29" t="s">
        <v>99</v>
      </c>
      <c r="D53" s="30">
        <v>42222</v>
      </c>
      <c r="E53" s="27" t="s">
        <v>100</v>
      </c>
      <c r="F53" s="101">
        <v>1000</v>
      </c>
      <c r="G53" s="32"/>
      <c r="H53" s="32"/>
      <c r="I53" s="33">
        <v>45.13</v>
      </c>
      <c r="J53" s="37">
        <f t="shared" si="39"/>
        <v>954.87</v>
      </c>
      <c r="K53" s="44"/>
      <c r="L53" s="88"/>
      <c r="M53" s="34"/>
      <c r="N53" s="34"/>
      <c r="O53" s="34"/>
      <c r="P53" s="35"/>
      <c r="Q53" s="36">
        <v>0</v>
      </c>
      <c r="R53" s="37">
        <f t="shared" si="38"/>
        <v>954.87</v>
      </c>
      <c r="S53" s="38">
        <f t="shared" si="34"/>
        <v>0</v>
      </c>
      <c r="T53" s="37">
        <f t="shared" si="40"/>
        <v>954.87</v>
      </c>
      <c r="U53" s="39">
        <f t="shared" si="35"/>
        <v>95.487000000000009</v>
      </c>
      <c r="V53" s="38">
        <f>+'[1]C&amp;A'!D52*0.02</f>
        <v>21.911999999999999</v>
      </c>
      <c r="W53" s="37">
        <f t="shared" si="36"/>
        <v>1072.269</v>
      </c>
      <c r="X53" s="40"/>
      <c r="Y53" s="46"/>
      <c r="Z53" s="42">
        <f t="shared" si="37"/>
        <v>-954.87</v>
      </c>
      <c r="AA53" s="42"/>
      <c r="AB53" s="48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</row>
    <row r="54" spans="1:181" s="43" customFormat="1">
      <c r="A54" s="27" t="s">
        <v>42</v>
      </c>
      <c r="B54" s="27" t="s">
        <v>101</v>
      </c>
      <c r="C54" s="29" t="s">
        <v>102</v>
      </c>
      <c r="D54" s="30">
        <v>40298</v>
      </c>
      <c r="E54" s="27" t="s">
        <v>152</v>
      </c>
      <c r="F54" s="101">
        <v>12477.1</v>
      </c>
      <c r="G54" s="32"/>
      <c r="H54" s="32"/>
      <c r="I54" s="33">
        <v>45.13</v>
      </c>
      <c r="J54" s="37">
        <f t="shared" si="39"/>
        <v>12431.970000000001</v>
      </c>
      <c r="K54" s="44"/>
      <c r="L54" s="88">
        <v>1</v>
      </c>
      <c r="M54" s="34"/>
      <c r="N54" s="34"/>
      <c r="O54" s="34"/>
      <c r="P54" s="35"/>
      <c r="Q54" s="36">
        <v>350</v>
      </c>
      <c r="R54" s="37">
        <f t="shared" si="38"/>
        <v>12080.970000000001</v>
      </c>
      <c r="S54" s="38">
        <f t="shared" si="34"/>
        <v>1243.1970000000001</v>
      </c>
      <c r="T54" s="37">
        <f t="shared" si="40"/>
        <v>10837.773000000001</v>
      </c>
      <c r="U54" s="39">
        <f t="shared" si="35"/>
        <v>0</v>
      </c>
      <c r="V54" s="38">
        <f>+'[1]C&amp;A'!D53*0.02</f>
        <v>21.911999999999999</v>
      </c>
      <c r="W54" s="37">
        <f t="shared" si="36"/>
        <v>12453.882000000001</v>
      </c>
      <c r="X54" s="40"/>
      <c r="Y54" s="46"/>
      <c r="Z54" s="42">
        <f t="shared" si="37"/>
        <v>-10837.773000000001</v>
      </c>
      <c r="AA54" s="42"/>
      <c r="AB54" s="47"/>
      <c r="AC54" s="17"/>
      <c r="AD54" s="17"/>
      <c r="AE54" s="17"/>
      <c r="AF54" s="17"/>
      <c r="AG54" s="17"/>
      <c r="AH54" s="17"/>
      <c r="AI54" s="17"/>
      <c r="AJ54" s="17"/>
      <c r="AN54" s="17"/>
      <c r="AO54" s="17"/>
      <c r="AP54" s="17"/>
      <c r="AQ54" s="17"/>
      <c r="AR54" s="17"/>
      <c r="AS54" s="17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</row>
    <row r="55" spans="1:181" s="43" customFormat="1">
      <c r="A55" s="27" t="s">
        <v>42</v>
      </c>
      <c r="B55" s="27" t="s">
        <v>103</v>
      </c>
      <c r="C55" s="29" t="s">
        <v>104</v>
      </c>
      <c r="D55" s="30">
        <v>41428</v>
      </c>
      <c r="E55" s="27" t="s">
        <v>105</v>
      </c>
      <c r="F55" s="101">
        <v>15851.1</v>
      </c>
      <c r="G55" s="32"/>
      <c r="H55" s="32"/>
      <c r="I55" s="33">
        <v>45.13</v>
      </c>
      <c r="J55" s="37">
        <f t="shared" si="39"/>
        <v>15805.970000000001</v>
      </c>
      <c r="K55" s="44"/>
      <c r="L55" s="88">
        <v>1</v>
      </c>
      <c r="M55" s="34"/>
      <c r="N55" s="34"/>
      <c r="O55" s="34"/>
      <c r="P55" s="35"/>
      <c r="Q55" s="36">
        <v>0</v>
      </c>
      <c r="R55" s="37">
        <f t="shared" si="38"/>
        <v>15804.970000000001</v>
      </c>
      <c r="S55" s="38">
        <f t="shared" si="34"/>
        <v>1580.5970000000002</v>
      </c>
      <c r="T55" s="37">
        <f t="shared" si="40"/>
        <v>14224.373000000001</v>
      </c>
      <c r="U55" s="39">
        <f t="shared" si="35"/>
        <v>0</v>
      </c>
      <c r="V55" s="38">
        <f>+'[1]C&amp;A'!D54*0.02</f>
        <v>21.911999999999999</v>
      </c>
      <c r="W55" s="37">
        <f t="shared" si="36"/>
        <v>15827.882000000001</v>
      </c>
      <c r="X55" s="40"/>
      <c r="Y55" s="41"/>
      <c r="Z55" s="42">
        <f t="shared" si="37"/>
        <v>-14224.373000000001</v>
      </c>
      <c r="AA55" s="42"/>
      <c r="AB55" s="4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</row>
    <row r="56" spans="1:181" s="60" customFormat="1">
      <c r="A56" s="27" t="s">
        <v>96</v>
      </c>
      <c r="B56" s="27" t="s">
        <v>106</v>
      </c>
      <c r="C56" s="29">
        <v>8</v>
      </c>
      <c r="D56" s="30">
        <v>39608</v>
      </c>
      <c r="E56" s="27" t="s">
        <v>107</v>
      </c>
      <c r="F56" s="101">
        <v>13698.72</v>
      </c>
      <c r="G56" s="32"/>
      <c r="H56" s="32"/>
      <c r="I56" s="33">
        <v>45.13</v>
      </c>
      <c r="J56" s="37">
        <f t="shared" si="39"/>
        <v>13653.59</v>
      </c>
      <c r="K56" s="44"/>
      <c r="L56" s="88"/>
      <c r="M56" s="34"/>
      <c r="N56" s="34"/>
      <c r="O56" s="34"/>
      <c r="P56" s="35">
        <v>1301.45</v>
      </c>
      <c r="Q56" s="36">
        <v>0</v>
      </c>
      <c r="R56" s="37">
        <f t="shared" si="38"/>
        <v>12352.14</v>
      </c>
      <c r="S56" s="38">
        <f t="shared" si="34"/>
        <v>1365.3590000000002</v>
      </c>
      <c r="T56" s="37">
        <f t="shared" si="40"/>
        <v>10986.780999999999</v>
      </c>
      <c r="U56" s="39">
        <f t="shared" si="35"/>
        <v>0</v>
      </c>
      <c r="V56" s="38">
        <f>+'[1]C&amp;A'!D55*0.02</f>
        <v>21.911999999999999</v>
      </c>
      <c r="W56" s="37">
        <f t="shared" si="36"/>
        <v>13675.502</v>
      </c>
      <c r="X56" s="40"/>
      <c r="Y56" s="46"/>
      <c r="Z56" s="42">
        <f t="shared" si="37"/>
        <v>-10986.780999999999</v>
      </c>
      <c r="AA56" s="42"/>
      <c r="AB56" s="48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</row>
    <row r="57" spans="1:181" s="60" customFormat="1">
      <c r="A57" s="27" t="s">
        <v>35</v>
      </c>
      <c r="B57" s="106" t="s">
        <v>138</v>
      </c>
      <c r="C57" s="29" t="s">
        <v>139</v>
      </c>
      <c r="D57" s="30">
        <v>41793</v>
      </c>
      <c r="E57" s="27" t="s">
        <v>140</v>
      </c>
      <c r="F57" s="101">
        <v>6250</v>
      </c>
      <c r="G57" s="32"/>
      <c r="H57" s="32"/>
      <c r="I57" s="33">
        <v>45.13</v>
      </c>
      <c r="J57" s="37">
        <f t="shared" si="39"/>
        <v>6204.87</v>
      </c>
      <c r="K57" s="44"/>
      <c r="L57" s="88"/>
      <c r="M57" s="34"/>
      <c r="N57" s="34"/>
      <c r="O57" s="34"/>
      <c r="P57" s="35"/>
      <c r="Q57" s="36">
        <v>0</v>
      </c>
      <c r="R57" s="37">
        <f t="shared" si="38"/>
        <v>6204.87</v>
      </c>
      <c r="S57" s="38"/>
      <c r="T57" s="37">
        <f t="shared" si="40"/>
        <v>6204.87</v>
      </c>
      <c r="U57" s="39"/>
      <c r="V57" s="38"/>
      <c r="W57" s="37"/>
      <c r="X57" s="40"/>
      <c r="Y57" s="46"/>
      <c r="Z57" s="42"/>
      <c r="AA57" s="42"/>
      <c r="AB57" s="48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</row>
    <row r="58" spans="1:181" s="60" customFormat="1">
      <c r="A58" s="27" t="s">
        <v>42</v>
      </c>
      <c r="B58" s="27" t="s">
        <v>160</v>
      </c>
      <c r="C58" s="29"/>
      <c r="D58" s="30">
        <v>42626</v>
      </c>
      <c r="E58" s="27" t="s">
        <v>78</v>
      </c>
      <c r="F58" s="126">
        <v>1670</v>
      </c>
      <c r="G58" s="32"/>
      <c r="H58" s="32"/>
      <c r="I58" s="33">
        <v>45.13</v>
      </c>
      <c r="J58" s="37">
        <f t="shared" si="39"/>
        <v>1624.87</v>
      </c>
      <c r="K58" s="44"/>
      <c r="L58" s="88"/>
      <c r="M58" s="34"/>
      <c r="N58" s="34"/>
      <c r="O58" s="34"/>
      <c r="P58" s="35"/>
      <c r="Q58" s="36">
        <v>0</v>
      </c>
      <c r="R58" s="37">
        <f t="shared" ref="R58" si="44">+J58-SUM(K58:Q58)</f>
        <v>1624.87</v>
      </c>
      <c r="S58" s="38"/>
      <c r="T58" s="37">
        <f t="shared" ref="T58" si="45">+R58-S58</f>
        <v>1624.87</v>
      </c>
      <c r="U58" s="39"/>
      <c r="V58" s="38"/>
      <c r="W58" s="37"/>
      <c r="X58" s="40"/>
      <c r="Y58" s="46"/>
      <c r="Z58" s="42"/>
      <c r="AA58" s="65">
        <v>1136601197</v>
      </c>
      <c r="AB58" s="48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</row>
    <row r="59" spans="1:181" s="61" customFormat="1">
      <c r="A59" s="27" t="s">
        <v>55</v>
      </c>
      <c r="B59" s="27" t="s">
        <v>125</v>
      </c>
      <c r="C59" s="29"/>
      <c r="D59" s="30">
        <v>42569</v>
      </c>
      <c r="E59" s="27" t="s">
        <v>126</v>
      </c>
      <c r="F59" s="101"/>
      <c r="G59" s="32"/>
      <c r="H59" s="32"/>
      <c r="I59" s="33">
        <v>45.13</v>
      </c>
      <c r="J59" s="37">
        <f t="shared" si="39"/>
        <v>-45.13</v>
      </c>
      <c r="K59" s="44"/>
      <c r="L59" s="88"/>
      <c r="M59" s="34"/>
      <c r="N59" s="34"/>
      <c r="O59" s="34"/>
      <c r="P59" s="35"/>
      <c r="Q59" s="36">
        <v>0</v>
      </c>
      <c r="R59" s="37">
        <f t="shared" si="38"/>
        <v>-45.13</v>
      </c>
      <c r="S59" s="38">
        <f t="shared" si="34"/>
        <v>0</v>
      </c>
      <c r="T59" s="37">
        <f t="shared" si="40"/>
        <v>-45.13</v>
      </c>
      <c r="U59" s="39">
        <f t="shared" si="35"/>
        <v>-4.5130000000000008</v>
      </c>
      <c r="V59" s="38">
        <f>+'[1]C&amp;A'!D58*0.02</f>
        <v>21.911999999999999</v>
      </c>
      <c r="W59" s="37">
        <f t="shared" si="36"/>
        <v>-27.731000000000002</v>
      </c>
      <c r="X59" s="40"/>
      <c r="Y59" s="46"/>
      <c r="Z59" s="42"/>
      <c r="AA59" s="42"/>
      <c r="AB59" s="45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62"/>
    </row>
    <row r="60" spans="1:181" s="61" customFormat="1">
      <c r="A60" s="27" t="s">
        <v>42</v>
      </c>
      <c r="B60" s="27" t="s">
        <v>108</v>
      </c>
      <c r="C60" s="29">
        <v>18</v>
      </c>
      <c r="D60" s="30">
        <v>38733</v>
      </c>
      <c r="E60" s="27" t="s">
        <v>143</v>
      </c>
      <c r="F60" s="101">
        <v>12477.24</v>
      </c>
      <c r="G60" s="32"/>
      <c r="H60" s="32"/>
      <c r="I60" s="33">
        <v>45.13</v>
      </c>
      <c r="J60" s="37">
        <f t="shared" si="39"/>
        <v>12432.11</v>
      </c>
      <c r="K60" s="44"/>
      <c r="L60" s="88"/>
      <c r="M60" s="34"/>
      <c r="N60" s="34"/>
      <c r="O60" s="34"/>
      <c r="P60" s="35"/>
      <c r="Q60" s="36">
        <v>765</v>
      </c>
      <c r="R60" s="37">
        <f t="shared" si="38"/>
        <v>11667.11</v>
      </c>
      <c r="S60" s="38">
        <f t="shared" si="34"/>
        <v>1243.2110000000002</v>
      </c>
      <c r="T60" s="37">
        <f t="shared" si="40"/>
        <v>10423.899000000001</v>
      </c>
      <c r="U60" s="39">
        <f t="shared" si="35"/>
        <v>0</v>
      </c>
      <c r="V60" s="38">
        <f>+'[1]C&amp;A'!D57*0.02</f>
        <v>21.911999999999999</v>
      </c>
      <c r="W60" s="37">
        <f t="shared" si="36"/>
        <v>12454.022000000001</v>
      </c>
      <c r="X60" s="40"/>
      <c r="Y60" s="46"/>
      <c r="Z60" s="42">
        <f t="shared" ref="Z60:Z67" si="46">+X60+Y60-T60</f>
        <v>-10423.899000000001</v>
      </c>
      <c r="AA60" s="42"/>
      <c r="AB60" s="4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62"/>
    </row>
    <row r="61" spans="1:181" s="61" customFormat="1">
      <c r="A61" s="27" t="s">
        <v>145</v>
      </c>
      <c r="B61" s="27" t="s">
        <v>164</v>
      </c>
      <c r="C61" s="29"/>
      <c r="D61" s="30">
        <v>42688</v>
      </c>
      <c r="E61" s="27" t="s">
        <v>54</v>
      </c>
      <c r="F61" s="101">
        <v>1290</v>
      </c>
      <c r="G61" s="32"/>
      <c r="H61" s="32"/>
      <c r="I61" s="33">
        <v>45.13</v>
      </c>
      <c r="J61" s="37">
        <f t="shared" si="39"/>
        <v>1244.8699999999999</v>
      </c>
      <c r="K61" s="44"/>
      <c r="L61" s="88"/>
      <c r="M61" s="34"/>
      <c r="N61" s="34"/>
      <c r="O61" s="34"/>
      <c r="P61" s="35"/>
      <c r="Q61" s="36"/>
      <c r="R61" s="37">
        <f t="shared" ref="R61" si="47">+J61-SUM(K61:Q61)</f>
        <v>1244.8699999999999</v>
      </c>
      <c r="S61" s="38">
        <f t="shared" ref="S61" si="48">IF(J61&gt;4500,J61*0.1,0)</f>
        <v>0</v>
      </c>
      <c r="T61" s="37">
        <f t="shared" ref="T61" si="49">+R61-S61</f>
        <v>1244.8699999999999</v>
      </c>
      <c r="U61" s="39"/>
      <c r="V61" s="38"/>
      <c r="W61" s="37"/>
      <c r="X61" s="40"/>
      <c r="Y61" s="46"/>
      <c r="Z61" s="42"/>
      <c r="AA61" s="42">
        <v>1501247905</v>
      </c>
      <c r="AB61" s="4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62"/>
    </row>
    <row r="62" spans="1:181" s="61" customFormat="1">
      <c r="A62" s="27" t="s">
        <v>145</v>
      </c>
      <c r="B62" s="27" t="s">
        <v>148</v>
      </c>
      <c r="C62" s="29"/>
      <c r="D62" s="30">
        <v>42608</v>
      </c>
      <c r="E62" s="27" t="s">
        <v>54</v>
      </c>
      <c r="F62" s="101">
        <f>4300+917.02</f>
        <v>5217.0200000000004</v>
      </c>
      <c r="G62" s="32"/>
      <c r="H62" s="32"/>
      <c r="I62" s="33">
        <v>45.13</v>
      </c>
      <c r="J62" s="37">
        <f t="shared" si="39"/>
        <v>5171.8900000000003</v>
      </c>
      <c r="K62" s="44">
        <v>1763.06</v>
      </c>
      <c r="L62" s="88"/>
      <c r="M62" s="34"/>
      <c r="N62" s="34"/>
      <c r="O62" s="34"/>
      <c r="P62" s="35"/>
      <c r="Q62" s="36">
        <v>0</v>
      </c>
      <c r="R62" s="37">
        <f t="shared" ref="R62" si="50">+J62-SUM(K62:Q62)</f>
        <v>3408.8300000000004</v>
      </c>
      <c r="S62" s="38">
        <f t="shared" ref="S62" si="51">IF(J62&gt;4500,J62*0.1,0)</f>
        <v>517.18900000000008</v>
      </c>
      <c r="T62" s="37">
        <f t="shared" ref="T62" si="52">+R62-S62</f>
        <v>2891.6410000000005</v>
      </c>
      <c r="U62" s="39">
        <f t="shared" ref="U62" si="53">IF(J62&lt;4500,J62*0.1,0)</f>
        <v>0</v>
      </c>
      <c r="V62" s="38"/>
      <c r="W62" s="37"/>
      <c r="X62" s="40"/>
      <c r="Y62" s="46"/>
      <c r="Z62" s="42"/>
      <c r="AA62" s="42"/>
      <c r="AB62" s="48" t="s">
        <v>178</v>
      </c>
      <c r="AC62" s="17"/>
      <c r="AD62" s="17"/>
      <c r="AE62" s="62"/>
      <c r="AF62" s="63"/>
      <c r="AG62" s="63"/>
      <c r="AH62" s="63"/>
      <c r="AI62" s="63"/>
      <c r="AJ62" s="63"/>
      <c r="AK62" s="17"/>
      <c r="AL62" s="17"/>
      <c r="AM62" s="17"/>
      <c r="AN62" s="17"/>
      <c r="AO62" s="17"/>
      <c r="AP62" s="17"/>
      <c r="AQ62" s="17"/>
      <c r="AR62" s="17"/>
      <c r="AS62" s="17"/>
    </row>
    <row r="63" spans="1:181" s="64" customFormat="1">
      <c r="A63" s="27" t="s">
        <v>92</v>
      </c>
      <c r="B63" s="27" t="s">
        <v>109</v>
      </c>
      <c r="C63" s="27" t="s">
        <v>110</v>
      </c>
      <c r="D63" s="30">
        <v>42321</v>
      </c>
      <c r="E63" s="27" t="s">
        <v>92</v>
      </c>
      <c r="F63" s="101">
        <v>18203.84</v>
      </c>
      <c r="G63" s="32"/>
      <c r="H63" s="32"/>
      <c r="I63" s="33">
        <v>45.13</v>
      </c>
      <c r="J63" s="37">
        <f t="shared" si="39"/>
        <v>18158.71</v>
      </c>
      <c r="K63" s="44"/>
      <c r="L63" s="88"/>
      <c r="M63" s="34"/>
      <c r="N63" s="34"/>
      <c r="O63" s="34"/>
      <c r="P63" s="35"/>
      <c r="Q63" s="36">
        <v>345</v>
      </c>
      <c r="R63" s="37">
        <f t="shared" si="38"/>
        <v>17813.71</v>
      </c>
      <c r="S63" s="38">
        <f t="shared" si="34"/>
        <v>1815.8710000000001</v>
      </c>
      <c r="T63" s="37">
        <f t="shared" si="40"/>
        <v>15997.839</v>
      </c>
      <c r="U63" s="39">
        <f t="shared" si="35"/>
        <v>0</v>
      </c>
      <c r="V63" s="38">
        <f>+'[1]C&amp;A'!D61*0.02</f>
        <v>21.911999999999999</v>
      </c>
      <c r="W63" s="37">
        <f t="shared" si="36"/>
        <v>18180.621999999999</v>
      </c>
      <c r="X63" s="40"/>
      <c r="Y63" s="41"/>
      <c r="Z63" s="42">
        <f t="shared" si="46"/>
        <v>-15997.839</v>
      </c>
      <c r="AA63" s="42"/>
      <c r="AB63" s="45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</row>
    <row r="64" spans="1:181" s="64" customFormat="1">
      <c r="A64" s="27" t="s">
        <v>35</v>
      </c>
      <c r="B64" s="27" t="s">
        <v>163</v>
      </c>
      <c r="C64" s="27"/>
      <c r="D64" s="30">
        <v>42496</v>
      </c>
      <c r="E64" s="27" t="s">
        <v>169</v>
      </c>
      <c r="F64" s="101">
        <v>4753.3999999999996</v>
      </c>
      <c r="G64" s="32"/>
      <c r="H64" s="32"/>
      <c r="I64" s="33">
        <v>45.13</v>
      </c>
      <c r="J64" s="37">
        <f t="shared" si="39"/>
        <v>4708.2699999999995</v>
      </c>
      <c r="K64" s="44"/>
      <c r="L64" s="88"/>
      <c r="M64" s="34"/>
      <c r="N64" s="34"/>
      <c r="O64" s="34"/>
      <c r="P64" s="35"/>
      <c r="Q64" s="36"/>
      <c r="R64" s="37">
        <f t="shared" ref="R64" si="54">+J64-SUM(K64:Q64)</f>
        <v>4708.2699999999995</v>
      </c>
      <c r="S64" s="38">
        <f t="shared" ref="S64" si="55">IF(J64&gt;4500,J64*0.1,0)</f>
        <v>470.827</v>
      </c>
      <c r="T64" s="37">
        <f t="shared" ref="T64" si="56">+R64-S64</f>
        <v>4237.4429999999993</v>
      </c>
      <c r="U64" s="39"/>
      <c r="V64" s="38"/>
      <c r="W64" s="37"/>
      <c r="X64" s="40"/>
      <c r="Y64" s="41"/>
      <c r="Z64" s="42"/>
      <c r="AA64" s="42"/>
      <c r="AB64" s="45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</row>
    <row r="65" spans="1:181" s="64" customFormat="1">
      <c r="A65" s="27" t="s">
        <v>145</v>
      </c>
      <c r="B65" s="27" t="s">
        <v>157</v>
      </c>
      <c r="C65" s="27"/>
      <c r="D65" s="30">
        <v>42632</v>
      </c>
      <c r="E65" s="27" t="s">
        <v>61</v>
      </c>
      <c r="F65" s="101">
        <v>3507.65</v>
      </c>
      <c r="G65" s="32"/>
      <c r="H65" s="32"/>
      <c r="I65" s="33">
        <v>45.13</v>
      </c>
      <c r="J65" s="37">
        <f t="shared" si="39"/>
        <v>3462.52</v>
      </c>
      <c r="K65" s="44"/>
      <c r="L65" s="88"/>
      <c r="M65" s="34"/>
      <c r="N65" s="34"/>
      <c r="O65" s="34"/>
      <c r="P65" s="35"/>
      <c r="Q65" s="36">
        <v>1770</v>
      </c>
      <c r="R65" s="37">
        <f t="shared" ref="R65" si="57">+J65-SUM(K65:Q65)</f>
        <v>1692.52</v>
      </c>
      <c r="S65" s="38">
        <f t="shared" ref="S65" si="58">IF(J65&gt;4500,J65*0.1,0)</f>
        <v>0</v>
      </c>
      <c r="T65" s="37">
        <f t="shared" ref="T65" si="59">+R65-S65</f>
        <v>1692.52</v>
      </c>
      <c r="U65" s="39"/>
      <c r="V65" s="38"/>
      <c r="W65" s="37"/>
      <c r="X65" s="40"/>
      <c r="Y65" s="41"/>
      <c r="Z65" s="42"/>
      <c r="AA65" s="65">
        <v>2643837181</v>
      </c>
      <c r="AB65" s="45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</row>
    <row r="66" spans="1:181" s="64" customFormat="1">
      <c r="A66" s="27" t="s">
        <v>35</v>
      </c>
      <c r="B66" s="45" t="s">
        <v>111</v>
      </c>
      <c r="C66" s="27"/>
      <c r="D66" s="30">
        <v>42169</v>
      </c>
      <c r="E66" s="27" t="s">
        <v>38</v>
      </c>
      <c r="F66" s="101"/>
      <c r="G66" s="32"/>
      <c r="H66" s="32"/>
      <c r="I66" s="33">
        <v>45.13</v>
      </c>
      <c r="J66" s="37">
        <f t="shared" si="39"/>
        <v>-45.13</v>
      </c>
      <c r="K66" s="44"/>
      <c r="L66" s="88"/>
      <c r="M66" s="34"/>
      <c r="N66" s="34"/>
      <c r="O66" s="34"/>
      <c r="P66" s="35"/>
      <c r="Q66" s="36">
        <v>0</v>
      </c>
      <c r="R66" s="37">
        <f t="shared" si="38"/>
        <v>-45.13</v>
      </c>
      <c r="S66" s="38">
        <f t="shared" si="34"/>
        <v>0</v>
      </c>
      <c r="T66" s="37">
        <f t="shared" si="40"/>
        <v>-45.13</v>
      </c>
      <c r="U66" s="39">
        <f t="shared" si="35"/>
        <v>-4.5130000000000008</v>
      </c>
      <c r="V66" s="38">
        <f>+'[1]C&amp;A'!D62*0.02</f>
        <v>21.911999999999999</v>
      </c>
      <c r="W66" s="37">
        <f t="shared" si="36"/>
        <v>-27.731000000000002</v>
      </c>
      <c r="X66" s="40"/>
      <c r="Y66" s="41"/>
      <c r="Z66" s="42">
        <f t="shared" si="46"/>
        <v>45.13</v>
      </c>
      <c r="AA66" s="65"/>
      <c r="AB66" s="45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6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</row>
    <row r="67" spans="1:181" s="23" customFormat="1">
      <c r="A67" s="27" t="s">
        <v>145</v>
      </c>
      <c r="B67" s="27" t="s">
        <v>112</v>
      </c>
      <c r="C67" s="29" t="s">
        <v>113</v>
      </c>
      <c r="D67" s="30">
        <v>41939</v>
      </c>
      <c r="E67" s="27" t="s">
        <v>54</v>
      </c>
      <c r="F67" s="101">
        <v>2154</v>
      </c>
      <c r="G67" s="32"/>
      <c r="H67" s="32"/>
      <c r="I67" s="33">
        <v>45.13</v>
      </c>
      <c r="J67" s="37">
        <f t="shared" si="39"/>
        <v>2108.87</v>
      </c>
      <c r="K67" s="44">
        <v>599</v>
      </c>
      <c r="L67" s="87"/>
      <c r="M67" s="34"/>
      <c r="N67" s="34"/>
      <c r="O67" s="34"/>
      <c r="P67" s="35"/>
      <c r="Q67" s="36">
        <v>301</v>
      </c>
      <c r="R67" s="37">
        <f t="shared" si="38"/>
        <v>1208.8699999999999</v>
      </c>
      <c r="S67" s="38">
        <f t="shared" si="34"/>
        <v>0</v>
      </c>
      <c r="T67" s="37">
        <f t="shared" si="40"/>
        <v>1208.8699999999999</v>
      </c>
      <c r="U67" s="39">
        <f t="shared" si="35"/>
        <v>210.887</v>
      </c>
      <c r="V67" s="38">
        <f>+'[1]C&amp;A'!D63*0.02</f>
        <v>21.911999999999999</v>
      </c>
      <c r="W67" s="37">
        <f t="shared" si="36"/>
        <v>2341.6689999999999</v>
      </c>
      <c r="X67" s="40"/>
      <c r="Y67" s="46"/>
      <c r="Z67" s="42">
        <f t="shared" si="46"/>
        <v>-1208.8699999999999</v>
      </c>
      <c r="AA67" s="42"/>
      <c r="AB67" s="48" t="s">
        <v>179</v>
      </c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6"/>
    </row>
    <row r="68" spans="1:181" s="23" customFormat="1">
      <c r="A68" s="27" t="s">
        <v>145</v>
      </c>
      <c r="B68" s="27" t="s">
        <v>165</v>
      </c>
      <c r="C68" s="29"/>
      <c r="D68" s="30">
        <v>42688</v>
      </c>
      <c r="E68" s="27" t="s">
        <v>61</v>
      </c>
      <c r="F68" s="101">
        <v>2708.72</v>
      </c>
      <c r="G68" s="32"/>
      <c r="H68" s="32"/>
      <c r="I68" s="33">
        <v>45.13</v>
      </c>
      <c r="J68" s="37">
        <f t="shared" si="39"/>
        <v>2663.5899999999997</v>
      </c>
      <c r="K68" s="44"/>
      <c r="L68" s="87"/>
      <c r="M68" s="34"/>
      <c r="N68" s="34"/>
      <c r="O68" s="34"/>
      <c r="P68" s="35"/>
      <c r="Q68" s="36"/>
      <c r="R68" s="37">
        <f t="shared" ref="R68" si="60">+J68-SUM(K68:Q68)</f>
        <v>2663.5899999999997</v>
      </c>
      <c r="S68" s="38">
        <f t="shared" ref="S68" si="61">IF(J68&gt;4500,J68*0.1,0)</f>
        <v>0</v>
      </c>
      <c r="T68" s="37">
        <f t="shared" ref="T68" si="62">+R68-S68</f>
        <v>2663.5899999999997</v>
      </c>
      <c r="U68" s="39"/>
      <c r="V68" s="38"/>
      <c r="W68" s="37"/>
      <c r="X68" s="40"/>
      <c r="Y68" s="46"/>
      <c r="Z68" s="42"/>
      <c r="AA68" s="42" t="s">
        <v>170</v>
      </c>
      <c r="AB68" s="45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6"/>
    </row>
    <row r="69" spans="1:181" s="23" customFormat="1">
      <c r="A69" s="48"/>
      <c r="B69" s="27"/>
      <c r="C69" s="27"/>
      <c r="D69" s="27"/>
      <c r="E69" s="27"/>
      <c r="F69" s="101"/>
      <c r="G69" s="31"/>
      <c r="H69" s="31"/>
      <c r="I69" s="33"/>
      <c r="J69" s="37"/>
      <c r="K69" s="44"/>
      <c r="L69" s="87"/>
      <c r="M69" s="34"/>
      <c r="N69" s="34"/>
      <c r="O69" s="34"/>
      <c r="P69" s="38"/>
      <c r="Q69" s="38"/>
      <c r="R69" s="37"/>
      <c r="S69" s="38"/>
      <c r="T69" s="37"/>
      <c r="U69" s="39">
        <f t="shared" si="35"/>
        <v>0</v>
      </c>
      <c r="V69" s="38"/>
      <c r="W69" s="37">
        <f t="shared" si="36"/>
        <v>0</v>
      </c>
      <c r="X69" s="40"/>
      <c r="Y69" s="67"/>
      <c r="Z69" s="42"/>
      <c r="AA69" s="42"/>
      <c r="AB69" s="45"/>
      <c r="AC69" s="17"/>
      <c r="AD69" s="17"/>
      <c r="AE69" s="16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6"/>
    </row>
    <row r="70" spans="1:181" s="23" customFormat="1">
      <c r="A70" s="68"/>
      <c r="B70" s="69"/>
      <c r="C70" s="27"/>
      <c r="D70" s="27"/>
      <c r="E70" s="69"/>
      <c r="F70" s="103"/>
      <c r="G70" s="70"/>
      <c r="H70" s="70"/>
      <c r="I70" s="70"/>
      <c r="J70" s="71"/>
      <c r="K70" s="70"/>
      <c r="L70" s="89"/>
      <c r="M70" s="72"/>
      <c r="N70" s="72"/>
      <c r="O70" s="72"/>
      <c r="P70" s="72"/>
      <c r="Q70" s="72"/>
      <c r="R70" s="73"/>
      <c r="S70" s="72"/>
      <c r="T70" s="71"/>
      <c r="U70" s="72"/>
      <c r="V70" s="72"/>
      <c r="W70" s="71"/>
      <c r="X70" s="74"/>
      <c r="Y70" s="74"/>
      <c r="Z70" s="17"/>
      <c r="AA70" s="17"/>
      <c r="AB70" s="17"/>
      <c r="AC70" s="17"/>
      <c r="AD70" s="16"/>
      <c r="AE70" s="16"/>
      <c r="AF70" s="16"/>
      <c r="AG70" s="16"/>
      <c r="AH70" s="16"/>
      <c r="AI70" s="16"/>
      <c r="AJ70" s="16"/>
      <c r="AK70" s="17"/>
      <c r="AL70" s="17"/>
      <c r="AM70" s="17"/>
      <c r="AN70" s="17"/>
      <c r="AO70" s="17"/>
      <c r="AP70" s="17"/>
      <c r="AQ70" s="17"/>
      <c r="AR70" s="17"/>
      <c r="AS70" s="16"/>
    </row>
    <row r="71" spans="1:181" s="23" customFormat="1" ht="16.5" thickBot="1">
      <c r="A71" s="16"/>
      <c r="B71" s="75" t="s">
        <v>114</v>
      </c>
      <c r="C71" s="75"/>
      <c r="D71" s="75"/>
      <c r="E71" s="75"/>
      <c r="F71" s="104">
        <f>SUM(F7:F68)</f>
        <v>704440.08</v>
      </c>
      <c r="G71" s="76">
        <f t="shared" ref="G71:O71" si="63">SUM(G10:G63)</f>
        <v>0</v>
      </c>
      <c r="H71" s="76">
        <f t="shared" si="63"/>
        <v>0</v>
      </c>
      <c r="I71" s="76">
        <f>SUM(I7:I69)</f>
        <v>2752.9300000000039</v>
      </c>
      <c r="J71" s="76">
        <f>SUM(J8:J69)</f>
        <v>686967.5399999998</v>
      </c>
      <c r="K71" s="76">
        <f>SUM(K8:K67)</f>
        <v>10104.59</v>
      </c>
      <c r="L71" s="90">
        <f>SUM(L7:L69)</f>
        <v>2</v>
      </c>
      <c r="M71" s="76">
        <f t="shared" si="63"/>
        <v>0</v>
      </c>
      <c r="N71" s="76">
        <f t="shared" si="63"/>
        <v>0</v>
      </c>
      <c r="O71" s="76">
        <f t="shared" si="63"/>
        <v>0</v>
      </c>
      <c r="P71" s="76">
        <f>SUM(P8:P67)</f>
        <v>1301.45</v>
      </c>
      <c r="Q71" s="76">
        <f>SUM(Q7:Q69)</f>
        <v>22911.13</v>
      </c>
      <c r="R71" s="76">
        <f>SUM(R8:R69)</f>
        <v>654723.36999999988</v>
      </c>
      <c r="S71" s="76">
        <f>SUM(S10:S63)</f>
        <v>55728.860000000008</v>
      </c>
      <c r="T71" s="76">
        <f>SUM(T8:T69)</f>
        <v>597078.19599999976</v>
      </c>
      <c r="U71" s="76">
        <f>SUM(U10:U63)</f>
        <v>3396.7200000000007</v>
      </c>
      <c r="V71" s="76">
        <f>SUM(V10:V63)</f>
        <v>766.92000000000019</v>
      </c>
      <c r="W71" s="76">
        <f>SUM(W10:W63)</f>
        <v>487018.85299999971</v>
      </c>
      <c r="X71" s="74"/>
      <c r="Y71" s="74"/>
      <c r="Z71" s="17"/>
      <c r="AA71" s="17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</row>
    <row r="72" spans="1:181" s="23" customFormat="1" ht="16.5" thickTop="1">
      <c r="A72" s="16"/>
      <c r="B72" s="16"/>
      <c r="C72" s="16"/>
      <c r="D72" s="16"/>
      <c r="E72" s="16"/>
      <c r="F72" s="98"/>
      <c r="G72" s="13"/>
      <c r="H72" s="13"/>
      <c r="I72" s="13"/>
      <c r="J72" s="14"/>
      <c r="K72" s="13"/>
      <c r="L72" s="86"/>
      <c r="M72" s="13"/>
      <c r="N72" s="13"/>
      <c r="O72" s="13"/>
      <c r="P72" s="13"/>
      <c r="Q72" s="13"/>
      <c r="R72" s="14"/>
      <c r="S72" s="13"/>
      <c r="T72" s="14"/>
      <c r="U72" s="13"/>
      <c r="V72" s="13"/>
      <c r="W72" s="14"/>
      <c r="X72" s="74"/>
      <c r="Y72" s="74"/>
      <c r="Z72" s="17"/>
      <c r="AA72" s="17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</row>
    <row r="73" spans="1:181" s="23" customFormat="1">
      <c r="A73" s="145" t="s">
        <v>115</v>
      </c>
      <c r="B73" s="145"/>
      <c r="C73" s="27"/>
      <c r="D73" s="27"/>
      <c r="E73" s="27"/>
      <c r="F73" s="101"/>
      <c r="G73" s="31"/>
      <c r="H73" s="31"/>
      <c r="I73" s="31"/>
      <c r="J73" s="77"/>
      <c r="K73" s="31"/>
      <c r="L73" s="91"/>
      <c r="M73" s="31"/>
      <c r="N73" s="31"/>
      <c r="O73" s="31"/>
      <c r="P73" s="31"/>
      <c r="Q73" s="31"/>
      <c r="R73" s="77"/>
      <c r="S73" s="31">
        <f>+S71-S72</f>
        <v>55728.860000000008</v>
      </c>
      <c r="T73" s="77"/>
      <c r="U73" s="31"/>
      <c r="V73" s="31"/>
      <c r="W73" s="77"/>
      <c r="X73" s="78"/>
      <c r="Y73" s="78"/>
      <c r="Z73" s="27"/>
      <c r="AA73" s="27"/>
      <c r="AB73" s="27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</row>
    <row r="74" spans="1:181">
      <c r="A74" s="27" t="s">
        <v>55</v>
      </c>
      <c r="B74" s="27" t="s">
        <v>116</v>
      </c>
      <c r="C74" s="29"/>
      <c r="D74" s="30">
        <v>39516</v>
      </c>
      <c r="E74" s="27" t="s">
        <v>82</v>
      </c>
      <c r="F74" s="101">
        <v>6467.01</v>
      </c>
      <c r="G74" s="31">
        <v>1643.91</v>
      </c>
      <c r="H74" s="31"/>
      <c r="I74" s="33"/>
      <c r="J74" s="37">
        <f>SUM(F74:H74)-I74</f>
        <v>8110.92</v>
      </c>
      <c r="K74" s="44"/>
      <c r="L74" s="92"/>
      <c r="M74" s="34"/>
      <c r="N74" s="34"/>
      <c r="O74" s="34"/>
      <c r="P74" s="31"/>
      <c r="Q74" s="31">
        <v>4500</v>
      </c>
      <c r="R74" s="37">
        <f>+J74-K74</f>
        <v>8110.92</v>
      </c>
      <c r="S74" s="38">
        <f>+R74*0.05</f>
        <v>405.54600000000005</v>
      </c>
      <c r="T74" s="37">
        <f>+R74-N74-Q74</f>
        <v>3610.92</v>
      </c>
      <c r="U74" s="39">
        <f>IF(R74&lt;3000,R74*0.1,0)</f>
        <v>0</v>
      </c>
      <c r="V74" s="38">
        <v>0</v>
      </c>
      <c r="W74" s="37">
        <f>+R74+U74+V74</f>
        <v>8110.92</v>
      </c>
      <c r="X74" s="78"/>
      <c r="Y74" s="78"/>
      <c r="Z74" s="27"/>
      <c r="AA74" s="27"/>
      <c r="AB74" s="116" t="s">
        <v>180</v>
      </c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43"/>
      <c r="FG74" s="43"/>
      <c r="FH74" s="43"/>
      <c r="FI74" s="43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43"/>
      <c r="FU74" s="43"/>
      <c r="FV74" s="43"/>
      <c r="FW74" s="43"/>
      <c r="FX74" s="43"/>
      <c r="FY74" s="43"/>
    </row>
    <row r="75" spans="1:181">
      <c r="A75" s="68"/>
      <c r="B75" s="79"/>
      <c r="C75" s="79"/>
      <c r="D75" s="79"/>
      <c r="E75" s="79"/>
      <c r="F75" s="105"/>
      <c r="G75" s="80"/>
      <c r="H75" s="80"/>
      <c r="I75" s="80"/>
      <c r="J75" s="81">
        <f>SUM(F75:I75)</f>
        <v>0</v>
      </c>
      <c r="K75" s="82"/>
      <c r="L75" s="93"/>
      <c r="M75" s="83"/>
      <c r="N75" s="83"/>
      <c r="O75" s="83"/>
      <c r="P75" s="83"/>
      <c r="Q75" s="83"/>
      <c r="R75" s="81">
        <f>+J75-K75</f>
        <v>0</v>
      </c>
      <c r="S75" s="72">
        <f>+R75*0.05</f>
        <v>0</v>
      </c>
      <c r="T75" s="81">
        <f>+R75-N75-Q75</f>
        <v>0</v>
      </c>
      <c r="U75" s="84">
        <f>IF(R75&lt;3000,R75*0.1,0)</f>
        <v>0</v>
      </c>
      <c r="V75" s="72">
        <v>0</v>
      </c>
      <c r="W75" s="81">
        <f>+R75+U75+V75</f>
        <v>0</v>
      </c>
    </row>
    <row r="76" spans="1:181" s="43" customFormat="1">
      <c r="A76" s="16"/>
      <c r="B76" s="16"/>
      <c r="C76" s="16"/>
      <c r="D76" s="16"/>
      <c r="E76" s="16"/>
      <c r="F76" s="98"/>
      <c r="G76" s="13"/>
      <c r="H76" s="13"/>
      <c r="I76" s="13"/>
      <c r="J76" s="14"/>
      <c r="K76" s="13"/>
      <c r="L76" s="86"/>
      <c r="M76" s="13"/>
      <c r="N76" s="13"/>
      <c r="O76" s="13"/>
      <c r="P76" s="13"/>
      <c r="Q76" s="13"/>
      <c r="R76" s="14"/>
      <c r="S76" s="13"/>
      <c r="T76" s="14"/>
      <c r="U76" s="13"/>
      <c r="V76" s="13"/>
      <c r="W76" s="14">
        <f>SUM(W74:W75)</f>
        <v>8110.92</v>
      </c>
      <c r="X76" s="15"/>
      <c r="Y76" s="15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</row>
    <row r="77" spans="1:181">
      <c r="B77" s="85" t="s">
        <v>117</v>
      </c>
      <c r="C77" s="85"/>
      <c r="D77" s="85"/>
      <c r="W77" s="14">
        <f>+W76*0.16</f>
        <v>1297.7472</v>
      </c>
    </row>
    <row r="78" spans="1:181" s="43" customFormat="1">
      <c r="A78" s="16"/>
      <c r="B78" s="85"/>
      <c r="C78" s="85"/>
      <c r="D78" s="85"/>
      <c r="E78" s="16"/>
      <c r="F78" s="98"/>
      <c r="G78" s="13"/>
      <c r="H78" s="13"/>
      <c r="I78" s="13"/>
      <c r="J78" s="14"/>
      <c r="K78" s="13"/>
      <c r="L78" s="86"/>
      <c r="M78" s="13"/>
      <c r="N78" s="13"/>
      <c r="O78" s="13"/>
      <c r="P78" s="13"/>
      <c r="Q78" s="13"/>
      <c r="R78" s="14"/>
      <c r="S78" s="13"/>
      <c r="T78" s="14"/>
      <c r="U78" s="13"/>
      <c r="V78" s="13"/>
      <c r="W78" s="14">
        <f>+W76+W77</f>
        <v>9408.6671999999999</v>
      </c>
      <c r="X78" s="15"/>
      <c r="Y78" s="15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</row>
    <row r="79" spans="1:181">
      <c r="B79" s="85"/>
      <c r="C79" s="85"/>
      <c r="D79" s="85"/>
    </row>
    <row r="84" spans="1:25">
      <c r="A84" s="16" t="s">
        <v>118</v>
      </c>
      <c r="B84" s="13"/>
    </row>
    <row r="85" spans="1:25">
      <c r="A85" s="16" t="s">
        <v>119</v>
      </c>
      <c r="B85" s="13"/>
    </row>
    <row r="86" spans="1:25">
      <c r="A86" s="16" t="s">
        <v>120</v>
      </c>
      <c r="B86" s="13"/>
    </row>
    <row r="87" spans="1:25">
      <c r="A87" s="16" t="s">
        <v>121</v>
      </c>
      <c r="B87" s="13"/>
    </row>
    <row r="88" spans="1:25">
      <c r="A88" s="16" t="s">
        <v>122</v>
      </c>
      <c r="B88" s="13"/>
    </row>
    <row r="89" spans="1:25">
      <c r="A89" s="16" t="s">
        <v>123</v>
      </c>
      <c r="B89" s="13"/>
    </row>
    <row r="92" spans="1:25">
      <c r="G92" s="16"/>
      <c r="H92" s="16"/>
      <c r="I92" s="16"/>
      <c r="J92" s="16"/>
      <c r="K92" s="16"/>
      <c r="L92" s="94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>
      <c r="G93" s="16"/>
      <c r="H93" s="16"/>
      <c r="I93" s="16"/>
      <c r="J93" s="16"/>
      <c r="K93" s="16"/>
      <c r="L93" s="94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>
      <c r="G94" s="16"/>
      <c r="H94" s="16"/>
      <c r="I94" s="16"/>
      <c r="J94" s="16"/>
      <c r="K94" s="16"/>
      <c r="L94" s="94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>
      <c r="G95" s="16"/>
      <c r="H95" s="16"/>
      <c r="I95" s="16"/>
      <c r="J95" s="16"/>
      <c r="K95" s="16"/>
      <c r="L95" s="94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>
      <c r="G96" s="16"/>
      <c r="H96" s="16"/>
      <c r="I96" s="16"/>
      <c r="J96" s="16"/>
      <c r="K96" s="16"/>
      <c r="L96" s="94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94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94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94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94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94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94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94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94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9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94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94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94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94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94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94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94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94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94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94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94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94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94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94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94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94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94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94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94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94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94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94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94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94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94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94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94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94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94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94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94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94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94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94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94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94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94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94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94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94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94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94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94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94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94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94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94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94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94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94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94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94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94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94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94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94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94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94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94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94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94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94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94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94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94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94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94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94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94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94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94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94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94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94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94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94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94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94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94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94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94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94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94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94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94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94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94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94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94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94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94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94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94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94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94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94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94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94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94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94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94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94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94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94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94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94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94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94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94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94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94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94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94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94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94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94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94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94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94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94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94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94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94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94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94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94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94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94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94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94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94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94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94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94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94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94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94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94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94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94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94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94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94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94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94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94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94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94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94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94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94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94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94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94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94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94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94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94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94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94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94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94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94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94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94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94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94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94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94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94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94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94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94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94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94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94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94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94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94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94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94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94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94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94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94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94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94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94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94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7:25">
      <c r="G295" s="16"/>
      <c r="H295" s="16"/>
      <c r="I295" s="16"/>
      <c r="J295" s="16"/>
      <c r="K295" s="16"/>
      <c r="L295" s="94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7:25">
      <c r="G296" s="16"/>
      <c r="H296" s="16"/>
      <c r="I296" s="16"/>
      <c r="J296" s="16"/>
      <c r="K296" s="16"/>
      <c r="L296" s="94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7:25">
      <c r="G297" s="16"/>
      <c r="H297" s="16"/>
      <c r="I297" s="16"/>
      <c r="J297" s="16"/>
      <c r="K297" s="16"/>
      <c r="L297" s="94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7:25">
      <c r="G298" s="16"/>
      <c r="H298" s="16"/>
      <c r="I298" s="16"/>
      <c r="J298" s="16"/>
      <c r="K298" s="16"/>
      <c r="L298" s="94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7:25">
      <c r="G299" s="16"/>
      <c r="H299" s="16"/>
      <c r="I299" s="16"/>
      <c r="J299" s="16"/>
      <c r="K299" s="16"/>
      <c r="L299" s="94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7:25">
      <c r="G300" s="16"/>
      <c r="H300" s="16"/>
      <c r="I300" s="16"/>
      <c r="J300" s="16"/>
      <c r="K300" s="16"/>
      <c r="L300" s="94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7:25">
      <c r="G301" s="16"/>
      <c r="H301" s="16"/>
      <c r="I301" s="16"/>
      <c r="J301" s="16"/>
      <c r="K301" s="16"/>
      <c r="L301" s="94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7:25">
      <c r="G302" s="16"/>
      <c r="H302" s="16"/>
      <c r="I302" s="16"/>
      <c r="J302" s="16"/>
      <c r="K302" s="16"/>
      <c r="L302" s="94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7:25">
      <c r="G303" s="16"/>
      <c r="H303" s="16"/>
      <c r="I303" s="16"/>
      <c r="J303" s="16"/>
      <c r="K303" s="16"/>
      <c r="L303" s="94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7:25">
      <c r="G304" s="16"/>
      <c r="H304" s="16"/>
      <c r="I304" s="16"/>
      <c r="J304" s="16"/>
      <c r="K304" s="16"/>
      <c r="L304" s="94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7:25">
      <c r="G305" s="16"/>
      <c r="H305" s="16"/>
      <c r="I305" s="16"/>
      <c r="J305" s="16"/>
      <c r="K305" s="16"/>
      <c r="L305" s="94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7:25">
      <c r="G306" s="16"/>
      <c r="H306" s="16"/>
      <c r="I306" s="16"/>
      <c r="J306" s="16"/>
      <c r="K306" s="16"/>
      <c r="L306" s="94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</sheetData>
  <autoFilter ref="A5:AB69">
    <filterColumn colId="23" showButton="0"/>
    <sortState ref="A8:AB59">
      <sortCondition ref="B5:B59"/>
    </sortState>
  </autoFilter>
  <mergeCells count="23">
    <mergeCell ref="V5:V6"/>
    <mergeCell ref="W5:W6"/>
    <mergeCell ref="X5:Y5"/>
    <mergeCell ref="Z5:Z6"/>
    <mergeCell ref="A73:B73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  <mergeCell ref="O5:O6"/>
    <mergeCell ref="A5:A6"/>
    <mergeCell ref="B5:B6"/>
    <mergeCell ref="C5:C6"/>
    <mergeCell ref="E5:E6"/>
    <mergeCell ref="G5:G6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2016-08-30T15:07:40Z</cp:lastPrinted>
  <dcterms:created xsi:type="dcterms:W3CDTF">2016-08-09T22:06:39Z</dcterms:created>
  <dcterms:modified xsi:type="dcterms:W3CDTF">2016-12-14T17:52:19Z</dcterms:modified>
</cp:coreProperties>
</file>