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https://s16038.svrdatacenter.com:2078/CELAYA/NOMINA CELAYA/2016/NOMINA INGENIERIA/Consultores/Semanal/"/>
    </mc:Choice>
  </mc:AlternateContent>
  <bookViews>
    <workbookView xWindow="0" yWindow="0" windowWidth="28800" windowHeight="11835" tabRatio="704" activeTab="5"/>
  </bookViews>
  <sheets>
    <sheet name="FORMATO NOMINA" sheetId="1" r:id="rId1"/>
    <sheet name="FACTURA" sheetId="3" r:id="rId2"/>
    <sheet name="INGENIERIA" sheetId="2" r:id="rId3"/>
    <sheet name="SINDICATO" sheetId="4" r:id="rId4"/>
    <sheet name="DISPERSIONES" sheetId="5" r:id="rId5"/>
    <sheet name="POLIZA" sheetId="6" r:id="rId6"/>
  </sheets>
  <externalReferences>
    <externalReference r:id="rId7"/>
  </externalReferences>
  <definedNames>
    <definedName name="_xlnm._FilterDatabase" localSheetId="1" hidden="1">FACTURA!$V$10:$AZ$49</definedName>
    <definedName name="_xlnm._FilterDatabase" localSheetId="0" hidden="1">'FORMATO NOMINA'!$A$6:$AP$48</definedName>
  </definedNames>
  <calcPr calcId="152511"/>
</workbook>
</file>

<file path=xl/calcChain.xml><?xml version="1.0" encoding="utf-8"?>
<calcChain xmlns="http://schemas.openxmlformats.org/spreadsheetml/2006/main">
  <c r="B34" i="6" l="1"/>
  <c r="B35" i="6" s="1"/>
  <c r="B13" i="6"/>
  <c r="B14" i="6" s="1"/>
  <c r="B15" i="6" l="1"/>
  <c r="B17" i="6" s="1"/>
  <c r="B36" i="6"/>
  <c r="B38" i="6" s="1"/>
  <c r="B4" i="5" l="1"/>
  <c r="B5" i="5"/>
  <c r="B6" i="5"/>
  <c r="B7" i="5"/>
  <c r="B8" i="5"/>
  <c r="B9" i="5"/>
  <c r="B10" i="5"/>
  <c r="B11" i="5"/>
  <c r="B12" i="5"/>
  <c r="B13" i="5"/>
  <c r="B14" i="5"/>
  <c r="B15" i="5"/>
  <c r="B16" i="5"/>
  <c r="B17" i="5"/>
  <c r="B18" i="5"/>
  <c r="B19" i="5"/>
  <c r="B20" i="5"/>
  <c r="B21" i="5"/>
  <c r="B22" i="5"/>
  <c r="B23" i="5"/>
  <c r="B24" i="5"/>
  <c r="B25" i="5"/>
  <c r="B26" i="5"/>
  <c r="B27" i="5"/>
  <c r="B28" i="5"/>
  <c r="B29" i="5"/>
  <c r="B30" i="5"/>
  <c r="B31" i="5"/>
  <c r="B32" i="5"/>
  <c r="B3" i="5"/>
  <c r="A4" i="5"/>
  <c r="A5" i="5"/>
  <c r="A6" i="5"/>
  <c r="A7" i="5"/>
  <c r="A8" i="5"/>
  <c r="A9" i="5"/>
  <c r="A10" i="5"/>
  <c r="A11" i="5"/>
  <c r="A12" i="5"/>
  <c r="A13" i="5"/>
  <c r="A14" i="5"/>
  <c r="A15" i="5"/>
  <c r="A16" i="5"/>
  <c r="A17" i="5"/>
  <c r="A18" i="5"/>
  <c r="A19" i="5"/>
  <c r="A20" i="5"/>
  <c r="A21" i="5"/>
  <c r="A22" i="5"/>
  <c r="A23" i="5"/>
  <c r="A24" i="5"/>
  <c r="A25" i="5"/>
  <c r="A26" i="5"/>
  <c r="A27" i="5"/>
  <c r="A28" i="5"/>
  <c r="A29" i="5"/>
  <c r="A30" i="5"/>
  <c r="A31" i="5"/>
  <c r="A32" i="5"/>
  <c r="A3" i="5"/>
  <c r="H14" i="4" l="1"/>
  <c r="H15" i="4"/>
  <c r="H16" i="4"/>
  <c r="H17" i="4"/>
  <c r="H18" i="4"/>
  <c r="H19" i="4"/>
  <c r="H20" i="4"/>
  <c r="H21" i="4"/>
  <c r="H22" i="4"/>
  <c r="H23" i="4"/>
  <c r="H24" i="4"/>
  <c r="H25" i="4"/>
  <c r="H26" i="4"/>
  <c r="H27" i="4"/>
  <c r="H28" i="4"/>
  <c r="H29" i="4"/>
  <c r="H30" i="4"/>
  <c r="H31" i="4"/>
  <c r="H32" i="4"/>
  <c r="H33" i="4"/>
  <c r="H34" i="4"/>
  <c r="H35" i="4"/>
  <c r="H36" i="4"/>
  <c r="H37" i="4"/>
  <c r="H38" i="4"/>
  <c r="H39" i="4"/>
  <c r="H40" i="4"/>
  <c r="H41" i="4"/>
  <c r="H42" i="4"/>
  <c r="H13" i="4"/>
  <c r="F14" i="4"/>
  <c r="F15" i="4"/>
  <c r="F16" i="4"/>
  <c r="F17" i="4"/>
  <c r="F18" i="4"/>
  <c r="F19" i="4"/>
  <c r="F20" i="4"/>
  <c r="F21" i="4"/>
  <c r="F22" i="4"/>
  <c r="F23" i="4"/>
  <c r="F24" i="4"/>
  <c r="F25" i="4"/>
  <c r="F26" i="4"/>
  <c r="F27" i="4"/>
  <c r="F28" i="4"/>
  <c r="F29" i="4"/>
  <c r="F30" i="4"/>
  <c r="F31" i="4"/>
  <c r="F32" i="4"/>
  <c r="F33" i="4"/>
  <c r="F34" i="4"/>
  <c r="F35" i="4"/>
  <c r="F36" i="4"/>
  <c r="F37" i="4"/>
  <c r="F38" i="4"/>
  <c r="F39" i="4"/>
  <c r="F40" i="4"/>
  <c r="F41" i="4"/>
  <c r="F42" i="4"/>
  <c r="B4" i="4"/>
  <c r="I45" i="4"/>
  <c r="D45" i="4"/>
  <c r="M42" i="4"/>
  <c r="M41" i="4"/>
  <c r="M40" i="4"/>
  <c r="M39" i="4"/>
  <c r="M38" i="4"/>
  <c r="M37" i="4"/>
  <c r="M36" i="4"/>
  <c r="M35" i="4"/>
  <c r="M34" i="4"/>
  <c r="M33" i="4"/>
  <c r="M32" i="4"/>
  <c r="M31" i="4"/>
  <c r="M30" i="4"/>
  <c r="M29" i="4"/>
  <c r="M28" i="4"/>
  <c r="M27" i="4"/>
  <c r="M26" i="4"/>
  <c r="M25" i="4"/>
  <c r="M24" i="4"/>
  <c r="M23" i="4"/>
  <c r="M22" i="4"/>
  <c r="M21" i="4"/>
  <c r="M20" i="4"/>
  <c r="M19" i="4"/>
  <c r="M18" i="4"/>
  <c r="M17" i="4"/>
  <c r="M16" i="4"/>
  <c r="M15" i="4"/>
  <c r="M14" i="4"/>
  <c r="M13" i="4"/>
  <c r="F13" i="4"/>
  <c r="C44" i="3"/>
  <c r="D14" i="3"/>
  <c r="O14" i="3" s="1"/>
  <c r="D15" i="3"/>
  <c r="O15" i="3" s="1"/>
  <c r="D16" i="3"/>
  <c r="O16" i="3" s="1"/>
  <c r="D17" i="3"/>
  <c r="O17" i="3" s="1"/>
  <c r="D18" i="3"/>
  <c r="O18" i="3" s="1"/>
  <c r="D19" i="3"/>
  <c r="O19" i="3" s="1"/>
  <c r="D20" i="3"/>
  <c r="O20" i="3" s="1"/>
  <c r="D21" i="3"/>
  <c r="O21" i="3" s="1"/>
  <c r="D22" i="3"/>
  <c r="O22" i="3" s="1"/>
  <c r="D23" i="3"/>
  <c r="O23" i="3" s="1"/>
  <c r="D24" i="3"/>
  <c r="O24" i="3" s="1"/>
  <c r="D25" i="3"/>
  <c r="O25" i="3" s="1"/>
  <c r="D26" i="3"/>
  <c r="O26" i="3" s="1"/>
  <c r="D27" i="3"/>
  <c r="O27" i="3" s="1"/>
  <c r="D28" i="3"/>
  <c r="O28" i="3" s="1"/>
  <c r="D29" i="3"/>
  <c r="O29" i="3" s="1"/>
  <c r="D30" i="3"/>
  <c r="O30" i="3" s="1"/>
  <c r="D31" i="3"/>
  <c r="O31" i="3" s="1"/>
  <c r="D32" i="3"/>
  <c r="O32" i="3" s="1"/>
  <c r="D33" i="3"/>
  <c r="O33" i="3" s="1"/>
  <c r="D34" i="3"/>
  <c r="O34" i="3" s="1"/>
  <c r="D35" i="3"/>
  <c r="O35" i="3" s="1"/>
  <c r="D36" i="3"/>
  <c r="O36" i="3" s="1"/>
  <c r="D37" i="3"/>
  <c r="O37" i="3" s="1"/>
  <c r="D38" i="3"/>
  <c r="O38" i="3" s="1"/>
  <c r="D39" i="3"/>
  <c r="O39" i="3" s="1"/>
  <c r="D40" i="3"/>
  <c r="O40" i="3" s="1"/>
  <c r="D41" i="3"/>
  <c r="O41" i="3" s="1"/>
  <c r="D42" i="3"/>
  <c r="O42" i="3" s="1"/>
  <c r="D13" i="3"/>
  <c r="O13" i="3" s="1"/>
  <c r="I14" i="3"/>
  <c r="J14" i="3"/>
  <c r="I21" i="3"/>
  <c r="I29" i="3"/>
  <c r="I30" i="3"/>
  <c r="J30" i="3"/>
  <c r="I32" i="3"/>
  <c r="I33" i="3"/>
  <c r="I34" i="3"/>
  <c r="J34" i="3"/>
  <c r="I37" i="3"/>
  <c r="I38" i="3"/>
  <c r="J38" i="3"/>
  <c r="G14" i="3"/>
  <c r="G15" i="3"/>
  <c r="J15" i="3" s="1"/>
  <c r="G16" i="3"/>
  <c r="G17" i="3"/>
  <c r="J17" i="3" s="1"/>
  <c r="G18" i="3"/>
  <c r="I18" i="3" s="1"/>
  <c r="G19" i="3"/>
  <c r="J19" i="3" s="1"/>
  <c r="G20" i="3"/>
  <c r="I20" i="3" s="1"/>
  <c r="G21" i="3"/>
  <c r="J21" i="3" s="1"/>
  <c r="G22" i="3"/>
  <c r="I22" i="3" s="1"/>
  <c r="G23" i="3"/>
  <c r="J23" i="3" s="1"/>
  <c r="G24" i="3"/>
  <c r="I24" i="3" s="1"/>
  <c r="G25" i="3"/>
  <c r="J25" i="3" s="1"/>
  <c r="G26" i="3"/>
  <c r="I26" i="3" s="1"/>
  <c r="G27" i="3"/>
  <c r="J27" i="3" s="1"/>
  <c r="G28" i="3"/>
  <c r="I28" i="3" s="1"/>
  <c r="G29" i="3"/>
  <c r="J29" i="3" s="1"/>
  <c r="G30" i="3"/>
  <c r="G31" i="3"/>
  <c r="J31" i="3" s="1"/>
  <c r="G32" i="3"/>
  <c r="G33" i="3"/>
  <c r="J33" i="3" s="1"/>
  <c r="G34" i="3"/>
  <c r="G35" i="3"/>
  <c r="J35" i="3" s="1"/>
  <c r="G36" i="3"/>
  <c r="I36" i="3" s="1"/>
  <c r="G37" i="3"/>
  <c r="J37" i="3" s="1"/>
  <c r="G38" i="3"/>
  <c r="G39" i="3"/>
  <c r="J39" i="3" s="1"/>
  <c r="G40" i="3"/>
  <c r="I40" i="3" s="1"/>
  <c r="G41" i="3"/>
  <c r="J41" i="3" s="1"/>
  <c r="G42" i="3"/>
  <c r="I42" i="3" s="1"/>
  <c r="G13" i="3"/>
  <c r="V14" i="3"/>
  <c r="V15" i="3"/>
  <c r="V16" i="3"/>
  <c r="V17" i="3"/>
  <c r="V18" i="3"/>
  <c r="V19" i="3"/>
  <c r="V20" i="3"/>
  <c r="V21" i="3"/>
  <c r="V22" i="3"/>
  <c r="V23" i="3"/>
  <c r="V24" i="3"/>
  <c r="V25" i="3"/>
  <c r="V26" i="3"/>
  <c r="V27" i="3"/>
  <c r="V28" i="3"/>
  <c r="V29" i="3"/>
  <c r="V30" i="3"/>
  <c r="V31" i="3"/>
  <c r="V32" i="3"/>
  <c r="V33" i="3"/>
  <c r="V34" i="3"/>
  <c r="V35" i="3"/>
  <c r="V36" i="3"/>
  <c r="V37" i="3"/>
  <c r="V38" i="3"/>
  <c r="V39" i="3"/>
  <c r="V40" i="3"/>
  <c r="V41" i="3"/>
  <c r="V42" i="3"/>
  <c r="V13" i="3"/>
  <c r="AS105" i="3"/>
  <c r="AT105" i="3"/>
  <c r="AS104" i="3"/>
  <c r="AT104" i="3" s="1"/>
  <c r="AT101" i="3"/>
  <c r="AS101" i="3"/>
  <c r="AU54" i="3"/>
  <c r="AU53" i="3"/>
  <c r="AU52" i="3"/>
  <c r="AF51" i="3"/>
  <c r="AM51" i="3" s="1"/>
  <c r="AU49" i="3"/>
  <c r="AU48" i="3"/>
  <c r="AL47" i="3"/>
  <c r="AK47" i="3"/>
  <c r="AJ47" i="3"/>
  <c r="AI47" i="3"/>
  <c r="AG47" i="3"/>
  <c r="AD47" i="3"/>
  <c r="AC47" i="3"/>
  <c r="AU46" i="3"/>
  <c r="AU45" i="3"/>
  <c r="AU44" i="3"/>
  <c r="AU43" i="3"/>
  <c r="AX42" i="3"/>
  <c r="AQ42" i="3"/>
  <c r="AF42" i="3"/>
  <c r="AN42" i="3" s="1"/>
  <c r="AX41" i="3"/>
  <c r="AQ41" i="3"/>
  <c r="AF41" i="3"/>
  <c r="AM41" i="3" s="1"/>
  <c r="AX40" i="3"/>
  <c r="AQ40" i="3"/>
  <c r="AF40" i="3"/>
  <c r="AM40" i="3" s="1"/>
  <c r="AX39" i="3"/>
  <c r="AQ39" i="3"/>
  <c r="AF39" i="3"/>
  <c r="AM39" i="3" s="1"/>
  <c r="AX38" i="3"/>
  <c r="AB38" i="3"/>
  <c r="AF38" i="3" s="1"/>
  <c r="AX37" i="3"/>
  <c r="AF37" i="3"/>
  <c r="AN37" i="3" s="1"/>
  <c r="AX36" i="3"/>
  <c r="AQ36" i="3"/>
  <c r="AF36" i="3"/>
  <c r="AM36" i="3" s="1"/>
  <c r="AX35" i="3"/>
  <c r="AQ35" i="3"/>
  <c r="AF35" i="3"/>
  <c r="AM35" i="3" s="1"/>
  <c r="AX34" i="3"/>
  <c r="AQ34" i="3"/>
  <c r="AF34" i="3"/>
  <c r="AM34" i="3" s="1"/>
  <c r="AX33" i="3"/>
  <c r="AQ33" i="3"/>
  <c r="AF33" i="3"/>
  <c r="AM33" i="3" s="1"/>
  <c r="AX32" i="3"/>
  <c r="AQ32" i="3"/>
  <c r="AF32" i="3"/>
  <c r="AM32" i="3" s="1"/>
  <c r="AX31" i="3"/>
  <c r="AQ31" i="3"/>
  <c r="AF31" i="3"/>
  <c r="AM31" i="3" s="1"/>
  <c r="AX30" i="3"/>
  <c r="AQ30" i="3"/>
  <c r="AF30" i="3"/>
  <c r="AM30" i="3" s="1"/>
  <c r="AX29" i="3"/>
  <c r="AQ29" i="3"/>
  <c r="AF29" i="3"/>
  <c r="AM29" i="3" s="1"/>
  <c r="AX28" i="3"/>
  <c r="AQ28" i="3"/>
  <c r="AF28" i="3"/>
  <c r="AM28" i="3" s="1"/>
  <c r="AX27" i="3"/>
  <c r="AQ27" i="3"/>
  <c r="AF27" i="3"/>
  <c r="AM27" i="3" s="1"/>
  <c r="AX26" i="3"/>
  <c r="AF26" i="3"/>
  <c r="AP26" i="3" s="1"/>
  <c r="AX25" i="3"/>
  <c r="AQ25" i="3"/>
  <c r="AF25" i="3"/>
  <c r="AM25" i="3" s="1"/>
  <c r="AX24" i="3"/>
  <c r="AQ24" i="3"/>
  <c r="AF24" i="3"/>
  <c r="AM24" i="3" s="1"/>
  <c r="AX23" i="3"/>
  <c r="AQ23" i="3"/>
  <c r="AF23" i="3"/>
  <c r="AM23" i="3" s="1"/>
  <c r="AX22" i="3"/>
  <c r="AQ22" i="3"/>
  <c r="AF22" i="3"/>
  <c r="AM22" i="3" s="1"/>
  <c r="AX21" i="3"/>
  <c r="AQ21" i="3"/>
  <c r="AF21" i="3"/>
  <c r="AM21" i="3" s="1"/>
  <c r="AX20" i="3"/>
  <c r="AQ20" i="3"/>
  <c r="AF20" i="3"/>
  <c r="AM20" i="3" s="1"/>
  <c r="AX19" i="3"/>
  <c r="AQ19" i="3"/>
  <c r="AF19" i="3"/>
  <c r="AM19" i="3" s="1"/>
  <c r="AX18" i="3"/>
  <c r="AQ18" i="3"/>
  <c r="AF18" i="3"/>
  <c r="AN18" i="3" s="1"/>
  <c r="AX17" i="3"/>
  <c r="AQ17" i="3"/>
  <c r="AF17" i="3"/>
  <c r="AM17" i="3" s="1"/>
  <c r="AX16" i="3"/>
  <c r="AQ16" i="3"/>
  <c r="AF16" i="3"/>
  <c r="AM16" i="3" s="1"/>
  <c r="AO16" i="3" s="1"/>
  <c r="AU16" i="3" s="1"/>
  <c r="AX15" i="3"/>
  <c r="AQ15" i="3"/>
  <c r="AF15" i="3"/>
  <c r="AM15" i="3" s="1"/>
  <c r="AX14" i="3"/>
  <c r="AQ14" i="3"/>
  <c r="AB14" i="3"/>
  <c r="AB47" i="3"/>
  <c r="AX13" i="3"/>
  <c r="AQ13" i="3"/>
  <c r="AQ47" i="3"/>
  <c r="AF13" i="3"/>
  <c r="AM13" i="3" s="1"/>
  <c r="AO13" i="3" s="1"/>
  <c r="AU13" i="3" s="1"/>
  <c r="AB8" i="1"/>
  <c r="AB9" i="1"/>
  <c r="AB10" i="1"/>
  <c r="AB11" i="1"/>
  <c r="AB12" i="1"/>
  <c r="AB13" i="1"/>
  <c r="AB14" i="1"/>
  <c r="AB15" i="1"/>
  <c r="AB16" i="1"/>
  <c r="AB17" i="1"/>
  <c r="AB18" i="1"/>
  <c r="AB19" i="1"/>
  <c r="AB20" i="1"/>
  <c r="AB21" i="1"/>
  <c r="AB22" i="1"/>
  <c r="AB23" i="1"/>
  <c r="AB24" i="1"/>
  <c r="AB25" i="1"/>
  <c r="AB26" i="1"/>
  <c r="AB27" i="1"/>
  <c r="AB28" i="1"/>
  <c r="AB29" i="1"/>
  <c r="AB30" i="1"/>
  <c r="AB31" i="1"/>
  <c r="AB32" i="1"/>
  <c r="AB33" i="1"/>
  <c r="AB34" i="1"/>
  <c r="AB35" i="1"/>
  <c r="AB36" i="1"/>
  <c r="AB7" i="1"/>
  <c r="F32" i="1"/>
  <c r="J32" i="1" s="1"/>
  <c r="F8" i="1"/>
  <c r="F41" i="1" s="1"/>
  <c r="J8" i="1"/>
  <c r="J36" i="1"/>
  <c r="T36" i="1" s="1"/>
  <c r="V36" i="1" s="1"/>
  <c r="J24" i="1"/>
  <c r="P41" i="1"/>
  <c r="J31" i="1"/>
  <c r="R31" i="1" s="1"/>
  <c r="S31" i="1" s="1"/>
  <c r="J20" i="1"/>
  <c r="T20" i="1"/>
  <c r="J28" i="1"/>
  <c r="R28" i="1" s="1"/>
  <c r="S28" i="1" s="1"/>
  <c r="Q28" i="1"/>
  <c r="U28" i="1"/>
  <c r="J25" i="1"/>
  <c r="R25" i="1" s="1"/>
  <c r="U25" i="1"/>
  <c r="U11" i="1"/>
  <c r="J11" i="1"/>
  <c r="R11" i="1" s="1"/>
  <c r="S11" i="1" s="1"/>
  <c r="Q11" i="1"/>
  <c r="U26" i="1"/>
  <c r="J26" i="1"/>
  <c r="R26" i="1" s="1"/>
  <c r="U35" i="1"/>
  <c r="J35" i="1"/>
  <c r="R35" i="1"/>
  <c r="U17" i="1"/>
  <c r="U34" i="1"/>
  <c r="U36" i="1"/>
  <c r="U33" i="1"/>
  <c r="U30" i="1"/>
  <c r="U29" i="1"/>
  <c r="U27" i="1"/>
  <c r="U23" i="1"/>
  <c r="U22" i="1"/>
  <c r="J34" i="1"/>
  <c r="J27" i="1"/>
  <c r="T27" i="1" s="1"/>
  <c r="R27" i="1"/>
  <c r="Y37" i="1"/>
  <c r="Y38" i="1"/>
  <c r="Y39" i="1"/>
  <c r="Y40" i="1"/>
  <c r="Y42" i="1"/>
  <c r="Y43" i="1"/>
  <c r="Y46" i="1"/>
  <c r="Y47" i="1"/>
  <c r="Y48" i="1"/>
  <c r="W99" i="1"/>
  <c r="X99" i="1" s="1"/>
  <c r="W98" i="1"/>
  <c r="X98" i="1" s="1"/>
  <c r="X95" i="1"/>
  <c r="W95" i="1"/>
  <c r="O41" i="1"/>
  <c r="J13" i="1"/>
  <c r="T13" i="1"/>
  <c r="U13" i="1"/>
  <c r="V13" i="1" s="1"/>
  <c r="J23" i="1"/>
  <c r="R23" i="1" s="1"/>
  <c r="S23" i="1" s="1"/>
  <c r="Y23" i="1" s="1"/>
  <c r="Q23" i="1"/>
  <c r="U19" i="1"/>
  <c r="U18" i="1"/>
  <c r="U15" i="1"/>
  <c r="U8" i="1"/>
  <c r="U7" i="1"/>
  <c r="U41" i="1" s="1"/>
  <c r="U9" i="1"/>
  <c r="U14" i="1"/>
  <c r="U12" i="1"/>
  <c r="U24" i="1"/>
  <c r="U16" i="1"/>
  <c r="U21" i="1"/>
  <c r="U10" i="1"/>
  <c r="J29" i="1"/>
  <c r="Q29" i="1" s="1"/>
  <c r="S29" i="1" s="1"/>
  <c r="Y29" i="1" s="1"/>
  <c r="J22" i="1"/>
  <c r="T22" i="1" s="1"/>
  <c r="V22" i="1" s="1"/>
  <c r="R22" i="1"/>
  <c r="J17" i="1"/>
  <c r="Q17" i="1"/>
  <c r="S17" i="1"/>
  <c r="Y17" i="1"/>
  <c r="J19" i="1"/>
  <c r="Q19" i="1" s="1"/>
  <c r="S19" i="1" s="1"/>
  <c r="Y19" i="1" s="1"/>
  <c r="R19" i="1"/>
  <c r="J18" i="1"/>
  <c r="Q18" i="1" s="1"/>
  <c r="S18" i="1" s="1"/>
  <c r="Y18" i="1" s="1"/>
  <c r="R18" i="1"/>
  <c r="J15" i="1"/>
  <c r="V15" i="1" s="1"/>
  <c r="T15" i="1"/>
  <c r="J7" i="1"/>
  <c r="R7" i="1"/>
  <c r="J9" i="1"/>
  <c r="Q9" i="1" s="1"/>
  <c r="S9" i="1" s="1"/>
  <c r="Y9" i="1" s="1"/>
  <c r="R9" i="1"/>
  <c r="J14" i="1"/>
  <c r="T14" i="1"/>
  <c r="V14" i="1" s="1"/>
  <c r="J33" i="1"/>
  <c r="R33" i="1" s="1"/>
  <c r="S33" i="1" s="1"/>
  <c r="Y33" i="1" s="1"/>
  <c r="J30" i="1"/>
  <c r="R30" i="1"/>
  <c r="J12" i="1"/>
  <c r="T12" i="1"/>
  <c r="V12" i="1"/>
  <c r="J16" i="1"/>
  <c r="T16" i="1" s="1"/>
  <c r="V16" i="1" s="1"/>
  <c r="Q16" i="1"/>
  <c r="S16" i="1"/>
  <c r="Y16" i="1"/>
  <c r="J21" i="1"/>
  <c r="T21" i="1" s="1"/>
  <c r="Q21" i="1"/>
  <c r="S21" i="1"/>
  <c r="Y21" i="1"/>
  <c r="J10" i="1"/>
  <c r="T10" i="1" s="1"/>
  <c r="V10" i="1" s="1"/>
  <c r="H41" i="1"/>
  <c r="N41" i="1"/>
  <c r="M41" i="1"/>
  <c r="G41" i="1"/>
  <c r="J45" i="1"/>
  <c r="Q45" i="1"/>
  <c r="V45" i="1" s="1"/>
  <c r="K41" i="1"/>
  <c r="Q20" i="1"/>
  <c r="S20" i="1"/>
  <c r="R24" i="1"/>
  <c r="Q12" i="1"/>
  <c r="S12" i="1" s="1"/>
  <c r="Y12" i="1" s="1"/>
  <c r="T35" i="1"/>
  <c r="Q35" i="1"/>
  <c r="S35" i="1" s="1"/>
  <c r="Y35" i="1" s="1"/>
  <c r="Q24" i="1"/>
  <c r="S24" i="1"/>
  <c r="Y24" i="1"/>
  <c r="R21" i="1"/>
  <c r="T19" i="1"/>
  <c r="R36" i="1"/>
  <c r="S36" i="1" s="1"/>
  <c r="Y36" i="1" s="1"/>
  <c r="R12" i="1"/>
  <c r="R14" i="1"/>
  <c r="T7" i="1"/>
  <c r="Q14" i="1"/>
  <c r="S14" i="1" s="1"/>
  <c r="Y14" i="1" s="1"/>
  <c r="Q26" i="1"/>
  <c r="T23" i="1"/>
  <c r="V23" i="1"/>
  <c r="T24" i="1"/>
  <c r="V24" i="1"/>
  <c r="Q7" i="1"/>
  <c r="S7" i="1"/>
  <c r="T45" i="1"/>
  <c r="R45" i="1"/>
  <c r="S45" i="1"/>
  <c r="Y45" i="1"/>
  <c r="Q13" i="1"/>
  <c r="Q36" i="1"/>
  <c r="V35" i="1"/>
  <c r="T18" i="1"/>
  <c r="V18" i="1"/>
  <c r="Q31" i="1"/>
  <c r="R29" i="1"/>
  <c r="T29" i="1"/>
  <c r="V29" i="1"/>
  <c r="T28" i="1"/>
  <c r="V28" i="1"/>
  <c r="T34" i="1"/>
  <c r="V34" i="1"/>
  <c r="V46" i="1"/>
  <c r="V47" i="1" s="1"/>
  <c r="R34" i="1"/>
  <c r="Q34" i="1"/>
  <c r="S34" i="1" s="1"/>
  <c r="Y34" i="1" s="1"/>
  <c r="Q33" i="1"/>
  <c r="Q30" i="1"/>
  <c r="S30" i="1" s="1"/>
  <c r="Y30" i="1" s="1"/>
  <c r="T30" i="1"/>
  <c r="V30" i="1"/>
  <c r="T26" i="1"/>
  <c r="R17" i="1"/>
  <c r="R16" i="1"/>
  <c r="R13" i="1"/>
  <c r="S13" i="1"/>
  <c r="Y13" i="1"/>
  <c r="F45" i="4"/>
  <c r="H44" i="3"/>
  <c r="AF14" i="3"/>
  <c r="AM37" i="3"/>
  <c r="AO37" i="3" s="1"/>
  <c r="AN15" i="3"/>
  <c r="AN17" i="3"/>
  <c r="AP17" i="3"/>
  <c r="AN13" i="3"/>
  <c r="AP13" i="3"/>
  <c r="AR13" i="3" s="1"/>
  <c r="AR47" i="3" s="1"/>
  <c r="AN14" i="3"/>
  <c r="AN16" i="3"/>
  <c r="AP16" i="3"/>
  <c r="AR16" i="3" s="1"/>
  <c r="AP20" i="3"/>
  <c r="AR20" i="3" s="1"/>
  <c r="AN22" i="3"/>
  <c r="AP22" i="3"/>
  <c r="AR22" i="3" s="1"/>
  <c r="AP24" i="3"/>
  <c r="AR24" i="3" s="1"/>
  <c r="AN33" i="3"/>
  <c r="AP33" i="3"/>
  <c r="AR33" i="3" s="1"/>
  <c r="AN39" i="3"/>
  <c r="AP39" i="3"/>
  <c r="AR39" i="3" s="1"/>
  <c r="AN41" i="3"/>
  <c r="AP41" i="3"/>
  <c r="AR41" i="3" s="1"/>
  <c r="AP19" i="3"/>
  <c r="AR19" i="3" s="1"/>
  <c r="AN21" i="3"/>
  <c r="AP21" i="3"/>
  <c r="AR21" i="3" s="1"/>
  <c r="AN23" i="3"/>
  <c r="AP23" i="3"/>
  <c r="AR23" i="3" s="1"/>
  <c r="AN25" i="3"/>
  <c r="AP25" i="3"/>
  <c r="AN29" i="3"/>
  <c r="AN31" i="3"/>
  <c r="AP31" i="3"/>
  <c r="AR31" i="3" s="1"/>
  <c r="AN40" i="3"/>
  <c r="AP40" i="3"/>
  <c r="AR40" i="3" s="1"/>
  <c r="AR52" i="3" s="1"/>
  <c r="Q22" i="1"/>
  <c r="S22" i="1"/>
  <c r="Y22" i="1"/>
  <c r="AP14" i="3"/>
  <c r="AR14" i="3" s="1"/>
  <c r="AM14" i="3"/>
  <c r="AM38" i="3" l="1"/>
  <c r="AN38" i="3"/>
  <c r="S26" i="1"/>
  <c r="Y26" i="1" s="1"/>
  <c r="R32" i="1"/>
  <c r="Q32" i="1"/>
  <c r="S32" i="1" s="1"/>
  <c r="AN51" i="3"/>
  <c r="AP51" i="3"/>
  <c r="AO51" i="3"/>
  <c r="AU51" i="3" s="1"/>
  <c r="AR51" i="3"/>
  <c r="AO14" i="3"/>
  <c r="AP42" i="3"/>
  <c r="AR42" i="3" s="1"/>
  <c r="J26" i="3"/>
  <c r="K26" i="3" s="1"/>
  <c r="L26" i="3" s="1"/>
  <c r="M26" i="3" s="1"/>
  <c r="R15" i="1"/>
  <c r="T17" i="1"/>
  <c r="V17" i="1" s="1"/>
  <c r="V11" i="1"/>
  <c r="J22" i="3"/>
  <c r="K22" i="3" s="1"/>
  <c r="L22" i="3" s="1"/>
  <c r="M22" i="3" s="1"/>
  <c r="AP34" i="3"/>
  <c r="AR34" i="3" s="1"/>
  <c r="AP36" i="3"/>
  <c r="AR36" i="3" s="1"/>
  <c r="V26" i="1"/>
  <c r="Q25" i="1"/>
  <c r="S25" i="1" s="1"/>
  <c r="T11" i="1"/>
  <c r="AR17" i="3"/>
  <c r="Q15" i="1"/>
  <c r="T33" i="1"/>
  <c r="V33" i="1" s="1"/>
  <c r="V48" i="1"/>
  <c r="AM42" i="3"/>
  <c r="AO42" i="3" s="1"/>
  <c r="AU42" i="3" s="1"/>
  <c r="G44" i="3"/>
  <c r="AN36" i="3"/>
  <c r="J42" i="3"/>
  <c r="K42" i="3" s="1"/>
  <c r="L42" i="3" s="1"/>
  <c r="M42" i="3" s="1"/>
  <c r="J18" i="3"/>
  <c r="AP30" i="3"/>
  <c r="AR30" i="3" s="1"/>
  <c r="V19" i="1"/>
  <c r="V21" i="1"/>
  <c r="I25" i="3"/>
  <c r="AN35" i="3"/>
  <c r="AO35" i="3" s="1"/>
  <c r="AU35" i="3" s="1"/>
  <c r="Q10" i="1"/>
  <c r="AP32" i="3"/>
  <c r="AR32" i="3" s="1"/>
  <c r="R10" i="1"/>
  <c r="AN32" i="3"/>
  <c r="AO32" i="3" s="1"/>
  <c r="AU32" i="3" s="1"/>
  <c r="Y7" i="1"/>
  <c r="T8" i="1"/>
  <c r="AN30" i="3"/>
  <c r="AO30" i="3" s="1"/>
  <c r="AU30" i="3" s="1"/>
  <c r="T9" i="1"/>
  <c r="V9" i="1" s="1"/>
  <c r="I41" i="3"/>
  <c r="I17" i="3"/>
  <c r="V7" i="1"/>
  <c r="V41" i="1" s="1"/>
  <c r="Q27" i="1"/>
  <c r="S27" i="1" s="1"/>
  <c r="Y27" i="1" s="1"/>
  <c r="AP35" i="3"/>
  <c r="AR35" i="3" s="1"/>
  <c r="T25" i="1"/>
  <c r="V25" i="1" s="1"/>
  <c r="AN34" i="3"/>
  <c r="AO34" i="3" s="1"/>
  <c r="AN20" i="3"/>
  <c r="AO20" i="3" s="1"/>
  <c r="AU20" i="3" s="1"/>
  <c r="Q8" i="1"/>
  <c r="AP29" i="3"/>
  <c r="AR29" i="3" s="1"/>
  <c r="AP28" i="3"/>
  <c r="AR28" i="3" s="1"/>
  <c r="H45" i="4"/>
  <c r="J41" i="1"/>
  <c r="AP18" i="3"/>
  <c r="AR18" i="3" s="1"/>
  <c r="AP27" i="3"/>
  <c r="AR27" i="3" s="1"/>
  <c r="AN27" i="3"/>
  <c r="AO27" i="3" s="1"/>
  <c r="AU27" i="3" s="1"/>
  <c r="AN24" i="3"/>
  <c r="AO24" i="3" s="1"/>
  <c r="AU24" i="3" s="1"/>
  <c r="V27" i="1"/>
  <c r="R8" i="1"/>
  <c r="R41" i="1" s="1"/>
  <c r="R43" i="1" s="1"/>
  <c r="AM26" i="3"/>
  <c r="AO26" i="3" s="1"/>
  <c r="AF47" i="3"/>
  <c r="AN19" i="3"/>
  <c r="AO19" i="3" s="1"/>
  <c r="AU19" i="3" s="1"/>
  <c r="AN28" i="3"/>
  <c r="AO28" i="3" s="1"/>
  <c r="AU28" i="3" s="1"/>
  <c r="AM18" i="3"/>
  <c r="AR25" i="3"/>
  <c r="AO25" i="3"/>
  <c r="AU25" i="3" s="1"/>
  <c r="AO22" i="3"/>
  <c r="AU22" i="3" s="1"/>
  <c r="C35" i="4"/>
  <c r="E35" i="4" s="1"/>
  <c r="G35" i="4" s="1"/>
  <c r="J35" i="4" s="1"/>
  <c r="K35" i="4" s="1"/>
  <c r="C25" i="5" s="1"/>
  <c r="D25" i="5" s="1"/>
  <c r="G25" i="5" s="1"/>
  <c r="C19" i="4"/>
  <c r="E19" i="4" s="1"/>
  <c r="G19" i="4" s="1"/>
  <c r="J19" i="4" s="1"/>
  <c r="K19" i="4" s="1"/>
  <c r="C9" i="5" s="1"/>
  <c r="D9" i="5" s="1"/>
  <c r="G9" i="5" s="1"/>
  <c r="AO23" i="3"/>
  <c r="AU23" i="3" s="1"/>
  <c r="AO21" i="3"/>
  <c r="AU21" i="3" s="1"/>
  <c r="AO18" i="3"/>
  <c r="AU18" i="3" s="1"/>
  <c r="C39" i="4"/>
  <c r="E39" i="4" s="1"/>
  <c r="C23" i="4"/>
  <c r="E23" i="4" s="1"/>
  <c r="G23" i="4" s="1"/>
  <c r="J23" i="4" s="1"/>
  <c r="K23" i="4" s="1"/>
  <c r="C13" i="5" s="1"/>
  <c r="D13" i="5" s="1"/>
  <c r="G13" i="5" s="1"/>
  <c r="C13" i="4"/>
  <c r="E13" i="4" s="1"/>
  <c r="C27" i="4"/>
  <c r="E27" i="4" s="1"/>
  <c r="G27" i="4" s="1"/>
  <c r="J27" i="4" s="1"/>
  <c r="K27" i="4" s="1"/>
  <c r="C17" i="5" s="1"/>
  <c r="D17" i="5" s="1"/>
  <c r="G17" i="5" s="1"/>
  <c r="C31" i="4"/>
  <c r="E31" i="4" s="1"/>
  <c r="G31" i="4" s="1"/>
  <c r="J31" i="4" s="1"/>
  <c r="K31" i="4" s="1"/>
  <c r="C21" i="5" s="1"/>
  <c r="D21" i="5" s="1"/>
  <c r="G21" i="5" s="1"/>
  <c r="C15" i="4"/>
  <c r="E15" i="4" s="1"/>
  <c r="G15" i="4" s="1"/>
  <c r="J15" i="4" s="1"/>
  <c r="K15" i="4" s="1"/>
  <c r="C5" i="5" s="1"/>
  <c r="D5" i="5" s="1"/>
  <c r="G5" i="5" s="1"/>
  <c r="AO38" i="3"/>
  <c r="AO29" i="3"/>
  <c r="AU29" i="3" s="1"/>
  <c r="AO33" i="3"/>
  <c r="AU33" i="3" s="1"/>
  <c r="AN47" i="3"/>
  <c r="AN49" i="3" s="1"/>
  <c r="AO40" i="3"/>
  <c r="AU40" i="3" s="1"/>
  <c r="C41" i="4"/>
  <c r="E41" i="4" s="1"/>
  <c r="G41" i="4" s="1"/>
  <c r="J41" i="4" s="1"/>
  <c r="K41" i="4" s="1"/>
  <c r="C31" i="5" s="1"/>
  <c r="D31" i="5" s="1"/>
  <c r="G31" i="5" s="1"/>
  <c r="C33" i="4"/>
  <c r="E33" i="4" s="1"/>
  <c r="G33" i="4" s="1"/>
  <c r="J33" i="4" s="1"/>
  <c r="K33" i="4" s="1"/>
  <c r="C23" i="5" s="1"/>
  <c r="D23" i="5" s="1"/>
  <c r="G23" i="5" s="1"/>
  <c r="C25" i="4"/>
  <c r="E25" i="4" s="1"/>
  <c r="G25" i="4" s="1"/>
  <c r="J25" i="4" s="1"/>
  <c r="K25" i="4" s="1"/>
  <c r="C15" i="5" s="1"/>
  <c r="D15" i="5" s="1"/>
  <c r="G15" i="5" s="1"/>
  <c r="C17" i="4"/>
  <c r="E17" i="4" s="1"/>
  <c r="G17" i="4" s="1"/>
  <c r="J17" i="4" s="1"/>
  <c r="K17" i="4" s="1"/>
  <c r="C7" i="5" s="1"/>
  <c r="D7" i="5" s="1"/>
  <c r="G7" i="5" s="1"/>
  <c r="AO17" i="3"/>
  <c r="AO41" i="3"/>
  <c r="AU41" i="3" s="1"/>
  <c r="AO31" i="3"/>
  <c r="C37" i="4"/>
  <c r="E37" i="4" s="1"/>
  <c r="G37" i="4" s="1"/>
  <c r="J37" i="4" s="1"/>
  <c r="K37" i="4" s="1"/>
  <c r="C27" i="5" s="1"/>
  <c r="D27" i="5" s="1"/>
  <c r="G27" i="5" s="1"/>
  <c r="C29" i="4"/>
  <c r="E29" i="4" s="1"/>
  <c r="C21" i="4"/>
  <c r="E21" i="4" s="1"/>
  <c r="G21" i="4" s="1"/>
  <c r="J21" i="4" s="1"/>
  <c r="K21" i="4" s="1"/>
  <c r="C11" i="5" s="1"/>
  <c r="D11" i="5" s="1"/>
  <c r="G11" i="5" s="1"/>
  <c r="AO15" i="3"/>
  <c r="AU15" i="3" s="1"/>
  <c r="AO36" i="3"/>
  <c r="AU36" i="3" s="1"/>
  <c r="AO39" i="3"/>
  <c r="AU39" i="3" s="1"/>
  <c r="AR48" i="3"/>
  <c r="AR49" i="3" s="1"/>
  <c r="P41" i="3"/>
  <c r="Q41" i="3" s="1"/>
  <c r="P37" i="3"/>
  <c r="Q37" i="3" s="1"/>
  <c r="P33" i="3"/>
  <c r="Q33" i="3" s="1"/>
  <c r="P29" i="3"/>
  <c r="Q29" i="3" s="1"/>
  <c r="P25" i="3"/>
  <c r="Q25" i="3" s="1"/>
  <c r="P21" i="3"/>
  <c r="Q21" i="3" s="1"/>
  <c r="P17" i="3"/>
  <c r="Q17" i="3" s="1"/>
  <c r="P42" i="3"/>
  <c r="Q42" i="3" s="1"/>
  <c r="P38" i="3"/>
  <c r="Q38" i="3" s="1"/>
  <c r="P34" i="3"/>
  <c r="Q34" i="3" s="1"/>
  <c r="P30" i="3"/>
  <c r="Q30" i="3" s="1"/>
  <c r="P26" i="3"/>
  <c r="Q26" i="3" s="1"/>
  <c r="P22" i="3"/>
  <c r="Q22" i="3" s="1"/>
  <c r="P18" i="3"/>
  <c r="Q18" i="3" s="1"/>
  <c r="P14" i="3"/>
  <c r="Q14" i="3" s="1"/>
  <c r="O44" i="3"/>
  <c r="P13" i="3"/>
  <c r="Q13" i="3" s="1"/>
  <c r="P39" i="3"/>
  <c r="Q39" i="3" s="1"/>
  <c r="P35" i="3"/>
  <c r="Q35" i="3" s="1"/>
  <c r="P31" i="3"/>
  <c r="Q31" i="3" s="1"/>
  <c r="P27" i="3"/>
  <c r="Q27" i="3" s="1"/>
  <c r="P23" i="3"/>
  <c r="Q23" i="3" s="1"/>
  <c r="P19" i="3"/>
  <c r="Q19" i="3" s="1"/>
  <c r="P15" i="3"/>
  <c r="Q15" i="3" s="1"/>
  <c r="AU14" i="3"/>
  <c r="AR53" i="3"/>
  <c r="AR54" i="3" s="1"/>
  <c r="P40" i="3"/>
  <c r="Q40" i="3" s="1"/>
  <c r="P36" i="3"/>
  <c r="Q36" i="3" s="1"/>
  <c r="P32" i="3"/>
  <c r="Q32" i="3" s="1"/>
  <c r="P28" i="3"/>
  <c r="Q28" i="3" s="1"/>
  <c r="P24" i="3"/>
  <c r="Q24" i="3" s="1"/>
  <c r="P20" i="3"/>
  <c r="Q20" i="3" s="1"/>
  <c r="P16" i="3"/>
  <c r="Q16" i="3" s="1"/>
  <c r="K38" i="3"/>
  <c r="K34" i="3"/>
  <c r="K30" i="3"/>
  <c r="K18" i="3"/>
  <c r="K14" i="3"/>
  <c r="C40" i="4"/>
  <c r="E40" i="4" s="1"/>
  <c r="C36" i="4"/>
  <c r="E36" i="4" s="1"/>
  <c r="G36" i="4" s="1"/>
  <c r="J36" i="4" s="1"/>
  <c r="K36" i="4" s="1"/>
  <c r="C26" i="5" s="1"/>
  <c r="D26" i="5" s="1"/>
  <c r="G26" i="5" s="1"/>
  <c r="C32" i="4"/>
  <c r="E32" i="4" s="1"/>
  <c r="C28" i="4"/>
  <c r="E28" i="4" s="1"/>
  <c r="C24" i="4"/>
  <c r="E24" i="4" s="1"/>
  <c r="C20" i="4"/>
  <c r="E20" i="4" s="1"/>
  <c r="C16" i="4"/>
  <c r="E16" i="4" s="1"/>
  <c r="AP15" i="3"/>
  <c r="C42" i="4"/>
  <c r="E42" i="4" s="1"/>
  <c r="G42" i="4" s="1"/>
  <c r="J42" i="4" s="1"/>
  <c r="K42" i="4" s="1"/>
  <c r="C32" i="5" s="1"/>
  <c r="D32" i="5" s="1"/>
  <c r="G32" i="5" s="1"/>
  <c r="C38" i="4"/>
  <c r="E38" i="4" s="1"/>
  <c r="G38" i="4" s="1"/>
  <c r="J38" i="4" s="1"/>
  <c r="K38" i="4" s="1"/>
  <c r="C28" i="5" s="1"/>
  <c r="D28" i="5" s="1"/>
  <c r="G28" i="5" s="1"/>
  <c r="C34" i="4"/>
  <c r="E34" i="4" s="1"/>
  <c r="G34" i="4" s="1"/>
  <c r="J34" i="4" s="1"/>
  <c r="K34" i="4" s="1"/>
  <c r="C24" i="5" s="1"/>
  <c r="D24" i="5" s="1"/>
  <c r="G24" i="5" s="1"/>
  <c r="C30" i="4"/>
  <c r="E30" i="4" s="1"/>
  <c r="C26" i="4"/>
  <c r="E26" i="4" s="1"/>
  <c r="G26" i="4" s="1"/>
  <c r="J26" i="4" s="1"/>
  <c r="K26" i="4" s="1"/>
  <c r="C16" i="5" s="1"/>
  <c r="D16" i="5" s="1"/>
  <c r="G16" i="5" s="1"/>
  <c r="C22" i="4"/>
  <c r="E22" i="4" s="1"/>
  <c r="G22" i="4" s="1"/>
  <c r="J22" i="4" s="1"/>
  <c r="K22" i="4" s="1"/>
  <c r="C12" i="5" s="1"/>
  <c r="D12" i="5" s="1"/>
  <c r="G12" i="5" s="1"/>
  <c r="C18" i="4"/>
  <c r="E18" i="4" s="1"/>
  <c r="G18" i="4" s="1"/>
  <c r="J18" i="4" s="1"/>
  <c r="K18" i="4" s="1"/>
  <c r="C8" i="5" s="1"/>
  <c r="D8" i="5" s="1"/>
  <c r="G8" i="5" s="1"/>
  <c r="C14" i="4"/>
  <c r="E14" i="4" s="1"/>
  <c r="G14" i="4" s="1"/>
  <c r="J14" i="4" s="1"/>
  <c r="K14" i="4" s="1"/>
  <c r="C4" i="5" s="1"/>
  <c r="D4" i="5" s="1"/>
  <c r="G4" i="5" s="1"/>
  <c r="D44" i="3"/>
  <c r="L38" i="3"/>
  <c r="M38" i="3" s="1"/>
  <c r="L34" i="3"/>
  <c r="M34" i="3" s="1"/>
  <c r="L30" i="3"/>
  <c r="M30" i="3" s="1"/>
  <c r="L18" i="3"/>
  <c r="M18" i="3" s="1"/>
  <c r="L14" i="3"/>
  <c r="M14" i="3" s="1"/>
  <c r="G40" i="4"/>
  <c r="J40" i="4" s="1"/>
  <c r="K40" i="4" s="1"/>
  <c r="C30" i="5" s="1"/>
  <c r="D30" i="5" s="1"/>
  <c r="G30" i="5" s="1"/>
  <c r="G32" i="4"/>
  <c r="J32" i="4" s="1"/>
  <c r="K32" i="4" s="1"/>
  <c r="C22" i="5" s="1"/>
  <c r="D22" i="5" s="1"/>
  <c r="G22" i="5" s="1"/>
  <c r="G28" i="4"/>
  <c r="J28" i="4" s="1"/>
  <c r="K28" i="4" s="1"/>
  <c r="C18" i="5" s="1"/>
  <c r="D18" i="5" s="1"/>
  <c r="G18" i="5" s="1"/>
  <c r="G24" i="4"/>
  <c r="J24" i="4" s="1"/>
  <c r="K24" i="4" s="1"/>
  <c r="C14" i="5" s="1"/>
  <c r="D14" i="5" s="1"/>
  <c r="G14" i="5" s="1"/>
  <c r="G20" i="4"/>
  <c r="J20" i="4" s="1"/>
  <c r="K20" i="4" s="1"/>
  <c r="C10" i="5" s="1"/>
  <c r="D10" i="5" s="1"/>
  <c r="G10" i="5" s="1"/>
  <c r="G16" i="4"/>
  <c r="J16" i="4" s="1"/>
  <c r="K16" i="4" s="1"/>
  <c r="C6" i="5" s="1"/>
  <c r="D6" i="5" s="1"/>
  <c r="G6" i="5" s="1"/>
  <c r="G30" i="4"/>
  <c r="J30" i="4" s="1"/>
  <c r="K30" i="4" s="1"/>
  <c r="C20" i="5" s="1"/>
  <c r="D20" i="5" s="1"/>
  <c r="G20" i="5" s="1"/>
  <c r="I23" i="3"/>
  <c r="K23" i="3" s="1"/>
  <c r="G13" i="4"/>
  <c r="K41" i="3"/>
  <c r="K37" i="3"/>
  <c r="K33" i="3"/>
  <c r="K29" i="3"/>
  <c r="K25" i="3"/>
  <c r="K21" i="3"/>
  <c r="K17" i="3"/>
  <c r="I16" i="3"/>
  <c r="K16" i="3" s="1"/>
  <c r="J13" i="3"/>
  <c r="J40" i="3"/>
  <c r="K40" i="3" s="1"/>
  <c r="I39" i="3"/>
  <c r="K39" i="3" s="1"/>
  <c r="J36" i="3"/>
  <c r="K36" i="3" s="1"/>
  <c r="I35" i="3"/>
  <c r="K35" i="3" s="1"/>
  <c r="J32" i="3"/>
  <c r="K32" i="3" s="1"/>
  <c r="I31" i="3"/>
  <c r="K31" i="3" s="1"/>
  <c r="J28" i="3"/>
  <c r="K28" i="3" s="1"/>
  <c r="I27" i="3"/>
  <c r="K27" i="3" s="1"/>
  <c r="J24" i="3"/>
  <c r="K24" i="3" s="1"/>
  <c r="J20" i="3"/>
  <c r="K20" i="3" s="1"/>
  <c r="I19" i="3"/>
  <c r="K19" i="3" s="1"/>
  <c r="J16" i="3"/>
  <c r="I15" i="3"/>
  <c r="K15" i="3" s="1"/>
  <c r="I13" i="3"/>
  <c r="K39" i="4" l="1"/>
  <c r="C29" i="5" s="1"/>
  <c r="D29" i="5" s="1"/>
  <c r="G29" i="5" s="1"/>
  <c r="AM47" i="3"/>
  <c r="S10" i="1"/>
  <c r="Y10" i="1" s="1"/>
  <c r="S8" i="1"/>
  <c r="Q41" i="1"/>
  <c r="G29" i="4"/>
  <c r="J29" i="4" s="1"/>
  <c r="K29" i="4" s="1"/>
  <c r="C19" i="5" s="1"/>
  <c r="D19" i="5" s="1"/>
  <c r="G19" i="5" s="1"/>
  <c r="G39" i="4"/>
  <c r="J39" i="4" s="1"/>
  <c r="E45" i="4"/>
  <c r="T41" i="1"/>
  <c r="V42" i="1"/>
  <c r="V43" i="1"/>
  <c r="V50" i="1" s="1"/>
  <c r="V8" i="1"/>
  <c r="S15" i="1"/>
  <c r="Y15" i="1" s="1"/>
  <c r="C45" i="4"/>
  <c r="AO47" i="3"/>
  <c r="AR56" i="3"/>
  <c r="Q44" i="3"/>
  <c r="P44" i="3"/>
  <c r="AR15" i="3"/>
  <c r="AP47" i="3"/>
  <c r="L24" i="3"/>
  <c r="M24" i="3" s="1"/>
  <c r="L23" i="3"/>
  <c r="M23" i="3" s="1"/>
  <c r="L20" i="3"/>
  <c r="M20" i="3" s="1"/>
  <c r="L31" i="3"/>
  <c r="M31" i="3" s="1"/>
  <c r="L39" i="3"/>
  <c r="M39" i="3" s="1"/>
  <c r="L28" i="3"/>
  <c r="M28" i="3" s="1"/>
  <c r="L16" i="3"/>
  <c r="M16" i="3" s="1"/>
  <c r="L15" i="3"/>
  <c r="M15" i="3" s="1"/>
  <c r="L32" i="3"/>
  <c r="M32" i="3" s="1"/>
  <c r="L27" i="3"/>
  <c r="M27" i="3" s="1"/>
  <c r="L35" i="3"/>
  <c r="M35" i="3" s="1"/>
  <c r="J13" i="4"/>
  <c r="G45" i="4"/>
  <c r="L25" i="3"/>
  <c r="M25" i="3" s="1"/>
  <c r="L41" i="3"/>
  <c r="M41" i="3" s="1"/>
  <c r="I44" i="3"/>
  <c r="K13" i="3"/>
  <c r="J44" i="3"/>
  <c r="L19" i="3"/>
  <c r="M19" i="3" s="1"/>
  <c r="L40" i="3"/>
  <c r="M40" i="3" s="1"/>
  <c r="L17" i="3"/>
  <c r="M17" i="3" s="1"/>
  <c r="L33" i="3"/>
  <c r="M33" i="3" s="1"/>
  <c r="L36" i="3"/>
  <c r="M36" i="3" s="1"/>
  <c r="L21" i="3"/>
  <c r="M21" i="3" s="1"/>
  <c r="L29" i="3"/>
  <c r="M29" i="3" s="1"/>
  <c r="L37" i="3"/>
  <c r="M37" i="3" s="1"/>
  <c r="Y8" i="1" l="1"/>
  <c r="S41" i="1"/>
  <c r="J45" i="4"/>
  <c r="K13" i="4"/>
  <c r="L13" i="3"/>
  <c r="L44" i="3" s="1"/>
  <c r="K44" i="3"/>
  <c r="M13" i="3" l="1"/>
  <c r="M44" i="3" s="1"/>
  <c r="K45" i="4"/>
  <c r="C3" i="5"/>
  <c r="D3" i="5" s="1"/>
  <c r="G3" i="5" s="1"/>
</calcChain>
</file>

<file path=xl/sharedStrings.xml><?xml version="1.0" encoding="utf-8"?>
<sst xmlns="http://schemas.openxmlformats.org/spreadsheetml/2006/main" count="846" uniqueCount="236">
  <si>
    <t>Puesto</t>
  </si>
  <si>
    <t>TOTAL NOMINA</t>
  </si>
  <si>
    <t>PASA A NOMINA SEMANAL</t>
  </si>
  <si>
    <t>BAJAS DURANTE LA QUINCENA</t>
  </si>
  <si>
    <t>Consultores &amp; Asesores Integrales S.C.</t>
  </si>
  <si>
    <t>Comision subsidiada</t>
  </si>
  <si>
    <t>Comision empleado</t>
  </si>
  <si>
    <t>Impto Nomina</t>
  </si>
  <si>
    <t>Factura</t>
  </si>
  <si>
    <t>Fonacot</t>
  </si>
  <si>
    <t>Neto a Recibir</t>
  </si>
  <si>
    <t>Infonavit</t>
  </si>
  <si>
    <t>INCAPACIDAD</t>
  </si>
  <si>
    <t>Prima Vacacional</t>
  </si>
  <si>
    <t>Dias de Vacaciones</t>
  </si>
  <si>
    <t>Total Percepciones</t>
  </si>
  <si>
    <t>Descuentos Cta 254</t>
  </si>
  <si>
    <t>Area</t>
  </si>
  <si>
    <t>Nombre</t>
  </si>
  <si>
    <t>Suc</t>
  </si>
  <si>
    <t>SEG GTS MED MAY</t>
  </si>
  <si>
    <t>Pension</t>
  </si>
  <si>
    <t>700-070 VENTAS</t>
  </si>
  <si>
    <t>701-070 USADOS</t>
  </si>
  <si>
    <t>703-070 ADMON</t>
  </si>
  <si>
    <t>704-070 REFACC</t>
  </si>
  <si>
    <t>705-001-070 SERV</t>
  </si>
  <si>
    <t>683-001-001 COSTO</t>
  </si>
  <si>
    <t>Total Deduciones</t>
  </si>
  <si>
    <t>devuelto a empresa</t>
  </si>
  <si>
    <t>CONSULTORES</t>
  </si>
  <si>
    <t>Servicios Prestados a :  ALECSA CELAYA S DE RL DE CV</t>
  </si>
  <si>
    <t>SINDICATO</t>
  </si>
  <si>
    <t>CORPORATIVO</t>
  </si>
  <si>
    <t>ADMON SERVICIO</t>
  </si>
  <si>
    <t>SEMINUEVOS</t>
  </si>
  <si>
    <t>VENTAS</t>
  </si>
  <si>
    <t>GOMEZ TORRES ROSAURA</t>
  </si>
  <si>
    <t>JARDINERO</t>
  </si>
  <si>
    <t>ASESOR DE SERVICIO</t>
  </si>
  <si>
    <t>ASESOR DE VENTAS</t>
  </si>
  <si>
    <t>COACH DE VENTAS</t>
  </si>
  <si>
    <t>OBSERVACIONES</t>
  </si>
  <si>
    <t>LEON CABELLO LUIS ALBERTO</t>
  </si>
  <si>
    <t>CAMARENA GAMEZ GUILLERMO</t>
  </si>
  <si>
    <t>CAZARES CHAIRES ERIKA</t>
  </si>
  <si>
    <t>CASAS VILLANUEVA MARIO</t>
  </si>
  <si>
    <t>ARELLANO ALVAREZ JAVIER</t>
  </si>
  <si>
    <t>ALFARO QUEZADA PABLO FRANCISCO</t>
  </si>
  <si>
    <t>CASTRO ROMERO LIZBETH</t>
  </si>
  <si>
    <t>HERRERA PARRA LUIS ENRIQUE</t>
  </si>
  <si>
    <t>ZARATE MARTINEZ RICARDO</t>
  </si>
  <si>
    <t>AA30</t>
  </si>
  <si>
    <t>AQ28</t>
  </si>
  <si>
    <t>AR02</t>
  </si>
  <si>
    <t>BJ00</t>
  </si>
  <si>
    <t>CC08</t>
  </si>
  <si>
    <t>CG22</t>
  </si>
  <si>
    <t>CR06</t>
  </si>
  <si>
    <t>GD09</t>
  </si>
  <si>
    <t>GG14</t>
  </si>
  <si>
    <t>GT22</t>
  </si>
  <si>
    <t>HP01</t>
  </si>
  <si>
    <t>HQ10</t>
  </si>
  <si>
    <t>LC03</t>
  </si>
  <si>
    <t>RL14</t>
  </si>
  <si>
    <t>RMR26</t>
  </si>
  <si>
    <t>TE10</t>
  </si>
  <si>
    <t>VV28</t>
  </si>
  <si>
    <t>ZM30</t>
  </si>
  <si>
    <t>No. Cuenta</t>
  </si>
  <si>
    <t>2983764567</t>
  </si>
  <si>
    <t>2948214670</t>
  </si>
  <si>
    <t>1482165252</t>
  </si>
  <si>
    <t>2717430477</t>
  </si>
  <si>
    <t>2799505563</t>
  </si>
  <si>
    <t>2730894303</t>
  </si>
  <si>
    <t>2952119943</t>
  </si>
  <si>
    <t>2763908836</t>
  </si>
  <si>
    <t>2863632784</t>
  </si>
  <si>
    <t>2845119553</t>
  </si>
  <si>
    <t>2875214688</t>
  </si>
  <si>
    <t>1499469494</t>
  </si>
  <si>
    <t>1457482116</t>
  </si>
  <si>
    <t>2872328917</t>
  </si>
  <si>
    <t>2735539994</t>
  </si>
  <si>
    <t>2986347665</t>
  </si>
  <si>
    <t>2885838584</t>
  </si>
  <si>
    <t>2906306063</t>
  </si>
  <si>
    <t>1473959848</t>
  </si>
  <si>
    <t>DIFERENCIA</t>
  </si>
  <si>
    <t>CARRANCO MANCERA VIRIDIANA</t>
  </si>
  <si>
    <t>GONZALEZ GARCIA LUIS ROBERTO</t>
  </si>
  <si>
    <t>Comisiones</t>
  </si>
  <si>
    <t>SGV</t>
  </si>
  <si>
    <t>OLIVEROS MALDONADO MIGUEL</t>
  </si>
  <si>
    <t>ANDRADE RODRIGUEZ MIGUEL ANGEL</t>
  </si>
  <si>
    <t>HERNANDEZ QUINTERO MARIA DE LA LUZ</t>
  </si>
  <si>
    <t>VENTURA SANTAMARIA EFRAIN ENRIQUE</t>
  </si>
  <si>
    <t>MONZON MARROQUIN JUAN ARCADIO</t>
  </si>
  <si>
    <t>0208632386 BANORTE</t>
  </si>
  <si>
    <t>Fecha de Ingreso</t>
  </si>
  <si>
    <t>DISPERSION</t>
  </si>
  <si>
    <t>BLANCO AMEZQUITA CECILIA</t>
  </si>
  <si>
    <t>CUENTA BANORTE</t>
  </si>
  <si>
    <t>FALTAS</t>
  </si>
  <si>
    <t>MARTINEZ GOMEZ KENT MARTIN</t>
  </si>
  <si>
    <t>WEB MASTER</t>
  </si>
  <si>
    <t>ORTEGA SOSA GUILLERMO</t>
  </si>
  <si>
    <t>GUTIERREZ OLVERA MARIHURI</t>
  </si>
  <si>
    <t>RODRIGUEZ MEDINA CESAR</t>
  </si>
  <si>
    <t>TAPIA BOLAÑOS NANCY</t>
  </si>
  <si>
    <t>Periodo Semana 37</t>
  </si>
  <si>
    <t>07/09/2016 AL 13/09/2016</t>
  </si>
  <si>
    <t>0AQ28</t>
  </si>
  <si>
    <t>Alfaro Quezada Pablo Francisco</t>
  </si>
  <si>
    <t>0AR02</t>
  </si>
  <si>
    <t>Andrade Rodriguez Miguel Angel</t>
  </si>
  <si>
    <t>0AA30</t>
  </si>
  <si>
    <t>Arellano Alvarez Javier</t>
  </si>
  <si>
    <t>0BJ00</t>
  </si>
  <si>
    <t>Becerra Jimenez Alejandro Bonifacio</t>
  </si>
  <si>
    <t>BAC27</t>
  </si>
  <si>
    <t>Blanco Amezquita Cecilia</t>
  </si>
  <si>
    <t>0CG22</t>
  </si>
  <si>
    <t>Camarena Gamez Guillermo</t>
  </si>
  <si>
    <t>0CM12</t>
  </si>
  <si>
    <t>Carranco Mancera Viridiana</t>
  </si>
  <si>
    <t>00005</t>
  </si>
  <si>
    <t>Casas Villanueva Mario</t>
  </si>
  <si>
    <t>0CR06</t>
  </si>
  <si>
    <t>Castro Romero Lizbeth</t>
  </si>
  <si>
    <t>0CC08</t>
  </si>
  <si>
    <t>Cazares Chaires Erika</t>
  </si>
  <si>
    <t>0GT22</t>
  </si>
  <si>
    <t>Gomez Torres Rosaura</t>
  </si>
  <si>
    <t>0GD09</t>
  </si>
  <si>
    <t>Gonzalez  Duarte David</t>
  </si>
  <si>
    <t>0GG14</t>
  </si>
  <si>
    <t>Gonzalez Garcia Luis Roberto</t>
  </si>
  <si>
    <t>GOM24</t>
  </si>
  <si>
    <t>Gutierrez Olvera Marihuri</t>
  </si>
  <si>
    <t>00010</t>
  </si>
  <si>
    <t>Guzman Espiller Sergio Luis Alberto</t>
  </si>
  <si>
    <t>0HQ20</t>
  </si>
  <si>
    <t>Hernandez Quintero Maria De La Luz</t>
  </si>
  <si>
    <t>0HP01</t>
  </si>
  <si>
    <t>Herrera Parra Luis Enrique</t>
  </si>
  <si>
    <t>0LC00</t>
  </si>
  <si>
    <t>Leon Cabello Luis Alberto</t>
  </si>
  <si>
    <t>MGK07</t>
  </si>
  <si>
    <t>Martinez Gomez Kent Martin</t>
  </si>
  <si>
    <t>MMJ18</t>
  </si>
  <si>
    <t>Monzon Marroquin Juan Arcadio</t>
  </si>
  <si>
    <t>OMM01</t>
  </si>
  <si>
    <t>Oliveros Maldonado Miguel</t>
  </si>
  <si>
    <t>OSG21</t>
  </si>
  <si>
    <t>Ortega Sosa Guillermo</t>
  </si>
  <si>
    <t>0RL14</t>
  </si>
  <si>
    <t>Ramirez Latour Victor Manuel Martin</t>
  </si>
  <si>
    <t>0RMR2</t>
  </si>
  <si>
    <t>Ramirez Mondragon Ricardo Heriberto</t>
  </si>
  <si>
    <t>RMC15</t>
  </si>
  <si>
    <t>Rodriguez Medina Cesar</t>
  </si>
  <si>
    <t>TBN05</t>
  </si>
  <si>
    <t>Tapia Bolaños Nancy</t>
  </si>
  <si>
    <t>0TE10</t>
  </si>
  <si>
    <t>Tierrafria Escaramusa Israel</t>
  </si>
  <si>
    <t>0VV28</t>
  </si>
  <si>
    <t>Vazquez  Villalobos Ma Felisa</t>
  </si>
  <si>
    <t>VSE07</t>
  </si>
  <si>
    <t>Ventura Santamaria Efrain Enrique</t>
  </si>
  <si>
    <t>0ZM30</t>
  </si>
  <si>
    <t>Zarate Martinez Ricardo</t>
  </si>
  <si>
    <t>BECERRA JIMENEZ ALEJANDRO BONIFACIO</t>
  </si>
  <si>
    <t>GONZALEZ  DUARTE DAVID</t>
  </si>
  <si>
    <t>GUZMAN ESPILLER SERGIO LUIS ALBERTO</t>
  </si>
  <si>
    <t>RAMIREZ LATOUR VICTOR MANUEL MARTIN</t>
  </si>
  <si>
    <t>RAMIREZ MONDRAGON RICARDO HERIBERTO</t>
  </si>
  <si>
    <t>TIERRAFRIA ESCARAMUSA ISRAEL</t>
  </si>
  <si>
    <t>VAZQUEZ  VILLALOBOS MA FELISA</t>
  </si>
  <si>
    <t>CONTPAQ i</t>
  </si>
  <si>
    <t xml:space="preserve"> </t>
  </si>
  <si>
    <t xml:space="preserve">      NÓMINAS</t>
  </si>
  <si>
    <t>05 INGENIERIA FISCAL LABORAL SC</t>
  </si>
  <si>
    <t>Lista de Raya (forma tabular)</t>
  </si>
  <si>
    <t>Periodo 37 al 37 Semanal del 07/09/2016 al 13/09/2016</t>
  </si>
  <si>
    <t>Reg Pat IMSS: 00000000000,Z3422423106</t>
  </si>
  <si>
    <t xml:space="preserve">RFC: IFL -130502-TN8 </t>
  </si>
  <si>
    <t>Código</t>
  </si>
  <si>
    <t>Empleado</t>
  </si>
  <si>
    <t>Sueldo</t>
  </si>
  <si>
    <t>Séptimo día</t>
  </si>
  <si>
    <t>*TOTAL* *PERCEPCIONES*</t>
  </si>
  <si>
    <t>Subsidio al Empleo (sp)</t>
  </si>
  <si>
    <t>I.S.R. (sp)</t>
  </si>
  <si>
    <t>I.M.S.S.</t>
  </si>
  <si>
    <t>Préstamo Infonavit</t>
  </si>
  <si>
    <t>Ajuste al neto</t>
  </si>
  <si>
    <t>*TOTAL* *DEDUCCIONES*</t>
  </si>
  <si>
    <t>*NETO*</t>
  </si>
  <si>
    <t xml:space="preserve">    Reg. Pat. IMSS:  Z3422423106</t>
  </si>
  <si>
    <t xml:space="preserve">  =============</t>
  </si>
  <si>
    <t>Total Gral.</t>
  </si>
  <si>
    <t>FACTURA</t>
  </si>
  <si>
    <t>COMISIÓN / COMPENSACION</t>
  </si>
  <si>
    <t>descueno SGV</t>
  </si>
  <si>
    <t>2% NOMINA</t>
  </si>
  <si>
    <t>7.5 % COMISIÓN</t>
  </si>
  <si>
    <t>SUBTOTAL</t>
  </si>
  <si>
    <t>IVA</t>
  </si>
  <si>
    <t>TOTAL</t>
  </si>
  <si>
    <t>COMIONES</t>
  </si>
  <si>
    <t>05 SINDICATO ASOCIACIÓN -- CELAYA</t>
  </si>
  <si>
    <t>SGMM</t>
  </si>
  <si>
    <t>APOYO</t>
  </si>
  <si>
    <t>OTROS 1</t>
  </si>
  <si>
    <t>OTROS 2</t>
  </si>
  <si>
    <t>Departamento 1 1200X05</t>
  </si>
  <si>
    <t>NOMBRE</t>
  </si>
  <si>
    <t>NOMINA</t>
  </si>
  <si>
    <t>DISPERSIONES</t>
  </si>
  <si>
    <t>INGENIERIA</t>
  </si>
  <si>
    <t>ALECSA CELAYA, SRL DE CV</t>
  </si>
  <si>
    <t xml:space="preserve">PERIODO SEMANAL </t>
  </si>
  <si>
    <t>CUENTA</t>
  </si>
  <si>
    <t>IMPORTE</t>
  </si>
  <si>
    <t>700-070</t>
  </si>
  <si>
    <t>701-070</t>
  </si>
  <si>
    <t>702-070</t>
  </si>
  <si>
    <t>703-070</t>
  </si>
  <si>
    <t>704-070</t>
  </si>
  <si>
    <t>705-001-070</t>
  </si>
  <si>
    <t>683-001-001</t>
  </si>
  <si>
    <t>DESGLOSE DE NOMINA 37</t>
  </si>
  <si>
    <t>07/09/2016 al 13/09/2016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</si>
</sst>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_-;\-* #,##0.00_-;_-* &quot;-&quot;??_-;_-@_-"/>
    <numFmt numFmtId="164" formatCode="dd/mm/yy"/>
    <numFmt numFmtId="165" formatCode="&quot;$&quot;#,##0.00"/>
  </numFmts>
  <fonts count="31" x14ac:knownFonts="1">
    <font>
      <sz val="10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sz val="10"/>
      <name val="Verdana"/>
      <family val="2"/>
    </font>
    <font>
      <sz val="10"/>
      <name val="Arial"/>
      <family val="2"/>
      <charset val="1"/>
    </font>
    <font>
      <sz val="11"/>
      <name val="Arial"/>
      <family val="2"/>
    </font>
    <font>
      <b/>
      <sz val="11"/>
      <color indexed="60"/>
      <name val="Arial"/>
      <family val="2"/>
    </font>
    <font>
      <b/>
      <sz val="11"/>
      <name val="Arial"/>
      <family val="2"/>
    </font>
    <font>
      <b/>
      <sz val="11"/>
      <color indexed="48"/>
      <name val="Arial"/>
      <family val="2"/>
    </font>
    <font>
      <b/>
      <sz val="8"/>
      <color indexed="12"/>
      <name val="Arial"/>
      <family val="2"/>
    </font>
    <font>
      <b/>
      <sz val="8"/>
      <color indexed="52"/>
      <name val="Arial"/>
      <family val="2"/>
    </font>
    <font>
      <sz val="8"/>
      <color indexed="10"/>
      <name val="Arial"/>
      <family val="2"/>
    </font>
    <font>
      <b/>
      <sz val="8"/>
      <color indexed="10"/>
      <name val="Arial"/>
      <family val="2"/>
    </font>
    <font>
      <sz val="11"/>
      <color theme="1"/>
      <name val="Calibri"/>
      <family val="2"/>
      <scheme val="minor"/>
    </font>
    <font>
      <sz val="11"/>
      <color rgb="FFFF0000"/>
      <name val="Arial"/>
      <family val="2"/>
    </font>
    <font>
      <b/>
      <sz val="11"/>
      <color rgb="FF00B0F0"/>
      <name val="Arial"/>
      <family val="2"/>
    </font>
    <font>
      <sz val="11"/>
      <color rgb="FF000000"/>
      <name val="Arial"/>
      <family val="2"/>
    </font>
    <font>
      <sz val="11"/>
      <color theme="1"/>
      <name val="Arial"/>
      <family val="2"/>
    </font>
    <font>
      <sz val="8"/>
      <color theme="1"/>
      <name val="Arial"/>
      <family val="2"/>
    </font>
    <font>
      <sz val="8"/>
      <color rgb="FFFF9900"/>
      <name val="Arial"/>
      <family val="2"/>
    </font>
    <font>
      <b/>
      <sz val="10"/>
      <color rgb="FF0000FF"/>
      <name val="Calibri"/>
      <family val="2"/>
    </font>
    <font>
      <i/>
      <sz val="8"/>
      <color rgb="FFFF9900"/>
      <name val="Calibri"/>
      <family val="2"/>
    </font>
    <font>
      <b/>
      <sz val="8"/>
      <color theme="1"/>
      <name val="Arial"/>
      <family val="2"/>
    </font>
    <font>
      <b/>
      <sz val="14"/>
      <color theme="1"/>
      <name val="Arial"/>
      <family val="2"/>
    </font>
    <font>
      <sz val="12"/>
      <color theme="1"/>
      <name val="Arial"/>
      <family val="2"/>
    </font>
    <font>
      <sz val="10"/>
      <color theme="1"/>
      <name val="Arial"/>
      <family val="2"/>
    </font>
    <font>
      <b/>
      <sz val="11"/>
      <color theme="1"/>
      <name val="Arial"/>
      <family val="2"/>
    </font>
    <font>
      <b/>
      <sz val="7"/>
      <color theme="1"/>
      <name val="Arial"/>
      <family val="2"/>
    </font>
    <font>
      <b/>
      <sz val="11"/>
      <color theme="1"/>
      <name val="Calibri"/>
      <family val="2"/>
      <scheme val="minor"/>
    </font>
    <font>
      <b/>
      <sz val="11"/>
      <color rgb="FF0000FF"/>
      <name val="Calibri"/>
      <family val="2"/>
      <scheme val="minor"/>
    </font>
  </fonts>
  <fills count="1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CCFF"/>
        <bgColor indexed="64"/>
      </patternFill>
    </fill>
    <fill>
      <patternFill patternType="solid">
        <fgColor rgb="FFFFFF66"/>
        <bgColor indexed="64"/>
      </patternFill>
    </fill>
    <fill>
      <patternFill patternType="solid">
        <fgColor rgb="FF9999FF"/>
        <bgColor indexed="64"/>
      </patternFill>
    </fill>
    <fill>
      <patternFill patternType="solid">
        <fgColor rgb="FFFF990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E7EEF4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C000"/>
        <bgColor indexed="64"/>
      </patternFill>
    </fill>
  </fills>
  <borders count="22">
    <border>
      <left/>
      <right/>
      <top/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/>
      <right style="hair">
        <color indexed="8"/>
      </right>
      <top/>
      <bottom/>
      <diagonal/>
    </border>
    <border>
      <left style="hair">
        <color indexed="8"/>
      </left>
      <right style="hair">
        <color indexed="8"/>
      </right>
      <top/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/>
      <diagonal/>
    </border>
    <border>
      <left style="hair">
        <color indexed="8"/>
      </left>
      <right style="hair">
        <color indexed="8"/>
      </right>
      <top style="thin">
        <color indexed="64"/>
      </top>
      <bottom style="double">
        <color indexed="64"/>
      </bottom>
      <diagonal/>
    </border>
    <border>
      <left style="hair">
        <color indexed="8"/>
      </left>
      <right style="hair">
        <color indexed="8"/>
      </right>
      <top/>
      <bottom style="hair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8"/>
      </left>
      <right/>
      <top/>
      <bottom/>
      <diagonal/>
    </border>
    <border>
      <left style="hair">
        <color indexed="8"/>
      </left>
      <right/>
      <top style="hair">
        <color indexed="8"/>
      </top>
      <bottom style="hair">
        <color indexed="8"/>
      </bottom>
      <diagonal/>
    </border>
    <border>
      <left/>
      <right style="hair">
        <color indexed="8"/>
      </right>
      <top style="hair">
        <color indexed="8"/>
      </top>
      <bottom style="hair">
        <color indexed="8"/>
      </bottom>
      <diagonal/>
    </border>
    <border>
      <left/>
      <right/>
      <top/>
      <bottom style="hair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0000FD"/>
      </left>
      <right style="thin">
        <color rgb="FF0000FD"/>
      </right>
      <top style="thin">
        <color rgb="FF0000FD"/>
      </top>
      <bottom style="double">
        <color rgb="FF0000FD"/>
      </bottom>
      <diagonal/>
    </border>
    <border>
      <left style="thin">
        <color rgb="FF0000FD"/>
      </left>
      <right style="thin">
        <color rgb="FF0000FD"/>
      </right>
      <top/>
      <bottom style="double">
        <color rgb="FF0000FD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/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uble">
        <color indexed="64"/>
      </bottom>
      <diagonal/>
    </border>
  </borders>
  <cellStyleXfs count="6">
    <xf numFmtId="0" fontId="0" fillId="0" borderId="0"/>
    <xf numFmtId="0" fontId="5" fillId="0" borderId="0"/>
    <xf numFmtId="43" fontId="2" fillId="0" borderId="0" applyFill="0" applyBorder="0" applyAlignment="0" applyProtection="0"/>
    <xf numFmtId="0" fontId="14" fillId="0" borderId="0"/>
    <xf numFmtId="0" fontId="4" fillId="0" borderId="0"/>
    <xf numFmtId="43" fontId="3" fillId="0" borderId="0" applyFill="0" applyBorder="0" applyAlignment="0" applyProtection="0"/>
  </cellStyleXfs>
  <cellXfs count="199">
    <xf numFmtId="0" fontId="0" fillId="0" borderId="0" xfId="0"/>
    <xf numFmtId="43" fontId="2" fillId="0" borderId="0" xfId="2"/>
    <xf numFmtId="43" fontId="6" fillId="0" borderId="1" xfId="2" applyFont="1" applyBorder="1"/>
    <xf numFmtId="43" fontId="6" fillId="3" borderId="1" xfId="2" applyFont="1" applyFill="1" applyBorder="1"/>
    <xf numFmtId="43" fontId="6" fillId="0" borderId="0" xfId="2" applyFont="1"/>
    <xf numFmtId="0" fontId="7" fillId="0" borderId="0" xfId="4" applyFont="1" applyFill="1" applyAlignment="1" applyProtection="1">
      <alignment horizontal="left"/>
    </xf>
    <xf numFmtId="0" fontId="7" fillId="0" borderId="0" xfId="4" applyFont="1" applyFill="1" applyAlignment="1" applyProtection="1">
      <alignment horizontal="center"/>
    </xf>
    <xf numFmtId="43" fontId="6" fillId="0" borderId="0" xfId="2" applyFont="1" applyFill="1" applyAlignment="1" applyProtection="1">
      <alignment horizontal="center"/>
    </xf>
    <xf numFmtId="43" fontId="8" fillId="0" borderId="0" xfId="2" applyFont="1" applyFill="1" applyAlignment="1" applyProtection="1">
      <alignment horizontal="center"/>
    </xf>
    <xf numFmtId="0" fontId="6" fillId="0" borderId="0" xfId="0" applyFont="1" applyProtection="1"/>
    <xf numFmtId="0" fontId="6" fillId="0" borderId="0" xfId="0" applyFont="1" applyFill="1" applyProtection="1"/>
    <xf numFmtId="0" fontId="9" fillId="0" borderId="0" xfId="4" applyFont="1" applyFill="1" applyAlignment="1" applyProtection="1">
      <alignment horizontal="left"/>
    </xf>
    <xf numFmtId="0" fontId="9" fillId="0" borderId="0" xfId="4" applyFont="1" applyFill="1" applyAlignment="1" applyProtection="1">
      <alignment horizontal="center"/>
    </xf>
    <xf numFmtId="15" fontId="7" fillId="0" borderId="0" xfId="4" applyNumberFormat="1" applyFont="1" applyFill="1" applyAlignment="1" applyProtection="1">
      <alignment horizontal="left"/>
    </xf>
    <xf numFmtId="15" fontId="7" fillId="0" borderId="0" xfId="4" applyNumberFormat="1" applyFont="1" applyFill="1" applyAlignment="1" applyProtection="1">
      <alignment horizontal="center"/>
    </xf>
    <xf numFmtId="0" fontId="8" fillId="0" borderId="0" xfId="0" applyFont="1"/>
    <xf numFmtId="43" fontId="8" fillId="0" borderId="0" xfId="2" applyFont="1"/>
    <xf numFmtId="43" fontId="8" fillId="4" borderId="2" xfId="2" applyFont="1" applyFill="1" applyBorder="1" applyAlignment="1">
      <alignment horizontal="center" wrapText="1"/>
    </xf>
    <xf numFmtId="0" fontId="8" fillId="0" borderId="0" xfId="0" applyFont="1" applyFill="1"/>
    <xf numFmtId="43" fontId="8" fillId="4" borderId="3" xfId="2" applyFont="1" applyFill="1" applyBorder="1" applyAlignment="1">
      <alignment horizontal="center" vertical="center" wrapText="1"/>
    </xf>
    <xf numFmtId="0" fontId="6" fillId="0" borderId="1" xfId="0" applyFont="1" applyBorder="1"/>
    <xf numFmtId="43" fontId="15" fillId="3" borderId="1" xfId="2" applyFont="1" applyFill="1" applyBorder="1"/>
    <xf numFmtId="43" fontId="8" fillId="5" borderId="1" xfId="2" applyFont="1" applyFill="1" applyBorder="1"/>
    <xf numFmtId="43" fontId="6" fillId="6" borderId="1" xfId="2" applyFont="1" applyFill="1" applyBorder="1"/>
    <xf numFmtId="43" fontId="6" fillId="7" borderId="1" xfId="2" applyFont="1" applyFill="1" applyBorder="1" applyAlignment="1">
      <alignment horizontal="center"/>
    </xf>
    <xf numFmtId="43" fontId="6" fillId="0" borderId="1" xfId="2" applyFont="1" applyFill="1" applyBorder="1" applyAlignment="1">
      <alignment horizontal="center"/>
    </xf>
    <xf numFmtId="43" fontId="6" fillId="8" borderId="1" xfId="2" applyFont="1" applyFill="1" applyBorder="1" applyAlignment="1">
      <alignment horizontal="center"/>
    </xf>
    <xf numFmtId="0" fontId="6" fillId="0" borderId="0" xfId="0" applyFont="1" applyFill="1"/>
    <xf numFmtId="43" fontId="6" fillId="0" borderId="0" xfId="0" applyNumberFormat="1" applyFont="1" applyFill="1"/>
    <xf numFmtId="0" fontId="6" fillId="0" borderId="0" xfId="0" applyFont="1"/>
    <xf numFmtId="0" fontId="6" fillId="3" borderId="1" xfId="0" applyFont="1" applyFill="1" applyBorder="1"/>
    <xf numFmtId="0" fontId="6" fillId="9" borderId="0" xfId="0" applyFont="1" applyFill="1"/>
    <xf numFmtId="0" fontId="8" fillId="0" borderId="1" xfId="0" applyFont="1" applyFill="1" applyBorder="1"/>
    <xf numFmtId="0" fontId="6" fillId="0" borderId="4" xfId="0" applyFont="1" applyFill="1" applyBorder="1"/>
    <xf numFmtId="43" fontId="6" fillId="0" borderId="4" xfId="2" applyFont="1" applyFill="1" applyBorder="1"/>
    <xf numFmtId="43" fontId="8" fillId="0" borderId="1" xfId="2" applyFont="1" applyFill="1" applyBorder="1"/>
    <xf numFmtId="43" fontId="8" fillId="0" borderId="4" xfId="2" applyFont="1" applyFill="1" applyBorder="1"/>
    <xf numFmtId="0" fontId="8" fillId="0" borderId="5" xfId="0" applyFont="1" applyBorder="1"/>
    <xf numFmtId="43" fontId="8" fillId="0" borderId="5" xfId="2" applyFont="1" applyBorder="1"/>
    <xf numFmtId="0" fontId="16" fillId="0" borderId="0" xfId="0" applyFont="1"/>
    <xf numFmtId="43" fontId="8" fillId="0" borderId="0" xfId="2" applyFont="1" applyBorder="1"/>
    <xf numFmtId="43" fontId="8" fillId="5" borderId="0" xfId="2" applyFont="1" applyFill="1" applyBorder="1"/>
    <xf numFmtId="43" fontId="8" fillId="4" borderId="4" xfId="2" applyFont="1" applyFill="1" applyBorder="1" applyAlignment="1">
      <alignment horizontal="center" vertical="center" wrapText="1"/>
    </xf>
    <xf numFmtId="0" fontId="6" fillId="0" borderId="6" xfId="0" applyFont="1" applyBorder="1"/>
    <xf numFmtId="0" fontId="6" fillId="0" borderId="6" xfId="0" applyFont="1" applyBorder="1" applyAlignment="1">
      <alignment horizontal="right"/>
    </xf>
    <xf numFmtId="43" fontId="6" fillId="0" borderId="6" xfId="2" applyFont="1" applyBorder="1"/>
    <xf numFmtId="43" fontId="6" fillId="3" borderId="6" xfId="2" applyFont="1" applyFill="1" applyBorder="1"/>
    <xf numFmtId="43" fontId="15" fillId="3" borderId="6" xfId="2" applyFont="1" applyFill="1" applyBorder="1"/>
    <xf numFmtId="43" fontId="8" fillId="5" borderId="6" xfId="2" applyFont="1" applyFill="1" applyBorder="1"/>
    <xf numFmtId="43" fontId="6" fillId="6" borderId="6" xfId="2" applyFont="1" applyFill="1" applyBorder="1"/>
    <xf numFmtId="43" fontId="6" fillId="7" borderId="6" xfId="2" applyFont="1" applyFill="1" applyBorder="1" applyAlignment="1">
      <alignment horizontal="center"/>
    </xf>
    <xf numFmtId="43" fontId="6" fillId="0" borderId="6" xfId="2" applyFont="1" applyFill="1" applyBorder="1" applyAlignment="1">
      <alignment horizontal="center"/>
    </xf>
    <xf numFmtId="43" fontId="6" fillId="8" borderId="6" xfId="2" applyFont="1" applyFill="1" applyBorder="1" applyAlignment="1">
      <alignment horizontal="center"/>
    </xf>
    <xf numFmtId="0" fontId="6" fillId="0" borderId="7" xfId="0" applyFont="1" applyBorder="1"/>
    <xf numFmtId="0" fontId="6" fillId="0" borderId="7" xfId="0" applyFont="1" applyBorder="1" applyAlignment="1">
      <alignment horizontal="right"/>
    </xf>
    <xf numFmtId="43" fontId="6" fillId="0" borderId="7" xfId="2" applyFont="1" applyBorder="1"/>
    <xf numFmtId="43" fontId="6" fillId="3" borderId="7" xfId="2" applyFont="1" applyFill="1" applyBorder="1"/>
    <xf numFmtId="43" fontId="15" fillId="3" borderId="7" xfId="2" applyFont="1" applyFill="1" applyBorder="1"/>
    <xf numFmtId="43" fontId="8" fillId="5" borderId="7" xfId="2" applyFont="1" applyFill="1" applyBorder="1"/>
    <xf numFmtId="43" fontId="6" fillId="7" borderId="7" xfId="2" applyFont="1" applyFill="1" applyBorder="1" applyAlignment="1">
      <alignment horizontal="center"/>
    </xf>
    <xf numFmtId="43" fontId="6" fillId="0" borderId="7" xfId="2" applyFont="1" applyFill="1" applyBorder="1" applyAlignment="1">
      <alignment horizontal="center"/>
    </xf>
    <xf numFmtId="43" fontId="6" fillId="8" borderId="7" xfId="2" applyFont="1" applyFill="1" applyBorder="1" applyAlignment="1">
      <alignment horizontal="center"/>
    </xf>
    <xf numFmtId="0" fontId="6" fillId="0" borderId="7" xfId="0" applyFont="1" applyFill="1" applyBorder="1"/>
    <xf numFmtId="43" fontId="6" fillId="0" borderId="7" xfId="2" applyFont="1" applyFill="1" applyBorder="1"/>
    <xf numFmtId="0" fontId="6" fillId="0" borderId="7" xfId="0" applyFont="1" applyFill="1" applyBorder="1" applyAlignment="1">
      <alignment horizontal="left"/>
    </xf>
    <xf numFmtId="0" fontId="6" fillId="0" borderId="7" xfId="0" applyFont="1" applyFill="1" applyBorder="1" applyAlignment="1">
      <alignment horizontal="right"/>
    </xf>
    <xf numFmtId="12" fontId="6" fillId="3" borderId="7" xfId="2" applyNumberFormat="1" applyFont="1" applyFill="1" applyBorder="1"/>
    <xf numFmtId="43" fontId="6" fillId="5" borderId="7" xfId="2" applyFont="1" applyFill="1" applyBorder="1"/>
    <xf numFmtId="14" fontId="8" fillId="0" borderId="7" xfId="0" applyNumberFormat="1" applyFont="1" applyFill="1" applyBorder="1"/>
    <xf numFmtId="0" fontId="6" fillId="0" borderId="6" xfId="0" applyFont="1" applyFill="1" applyBorder="1"/>
    <xf numFmtId="0" fontId="6" fillId="0" borderId="6" xfId="0" applyFont="1" applyFill="1" applyBorder="1" applyAlignment="1">
      <alignment horizontal="right"/>
    </xf>
    <xf numFmtId="0" fontId="8" fillId="0" borderId="7" xfId="0" applyFont="1" applyFill="1" applyBorder="1"/>
    <xf numFmtId="4" fontId="6" fillId="0" borderId="7" xfId="0" applyNumberFormat="1" applyFont="1" applyBorder="1" applyAlignment="1">
      <alignment wrapText="1"/>
    </xf>
    <xf numFmtId="4" fontId="17" fillId="10" borderId="7" xfId="0" applyNumberFormat="1" applyFont="1" applyFill="1" applyBorder="1" applyAlignment="1">
      <alignment horizontal="right" wrapText="1"/>
    </xf>
    <xf numFmtId="3" fontId="8" fillId="4" borderId="1" xfId="0" applyNumberFormat="1" applyFont="1" applyFill="1" applyBorder="1"/>
    <xf numFmtId="3" fontId="8" fillId="4" borderId="4" xfId="0" applyNumberFormat="1" applyFont="1" applyFill="1" applyBorder="1"/>
    <xf numFmtId="164" fontId="18" fillId="0" borderId="7" xfId="0" applyNumberFormat="1" applyFont="1" applyFill="1" applyBorder="1" applyAlignment="1">
      <alignment horizontal="left" vertical="center"/>
    </xf>
    <xf numFmtId="43" fontId="6" fillId="0" borderId="7" xfId="0" applyNumberFormat="1" applyFont="1" applyFill="1" applyBorder="1"/>
    <xf numFmtId="0" fontId="6" fillId="0" borderId="7" xfId="0" applyFont="1" applyBorder="1" applyAlignment="1">
      <alignment wrapText="1"/>
    </xf>
    <xf numFmtId="0" fontId="6" fillId="11" borderId="7" xfId="0" applyFont="1" applyFill="1" applyBorder="1" applyAlignment="1">
      <alignment wrapText="1"/>
    </xf>
    <xf numFmtId="4" fontId="6" fillId="11" borderId="7" xfId="0" applyNumberFormat="1" applyFont="1" applyFill="1" applyBorder="1" applyAlignment="1">
      <alignment wrapText="1"/>
    </xf>
    <xf numFmtId="43" fontId="6" fillId="11" borderId="7" xfId="0" applyNumberFormat="1" applyFont="1" applyFill="1" applyBorder="1"/>
    <xf numFmtId="0" fontId="6" fillId="11" borderId="0" xfId="0" applyFont="1" applyFill="1"/>
    <xf numFmtId="43" fontId="8" fillId="4" borderId="1" xfId="2" applyFont="1" applyFill="1" applyBorder="1" applyAlignment="1">
      <alignment horizontal="center" wrapText="1"/>
    </xf>
    <xf numFmtId="43" fontId="8" fillId="4" borderId="4" xfId="2" applyFont="1" applyFill="1" applyBorder="1" applyAlignment="1">
      <alignment horizontal="center" wrapText="1"/>
    </xf>
    <xf numFmtId="0" fontId="8" fillId="0" borderId="7" xfId="2" applyNumberFormat="1" applyFont="1" applyFill="1" applyBorder="1" applyAlignment="1">
      <alignment horizontal="center"/>
    </xf>
    <xf numFmtId="43" fontId="8" fillId="4" borderId="1" xfId="2" applyFont="1" applyFill="1" applyBorder="1" applyAlignment="1">
      <alignment horizontal="center" wrapText="1"/>
    </xf>
    <xf numFmtId="43" fontId="8" fillId="4" borderId="4" xfId="2" applyFont="1" applyFill="1" applyBorder="1" applyAlignment="1">
      <alignment horizontal="center" wrapText="1"/>
    </xf>
    <xf numFmtId="3" fontId="8" fillId="4" borderId="1" xfId="0" applyNumberFormat="1" applyFont="1" applyFill="1" applyBorder="1"/>
    <xf numFmtId="3" fontId="8" fillId="4" borderId="4" xfId="0" applyNumberFormat="1" applyFont="1" applyFill="1" applyBorder="1"/>
    <xf numFmtId="0" fontId="19" fillId="0" borderId="0" xfId="3" applyFont="1"/>
    <xf numFmtId="49" fontId="19" fillId="0" borderId="0" xfId="3" applyNumberFormat="1" applyFont="1"/>
    <xf numFmtId="43" fontId="6" fillId="13" borderId="0" xfId="2" applyFont="1" applyFill="1" applyAlignment="1" applyProtection="1">
      <alignment horizontal="center"/>
    </xf>
    <xf numFmtId="43" fontId="6" fillId="13" borderId="0" xfId="2" applyFont="1" applyFill="1"/>
    <xf numFmtId="43" fontId="8" fillId="13" borderId="1" xfId="2" applyFont="1" applyFill="1" applyBorder="1" applyAlignment="1">
      <alignment horizontal="center" wrapText="1"/>
    </xf>
    <xf numFmtId="43" fontId="8" fillId="13" borderId="4" xfId="2" applyFont="1" applyFill="1" applyBorder="1" applyAlignment="1">
      <alignment horizontal="center" wrapText="1"/>
    </xf>
    <xf numFmtId="43" fontId="3" fillId="13" borderId="0" xfId="2" applyFont="1" applyFill="1"/>
    <xf numFmtId="43" fontId="2" fillId="13" borderId="7" xfId="2" applyFill="1" applyBorder="1"/>
    <xf numFmtId="43" fontId="3" fillId="13" borderId="7" xfId="2" applyFont="1" applyFill="1" applyBorder="1" applyAlignment="1">
      <alignment vertical="center"/>
    </xf>
    <xf numFmtId="43" fontId="3" fillId="13" borderId="7" xfId="2" applyFont="1" applyFill="1" applyBorder="1"/>
    <xf numFmtId="43" fontId="2" fillId="13" borderId="0" xfId="2" applyFill="1"/>
    <xf numFmtId="43" fontId="3" fillId="13" borderId="7" xfId="2" applyFont="1" applyFill="1" applyBorder="1"/>
    <xf numFmtId="43" fontId="6" fillId="13" borderId="6" xfId="2" applyFont="1" applyFill="1" applyBorder="1"/>
    <xf numFmtId="43" fontId="6" fillId="13" borderId="1" xfId="2" applyFont="1" applyFill="1" applyBorder="1"/>
    <xf numFmtId="43" fontId="6" fillId="13" borderId="4" xfId="2" applyFont="1" applyFill="1" applyBorder="1"/>
    <xf numFmtId="43" fontId="8" fillId="13" borderId="5" xfId="2" applyFont="1" applyFill="1" applyBorder="1"/>
    <xf numFmtId="43" fontId="6" fillId="13" borderId="7" xfId="2" applyFont="1" applyFill="1" applyBorder="1"/>
    <xf numFmtId="43" fontId="6" fillId="13" borderId="1" xfId="2" applyFont="1" applyFill="1" applyBorder="1" applyAlignment="1">
      <alignment horizontal="center"/>
    </xf>
    <xf numFmtId="43" fontId="15" fillId="13" borderId="7" xfId="2" applyFont="1" applyFill="1" applyBorder="1"/>
    <xf numFmtId="0" fontId="14" fillId="0" borderId="0" xfId="3"/>
    <xf numFmtId="0" fontId="19" fillId="0" borderId="0" xfId="3" applyFont="1"/>
    <xf numFmtId="49" fontId="19" fillId="0" borderId="0" xfId="3" applyNumberFormat="1" applyFont="1"/>
    <xf numFmtId="49" fontId="21" fillId="0" borderId="0" xfId="3" applyNumberFormat="1" applyFont="1" applyAlignment="1">
      <alignment horizontal="centerContinuous"/>
    </xf>
    <xf numFmtId="49" fontId="22" fillId="0" borderId="0" xfId="3" applyNumberFormat="1" applyFont="1" applyAlignment="1">
      <alignment horizontal="centerContinuous" vertical="top"/>
    </xf>
    <xf numFmtId="0" fontId="20" fillId="0" borderId="0" xfId="3" applyFont="1" applyAlignment="1">
      <alignment horizontal="center"/>
    </xf>
    <xf numFmtId="0" fontId="19" fillId="0" borderId="0" xfId="3" applyFont="1" applyAlignment="1">
      <alignment horizontal="left"/>
    </xf>
    <xf numFmtId="0" fontId="19" fillId="0" borderId="0" xfId="3" applyFont="1" applyAlignment="1">
      <alignment horizontal="right"/>
    </xf>
    <xf numFmtId="49" fontId="23" fillId="2" borderId="16" xfId="3" applyNumberFormat="1" applyFont="1" applyFill="1" applyBorder="1" applyAlignment="1">
      <alignment horizontal="center" wrapText="1"/>
    </xf>
    <xf numFmtId="0" fontId="23" fillId="2" borderId="16" xfId="3" applyFont="1" applyFill="1" applyBorder="1" applyAlignment="1">
      <alignment horizontal="center" wrapText="1"/>
    </xf>
    <xf numFmtId="0" fontId="10" fillId="2" borderId="16" xfId="3" applyFont="1" applyFill="1" applyBorder="1" applyAlignment="1">
      <alignment horizontal="center" wrapText="1"/>
    </xf>
    <xf numFmtId="0" fontId="11" fillId="2" borderId="16" xfId="3" applyFont="1" applyFill="1" applyBorder="1" applyAlignment="1">
      <alignment horizontal="center" wrapText="1"/>
    </xf>
    <xf numFmtId="49" fontId="11" fillId="0" borderId="0" xfId="3" applyNumberFormat="1" applyFont="1"/>
    <xf numFmtId="165" fontId="19" fillId="0" borderId="0" xfId="3" applyNumberFormat="1" applyFont="1"/>
    <xf numFmtId="165" fontId="12" fillId="0" borderId="0" xfId="3" applyNumberFormat="1" applyFont="1"/>
    <xf numFmtId="49" fontId="19" fillId="0" borderId="0" xfId="3" applyNumberFormat="1" applyFont="1" applyAlignment="1">
      <alignment horizontal="right"/>
    </xf>
    <xf numFmtId="0" fontId="23" fillId="0" borderId="0" xfId="3" applyFont="1"/>
    <xf numFmtId="165" fontId="23" fillId="0" borderId="0" xfId="3" applyNumberFormat="1" applyFont="1"/>
    <xf numFmtId="49" fontId="23" fillId="0" borderId="0" xfId="3" applyNumberFormat="1" applyFont="1" applyAlignment="1">
      <alignment horizontal="left"/>
    </xf>
    <xf numFmtId="165" fontId="13" fillId="0" borderId="0" xfId="3" applyNumberFormat="1" applyFont="1"/>
    <xf numFmtId="0" fontId="24" fillId="0" borderId="0" xfId="3" applyFont="1" applyAlignment="1">
      <alignment horizontal="left" vertical="center"/>
    </xf>
    <xf numFmtId="0" fontId="25" fillId="0" borderId="0" xfId="3" applyFont="1" applyAlignment="1">
      <alignment horizontal="left"/>
    </xf>
    <xf numFmtId="0" fontId="26" fillId="0" borderId="0" xfId="3" applyFont="1" applyAlignment="1">
      <alignment horizontal="left"/>
    </xf>
    <xf numFmtId="0" fontId="0" fillId="0" borderId="0" xfId="0" applyAlignment="1"/>
    <xf numFmtId="0" fontId="19" fillId="0" borderId="0" xfId="0" applyFont="1"/>
    <xf numFmtId="0" fontId="0" fillId="0" borderId="0" xfId="0" applyAlignment="1">
      <alignment vertical="center"/>
    </xf>
    <xf numFmtId="0" fontId="19" fillId="0" borderId="0" xfId="0" applyFont="1" applyAlignment="1">
      <alignment vertical="center"/>
    </xf>
    <xf numFmtId="0" fontId="28" fillId="2" borderId="16" xfId="0" applyFont="1" applyFill="1" applyBorder="1" applyAlignment="1">
      <alignment horizontal="center" vertical="center" wrapText="1"/>
    </xf>
    <xf numFmtId="0" fontId="10" fillId="2" borderId="17" xfId="0" applyFont="1" applyFill="1" applyBorder="1" applyAlignment="1">
      <alignment horizontal="center" vertical="center" wrapText="1"/>
    </xf>
    <xf numFmtId="0" fontId="19" fillId="0" borderId="0" xfId="0" applyFont="1" applyAlignment="1">
      <alignment horizontal="center" vertical="center"/>
    </xf>
    <xf numFmtId="165" fontId="19" fillId="0" borderId="0" xfId="0" applyNumberFormat="1" applyFont="1"/>
    <xf numFmtId="165" fontId="23" fillId="0" borderId="0" xfId="0" applyNumberFormat="1" applyFont="1"/>
    <xf numFmtId="0" fontId="19" fillId="0" borderId="0" xfId="0" applyFont="1" applyAlignment="1">
      <alignment horizontal="right"/>
    </xf>
    <xf numFmtId="165" fontId="23" fillId="0" borderId="15" xfId="0" applyNumberFormat="1" applyFont="1" applyBorder="1"/>
    <xf numFmtId="0" fontId="23" fillId="0" borderId="0" xfId="0" applyFont="1"/>
    <xf numFmtId="43" fontId="19" fillId="0" borderId="0" xfId="2" applyFont="1"/>
    <xf numFmtId="49" fontId="21" fillId="0" borderId="0" xfId="0" applyNumberFormat="1" applyFont="1" applyAlignment="1">
      <alignment horizontal="centerContinuous"/>
    </xf>
    <xf numFmtId="49" fontId="22" fillId="0" borderId="0" xfId="0" applyNumberFormat="1" applyFont="1" applyAlignment="1">
      <alignment horizontal="centerContinuous" vertical="top"/>
    </xf>
    <xf numFmtId="0" fontId="24" fillId="0" borderId="0" xfId="0" applyFont="1" applyAlignment="1">
      <alignment vertical="center"/>
    </xf>
    <xf numFmtId="49" fontId="19" fillId="0" borderId="0" xfId="0" applyNumberFormat="1" applyFont="1"/>
    <xf numFmtId="0" fontId="19" fillId="0" borderId="0" xfId="0" applyFont="1" applyAlignment="1">
      <alignment horizontal="left"/>
    </xf>
    <xf numFmtId="49" fontId="23" fillId="2" borderId="16" xfId="0" applyNumberFormat="1" applyFont="1" applyFill="1" applyBorder="1" applyAlignment="1">
      <alignment horizontal="center" vertical="center" wrapText="1"/>
    </xf>
    <xf numFmtId="0" fontId="23" fillId="2" borderId="16" xfId="0" applyFont="1" applyFill="1" applyBorder="1" applyAlignment="1">
      <alignment horizontal="center" vertical="center" wrapText="1"/>
    </xf>
    <xf numFmtId="0" fontId="10" fillId="2" borderId="16" xfId="0" applyFont="1" applyFill="1" applyBorder="1" applyAlignment="1">
      <alignment horizontal="center" vertical="center" wrapText="1"/>
    </xf>
    <xf numFmtId="0" fontId="11" fillId="2" borderId="16" xfId="0" applyFont="1" applyFill="1" applyBorder="1" applyAlignment="1">
      <alignment horizontal="center" vertical="center" wrapText="1"/>
    </xf>
    <xf numFmtId="49" fontId="11" fillId="0" borderId="0" xfId="0" applyNumberFormat="1" applyFont="1"/>
    <xf numFmtId="49" fontId="23" fillId="0" borderId="0" xfId="0" applyNumberFormat="1" applyFont="1"/>
    <xf numFmtId="49" fontId="19" fillId="0" borderId="0" xfId="0" applyNumberFormat="1" applyFont="1" applyAlignment="1">
      <alignment horizontal="right"/>
    </xf>
    <xf numFmtId="49" fontId="23" fillId="0" borderId="0" xfId="0" applyNumberFormat="1" applyFont="1" applyAlignment="1">
      <alignment horizontal="left"/>
    </xf>
    <xf numFmtId="165" fontId="0" fillId="0" borderId="0" xfId="0" applyNumberFormat="1"/>
    <xf numFmtId="0" fontId="0" fillId="12" borderId="7" xfId="0" applyFill="1" applyBorder="1" applyAlignment="1">
      <alignment horizontal="center"/>
    </xf>
    <xf numFmtId="0" fontId="0" fillId="0" borderId="7" xfId="0" applyBorder="1"/>
    <xf numFmtId="2" fontId="0" fillId="0" borderId="7" xfId="0" applyNumberFormat="1" applyBorder="1"/>
    <xf numFmtId="0" fontId="30" fillId="0" borderId="18" xfId="0" applyFont="1" applyBorder="1"/>
    <xf numFmtId="0" fontId="29" fillId="0" borderId="18" xfId="0" applyFont="1" applyBorder="1"/>
    <xf numFmtId="0" fontId="0" fillId="0" borderId="18" xfId="0" applyFont="1" applyBorder="1"/>
    <xf numFmtId="0" fontId="0" fillId="0" borderId="18" xfId="0" applyBorder="1"/>
    <xf numFmtId="14" fontId="30" fillId="0" borderId="18" xfId="0" applyNumberFormat="1" applyFont="1" applyBorder="1"/>
    <xf numFmtId="43" fontId="1" fillId="0" borderId="18" xfId="5" applyFont="1" applyBorder="1"/>
    <xf numFmtId="43" fontId="1" fillId="0" borderId="19" xfId="5" applyFont="1" applyBorder="1"/>
    <xf numFmtId="43" fontId="1" fillId="0" borderId="20" xfId="5" applyFont="1" applyBorder="1"/>
    <xf numFmtId="43" fontId="1" fillId="0" borderId="21" xfId="5" applyFont="1" applyBorder="1"/>
    <xf numFmtId="43" fontId="29" fillId="0" borderId="20" xfId="5" applyFont="1" applyBorder="1"/>
    <xf numFmtId="0" fontId="8" fillId="12" borderId="11" xfId="0" applyFont="1" applyFill="1" applyBorder="1" applyAlignment="1">
      <alignment horizontal="center"/>
    </xf>
    <xf numFmtId="43" fontId="8" fillId="13" borderId="1" xfId="2" applyFont="1" applyFill="1" applyBorder="1" applyAlignment="1">
      <alignment horizontal="center" wrapText="1"/>
    </xf>
    <xf numFmtId="43" fontId="8" fillId="13" borderId="4" xfId="2" applyFont="1" applyFill="1" applyBorder="1" applyAlignment="1">
      <alignment horizontal="center" wrapText="1"/>
    </xf>
    <xf numFmtId="43" fontId="8" fillId="4" borderId="1" xfId="2" applyFont="1" applyFill="1" applyBorder="1" applyAlignment="1">
      <alignment horizontal="center" wrapText="1"/>
    </xf>
    <xf numFmtId="43" fontId="8" fillId="4" borderId="4" xfId="2" applyFont="1" applyFill="1" applyBorder="1" applyAlignment="1">
      <alignment horizontal="center" wrapText="1"/>
    </xf>
    <xf numFmtId="3" fontId="8" fillId="4" borderId="1" xfId="0" applyNumberFormat="1" applyFont="1" applyFill="1" applyBorder="1"/>
    <xf numFmtId="3" fontId="8" fillId="4" borderId="4" xfId="0" applyNumberFormat="1" applyFont="1" applyFill="1" applyBorder="1"/>
    <xf numFmtId="0" fontId="8" fillId="12" borderId="8" xfId="0" applyFont="1" applyFill="1" applyBorder="1" applyAlignment="1">
      <alignment horizontal="center"/>
    </xf>
    <xf numFmtId="43" fontId="8" fillId="4" borderId="9" xfId="2" applyFont="1" applyFill="1" applyBorder="1" applyAlignment="1">
      <alignment horizontal="center" wrapText="1"/>
    </xf>
    <xf numFmtId="43" fontId="8" fillId="4" borderId="10" xfId="2" applyFont="1" applyFill="1" applyBorder="1" applyAlignment="1">
      <alignment horizontal="center" wrapText="1"/>
    </xf>
    <xf numFmtId="0" fontId="8" fillId="12" borderId="3" xfId="0" applyFont="1" applyFill="1" applyBorder="1" applyAlignment="1">
      <alignment horizontal="center"/>
    </xf>
    <xf numFmtId="0" fontId="27" fillId="0" borderId="12" xfId="0" applyFont="1" applyBorder="1" applyAlignment="1">
      <alignment horizontal="center" vertical="center"/>
    </xf>
    <xf numFmtId="0" fontId="27" fillId="0" borderId="13" xfId="0" applyFont="1" applyBorder="1" applyAlignment="1">
      <alignment horizontal="center" vertical="center"/>
    </xf>
    <xf numFmtId="0" fontId="27" fillId="0" borderId="14" xfId="0" applyFont="1" applyBorder="1" applyAlignment="1">
      <alignment horizontal="center" vertical="center"/>
    </xf>
    <xf numFmtId="0" fontId="20" fillId="0" borderId="0" xfId="3" applyFont="1" applyAlignment="1">
      <alignment horizontal="center"/>
    </xf>
    <xf numFmtId="0" fontId="14" fillId="0" borderId="0" xfId="3" applyAlignment="1"/>
    <xf numFmtId="0" fontId="24" fillId="0" borderId="0" xfId="3" applyFont="1" applyAlignment="1">
      <alignment horizontal="center" vertical="center"/>
    </xf>
    <xf numFmtId="0" fontId="14" fillId="0" borderId="0" xfId="3" applyAlignment="1">
      <alignment horizontal="center" vertical="center"/>
    </xf>
    <xf numFmtId="0" fontId="25" fillId="0" borderId="0" xfId="3" applyFont="1" applyAlignment="1">
      <alignment horizontal="center"/>
    </xf>
    <xf numFmtId="0" fontId="26" fillId="0" borderId="0" xfId="3" applyFont="1" applyAlignment="1">
      <alignment horizontal="center"/>
    </xf>
    <xf numFmtId="0" fontId="20" fillId="0" borderId="0" xfId="0" applyFont="1" applyAlignment="1">
      <alignment horizontal="center"/>
    </xf>
    <xf numFmtId="0" fontId="0" fillId="0" borderId="0" xfId="0" applyAlignment="1"/>
    <xf numFmtId="0" fontId="25" fillId="0" borderId="0" xfId="0" applyFont="1" applyAlignment="1">
      <alignment horizontal="center"/>
    </xf>
    <xf numFmtId="0" fontId="26" fillId="0" borderId="0" xfId="0" applyFont="1" applyAlignment="1">
      <alignment horizontal="center"/>
    </xf>
    <xf numFmtId="0" fontId="0" fillId="12" borderId="7" xfId="0" applyFill="1" applyBorder="1" applyAlignment="1">
      <alignment horizontal="center" vertical="center" wrapText="1"/>
    </xf>
    <xf numFmtId="0" fontId="0" fillId="12" borderId="7" xfId="0" applyFill="1" applyBorder="1" applyAlignment="1">
      <alignment horizontal="center"/>
    </xf>
    <xf numFmtId="0" fontId="0" fillId="12" borderId="7" xfId="0" applyFill="1" applyBorder="1" applyAlignment="1">
      <alignment horizontal="center" vertical="center"/>
    </xf>
  </cellXfs>
  <cellStyles count="6">
    <cellStyle name="Excel Built-in Normal" xfId="1"/>
    <cellStyle name="Millares" xfId="2" builtinId="3"/>
    <cellStyle name="Millares 2 3" xfId="5"/>
    <cellStyle name="Normal" xfId="0" builtinId="0"/>
    <cellStyle name="Normal 2" xfId="3"/>
    <cellStyle name="Normal_Hoja1" xfId="4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E6E6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123.199\respaldos%20c&amp;a\Respaldos_Claudia\enero12\RESPALDO_CLAUDIA\C&amp;A\N%20INGENIERIA%20FISCAL%20LABORAL%20SC%20Y%20SINDICATO%20ASOCIACI&#211;N\SEMANAL\LEAL\SEM%2036_37\LUDY\N%20SEM%2036_37%20CELAY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ACTURA"/>
      <sheetName val="INGENIERIA"/>
      <sheetName val="SIND"/>
      <sheetName val="FORMATO NOMINA"/>
      <sheetName val="Hoja4"/>
    </sheetNames>
    <sheetDataSet>
      <sheetData sheetId="0"/>
      <sheetData sheetId="1"/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P99"/>
  <sheetViews>
    <sheetView zoomScale="90" zoomScaleNormal="90" workbookViewId="0">
      <pane xSplit="2" ySplit="6" topLeftCell="AB7" activePane="bottomRight" state="frozen"/>
      <selection pane="topRight" activeCell="C1" sqref="C1"/>
      <selection pane="bottomLeft" activeCell="A7" sqref="A7"/>
      <selection pane="bottomRight" sqref="A1:AL65536"/>
    </sheetView>
  </sheetViews>
  <sheetFormatPr baseColWidth="10" defaultColWidth="11.5703125" defaultRowHeight="15" x14ac:dyDescent="0.25"/>
  <cols>
    <col min="1" max="1" width="28.7109375" style="29" customWidth="1"/>
    <col min="2" max="2" width="43.85546875" style="29" customWidth="1"/>
    <col min="3" max="3" width="8.85546875" style="29" customWidth="1"/>
    <col min="4" max="4" width="21.140625" style="29" bestFit="1" customWidth="1"/>
    <col min="5" max="5" width="28.5703125" style="29" bestFit="1" customWidth="1"/>
    <col min="6" max="6" width="18.42578125" style="93" customWidth="1"/>
    <col min="7" max="7" width="18.42578125" style="4" hidden="1" customWidth="1"/>
    <col min="8" max="9" width="13.5703125" style="4" hidden="1" customWidth="1"/>
    <col min="10" max="10" width="17" style="16" customWidth="1"/>
    <col min="11" max="15" width="13.5703125" style="4" hidden="1" customWidth="1"/>
    <col min="16" max="16" width="13.5703125" style="93" customWidth="1"/>
    <col min="17" max="17" width="16.7109375" style="16" hidden="1" customWidth="1"/>
    <col min="18" max="18" width="16.7109375" style="4" hidden="1" customWidth="1"/>
    <col min="19" max="19" width="15.42578125" style="16" hidden="1" customWidth="1"/>
    <col min="20" max="21" width="13.5703125" style="4" hidden="1" customWidth="1"/>
    <col min="22" max="22" width="15.42578125" style="16" hidden="1" customWidth="1"/>
    <col min="23" max="23" width="23.140625" style="29" hidden="1" customWidth="1"/>
    <col min="24" max="24" width="17.85546875" style="29" hidden="1" customWidth="1"/>
    <col min="25" max="25" width="22.5703125" style="29" hidden="1" customWidth="1"/>
    <col min="26" max="26" width="21.28515625" style="29" hidden="1" customWidth="1"/>
    <col min="27" max="27" width="28.42578125" style="29" customWidth="1"/>
    <col min="28" max="29" width="11.5703125" style="29"/>
    <col min="30" max="30" width="29" style="29" bestFit="1" customWidth="1"/>
    <col min="31" max="16384" width="11.5703125" style="29"/>
  </cols>
  <sheetData>
    <row r="1" spans="1:42" s="9" customFormat="1" x14ac:dyDescent="0.25">
      <c r="A1" s="5" t="s">
        <v>4</v>
      </c>
      <c r="B1" s="5"/>
      <c r="C1" s="5"/>
      <c r="D1" s="5"/>
      <c r="E1" s="6"/>
      <c r="F1" s="92"/>
      <c r="G1" s="7"/>
      <c r="H1" s="7"/>
      <c r="I1" s="7"/>
      <c r="J1" s="8"/>
      <c r="K1" s="7"/>
      <c r="L1" s="7"/>
      <c r="M1" s="7"/>
      <c r="N1" s="7"/>
      <c r="O1" s="7"/>
      <c r="P1" s="92"/>
      <c r="Q1" s="8"/>
      <c r="R1" s="7"/>
      <c r="S1" s="8"/>
      <c r="T1" s="7"/>
      <c r="U1" s="7"/>
      <c r="V1" s="8"/>
      <c r="Z1" s="10"/>
    </row>
    <row r="2" spans="1:42" s="9" customFormat="1" x14ac:dyDescent="0.25">
      <c r="A2" s="11" t="s">
        <v>31</v>
      </c>
      <c r="B2" s="11"/>
      <c r="C2" s="11"/>
      <c r="D2" s="11"/>
      <c r="E2" s="12"/>
      <c r="F2" s="92"/>
      <c r="G2" s="7"/>
      <c r="H2" s="7"/>
      <c r="I2" s="7"/>
      <c r="J2" s="8"/>
      <c r="K2" s="7" t="s">
        <v>29</v>
      </c>
      <c r="L2" s="7"/>
      <c r="M2" s="7"/>
      <c r="N2" s="7"/>
      <c r="O2" s="7"/>
      <c r="P2" s="92"/>
      <c r="Q2" s="8"/>
      <c r="R2" s="7"/>
      <c r="S2" s="8"/>
      <c r="T2" s="7"/>
      <c r="U2" s="7"/>
      <c r="V2" s="8"/>
      <c r="Z2" s="10"/>
    </row>
    <row r="3" spans="1:42" s="9" customFormat="1" x14ac:dyDescent="0.25">
      <c r="A3" s="13" t="s">
        <v>112</v>
      </c>
      <c r="B3" s="13"/>
      <c r="C3" s="13"/>
      <c r="D3" s="13"/>
      <c r="E3" s="14"/>
      <c r="F3" s="92"/>
      <c r="G3" s="7"/>
      <c r="H3" s="7"/>
      <c r="I3" s="7"/>
      <c r="J3" s="8"/>
      <c r="K3" s="7"/>
      <c r="L3" s="7"/>
      <c r="M3" s="7"/>
      <c r="N3" s="7"/>
      <c r="O3" s="7"/>
      <c r="P3" s="92"/>
      <c r="Q3" s="8"/>
      <c r="R3" s="7"/>
      <c r="S3" s="8"/>
      <c r="T3" s="7"/>
      <c r="U3" s="7"/>
      <c r="V3" s="8"/>
      <c r="Z3" s="10"/>
    </row>
    <row r="4" spans="1:42" s="15" customFormat="1" x14ac:dyDescent="0.25">
      <c r="A4" s="15" t="s">
        <v>113</v>
      </c>
      <c r="F4" s="93"/>
      <c r="G4" s="4"/>
      <c r="H4" s="4"/>
      <c r="I4" s="4"/>
      <c r="J4" s="16"/>
      <c r="K4" s="4"/>
      <c r="L4" s="4"/>
      <c r="M4" s="4"/>
      <c r="N4" s="4"/>
      <c r="O4" s="4"/>
      <c r="P4" s="93"/>
      <c r="Q4" s="16"/>
      <c r="R4" s="4"/>
      <c r="S4" s="16"/>
      <c r="T4" s="4"/>
      <c r="U4" s="4"/>
      <c r="V4" s="16"/>
    </row>
    <row r="5" spans="1:42" s="15" customFormat="1" ht="15" customHeight="1" x14ac:dyDescent="0.25">
      <c r="A5" s="177" t="s">
        <v>17</v>
      </c>
      <c r="B5" s="177" t="s">
        <v>18</v>
      </c>
      <c r="C5" s="177" t="s">
        <v>19</v>
      </c>
      <c r="D5" s="74"/>
      <c r="E5" s="177" t="s">
        <v>0</v>
      </c>
      <c r="F5" s="94"/>
      <c r="G5" s="175" t="s">
        <v>13</v>
      </c>
      <c r="H5" s="175" t="s">
        <v>14</v>
      </c>
      <c r="I5" s="175" t="s">
        <v>94</v>
      </c>
      <c r="J5" s="175" t="s">
        <v>15</v>
      </c>
      <c r="K5" s="175" t="s">
        <v>16</v>
      </c>
      <c r="L5" s="83"/>
      <c r="M5" s="175" t="s">
        <v>9</v>
      </c>
      <c r="N5" s="175" t="s">
        <v>21</v>
      </c>
      <c r="O5" s="175" t="s">
        <v>20</v>
      </c>
      <c r="P5" s="173" t="s">
        <v>11</v>
      </c>
      <c r="Q5" s="175" t="s">
        <v>28</v>
      </c>
      <c r="R5" s="175" t="s">
        <v>6</v>
      </c>
      <c r="S5" s="175" t="s">
        <v>10</v>
      </c>
      <c r="T5" s="175" t="s">
        <v>5</v>
      </c>
      <c r="U5" s="175" t="s">
        <v>7</v>
      </c>
      <c r="V5" s="175" t="s">
        <v>8</v>
      </c>
      <c r="W5" s="180" t="s">
        <v>102</v>
      </c>
      <c r="X5" s="181"/>
      <c r="Y5" s="17"/>
      <c r="Z5" s="182" t="s">
        <v>42</v>
      </c>
      <c r="AA5" s="179" t="s">
        <v>70</v>
      </c>
      <c r="AB5" s="18"/>
      <c r="AC5" s="18"/>
      <c r="AD5" s="18"/>
      <c r="AE5" s="18"/>
      <c r="AF5" s="18"/>
      <c r="AG5" s="18"/>
      <c r="AH5" s="18"/>
      <c r="AI5" s="18"/>
      <c r="AJ5" s="18"/>
      <c r="AK5" s="18"/>
      <c r="AL5" s="18"/>
      <c r="AM5" s="18"/>
      <c r="AN5" s="18"/>
      <c r="AO5" s="18"/>
      <c r="AP5" s="18"/>
    </row>
    <row r="6" spans="1:42" s="15" customFormat="1" x14ac:dyDescent="0.25">
      <c r="A6" s="178"/>
      <c r="B6" s="178"/>
      <c r="C6" s="178"/>
      <c r="D6" s="75" t="s">
        <v>101</v>
      </c>
      <c r="E6" s="178"/>
      <c r="F6" s="95" t="s">
        <v>93</v>
      </c>
      <c r="G6" s="176"/>
      <c r="H6" s="176"/>
      <c r="I6" s="176"/>
      <c r="J6" s="176"/>
      <c r="K6" s="176"/>
      <c r="L6" s="84" t="s">
        <v>105</v>
      </c>
      <c r="M6" s="176"/>
      <c r="N6" s="176"/>
      <c r="O6" s="176"/>
      <c r="P6" s="174"/>
      <c r="Q6" s="176"/>
      <c r="R6" s="176"/>
      <c r="S6" s="176"/>
      <c r="T6" s="176"/>
      <c r="U6" s="176"/>
      <c r="V6" s="176"/>
      <c r="W6" s="42" t="s">
        <v>30</v>
      </c>
      <c r="X6" s="42" t="s">
        <v>32</v>
      </c>
      <c r="Y6" s="19" t="s">
        <v>90</v>
      </c>
      <c r="Z6" s="182"/>
      <c r="AA6" s="179"/>
      <c r="AB6" s="18"/>
      <c r="AC6" s="18"/>
      <c r="AD6" s="18"/>
      <c r="AE6" s="18"/>
      <c r="AF6" s="18"/>
      <c r="AG6" s="18"/>
      <c r="AH6" s="18"/>
      <c r="AI6" s="18"/>
      <c r="AJ6" s="18"/>
      <c r="AK6" s="18"/>
      <c r="AL6" s="18"/>
      <c r="AM6" s="18"/>
      <c r="AN6" s="18"/>
      <c r="AO6" s="18"/>
      <c r="AP6" s="18"/>
    </row>
    <row r="7" spans="1:42" s="27" customFormat="1" x14ac:dyDescent="0.25">
      <c r="A7" s="53" t="s">
        <v>36</v>
      </c>
      <c r="B7" s="62" t="s">
        <v>48</v>
      </c>
      <c r="C7" s="54" t="s">
        <v>53</v>
      </c>
      <c r="D7" s="76">
        <v>41575</v>
      </c>
      <c r="E7" s="53" t="s">
        <v>40</v>
      </c>
      <c r="F7" s="96"/>
      <c r="G7" s="56"/>
      <c r="H7" s="56"/>
      <c r="I7" s="57"/>
      <c r="J7" s="58">
        <f t="shared" ref="J7:J20" si="0">SUM(F7:H7)-I7</f>
        <v>0</v>
      </c>
      <c r="K7" s="85"/>
      <c r="L7" s="85"/>
      <c r="M7" s="59"/>
      <c r="N7" s="59"/>
      <c r="O7" s="55"/>
      <c r="P7" s="106">
        <v>0</v>
      </c>
      <c r="Q7" s="58">
        <f t="shared" ref="Q7:Q24" si="1">+J7-SUM(K7:P7)</f>
        <v>0</v>
      </c>
      <c r="R7" s="60">
        <f>IF(J7&gt;2250,J7*0.1,0)</f>
        <v>0</v>
      </c>
      <c r="S7" s="58">
        <f t="shared" ref="S7:S24" si="2">+Q7-R7</f>
        <v>0</v>
      </c>
      <c r="T7" s="61">
        <f>IF(J7&lt;2250,J7*0.1,0)</f>
        <v>0</v>
      </c>
      <c r="U7" s="60" t="e">
        <f>#REF!*0.02</f>
        <v>#REF!</v>
      </c>
      <c r="V7" s="58" t="e">
        <f t="shared" ref="V7:V24" si="3">+J7+T7+U7</f>
        <v>#REF!</v>
      </c>
      <c r="W7" s="78"/>
      <c r="X7" s="72"/>
      <c r="Y7" s="77">
        <f>+W7+X7-S7</f>
        <v>0</v>
      </c>
      <c r="Z7" s="71" t="s">
        <v>104</v>
      </c>
      <c r="AA7" s="62" t="s">
        <v>71</v>
      </c>
      <c r="AB7" s="27" t="str">
        <f>IF(B7=AD7,"si","no")</f>
        <v>si</v>
      </c>
      <c r="AC7" s="91" t="s">
        <v>114</v>
      </c>
      <c r="AD7" s="90" t="s">
        <v>115</v>
      </c>
    </row>
    <row r="8" spans="1:42" s="27" customFormat="1" x14ac:dyDescent="0.25">
      <c r="A8" s="53" t="s">
        <v>36</v>
      </c>
      <c r="B8" s="62" t="s">
        <v>96</v>
      </c>
      <c r="C8" s="54" t="s">
        <v>54</v>
      </c>
      <c r="D8" s="76">
        <v>42310</v>
      </c>
      <c r="E8" s="53" t="s">
        <v>40</v>
      </c>
      <c r="F8" s="97">
        <f>8940.91+3000</f>
        <v>11940.91</v>
      </c>
      <c r="G8" s="55"/>
      <c r="H8" s="55"/>
      <c r="I8" s="57"/>
      <c r="J8" s="58">
        <f t="shared" si="0"/>
        <v>11940.91</v>
      </c>
      <c r="K8" s="85"/>
      <c r="L8" s="85"/>
      <c r="M8" s="59"/>
      <c r="N8" s="59"/>
      <c r="O8" s="55"/>
      <c r="P8" s="106">
        <v>0</v>
      </c>
      <c r="Q8" s="58">
        <f t="shared" si="1"/>
        <v>11940.91</v>
      </c>
      <c r="R8" s="60">
        <f t="shared" ref="R8:R36" si="4">IF(J8&gt;2250,J8*0.1,0)</f>
        <v>1194.0910000000001</v>
      </c>
      <c r="S8" s="58">
        <f t="shared" si="2"/>
        <v>10746.819</v>
      </c>
      <c r="T8" s="61">
        <f t="shared" ref="T8:T36" si="5">IF(J8&lt;2250,J8*0.1,0)</f>
        <v>0</v>
      </c>
      <c r="U8" s="60" t="e">
        <f>#REF!*0.02</f>
        <v>#REF!</v>
      </c>
      <c r="V8" s="58" t="e">
        <f t="shared" si="3"/>
        <v>#REF!</v>
      </c>
      <c r="W8" s="78"/>
      <c r="X8" s="72"/>
      <c r="Y8" s="77">
        <f t="shared" ref="Y8:Y48" si="6">+W8+X8-S8</f>
        <v>-10746.819</v>
      </c>
      <c r="Z8" s="62"/>
      <c r="AA8" s="62" t="s">
        <v>72</v>
      </c>
      <c r="AB8" s="27" t="str">
        <f t="shared" ref="AB8:AB36" si="7">IF(B8=AD8,"si","no")</f>
        <v>si</v>
      </c>
      <c r="AC8" s="91" t="s">
        <v>116</v>
      </c>
      <c r="AD8" s="90" t="s">
        <v>117</v>
      </c>
    </row>
    <row r="9" spans="1:42" s="27" customFormat="1" x14ac:dyDescent="0.25">
      <c r="A9" s="53" t="s">
        <v>36</v>
      </c>
      <c r="B9" s="62" t="s">
        <v>47</v>
      </c>
      <c r="C9" s="54" t="s">
        <v>52</v>
      </c>
      <c r="D9" s="76">
        <v>42215</v>
      </c>
      <c r="E9" s="53" t="s">
        <v>40</v>
      </c>
      <c r="F9" s="96">
        <v>8410.1</v>
      </c>
      <c r="G9" s="55"/>
      <c r="H9" s="55"/>
      <c r="I9" s="57"/>
      <c r="J9" s="58">
        <f t="shared" si="0"/>
        <v>8410.1</v>
      </c>
      <c r="K9" s="85"/>
      <c r="L9" s="85"/>
      <c r="M9" s="59"/>
      <c r="N9" s="59"/>
      <c r="O9" s="55"/>
      <c r="P9" s="108">
        <v>1569.09</v>
      </c>
      <c r="Q9" s="58">
        <f t="shared" si="1"/>
        <v>6841.01</v>
      </c>
      <c r="R9" s="60">
        <f t="shared" si="4"/>
        <v>841.0100000000001</v>
      </c>
      <c r="S9" s="58">
        <f t="shared" si="2"/>
        <v>6000</v>
      </c>
      <c r="T9" s="61">
        <f t="shared" si="5"/>
        <v>0</v>
      </c>
      <c r="U9" s="60" t="e">
        <f>#REF!*0.02</f>
        <v>#REF!</v>
      </c>
      <c r="V9" s="58" t="e">
        <f t="shared" si="3"/>
        <v>#REF!</v>
      </c>
      <c r="W9" s="78"/>
      <c r="X9" s="72"/>
      <c r="Y9" s="77">
        <f t="shared" si="6"/>
        <v>-6000</v>
      </c>
      <c r="Z9" s="62"/>
      <c r="AA9" s="62" t="s">
        <v>73</v>
      </c>
      <c r="AB9" s="27" t="str">
        <f t="shared" si="7"/>
        <v>si</v>
      </c>
      <c r="AC9" s="91" t="s">
        <v>118</v>
      </c>
      <c r="AD9" s="90" t="s">
        <v>119</v>
      </c>
    </row>
    <row r="10" spans="1:42" s="27" customFormat="1" x14ac:dyDescent="0.25">
      <c r="A10" s="53" t="s">
        <v>33</v>
      </c>
      <c r="B10" s="62" t="s">
        <v>174</v>
      </c>
      <c r="C10" s="54" t="s">
        <v>55</v>
      </c>
      <c r="D10" s="76">
        <v>40147</v>
      </c>
      <c r="E10" s="53" t="s">
        <v>38</v>
      </c>
      <c r="F10" s="97"/>
      <c r="G10" s="56"/>
      <c r="H10" s="56"/>
      <c r="I10" s="57"/>
      <c r="J10" s="58">
        <f t="shared" si="0"/>
        <v>0</v>
      </c>
      <c r="K10" s="85"/>
      <c r="L10" s="85"/>
      <c r="M10" s="59"/>
      <c r="N10" s="59"/>
      <c r="O10" s="55"/>
      <c r="P10" s="106">
        <v>0</v>
      </c>
      <c r="Q10" s="58">
        <f t="shared" si="1"/>
        <v>0</v>
      </c>
      <c r="R10" s="60">
        <f t="shared" si="4"/>
        <v>0</v>
      </c>
      <c r="S10" s="58">
        <f t="shared" si="2"/>
        <v>0</v>
      </c>
      <c r="T10" s="61">
        <f t="shared" si="5"/>
        <v>0</v>
      </c>
      <c r="U10" s="60" t="e">
        <f>#REF!*0.02</f>
        <v>#REF!</v>
      </c>
      <c r="V10" s="58" t="e">
        <f t="shared" si="3"/>
        <v>#REF!</v>
      </c>
      <c r="W10" s="78"/>
      <c r="X10" s="72"/>
      <c r="Y10" s="77">
        <f t="shared" si="6"/>
        <v>0</v>
      </c>
      <c r="Z10" s="62"/>
      <c r="AA10" s="62" t="s">
        <v>74</v>
      </c>
      <c r="AB10" s="27" t="str">
        <f t="shared" si="7"/>
        <v>si</v>
      </c>
      <c r="AC10" s="91" t="s">
        <v>120</v>
      </c>
      <c r="AD10" s="90" t="s">
        <v>121</v>
      </c>
    </row>
    <row r="11" spans="1:42" s="82" customFormat="1" x14ac:dyDescent="0.25">
      <c r="A11" s="53" t="s">
        <v>35</v>
      </c>
      <c r="B11" s="62" t="s">
        <v>103</v>
      </c>
      <c r="C11" s="54"/>
      <c r="D11" s="76">
        <v>42548</v>
      </c>
      <c r="E11" s="53" t="s">
        <v>40</v>
      </c>
      <c r="F11" s="97"/>
      <c r="G11" s="56"/>
      <c r="H11" s="56"/>
      <c r="I11" s="57"/>
      <c r="J11" s="58">
        <f t="shared" si="0"/>
        <v>0</v>
      </c>
      <c r="K11" s="85"/>
      <c r="L11" s="85"/>
      <c r="M11" s="59"/>
      <c r="N11" s="59"/>
      <c r="O11" s="55"/>
      <c r="P11" s="106">
        <v>500</v>
      </c>
      <c r="Q11" s="58">
        <f t="shared" si="1"/>
        <v>-500</v>
      </c>
      <c r="R11" s="60">
        <f t="shared" si="4"/>
        <v>0</v>
      </c>
      <c r="S11" s="58">
        <f>+Q11-R11</f>
        <v>-500</v>
      </c>
      <c r="T11" s="61">
        <f>IF(J11&lt;2250,J11*0.1,0)</f>
        <v>0</v>
      </c>
      <c r="U11" s="60" t="e">
        <f>#REF!*0.02</f>
        <v>#REF!</v>
      </c>
      <c r="V11" s="58" t="e">
        <f>+J11+T11+U11</f>
        <v>#REF!</v>
      </c>
      <c r="W11" s="79"/>
      <c r="X11" s="80"/>
      <c r="Y11" s="81"/>
      <c r="Z11" s="62"/>
      <c r="AA11" s="64">
        <v>1167172540</v>
      </c>
      <c r="AB11" s="27" t="str">
        <f t="shared" si="7"/>
        <v>si</v>
      </c>
      <c r="AC11" s="91" t="s">
        <v>122</v>
      </c>
      <c r="AD11" s="90" t="s">
        <v>123</v>
      </c>
    </row>
    <row r="12" spans="1:42" s="27" customFormat="1" x14ac:dyDescent="0.25">
      <c r="A12" s="53" t="s">
        <v>35</v>
      </c>
      <c r="B12" s="62" t="s">
        <v>44</v>
      </c>
      <c r="C12" s="54" t="s">
        <v>57</v>
      </c>
      <c r="D12" s="76">
        <v>41842</v>
      </c>
      <c r="E12" s="53" t="s">
        <v>40</v>
      </c>
      <c r="F12" s="98"/>
      <c r="G12" s="55"/>
      <c r="H12" s="55"/>
      <c r="I12" s="57"/>
      <c r="J12" s="58">
        <f t="shared" si="0"/>
        <v>0</v>
      </c>
      <c r="K12" s="85"/>
      <c r="L12" s="85"/>
      <c r="M12" s="59"/>
      <c r="N12" s="59"/>
      <c r="O12" s="55"/>
      <c r="P12" s="106">
        <v>0</v>
      </c>
      <c r="Q12" s="58">
        <f t="shared" si="1"/>
        <v>0</v>
      </c>
      <c r="R12" s="60">
        <f t="shared" si="4"/>
        <v>0</v>
      </c>
      <c r="S12" s="58">
        <f t="shared" si="2"/>
        <v>0</v>
      </c>
      <c r="T12" s="61">
        <f t="shared" si="5"/>
        <v>0</v>
      </c>
      <c r="U12" s="60" t="e">
        <f>#REF!*0.02</f>
        <v>#REF!</v>
      </c>
      <c r="V12" s="58" t="e">
        <f t="shared" si="3"/>
        <v>#REF!</v>
      </c>
      <c r="W12" s="78"/>
      <c r="X12" s="78"/>
      <c r="Y12" s="77">
        <f t="shared" si="6"/>
        <v>0</v>
      </c>
      <c r="Z12" s="62"/>
      <c r="AA12" s="62" t="s">
        <v>75</v>
      </c>
      <c r="AB12" s="27" t="str">
        <f t="shared" si="7"/>
        <v>si</v>
      </c>
      <c r="AC12" s="91" t="s">
        <v>124</v>
      </c>
      <c r="AD12" s="90" t="s">
        <v>125</v>
      </c>
    </row>
    <row r="13" spans="1:42" s="27" customFormat="1" x14ac:dyDescent="0.25">
      <c r="A13" s="53" t="s">
        <v>35</v>
      </c>
      <c r="B13" s="62" t="s">
        <v>91</v>
      </c>
      <c r="C13" s="65"/>
      <c r="D13" s="76">
        <v>42167</v>
      </c>
      <c r="E13" s="62" t="s">
        <v>40</v>
      </c>
      <c r="F13" s="97">
        <v>1836.3</v>
      </c>
      <c r="G13" s="55"/>
      <c r="H13" s="55"/>
      <c r="I13" s="57"/>
      <c r="J13" s="58">
        <f t="shared" si="0"/>
        <v>1836.3</v>
      </c>
      <c r="K13" s="85"/>
      <c r="L13" s="85"/>
      <c r="M13" s="59"/>
      <c r="N13" s="59"/>
      <c r="O13" s="55"/>
      <c r="P13" s="106">
        <v>0</v>
      </c>
      <c r="Q13" s="58">
        <f t="shared" si="1"/>
        <v>1836.3</v>
      </c>
      <c r="R13" s="60">
        <f t="shared" si="4"/>
        <v>0</v>
      </c>
      <c r="S13" s="58">
        <f t="shared" si="2"/>
        <v>1836.3</v>
      </c>
      <c r="T13" s="61">
        <f t="shared" si="5"/>
        <v>183.63</v>
      </c>
      <c r="U13" s="60" t="e">
        <f>#REF!*0.02</f>
        <v>#REF!</v>
      </c>
      <c r="V13" s="58" t="e">
        <f t="shared" si="3"/>
        <v>#REF!</v>
      </c>
      <c r="W13" s="78"/>
      <c r="X13" s="72"/>
      <c r="Y13" s="77">
        <f t="shared" si="6"/>
        <v>-1836.3</v>
      </c>
      <c r="Z13" s="62"/>
      <c r="AA13" s="64">
        <v>1449517286</v>
      </c>
      <c r="AB13" s="27" t="str">
        <f t="shared" si="7"/>
        <v>si</v>
      </c>
      <c r="AC13" s="91" t="s">
        <v>126</v>
      </c>
      <c r="AD13" s="90" t="s">
        <v>127</v>
      </c>
    </row>
    <row r="14" spans="1:42" s="27" customFormat="1" x14ac:dyDescent="0.25">
      <c r="A14" s="53" t="s">
        <v>36</v>
      </c>
      <c r="B14" s="62" t="s">
        <v>46</v>
      </c>
      <c r="C14" s="65">
        <v>5</v>
      </c>
      <c r="D14" s="76">
        <v>40310</v>
      </c>
      <c r="E14" s="62" t="s">
        <v>41</v>
      </c>
      <c r="F14" s="99">
        <v>5049.8500000000004</v>
      </c>
      <c r="G14" s="66"/>
      <c r="H14" s="56"/>
      <c r="I14" s="57"/>
      <c r="J14" s="58">
        <f t="shared" si="0"/>
        <v>5049.8500000000004</v>
      </c>
      <c r="K14" s="85"/>
      <c r="L14" s="85"/>
      <c r="M14" s="59"/>
      <c r="N14" s="59"/>
      <c r="O14" s="55"/>
      <c r="P14" s="106">
        <v>0</v>
      </c>
      <c r="Q14" s="58">
        <f t="shared" si="1"/>
        <v>5049.8500000000004</v>
      </c>
      <c r="R14" s="60">
        <f t="shared" si="4"/>
        <v>504.98500000000007</v>
      </c>
      <c r="S14" s="58">
        <f t="shared" si="2"/>
        <v>4544.8650000000007</v>
      </c>
      <c r="T14" s="61">
        <f t="shared" si="5"/>
        <v>0</v>
      </c>
      <c r="U14" s="60" t="e">
        <f>#REF!*0.02</f>
        <v>#REF!</v>
      </c>
      <c r="V14" s="58" t="e">
        <f t="shared" si="3"/>
        <v>#REF!</v>
      </c>
      <c r="W14" s="78"/>
      <c r="X14" s="72"/>
      <c r="Y14" s="77">
        <f t="shared" si="6"/>
        <v>-4544.8650000000007</v>
      </c>
      <c r="Z14" s="62"/>
      <c r="AA14" s="62" t="s">
        <v>76</v>
      </c>
      <c r="AB14" s="27" t="str">
        <f t="shared" si="7"/>
        <v>si</v>
      </c>
      <c r="AC14" s="91" t="s">
        <v>128</v>
      </c>
      <c r="AD14" s="90" t="s">
        <v>129</v>
      </c>
    </row>
    <row r="15" spans="1:42" s="27" customFormat="1" x14ac:dyDescent="0.25">
      <c r="A15" s="53" t="s">
        <v>36</v>
      </c>
      <c r="B15" s="62" t="s">
        <v>49</v>
      </c>
      <c r="C15" s="54" t="s">
        <v>58</v>
      </c>
      <c r="D15" s="76">
        <v>41311</v>
      </c>
      <c r="E15" s="53" t="s">
        <v>40</v>
      </c>
      <c r="F15" s="100">
        <v>14707.14</v>
      </c>
      <c r="G15" s="55"/>
      <c r="H15" s="55"/>
      <c r="I15" s="57"/>
      <c r="J15" s="58">
        <f t="shared" si="0"/>
        <v>14707.14</v>
      </c>
      <c r="K15" s="85"/>
      <c r="L15" s="85"/>
      <c r="M15" s="59"/>
      <c r="N15" s="59"/>
      <c r="O15" s="55"/>
      <c r="P15" s="106">
        <v>0</v>
      </c>
      <c r="Q15" s="58">
        <f t="shared" si="1"/>
        <v>14707.14</v>
      </c>
      <c r="R15" s="60">
        <f t="shared" si="4"/>
        <v>1470.7139999999999</v>
      </c>
      <c r="S15" s="58">
        <f t="shared" si="2"/>
        <v>13236.425999999999</v>
      </c>
      <c r="T15" s="61">
        <f t="shared" si="5"/>
        <v>0</v>
      </c>
      <c r="U15" s="60" t="e">
        <f>#REF!*0.02</f>
        <v>#REF!</v>
      </c>
      <c r="V15" s="58" t="e">
        <f t="shared" si="3"/>
        <v>#REF!</v>
      </c>
      <c r="W15" s="78"/>
      <c r="X15" s="72"/>
      <c r="Y15" s="77">
        <f t="shared" si="6"/>
        <v>-13236.425999999999</v>
      </c>
      <c r="Z15" s="62"/>
      <c r="AA15" s="62" t="s">
        <v>77</v>
      </c>
      <c r="AB15" s="27" t="str">
        <f t="shared" si="7"/>
        <v>si</v>
      </c>
      <c r="AC15" s="91" t="s">
        <v>130</v>
      </c>
      <c r="AD15" s="90" t="s">
        <v>131</v>
      </c>
    </row>
    <row r="16" spans="1:42" s="27" customFormat="1" x14ac:dyDescent="0.25">
      <c r="A16" s="53" t="s">
        <v>34</v>
      </c>
      <c r="B16" s="62" t="s">
        <v>45</v>
      </c>
      <c r="C16" s="54" t="s">
        <v>56</v>
      </c>
      <c r="D16" s="76">
        <v>40610</v>
      </c>
      <c r="E16" s="53" t="s">
        <v>39</v>
      </c>
      <c r="F16" s="97">
        <v>1334.09</v>
      </c>
      <c r="G16" s="55"/>
      <c r="H16" s="55"/>
      <c r="I16" s="57"/>
      <c r="J16" s="58">
        <f t="shared" si="0"/>
        <v>1334.09</v>
      </c>
      <c r="K16" s="85"/>
      <c r="L16" s="85"/>
      <c r="M16" s="59"/>
      <c r="N16" s="59"/>
      <c r="O16" s="55"/>
      <c r="P16" s="106">
        <v>490</v>
      </c>
      <c r="Q16" s="58">
        <f t="shared" si="1"/>
        <v>844.08999999999992</v>
      </c>
      <c r="R16" s="60">
        <f t="shared" si="4"/>
        <v>0</v>
      </c>
      <c r="S16" s="58">
        <f t="shared" si="2"/>
        <v>844.08999999999992</v>
      </c>
      <c r="T16" s="61">
        <f t="shared" si="5"/>
        <v>133.40899999999999</v>
      </c>
      <c r="U16" s="60" t="e">
        <f>#REF!*0.02</f>
        <v>#REF!</v>
      </c>
      <c r="V16" s="58" t="e">
        <f t="shared" si="3"/>
        <v>#REF!</v>
      </c>
      <c r="W16" s="78"/>
      <c r="X16" s="72"/>
      <c r="Y16" s="77">
        <f t="shared" si="6"/>
        <v>-844.08999999999992</v>
      </c>
      <c r="Z16" s="62"/>
      <c r="AA16" s="62" t="s">
        <v>78</v>
      </c>
      <c r="AB16" s="27" t="str">
        <f t="shared" si="7"/>
        <v>si</v>
      </c>
      <c r="AC16" s="91" t="s">
        <v>132</v>
      </c>
      <c r="AD16" s="90" t="s">
        <v>133</v>
      </c>
    </row>
    <row r="17" spans="1:30" s="27" customFormat="1" x14ac:dyDescent="0.25">
      <c r="A17" s="53" t="s">
        <v>36</v>
      </c>
      <c r="B17" s="62" t="s">
        <v>37</v>
      </c>
      <c r="C17" s="54" t="s">
        <v>61</v>
      </c>
      <c r="D17" s="76">
        <v>41842</v>
      </c>
      <c r="E17" s="53" t="s">
        <v>40</v>
      </c>
      <c r="F17" s="96">
        <v>8475.32</v>
      </c>
      <c r="G17" s="56"/>
      <c r="H17" s="56"/>
      <c r="I17" s="57"/>
      <c r="J17" s="58">
        <f t="shared" si="0"/>
        <v>8475.32</v>
      </c>
      <c r="K17" s="85"/>
      <c r="L17" s="85"/>
      <c r="M17" s="59"/>
      <c r="N17" s="59"/>
      <c r="O17" s="55"/>
      <c r="P17" s="106">
        <v>0</v>
      </c>
      <c r="Q17" s="58">
        <f t="shared" si="1"/>
        <v>8475.32</v>
      </c>
      <c r="R17" s="60">
        <f t="shared" si="4"/>
        <v>847.53200000000004</v>
      </c>
      <c r="S17" s="58">
        <f t="shared" si="2"/>
        <v>7627.7879999999996</v>
      </c>
      <c r="T17" s="61">
        <f t="shared" si="5"/>
        <v>0</v>
      </c>
      <c r="U17" s="60" t="e">
        <f>#REF!*0.02</f>
        <v>#REF!</v>
      </c>
      <c r="V17" s="58" t="e">
        <f t="shared" si="3"/>
        <v>#REF!</v>
      </c>
      <c r="W17" s="78"/>
      <c r="X17" s="72"/>
      <c r="Y17" s="77">
        <f t="shared" si="6"/>
        <v>-7627.7879999999996</v>
      </c>
      <c r="Z17" s="62"/>
      <c r="AA17" s="62" t="s">
        <v>79</v>
      </c>
      <c r="AB17" s="27" t="str">
        <f t="shared" si="7"/>
        <v>si</v>
      </c>
      <c r="AC17" s="91" t="s">
        <v>134</v>
      </c>
      <c r="AD17" s="90" t="s">
        <v>135</v>
      </c>
    </row>
    <row r="18" spans="1:30" s="27" customFormat="1" x14ac:dyDescent="0.25">
      <c r="A18" s="53" t="s">
        <v>36</v>
      </c>
      <c r="B18" s="62" t="s">
        <v>175</v>
      </c>
      <c r="C18" s="54" t="s">
        <v>59</v>
      </c>
      <c r="D18" s="76">
        <v>41768</v>
      </c>
      <c r="E18" s="53" t="s">
        <v>40</v>
      </c>
      <c r="F18" s="99">
        <v>2200.12</v>
      </c>
      <c r="G18" s="56"/>
      <c r="H18" s="56"/>
      <c r="I18" s="57"/>
      <c r="J18" s="58">
        <f t="shared" si="0"/>
        <v>2200.12</v>
      </c>
      <c r="K18" s="85"/>
      <c r="L18" s="85"/>
      <c r="M18" s="59"/>
      <c r="N18" s="59"/>
      <c r="O18" s="55"/>
      <c r="P18" s="106">
        <v>0</v>
      </c>
      <c r="Q18" s="58">
        <f t="shared" si="1"/>
        <v>2200.12</v>
      </c>
      <c r="R18" s="60">
        <f t="shared" si="4"/>
        <v>0</v>
      </c>
      <c r="S18" s="58">
        <f t="shared" si="2"/>
        <v>2200.12</v>
      </c>
      <c r="T18" s="61">
        <f t="shared" si="5"/>
        <v>220.012</v>
      </c>
      <c r="U18" s="60" t="e">
        <f>#REF!*0.02</f>
        <v>#REF!</v>
      </c>
      <c r="V18" s="58" t="e">
        <f t="shared" si="3"/>
        <v>#REF!</v>
      </c>
      <c r="W18" s="78"/>
      <c r="X18" s="72"/>
      <c r="Y18" s="77">
        <f t="shared" si="6"/>
        <v>-2200.12</v>
      </c>
      <c r="Z18" s="62"/>
      <c r="AA18" s="62" t="s">
        <v>80</v>
      </c>
      <c r="AB18" s="27" t="str">
        <f t="shared" si="7"/>
        <v>si</v>
      </c>
      <c r="AC18" s="91" t="s">
        <v>136</v>
      </c>
      <c r="AD18" s="90" t="s">
        <v>137</v>
      </c>
    </row>
    <row r="19" spans="1:30" s="27" customFormat="1" x14ac:dyDescent="0.25">
      <c r="A19" s="62" t="s">
        <v>36</v>
      </c>
      <c r="B19" s="62" t="s">
        <v>92</v>
      </c>
      <c r="C19" s="65" t="s">
        <v>60</v>
      </c>
      <c r="D19" s="76">
        <v>41957</v>
      </c>
      <c r="E19" s="62" t="s">
        <v>40</v>
      </c>
      <c r="F19" s="96">
        <v>4068.03</v>
      </c>
      <c r="G19" s="63"/>
      <c r="H19" s="63"/>
      <c r="I19" s="57"/>
      <c r="J19" s="58">
        <f t="shared" si="0"/>
        <v>4068.03</v>
      </c>
      <c r="K19" s="85"/>
      <c r="L19" s="85"/>
      <c r="M19" s="59"/>
      <c r="N19" s="59"/>
      <c r="O19" s="55"/>
      <c r="P19" s="106">
        <v>0</v>
      </c>
      <c r="Q19" s="58">
        <f t="shared" si="1"/>
        <v>4068.03</v>
      </c>
      <c r="R19" s="60">
        <f t="shared" si="4"/>
        <v>406.80300000000005</v>
      </c>
      <c r="S19" s="58">
        <f t="shared" si="2"/>
        <v>3661.2270000000003</v>
      </c>
      <c r="T19" s="61">
        <f t="shared" si="5"/>
        <v>0</v>
      </c>
      <c r="U19" s="60" t="e">
        <f>#REF!*0.02</f>
        <v>#REF!</v>
      </c>
      <c r="V19" s="58" t="e">
        <f t="shared" si="3"/>
        <v>#REF!</v>
      </c>
      <c r="W19" s="78"/>
      <c r="X19" s="72"/>
      <c r="Y19" s="77">
        <f t="shared" si="6"/>
        <v>-3661.2270000000003</v>
      </c>
      <c r="Z19" s="62"/>
      <c r="AA19" s="62" t="s">
        <v>81</v>
      </c>
      <c r="AB19" s="27" t="str">
        <f t="shared" si="7"/>
        <v>si</v>
      </c>
      <c r="AC19" s="91" t="s">
        <v>138</v>
      </c>
      <c r="AD19" s="90" t="s">
        <v>139</v>
      </c>
    </row>
    <row r="20" spans="1:30" s="27" customFormat="1" x14ac:dyDescent="0.25">
      <c r="A20" s="62" t="s">
        <v>36</v>
      </c>
      <c r="B20" s="62" t="s">
        <v>109</v>
      </c>
      <c r="C20" s="65"/>
      <c r="D20" s="76">
        <v>41906</v>
      </c>
      <c r="E20" s="62" t="s">
        <v>41</v>
      </c>
      <c r="F20" s="97">
        <v>3003.98</v>
      </c>
      <c r="G20" s="63"/>
      <c r="H20" s="63"/>
      <c r="I20" s="57"/>
      <c r="J20" s="58">
        <f t="shared" si="0"/>
        <v>3003.98</v>
      </c>
      <c r="K20" s="85"/>
      <c r="L20" s="85"/>
      <c r="M20" s="59"/>
      <c r="N20" s="59"/>
      <c r="O20" s="55"/>
      <c r="P20" s="106">
        <v>350</v>
      </c>
      <c r="Q20" s="58">
        <f t="shared" si="1"/>
        <v>2653.98</v>
      </c>
      <c r="R20" s="60"/>
      <c r="S20" s="58">
        <f>+Q20-R20</f>
        <v>2653.98</v>
      </c>
      <c r="T20" s="61">
        <f>IF(J20&lt;2250,J20*0.1,0)</f>
        <v>0</v>
      </c>
      <c r="U20" s="60"/>
      <c r="V20" s="58"/>
      <c r="W20" s="78"/>
      <c r="X20" s="72"/>
      <c r="Y20" s="77"/>
      <c r="Z20" s="62"/>
      <c r="AA20" s="62"/>
      <c r="AB20" s="27" t="str">
        <f t="shared" si="7"/>
        <v>si</v>
      </c>
      <c r="AC20" s="91" t="s">
        <v>140</v>
      </c>
      <c r="AD20" s="90" t="s">
        <v>141</v>
      </c>
    </row>
    <row r="21" spans="1:30" s="27" customFormat="1" x14ac:dyDescent="0.25">
      <c r="A21" s="53" t="s">
        <v>34</v>
      </c>
      <c r="B21" s="62" t="s">
        <v>176</v>
      </c>
      <c r="C21" s="54">
        <v>21</v>
      </c>
      <c r="D21" s="76">
        <v>39332</v>
      </c>
      <c r="E21" s="53" t="s">
        <v>39</v>
      </c>
      <c r="F21" s="99">
        <v>191.75</v>
      </c>
      <c r="G21" s="55"/>
      <c r="H21" s="55"/>
      <c r="I21" s="57"/>
      <c r="J21" s="58">
        <f t="shared" ref="J21:J36" si="8">SUM(F21:H21)-I21</f>
        <v>191.75</v>
      </c>
      <c r="K21" s="85"/>
      <c r="L21" s="85"/>
      <c r="M21" s="59"/>
      <c r="N21" s="59"/>
      <c r="O21" s="55"/>
      <c r="P21" s="106">
        <v>83.6</v>
      </c>
      <c r="Q21" s="58">
        <f t="shared" si="1"/>
        <v>108.15</v>
      </c>
      <c r="R21" s="60">
        <f t="shared" si="4"/>
        <v>0</v>
      </c>
      <c r="S21" s="58">
        <f>+Q21-R21</f>
        <v>108.15</v>
      </c>
      <c r="T21" s="61">
        <f t="shared" si="5"/>
        <v>19.175000000000001</v>
      </c>
      <c r="U21" s="60" t="e">
        <f>#REF!*0.02</f>
        <v>#REF!</v>
      </c>
      <c r="V21" s="58" t="e">
        <f t="shared" si="3"/>
        <v>#REF!</v>
      </c>
      <c r="W21" s="78"/>
      <c r="X21" s="72"/>
      <c r="Y21" s="77">
        <f>+W21+X21-S21</f>
        <v>-108.15</v>
      </c>
      <c r="Z21" s="62"/>
      <c r="AA21" s="62" t="s">
        <v>82</v>
      </c>
      <c r="AB21" s="27" t="str">
        <f t="shared" si="7"/>
        <v>si</v>
      </c>
      <c r="AC21" s="91" t="s">
        <v>142</v>
      </c>
      <c r="AD21" s="90" t="s">
        <v>143</v>
      </c>
    </row>
    <row r="22" spans="1:30" s="27" customFormat="1" x14ac:dyDescent="0.25">
      <c r="A22" s="62" t="s">
        <v>36</v>
      </c>
      <c r="B22" s="62" t="s">
        <v>97</v>
      </c>
      <c r="C22" s="65" t="s">
        <v>63</v>
      </c>
      <c r="D22" s="76">
        <v>41680</v>
      </c>
      <c r="E22" s="62" t="s">
        <v>40</v>
      </c>
      <c r="F22" s="99">
        <v>10686.74</v>
      </c>
      <c r="G22" s="63"/>
      <c r="H22" s="63"/>
      <c r="I22" s="57"/>
      <c r="J22" s="58">
        <f t="shared" si="8"/>
        <v>10686.74</v>
      </c>
      <c r="K22" s="85"/>
      <c r="L22" s="85"/>
      <c r="M22" s="59"/>
      <c r="N22" s="59"/>
      <c r="O22" s="55"/>
      <c r="P22" s="106">
        <v>0</v>
      </c>
      <c r="Q22" s="58">
        <f>+J22-SUM(K22:P22)</f>
        <v>10686.74</v>
      </c>
      <c r="R22" s="60">
        <f t="shared" si="4"/>
        <v>1068.674</v>
      </c>
      <c r="S22" s="58">
        <f>+Q22-R22</f>
        <v>9618.0659999999989</v>
      </c>
      <c r="T22" s="61">
        <f t="shared" si="5"/>
        <v>0</v>
      </c>
      <c r="U22" s="60" t="e">
        <f>#REF!*0.02</f>
        <v>#REF!</v>
      </c>
      <c r="V22" s="58" t="e">
        <f>+J22+T22+U22</f>
        <v>#REF!</v>
      </c>
      <c r="W22" s="78"/>
      <c r="X22" s="72"/>
      <c r="Y22" s="77">
        <f t="shared" si="6"/>
        <v>-9618.0659999999989</v>
      </c>
      <c r="Z22" s="62"/>
      <c r="AA22" s="62" t="s">
        <v>83</v>
      </c>
      <c r="AB22" s="27" t="str">
        <f t="shared" si="7"/>
        <v>si</v>
      </c>
      <c r="AC22" s="91" t="s">
        <v>144</v>
      </c>
      <c r="AD22" s="90" t="s">
        <v>145</v>
      </c>
    </row>
    <row r="23" spans="1:30" s="27" customFormat="1" x14ac:dyDescent="0.25">
      <c r="A23" s="62" t="s">
        <v>36</v>
      </c>
      <c r="B23" s="62" t="s">
        <v>50</v>
      </c>
      <c r="C23" s="65" t="s">
        <v>62</v>
      </c>
      <c r="D23" s="76">
        <v>41944</v>
      </c>
      <c r="E23" s="62" t="s">
        <v>40</v>
      </c>
      <c r="F23" s="96"/>
      <c r="G23" s="63"/>
      <c r="H23" s="63"/>
      <c r="I23" s="57"/>
      <c r="J23" s="58">
        <f t="shared" si="8"/>
        <v>0</v>
      </c>
      <c r="K23" s="85"/>
      <c r="L23" s="85"/>
      <c r="M23" s="59"/>
      <c r="N23" s="59"/>
      <c r="O23" s="55"/>
      <c r="P23" s="106">
        <v>0</v>
      </c>
      <c r="Q23" s="58">
        <f>+J23-SUM(K23:P23)</f>
        <v>0</v>
      </c>
      <c r="R23" s="60">
        <f t="shared" si="4"/>
        <v>0</v>
      </c>
      <c r="S23" s="58">
        <f>+Q23-R23</f>
        <v>0</v>
      </c>
      <c r="T23" s="61">
        <f t="shared" si="5"/>
        <v>0</v>
      </c>
      <c r="U23" s="60" t="e">
        <f>#REF!*0.02</f>
        <v>#REF!</v>
      </c>
      <c r="V23" s="58" t="e">
        <f>+J23+T23+U23</f>
        <v>#REF!</v>
      </c>
      <c r="W23" s="78"/>
      <c r="X23" s="72"/>
      <c r="Y23" s="77">
        <f t="shared" si="6"/>
        <v>0</v>
      </c>
      <c r="Z23" s="62"/>
      <c r="AA23" s="62" t="s">
        <v>84</v>
      </c>
      <c r="AB23" s="27" t="str">
        <f t="shared" si="7"/>
        <v>si</v>
      </c>
      <c r="AC23" s="91" t="s">
        <v>146</v>
      </c>
      <c r="AD23" s="90" t="s">
        <v>147</v>
      </c>
    </row>
    <row r="24" spans="1:30" s="27" customFormat="1" x14ac:dyDescent="0.25">
      <c r="A24" s="53" t="s">
        <v>34</v>
      </c>
      <c r="B24" s="62" t="s">
        <v>43</v>
      </c>
      <c r="C24" s="54" t="s">
        <v>64</v>
      </c>
      <c r="D24" s="76">
        <v>40362</v>
      </c>
      <c r="E24" s="53" t="s">
        <v>39</v>
      </c>
      <c r="F24" s="99">
        <v>1460.94</v>
      </c>
      <c r="G24" s="55"/>
      <c r="H24" s="55"/>
      <c r="I24" s="57"/>
      <c r="J24" s="58">
        <f t="shared" si="8"/>
        <v>1460.94</v>
      </c>
      <c r="K24" s="85"/>
      <c r="L24" s="85"/>
      <c r="M24" s="59"/>
      <c r="N24" s="59"/>
      <c r="O24" s="55"/>
      <c r="P24" s="106">
        <v>0</v>
      </c>
      <c r="Q24" s="58">
        <f t="shared" si="1"/>
        <v>1460.94</v>
      </c>
      <c r="R24" s="60">
        <f t="shared" si="4"/>
        <v>0</v>
      </c>
      <c r="S24" s="58">
        <f t="shared" si="2"/>
        <v>1460.94</v>
      </c>
      <c r="T24" s="61">
        <f t="shared" si="5"/>
        <v>146.09400000000002</v>
      </c>
      <c r="U24" s="60" t="e">
        <f>#REF!*0.02</f>
        <v>#REF!</v>
      </c>
      <c r="V24" s="58" t="e">
        <f t="shared" si="3"/>
        <v>#REF!</v>
      </c>
      <c r="W24" s="78"/>
      <c r="X24" s="72"/>
      <c r="Y24" s="77">
        <f t="shared" si="6"/>
        <v>-1460.94</v>
      </c>
      <c r="Z24" s="62"/>
      <c r="AA24" s="62" t="s">
        <v>85</v>
      </c>
      <c r="AB24" s="27" t="str">
        <f t="shared" si="7"/>
        <v>si</v>
      </c>
      <c r="AC24" s="91" t="s">
        <v>148</v>
      </c>
      <c r="AD24" s="90" t="s">
        <v>149</v>
      </c>
    </row>
    <row r="25" spans="1:30" s="27" customFormat="1" x14ac:dyDescent="0.25">
      <c r="A25" s="62" t="s">
        <v>36</v>
      </c>
      <c r="B25" s="62" t="s">
        <v>106</v>
      </c>
      <c r="C25" s="65"/>
      <c r="D25" s="76">
        <v>42557</v>
      </c>
      <c r="E25" s="62" t="s">
        <v>40</v>
      </c>
      <c r="F25" s="99">
        <v>3158.56</v>
      </c>
      <c r="G25" s="63"/>
      <c r="H25" s="63"/>
      <c r="I25" s="57"/>
      <c r="J25" s="58">
        <f t="shared" si="8"/>
        <v>3158.56</v>
      </c>
      <c r="K25" s="85"/>
      <c r="L25" s="85"/>
      <c r="M25" s="59"/>
      <c r="N25" s="59"/>
      <c r="O25" s="55"/>
      <c r="P25" s="106"/>
      <c r="Q25" s="58">
        <f>+J25-SUM(K25:P25)</f>
        <v>3158.56</v>
      </c>
      <c r="R25" s="60">
        <f>IF(J25&gt;2250,J25*0.1,0)</f>
        <v>315.85599999999999</v>
      </c>
      <c r="S25" s="58">
        <f>+Q25-R25</f>
        <v>2842.7039999999997</v>
      </c>
      <c r="T25" s="61">
        <f>IF(J25&lt;2250,J25*0.1,0)</f>
        <v>0</v>
      </c>
      <c r="U25" s="60" t="e">
        <f>#REF!*0.02</f>
        <v>#REF!</v>
      </c>
      <c r="V25" s="58" t="e">
        <f>+J25+T25+U25</f>
        <v>#REF!</v>
      </c>
      <c r="W25" s="78"/>
      <c r="X25" s="78"/>
      <c r="Y25" s="77"/>
      <c r="Z25" s="62" t="s">
        <v>104</v>
      </c>
      <c r="AA25" s="64">
        <v>405715097</v>
      </c>
      <c r="AB25" s="27" t="str">
        <f t="shared" si="7"/>
        <v>si</v>
      </c>
      <c r="AC25" s="91" t="s">
        <v>150</v>
      </c>
      <c r="AD25" s="90" t="s">
        <v>151</v>
      </c>
    </row>
    <row r="26" spans="1:30" s="27" customFormat="1" x14ac:dyDescent="0.25">
      <c r="A26" s="62" t="s">
        <v>35</v>
      </c>
      <c r="B26" s="62" t="s">
        <v>99</v>
      </c>
      <c r="C26" s="65"/>
      <c r="D26" s="76">
        <v>42478</v>
      </c>
      <c r="E26" s="53" t="s">
        <v>41</v>
      </c>
      <c r="F26" s="99">
        <v>1629.88</v>
      </c>
      <c r="G26" s="63"/>
      <c r="H26" s="63"/>
      <c r="I26" s="57"/>
      <c r="J26" s="58">
        <f t="shared" si="8"/>
        <v>1629.88</v>
      </c>
      <c r="K26" s="85"/>
      <c r="L26" s="85"/>
      <c r="M26" s="59"/>
      <c r="N26" s="59"/>
      <c r="O26" s="55"/>
      <c r="P26" s="106">
        <v>403</v>
      </c>
      <c r="Q26" s="58">
        <f t="shared" ref="Q26:Q36" si="9">+J26-SUM(K26:P26)</f>
        <v>1226.8800000000001</v>
      </c>
      <c r="R26" s="60">
        <f t="shared" si="4"/>
        <v>0</v>
      </c>
      <c r="S26" s="58">
        <f t="shared" ref="S26:S36" si="10">+Q26-R26</f>
        <v>1226.8800000000001</v>
      </c>
      <c r="T26" s="61">
        <f t="shared" si="5"/>
        <v>162.98800000000003</v>
      </c>
      <c r="U26" s="60" t="e">
        <f>#REF!*0.02</f>
        <v>#REF!</v>
      </c>
      <c r="V26" s="58" t="e">
        <f>+J26+T26+U26</f>
        <v>#REF!</v>
      </c>
      <c r="W26" s="78"/>
      <c r="X26" s="72"/>
      <c r="Y26" s="77">
        <f t="shared" si="6"/>
        <v>-1226.8800000000001</v>
      </c>
      <c r="Z26" s="71"/>
      <c r="AA26" s="62" t="s">
        <v>100</v>
      </c>
      <c r="AB26" s="27" t="str">
        <f t="shared" si="7"/>
        <v>si</v>
      </c>
      <c r="AC26" s="91" t="s">
        <v>152</v>
      </c>
      <c r="AD26" s="90" t="s">
        <v>153</v>
      </c>
    </row>
    <row r="27" spans="1:30" s="27" customFormat="1" x14ac:dyDescent="0.25">
      <c r="A27" s="62" t="s">
        <v>36</v>
      </c>
      <c r="B27" s="62" t="s">
        <v>95</v>
      </c>
      <c r="C27" s="65"/>
      <c r="D27" s="76">
        <v>42430</v>
      </c>
      <c r="E27" s="62" t="s">
        <v>40</v>
      </c>
      <c r="F27" s="99">
        <v>10439.5</v>
      </c>
      <c r="G27" s="63"/>
      <c r="H27" s="63"/>
      <c r="I27" s="57"/>
      <c r="J27" s="58">
        <f t="shared" si="8"/>
        <v>10439.5</v>
      </c>
      <c r="K27" s="85"/>
      <c r="L27" s="85"/>
      <c r="M27" s="59"/>
      <c r="N27" s="59"/>
      <c r="O27" s="55"/>
      <c r="P27" s="106">
        <v>0</v>
      </c>
      <c r="Q27" s="58">
        <f t="shared" si="9"/>
        <v>10439.5</v>
      </c>
      <c r="R27" s="60">
        <f t="shared" si="4"/>
        <v>1043.95</v>
      </c>
      <c r="S27" s="58">
        <f t="shared" si="10"/>
        <v>9395.5499999999993</v>
      </c>
      <c r="T27" s="61">
        <f t="shared" si="5"/>
        <v>0</v>
      </c>
      <c r="U27" s="60" t="e">
        <f>#REF!*0.02</f>
        <v>#REF!</v>
      </c>
      <c r="V27" s="58" t="e">
        <f t="shared" ref="V27:V36" si="11">+J27+T27+U27</f>
        <v>#REF!</v>
      </c>
      <c r="W27" s="78"/>
      <c r="X27" s="72"/>
      <c r="Y27" s="77">
        <f t="shared" si="6"/>
        <v>-9395.5499999999993</v>
      </c>
      <c r="Z27" s="62"/>
      <c r="AA27" s="64"/>
      <c r="AB27" s="27" t="str">
        <f t="shared" si="7"/>
        <v>si</v>
      </c>
      <c r="AC27" s="91" t="s">
        <v>154</v>
      </c>
      <c r="AD27" s="90" t="s">
        <v>155</v>
      </c>
    </row>
    <row r="28" spans="1:30" s="27" customFormat="1" x14ac:dyDescent="0.25">
      <c r="A28" s="62" t="s">
        <v>36</v>
      </c>
      <c r="B28" s="62" t="s">
        <v>108</v>
      </c>
      <c r="C28" s="65"/>
      <c r="D28" s="76">
        <v>42570</v>
      </c>
      <c r="E28" s="62" t="s">
        <v>40</v>
      </c>
      <c r="F28" s="99">
        <v>14576.91</v>
      </c>
      <c r="G28" s="63"/>
      <c r="H28" s="63"/>
      <c r="I28" s="57"/>
      <c r="J28" s="58">
        <f t="shared" si="8"/>
        <v>14576.91</v>
      </c>
      <c r="K28" s="85"/>
      <c r="L28" s="85"/>
      <c r="M28" s="59"/>
      <c r="N28" s="59"/>
      <c r="O28" s="55"/>
      <c r="P28" s="106">
        <v>385.41</v>
      </c>
      <c r="Q28" s="58">
        <f t="shared" si="9"/>
        <v>14191.5</v>
      </c>
      <c r="R28" s="60">
        <f>IF(J28&gt;2250,J28*0.1,0)</f>
        <v>1457.691</v>
      </c>
      <c r="S28" s="58">
        <f>+Q28-R28</f>
        <v>12733.808999999999</v>
      </c>
      <c r="T28" s="61">
        <f t="shared" si="5"/>
        <v>0</v>
      </c>
      <c r="U28" s="60" t="e">
        <f>#REF!*0.02</f>
        <v>#REF!</v>
      </c>
      <c r="V28" s="58" t="e">
        <f t="shared" si="11"/>
        <v>#REF!</v>
      </c>
      <c r="W28" s="78"/>
      <c r="X28" s="72"/>
      <c r="Y28" s="77"/>
      <c r="Z28" s="62"/>
      <c r="AA28" s="64"/>
      <c r="AB28" s="27" t="str">
        <f t="shared" si="7"/>
        <v>si</v>
      </c>
      <c r="AC28" s="91" t="s">
        <v>156</v>
      </c>
      <c r="AD28" s="90" t="s">
        <v>157</v>
      </c>
    </row>
    <row r="29" spans="1:30" s="27" customFormat="1" x14ac:dyDescent="0.25">
      <c r="A29" s="53" t="s">
        <v>36</v>
      </c>
      <c r="B29" s="62" t="s">
        <v>177</v>
      </c>
      <c r="C29" s="54" t="s">
        <v>65</v>
      </c>
      <c r="D29" s="76">
        <v>41592</v>
      </c>
      <c r="E29" s="53" t="s">
        <v>40</v>
      </c>
      <c r="F29" s="99"/>
      <c r="G29" s="56"/>
      <c r="H29" s="56"/>
      <c r="I29" s="57"/>
      <c r="J29" s="58">
        <f t="shared" si="8"/>
        <v>0</v>
      </c>
      <c r="K29" s="85"/>
      <c r="L29" s="85"/>
      <c r="M29" s="59"/>
      <c r="N29" s="59"/>
      <c r="O29" s="55"/>
      <c r="P29" s="106">
        <v>0</v>
      </c>
      <c r="Q29" s="58">
        <f t="shared" si="9"/>
        <v>0</v>
      </c>
      <c r="R29" s="60">
        <f t="shared" si="4"/>
        <v>0</v>
      </c>
      <c r="S29" s="58">
        <f t="shared" si="10"/>
        <v>0</v>
      </c>
      <c r="T29" s="61">
        <f t="shared" si="5"/>
        <v>0</v>
      </c>
      <c r="U29" s="60" t="e">
        <f>#REF!*0.02</f>
        <v>#REF!</v>
      </c>
      <c r="V29" s="58" t="e">
        <f t="shared" si="11"/>
        <v>#REF!</v>
      </c>
      <c r="W29" s="78"/>
      <c r="X29" s="72"/>
      <c r="Y29" s="77">
        <f t="shared" si="6"/>
        <v>0</v>
      </c>
      <c r="Z29" s="62"/>
      <c r="AA29" s="62" t="s">
        <v>86</v>
      </c>
      <c r="AB29" s="27" t="str">
        <f t="shared" si="7"/>
        <v>si</v>
      </c>
      <c r="AC29" s="91" t="s">
        <v>158</v>
      </c>
      <c r="AD29" s="90" t="s">
        <v>159</v>
      </c>
    </row>
    <row r="30" spans="1:30" s="27" customFormat="1" x14ac:dyDescent="0.25">
      <c r="A30" s="53" t="s">
        <v>35</v>
      </c>
      <c r="B30" s="62" t="s">
        <v>178</v>
      </c>
      <c r="C30" s="54" t="s">
        <v>66</v>
      </c>
      <c r="D30" s="76">
        <v>42030</v>
      </c>
      <c r="E30" s="53" t="s">
        <v>40</v>
      </c>
      <c r="F30" s="99">
        <v>816.44</v>
      </c>
      <c r="G30" s="55"/>
      <c r="H30" s="55"/>
      <c r="I30" s="57"/>
      <c r="J30" s="58">
        <f t="shared" si="8"/>
        <v>816.44</v>
      </c>
      <c r="K30" s="85"/>
      <c r="L30" s="85"/>
      <c r="M30" s="59"/>
      <c r="N30" s="59"/>
      <c r="O30" s="55"/>
      <c r="P30" s="106">
        <v>0</v>
      </c>
      <c r="Q30" s="58">
        <f t="shared" si="9"/>
        <v>816.44</v>
      </c>
      <c r="R30" s="60">
        <f t="shared" si="4"/>
        <v>0</v>
      </c>
      <c r="S30" s="58">
        <f t="shared" si="10"/>
        <v>816.44</v>
      </c>
      <c r="T30" s="61">
        <f t="shared" si="5"/>
        <v>81.644000000000005</v>
      </c>
      <c r="U30" s="60" t="e">
        <f>#REF!*0.02</f>
        <v>#REF!</v>
      </c>
      <c r="V30" s="58" t="e">
        <f t="shared" si="11"/>
        <v>#REF!</v>
      </c>
      <c r="W30" s="78"/>
      <c r="X30" s="73"/>
      <c r="Y30" s="77">
        <f t="shared" si="6"/>
        <v>-816.44</v>
      </c>
      <c r="Z30" s="62"/>
      <c r="AA30" s="62" t="s">
        <v>87</v>
      </c>
      <c r="AB30" s="27" t="str">
        <f t="shared" si="7"/>
        <v>si</v>
      </c>
      <c r="AC30" s="91" t="s">
        <v>160</v>
      </c>
      <c r="AD30" s="90" t="s">
        <v>161</v>
      </c>
    </row>
    <row r="31" spans="1:30" s="27" customFormat="1" x14ac:dyDescent="0.25">
      <c r="A31" s="53" t="s">
        <v>36</v>
      </c>
      <c r="B31" s="62" t="s">
        <v>110</v>
      </c>
      <c r="C31" s="54"/>
      <c r="D31" s="76">
        <v>42597</v>
      </c>
      <c r="E31" s="53" t="s">
        <v>40</v>
      </c>
      <c r="F31" s="99"/>
      <c r="G31" s="55"/>
      <c r="H31" s="55"/>
      <c r="I31" s="57"/>
      <c r="J31" s="58">
        <f t="shared" si="8"/>
        <v>0</v>
      </c>
      <c r="K31" s="85"/>
      <c r="L31" s="85"/>
      <c r="M31" s="59"/>
      <c r="N31" s="59"/>
      <c r="O31" s="55"/>
      <c r="P31" s="106"/>
      <c r="Q31" s="58">
        <f>+J31-SUM(K31:P31)</f>
        <v>0</v>
      </c>
      <c r="R31" s="60">
        <f>IF(J31&gt;2250,J31*0.1,0)</f>
        <v>0</v>
      </c>
      <c r="S31" s="58">
        <f>+Q31-R31</f>
        <v>0</v>
      </c>
      <c r="T31" s="61"/>
      <c r="U31" s="60"/>
      <c r="V31" s="58"/>
      <c r="W31" s="78"/>
      <c r="X31" s="73"/>
      <c r="Y31" s="77"/>
      <c r="Z31" s="62"/>
      <c r="AA31" s="64">
        <v>1148534756</v>
      </c>
      <c r="AB31" s="27" t="str">
        <f t="shared" si="7"/>
        <v>si</v>
      </c>
      <c r="AC31" s="91" t="s">
        <v>162</v>
      </c>
      <c r="AD31" s="90" t="s">
        <v>163</v>
      </c>
    </row>
    <row r="32" spans="1:30" s="27" customFormat="1" x14ac:dyDescent="0.25">
      <c r="A32" s="62" t="s">
        <v>34</v>
      </c>
      <c r="B32" s="62" t="s">
        <v>111</v>
      </c>
      <c r="C32" s="65"/>
      <c r="D32" s="76">
        <v>42618</v>
      </c>
      <c r="E32" s="62" t="s">
        <v>39</v>
      </c>
      <c r="F32" s="101">
        <f>600.35+124.86</f>
        <v>725.21</v>
      </c>
      <c r="G32" s="63"/>
      <c r="H32" s="63"/>
      <c r="I32" s="57"/>
      <c r="J32" s="58">
        <f>SUM(F32:H32)-I32</f>
        <v>725.21</v>
      </c>
      <c r="K32" s="85"/>
      <c r="L32" s="85"/>
      <c r="M32" s="59"/>
      <c r="N32" s="59"/>
      <c r="O32" s="55"/>
      <c r="P32" s="106"/>
      <c r="Q32" s="58">
        <f>+J32-SUM(K32:P32)</f>
        <v>725.21</v>
      </c>
      <c r="R32" s="60">
        <f>IF(J32&gt;2250,J32*0.1,0)</f>
        <v>0</v>
      </c>
      <c r="S32" s="58">
        <f>+Q32-R32</f>
        <v>725.21</v>
      </c>
      <c r="T32" s="61"/>
      <c r="U32" s="60"/>
      <c r="V32" s="58"/>
      <c r="W32" s="78"/>
      <c r="X32" s="72"/>
      <c r="Y32" s="77"/>
      <c r="Z32" s="62"/>
      <c r="AA32" s="64">
        <v>1137834713</v>
      </c>
      <c r="AB32" s="27" t="str">
        <f t="shared" si="7"/>
        <v>si</v>
      </c>
      <c r="AC32" s="91" t="s">
        <v>164</v>
      </c>
      <c r="AD32" s="90" t="s">
        <v>165</v>
      </c>
    </row>
    <row r="33" spans="1:42" s="27" customFormat="1" x14ac:dyDescent="0.25">
      <c r="A33" s="53" t="s">
        <v>35</v>
      </c>
      <c r="B33" s="62" t="s">
        <v>179</v>
      </c>
      <c r="C33" s="54" t="s">
        <v>67</v>
      </c>
      <c r="D33" s="76">
        <v>41435</v>
      </c>
      <c r="E33" s="53" t="s">
        <v>40</v>
      </c>
      <c r="F33" s="97">
        <v>8651.17</v>
      </c>
      <c r="G33" s="55"/>
      <c r="H33" s="55"/>
      <c r="I33" s="57"/>
      <c r="J33" s="58">
        <f t="shared" si="8"/>
        <v>8651.17</v>
      </c>
      <c r="K33" s="85"/>
      <c r="L33" s="85"/>
      <c r="M33" s="59"/>
      <c r="N33" s="59"/>
      <c r="O33" s="55"/>
      <c r="P33" s="106">
        <v>577.35</v>
      </c>
      <c r="Q33" s="58">
        <f t="shared" si="9"/>
        <v>8073.82</v>
      </c>
      <c r="R33" s="60">
        <f t="shared" si="4"/>
        <v>865.11700000000008</v>
      </c>
      <c r="S33" s="58">
        <f t="shared" si="10"/>
        <v>7208.7029999999995</v>
      </c>
      <c r="T33" s="61">
        <f t="shared" si="5"/>
        <v>0</v>
      </c>
      <c r="U33" s="60" t="e">
        <f>#REF!*0.02</f>
        <v>#REF!</v>
      </c>
      <c r="V33" s="58" t="e">
        <f t="shared" si="11"/>
        <v>#REF!</v>
      </c>
      <c r="W33" s="78"/>
      <c r="X33" s="73"/>
      <c r="Y33" s="77">
        <f t="shared" si="6"/>
        <v>-7208.7029999999995</v>
      </c>
      <c r="Z33" s="62"/>
      <c r="AA33" s="62" t="s">
        <v>88</v>
      </c>
      <c r="AB33" s="27" t="str">
        <f t="shared" si="7"/>
        <v>si</v>
      </c>
      <c r="AC33" s="91" t="s">
        <v>166</v>
      </c>
      <c r="AD33" s="90" t="s">
        <v>167</v>
      </c>
    </row>
    <row r="34" spans="1:42" x14ac:dyDescent="0.25">
      <c r="A34" s="62" t="s">
        <v>36</v>
      </c>
      <c r="B34" s="62" t="s">
        <v>180</v>
      </c>
      <c r="C34" s="65" t="s">
        <v>68</v>
      </c>
      <c r="D34" s="76">
        <v>41848</v>
      </c>
      <c r="E34" s="62" t="s">
        <v>40</v>
      </c>
      <c r="F34" s="96">
        <v>5196.68</v>
      </c>
      <c r="G34" s="63"/>
      <c r="H34" s="63"/>
      <c r="I34" s="57"/>
      <c r="J34" s="58">
        <f t="shared" si="8"/>
        <v>5196.68</v>
      </c>
      <c r="K34" s="85"/>
      <c r="L34" s="85"/>
      <c r="M34" s="59"/>
      <c r="N34" s="59"/>
      <c r="O34" s="55"/>
      <c r="P34" s="108">
        <v>1677</v>
      </c>
      <c r="Q34" s="58">
        <f>+J34-SUM(K34:P34)</f>
        <v>3519.6800000000003</v>
      </c>
      <c r="R34" s="60">
        <f t="shared" si="4"/>
        <v>519.66800000000001</v>
      </c>
      <c r="S34" s="67">
        <f>+Q34-R34</f>
        <v>3000.0120000000002</v>
      </c>
      <c r="T34" s="61">
        <f t="shared" si="5"/>
        <v>0</v>
      </c>
      <c r="U34" s="60" t="e">
        <f>#REF!*0.02</f>
        <v>#REF!</v>
      </c>
      <c r="V34" s="58" t="e">
        <f>+J34+T34+U34</f>
        <v>#REF!</v>
      </c>
      <c r="W34" s="78"/>
      <c r="X34" s="72"/>
      <c r="Y34" s="77">
        <f>+W34+X34-S34</f>
        <v>-3000.0120000000002</v>
      </c>
      <c r="Z34" s="62"/>
      <c r="AA34" s="62"/>
      <c r="AB34" s="27" t="str">
        <f t="shared" si="7"/>
        <v>si</v>
      </c>
      <c r="AC34" s="91" t="s">
        <v>168</v>
      </c>
      <c r="AD34" s="90" t="s">
        <v>169</v>
      </c>
    </row>
    <row r="35" spans="1:42" x14ac:dyDescent="0.25">
      <c r="A35" s="69" t="s">
        <v>36</v>
      </c>
      <c r="B35" s="69" t="s">
        <v>98</v>
      </c>
      <c r="C35" s="70"/>
      <c r="D35" s="76">
        <v>42496</v>
      </c>
      <c r="E35" s="62" t="s">
        <v>107</v>
      </c>
      <c r="F35" s="97"/>
      <c r="G35" s="63"/>
      <c r="H35" s="63"/>
      <c r="I35" s="57"/>
      <c r="J35" s="58">
        <f t="shared" si="8"/>
        <v>0</v>
      </c>
      <c r="K35" s="85"/>
      <c r="L35" s="85"/>
      <c r="M35" s="59"/>
      <c r="N35" s="59"/>
      <c r="O35" s="55"/>
      <c r="P35" s="106">
        <v>0</v>
      </c>
      <c r="Q35" s="58">
        <f>+J35-SUM(K35:P35)</f>
        <v>0</v>
      </c>
      <c r="R35" s="60">
        <f>IF(J35&gt;2250,J35*0.1,0)</f>
        <v>0</v>
      </c>
      <c r="S35" s="67">
        <f>+Q35-R35</f>
        <v>0</v>
      </c>
      <c r="T35" s="61">
        <f t="shared" si="5"/>
        <v>0</v>
      </c>
      <c r="U35" s="60" t="e">
        <f>#REF!*0.02</f>
        <v>#REF!</v>
      </c>
      <c r="V35" s="58" t="e">
        <f>+J35+T35+U35</f>
        <v>#REF!</v>
      </c>
      <c r="W35" s="78"/>
      <c r="X35" s="78"/>
      <c r="Y35" s="77">
        <f>+W35+X35-S35</f>
        <v>0</v>
      </c>
      <c r="Z35" s="68"/>
      <c r="AA35" s="64">
        <v>1129582916</v>
      </c>
      <c r="AB35" s="27" t="str">
        <f t="shared" si="7"/>
        <v>si</v>
      </c>
      <c r="AC35" s="91" t="s">
        <v>170</v>
      </c>
      <c r="AD35" s="90" t="s">
        <v>171</v>
      </c>
    </row>
    <row r="36" spans="1:42" x14ac:dyDescent="0.25">
      <c r="A36" s="53" t="s">
        <v>36</v>
      </c>
      <c r="B36" s="62" t="s">
        <v>51</v>
      </c>
      <c r="C36" s="54" t="s">
        <v>69</v>
      </c>
      <c r="D36" s="76">
        <v>42215</v>
      </c>
      <c r="E36" s="53" t="s">
        <v>40</v>
      </c>
      <c r="F36" s="99"/>
      <c r="G36" s="56"/>
      <c r="H36" s="56"/>
      <c r="I36" s="57"/>
      <c r="J36" s="58">
        <f t="shared" si="8"/>
        <v>0</v>
      </c>
      <c r="K36" s="85"/>
      <c r="L36" s="85"/>
      <c r="M36" s="59"/>
      <c r="N36" s="59"/>
      <c r="O36" s="55"/>
      <c r="P36" s="106">
        <v>0</v>
      </c>
      <c r="Q36" s="58">
        <f t="shared" si="9"/>
        <v>0</v>
      </c>
      <c r="R36" s="60">
        <f t="shared" si="4"/>
        <v>0</v>
      </c>
      <c r="S36" s="58">
        <f t="shared" si="10"/>
        <v>0</v>
      </c>
      <c r="T36" s="61">
        <f t="shared" si="5"/>
        <v>0</v>
      </c>
      <c r="U36" s="60" t="e">
        <f>#REF!*0.02</f>
        <v>#REF!</v>
      </c>
      <c r="V36" s="58" t="e">
        <f t="shared" si="11"/>
        <v>#REF!</v>
      </c>
      <c r="W36" s="78"/>
      <c r="X36" s="72"/>
      <c r="Y36" s="77">
        <f t="shared" si="6"/>
        <v>0</v>
      </c>
      <c r="Z36" s="71"/>
      <c r="AA36" s="62" t="s">
        <v>89</v>
      </c>
      <c r="AB36" s="27" t="str">
        <f t="shared" si="7"/>
        <v>si</v>
      </c>
      <c r="AC36" s="91" t="s">
        <v>172</v>
      </c>
      <c r="AD36" s="90" t="s">
        <v>173</v>
      </c>
      <c r="AE36" s="27"/>
      <c r="AF36" s="27"/>
      <c r="AG36" s="27"/>
      <c r="AH36" s="27"/>
      <c r="AI36" s="27"/>
      <c r="AJ36" s="27"/>
      <c r="AK36" s="27"/>
      <c r="AL36" s="27"/>
      <c r="AM36" s="27"/>
      <c r="AN36" s="27"/>
      <c r="AO36" s="27"/>
      <c r="AP36" s="27"/>
    </row>
    <row r="37" spans="1:42" x14ac:dyDescent="0.25">
      <c r="A37" s="43"/>
      <c r="B37" s="43"/>
      <c r="C37" s="44"/>
      <c r="D37" s="44"/>
      <c r="E37" s="43"/>
      <c r="F37" s="102"/>
      <c r="G37" s="46"/>
      <c r="H37" s="46"/>
      <c r="I37" s="47"/>
      <c r="J37" s="48"/>
      <c r="K37" s="49"/>
      <c r="L37" s="85"/>
      <c r="M37" s="50"/>
      <c r="N37" s="50"/>
      <c r="O37" s="45"/>
      <c r="P37" s="102"/>
      <c r="Q37" s="48"/>
      <c r="R37" s="51"/>
      <c r="S37" s="48"/>
      <c r="T37" s="52"/>
      <c r="U37" s="51"/>
      <c r="V37" s="48"/>
      <c r="W37" s="27"/>
      <c r="X37" s="27"/>
      <c r="Y37" s="28">
        <f t="shared" si="6"/>
        <v>0</v>
      </c>
      <c r="Z37" s="27"/>
      <c r="AA37" s="27"/>
      <c r="AB37" s="27"/>
      <c r="AC37" s="27"/>
      <c r="AD37" s="27"/>
      <c r="AE37" s="27"/>
      <c r="AF37" s="27"/>
      <c r="AG37" s="27"/>
      <c r="AH37" s="27"/>
      <c r="AI37" s="27"/>
      <c r="AJ37" s="27"/>
      <c r="AK37" s="27"/>
      <c r="AL37" s="27"/>
      <c r="AM37" s="27"/>
      <c r="AN37" s="27"/>
      <c r="AO37" s="27"/>
      <c r="AP37" s="27"/>
    </row>
    <row r="38" spans="1:42" x14ac:dyDescent="0.25">
      <c r="A38" s="32"/>
      <c r="B38" s="20"/>
      <c r="C38" s="30"/>
      <c r="D38" s="30"/>
      <c r="E38" s="20"/>
      <c r="F38" s="103"/>
      <c r="G38" s="2"/>
      <c r="H38" s="2"/>
      <c r="I38" s="21"/>
      <c r="J38" s="22"/>
      <c r="K38" s="23"/>
      <c r="L38" s="85"/>
      <c r="M38" s="24"/>
      <c r="N38" s="24"/>
      <c r="O38" s="2"/>
      <c r="P38" s="103"/>
      <c r="Q38" s="22"/>
      <c r="R38" s="25"/>
      <c r="S38" s="22"/>
      <c r="T38" s="26"/>
      <c r="U38" s="25"/>
      <c r="V38" s="22"/>
      <c r="W38" s="27"/>
      <c r="X38" s="27"/>
      <c r="Y38" s="28">
        <f t="shared" si="6"/>
        <v>0</v>
      </c>
      <c r="Z38" s="27"/>
      <c r="AA38" s="27"/>
      <c r="AB38" s="27"/>
      <c r="AC38" s="27"/>
      <c r="AD38" s="27"/>
      <c r="AE38" s="27"/>
      <c r="AF38" s="27"/>
      <c r="AG38" s="27"/>
      <c r="AH38" s="27"/>
      <c r="AI38" s="27"/>
      <c r="AJ38" s="27"/>
      <c r="AK38" s="27"/>
      <c r="AL38" s="27"/>
      <c r="AM38" s="27"/>
      <c r="AN38" s="27"/>
      <c r="AO38" s="27"/>
      <c r="AP38" s="27"/>
    </row>
    <row r="39" spans="1:42" x14ac:dyDescent="0.25">
      <c r="A39" s="32"/>
      <c r="B39" s="20"/>
      <c r="C39" s="30"/>
      <c r="D39" s="30"/>
      <c r="E39" s="20"/>
      <c r="F39" s="103"/>
      <c r="G39" s="2"/>
      <c r="H39" s="2"/>
      <c r="I39" s="21"/>
      <c r="J39" s="22"/>
      <c r="K39" s="23"/>
      <c r="L39" s="85"/>
      <c r="M39" s="24"/>
      <c r="N39" s="24"/>
      <c r="O39" s="25"/>
      <c r="P39" s="107"/>
      <c r="Q39" s="22"/>
      <c r="R39" s="25"/>
      <c r="S39" s="22"/>
      <c r="T39" s="26"/>
      <c r="U39" s="25"/>
      <c r="V39" s="22"/>
      <c r="W39" s="27"/>
      <c r="X39" s="27"/>
      <c r="Y39" s="28">
        <f t="shared" si="6"/>
        <v>0</v>
      </c>
      <c r="Z39" s="27"/>
      <c r="AA39" s="27"/>
      <c r="AB39" s="27"/>
      <c r="AC39" s="27"/>
      <c r="AD39" s="27"/>
      <c r="AE39" s="27"/>
      <c r="AF39" s="27"/>
      <c r="AG39" s="27"/>
      <c r="AH39" s="27"/>
      <c r="AI39" s="27"/>
      <c r="AJ39" s="27"/>
      <c r="AK39" s="27"/>
      <c r="AL39" s="27"/>
      <c r="AM39" s="27"/>
      <c r="AN39" s="27"/>
      <c r="AO39" s="27"/>
      <c r="AP39" s="27"/>
    </row>
    <row r="40" spans="1:42" s="27" customFormat="1" x14ac:dyDescent="0.25">
      <c r="A40" s="32"/>
      <c r="B40" s="33"/>
      <c r="C40" s="33"/>
      <c r="D40" s="33"/>
      <c r="E40" s="33"/>
      <c r="F40" s="104"/>
      <c r="G40" s="34"/>
      <c r="H40" s="34"/>
      <c r="I40" s="34"/>
      <c r="J40" s="35"/>
      <c r="K40" s="34"/>
      <c r="L40" s="34"/>
      <c r="M40" s="25"/>
      <c r="N40" s="25"/>
      <c r="O40" s="25"/>
      <c r="P40" s="107"/>
      <c r="Q40" s="36"/>
      <c r="R40" s="25"/>
      <c r="S40" s="35"/>
      <c r="T40" s="25"/>
      <c r="U40" s="25"/>
      <c r="V40" s="35"/>
      <c r="Y40" s="28">
        <f t="shared" si="6"/>
        <v>0</v>
      </c>
    </row>
    <row r="41" spans="1:42" ht="15.75" thickBot="1" x14ac:dyDescent="0.3">
      <c r="B41" s="37" t="s">
        <v>1</v>
      </c>
      <c r="C41" s="37"/>
      <c r="D41" s="37"/>
      <c r="E41" s="37"/>
      <c r="F41" s="105">
        <f>SUM(F7:F36)</f>
        <v>118559.62000000002</v>
      </c>
      <c r="G41" s="38">
        <f>SUM(G7:G29)</f>
        <v>0</v>
      </c>
      <c r="H41" s="38">
        <f>SUM(H7:H29)</f>
        <v>0</v>
      </c>
      <c r="I41" s="38"/>
      <c r="J41" s="38">
        <f>SUM(J7:J36)</f>
        <v>118559.62000000002</v>
      </c>
      <c r="K41" s="38">
        <f>SUM(K7:K29)</f>
        <v>0</v>
      </c>
      <c r="L41" s="38"/>
      <c r="M41" s="38">
        <f>SUM(M7:M29)</f>
        <v>0</v>
      </c>
      <c r="N41" s="38">
        <f>SUM(N7:N29)</f>
        <v>0</v>
      </c>
      <c r="O41" s="38">
        <f>SUM(O7:O29)</f>
        <v>0</v>
      </c>
      <c r="P41" s="105">
        <f>SUM(P7:P36)</f>
        <v>6035.45</v>
      </c>
      <c r="Q41" s="38">
        <f>SUM(Q7:Q36)</f>
        <v>112524.17000000001</v>
      </c>
      <c r="R41" s="38">
        <f>SUBTOTAL(9,R5:R40)</f>
        <v>10536.091</v>
      </c>
      <c r="S41" s="38">
        <f>SUM(S7:S36)</f>
        <v>101988.07900000001</v>
      </c>
      <c r="T41" s="38">
        <f>SUM(T7:T29)</f>
        <v>865.30799999999999</v>
      </c>
      <c r="U41" s="38" t="e">
        <f>SUM(U7:U29)</f>
        <v>#REF!</v>
      </c>
      <c r="V41" s="38" t="e">
        <f>SUBTOTAL(9,V5:V40)</f>
        <v>#REF!</v>
      </c>
      <c r="W41" s="27"/>
      <c r="X41" s="27"/>
      <c r="Y41" s="28"/>
      <c r="AA41" s="27"/>
      <c r="AB41" s="27"/>
    </row>
    <row r="42" spans="1:42" ht="15.75" thickTop="1" x14ac:dyDescent="0.25">
      <c r="V42" s="16" t="e">
        <f>V41*0.16</f>
        <v>#REF!</v>
      </c>
      <c r="W42" s="27"/>
      <c r="X42" s="27"/>
      <c r="Y42" s="28">
        <f t="shared" si="6"/>
        <v>0</v>
      </c>
      <c r="AA42" s="27"/>
      <c r="AB42" s="27"/>
    </row>
    <row r="43" spans="1:42" x14ac:dyDescent="0.25">
      <c r="A43" s="172" t="s">
        <v>12</v>
      </c>
      <c r="B43" s="172"/>
      <c r="R43" s="4">
        <f>+R41-R42</f>
        <v>10536.091</v>
      </c>
      <c r="V43" s="16" t="e">
        <f>+V41+V42</f>
        <v>#REF!</v>
      </c>
      <c r="W43" s="27"/>
      <c r="X43" s="27"/>
      <c r="Y43" s="28">
        <f t="shared" si="6"/>
        <v>0</v>
      </c>
      <c r="Z43" s="4">
        <v>112981.14</v>
      </c>
      <c r="AB43" s="27"/>
    </row>
    <row r="44" spans="1:42" x14ac:dyDescent="0.25">
      <c r="AB44" s="27"/>
    </row>
    <row r="45" spans="1:42" x14ac:dyDescent="0.25">
      <c r="A45" s="32"/>
      <c r="B45" s="30"/>
      <c r="C45" s="30"/>
      <c r="D45" s="30"/>
      <c r="E45" s="30"/>
      <c r="F45" s="103"/>
      <c r="G45" s="3"/>
      <c r="H45" s="3"/>
      <c r="I45" s="3"/>
      <c r="J45" s="22">
        <f>SUM(F45:I45)</f>
        <v>0</v>
      </c>
      <c r="K45" s="23"/>
      <c r="L45" s="23"/>
      <c r="M45" s="24"/>
      <c r="N45" s="24"/>
      <c r="O45" s="24"/>
      <c r="P45" s="107"/>
      <c r="Q45" s="22">
        <f>+J45-K45</f>
        <v>0</v>
      </c>
      <c r="R45" s="25">
        <f>+Q45*0.05</f>
        <v>0</v>
      </c>
      <c r="S45" s="22">
        <f>+Q45-M45-P45</f>
        <v>0</v>
      </c>
      <c r="T45" s="26">
        <f>IF(Q45&lt;3000,Q45*0.1,0)</f>
        <v>0</v>
      </c>
      <c r="U45" s="25">
        <v>0</v>
      </c>
      <c r="V45" s="22">
        <f>+Q45+T45+U45</f>
        <v>0</v>
      </c>
      <c r="W45" s="27"/>
      <c r="X45" s="27"/>
      <c r="Y45" s="28">
        <f t="shared" si="6"/>
        <v>0</v>
      </c>
      <c r="AB45" s="27"/>
    </row>
    <row r="46" spans="1:42" x14ac:dyDescent="0.25">
      <c r="V46" s="16" t="e">
        <f>SUM(V34:V45)</f>
        <v>#REF!</v>
      </c>
      <c r="W46" s="27"/>
      <c r="X46" s="27"/>
      <c r="Y46" s="28">
        <f t="shared" si="6"/>
        <v>0</v>
      </c>
      <c r="AB46" s="27"/>
    </row>
    <row r="47" spans="1:42" x14ac:dyDescent="0.25">
      <c r="B47" s="39" t="s">
        <v>2</v>
      </c>
      <c r="C47" s="39"/>
      <c r="D47" s="39"/>
      <c r="V47" s="16" t="e">
        <f>+V46*0.16</f>
        <v>#REF!</v>
      </c>
      <c r="W47" s="27"/>
      <c r="X47" s="27"/>
      <c r="Y47" s="28">
        <f t="shared" si="6"/>
        <v>0</v>
      </c>
      <c r="AB47" s="27"/>
    </row>
    <row r="48" spans="1:42" x14ac:dyDescent="0.25">
      <c r="B48" s="39"/>
      <c r="C48" s="39"/>
      <c r="D48" s="39"/>
      <c r="V48" s="16" t="e">
        <f>+V46+V47</f>
        <v>#REF!</v>
      </c>
      <c r="W48" s="31"/>
      <c r="X48" s="31"/>
      <c r="Y48" s="28">
        <f t="shared" si="6"/>
        <v>0</v>
      </c>
      <c r="AB48" s="27"/>
    </row>
    <row r="49" spans="1:25" x14ac:dyDescent="0.25">
      <c r="B49" s="39"/>
      <c r="C49" s="39"/>
      <c r="D49" s="39"/>
      <c r="W49" s="27"/>
      <c r="X49" s="27"/>
      <c r="Y49" s="27"/>
    </row>
    <row r="50" spans="1:25" x14ac:dyDescent="0.25">
      <c r="B50" s="39" t="s">
        <v>3</v>
      </c>
      <c r="C50" s="39"/>
      <c r="D50" s="39"/>
      <c r="V50" s="16" t="e">
        <f>+V43+V48</f>
        <v>#REF!</v>
      </c>
      <c r="W50" s="27"/>
      <c r="X50" s="27"/>
      <c r="Y50" s="27"/>
    </row>
    <row r="51" spans="1:25" x14ac:dyDescent="0.25">
      <c r="B51" s="27"/>
      <c r="W51" s="27"/>
      <c r="X51" s="27"/>
      <c r="Y51" s="27"/>
    </row>
    <row r="52" spans="1:25" x14ac:dyDescent="0.25">
      <c r="B52" s="27"/>
      <c r="W52" s="27"/>
      <c r="X52" s="27"/>
      <c r="Y52" s="27"/>
    </row>
    <row r="53" spans="1:25" x14ac:dyDescent="0.25">
      <c r="B53" s="27"/>
      <c r="W53" s="27"/>
      <c r="X53" s="27"/>
      <c r="Y53" s="27"/>
    </row>
    <row r="54" spans="1:25" x14ac:dyDescent="0.25">
      <c r="B54" s="27"/>
      <c r="W54" s="27"/>
      <c r="X54" s="27"/>
      <c r="Y54" s="27"/>
    </row>
    <row r="55" spans="1:25" x14ac:dyDescent="0.25">
      <c r="W55" s="27"/>
      <c r="X55" s="27"/>
      <c r="Y55" s="27"/>
    </row>
    <row r="56" spans="1:25" x14ac:dyDescent="0.25">
      <c r="W56" s="27"/>
      <c r="X56" s="27"/>
      <c r="Y56" s="27"/>
    </row>
    <row r="57" spans="1:25" x14ac:dyDescent="0.25">
      <c r="A57" s="29" t="s">
        <v>22</v>
      </c>
      <c r="B57" s="4"/>
      <c r="W57" s="27"/>
      <c r="X57" s="27"/>
      <c r="Y57" s="27"/>
    </row>
    <row r="58" spans="1:25" x14ac:dyDescent="0.25">
      <c r="A58" s="29" t="s">
        <v>23</v>
      </c>
      <c r="B58" s="4"/>
      <c r="W58" s="27"/>
      <c r="X58" s="27"/>
      <c r="Y58" s="27"/>
    </row>
    <row r="59" spans="1:25" x14ac:dyDescent="0.25">
      <c r="A59" s="29" t="s">
        <v>24</v>
      </c>
      <c r="B59" s="4"/>
      <c r="W59" s="27"/>
      <c r="X59" s="27"/>
      <c r="Y59" s="27"/>
    </row>
    <row r="60" spans="1:25" x14ac:dyDescent="0.25">
      <c r="A60" s="29" t="s">
        <v>25</v>
      </c>
      <c r="B60" s="4"/>
      <c r="W60" s="27"/>
      <c r="X60" s="27"/>
      <c r="Y60" s="27"/>
    </row>
    <row r="61" spans="1:25" x14ac:dyDescent="0.25">
      <c r="A61" s="29" t="s">
        <v>26</v>
      </c>
      <c r="B61" s="4"/>
      <c r="W61" s="27"/>
      <c r="X61" s="27"/>
      <c r="Y61" s="27"/>
    </row>
    <row r="62" spans="1:25" x14ac:dyDescent="0.25">
      <c r="A62" s="29" t="s">
        <v>27</v>
      </c>
      <c r="B62" s="4"/>
      <c r="W62" s="27"/>
      <c r="X62" s="27"/>
      <c r="Y62" s="27"/>
    </row>
    <row r="63" spans="1:25" x14ac:dyDescent="0.25">
      <c r="W63" s="27"/>
      <c r="X63" s="27"/>
      <c r="Y63" s="27"/>
    </row>
    <row r="64" spans="1:25" x14ac:dyDescent="0.25">
      <c r="W64" s="27"/>
      <c r="X64" s="27"/>
      <c r="Y64" s="27"/>
    </row>
    <row r="65" spans="23:25" x14ac:dyDescent="0.25">
      <c r="W65" s="27"/>
      <c r="X65" s="27"/>
      <c r="Y65" s="27"/>
    </row>
    <row r="66" spans="23:25" x14ac:dyDescent="0.25">
      <c r="W66" s="27"/>
      <c r="X66" s="27"/>
      <c r="Y66" s="27"/>
    </row>
    <row r="67" spans="23:25" x14ac:dyDescent="0.25">
      <c r="W67" s="31"/>
      <c r="X67" s="31"/>
      <c r="Y67" s="31"/>
    </row>
    <row r="68" spans="23:25" x14ac:dyDescent="0.25">
      <c r="W68" s="27"/>
      <c r="X68" s="27"/>
      <c r="Y68" s="27"/>
    </row>
    <row r="69" spans="23:25" x14ac:dyDescent="0.25">
      <c r="W69" s="27"/>
      <c r="X69" s="27"/>
      <c r="Y69" s="27"/>
    </row>
    <row r="70" spans="23:25" x14ac:dyDescent="0.25">
      <c r="W70" s="27"/>
      <c r="X70" s="27"/>
      <c r="Y70" s="27"/>
    </row>
    <row r="71" spans="23:25" x14ac:dyDescent="0.25">
      <c r="W71" s="27"/>
      <c r="X71" s="27"/>
      <c r="Y71" s="27"/>
    </row>
    <row r="72" spans="23:25" x14ac:dyDescent="0.25">
      <c r="W72" s="27"/>
      <c r="X72" s="27"/>
      <c r="Y72" s="27"/>
    </row>
    <row r="73" spans="23:25" x14ac:dyDescent="0.25">
      <c r="W73" s="27"/>
      <c r="X73" s="27"/>
      <c r="Y73" s="27"/>
    </row>
    <row r="74" spans="23:25" x14ac:dyDescent="0.25">
      <c r="W74" s="27"/>
      <c r="X74" s="27"/>
      <c r="Y74" s="27"/>
    </row>
    <row r="75" spans="23:25" x14ac:dyDescent="0.25">
      <c r="W75" s="27"/>
      <c r="X75" s="27"/>
      <c r="Y75" s="27"/>
    </row>
    <row r="76" spans="23:25" x14ac:dyDescent="0.25">
      <c r="W76" s="27"/>
      <c r="X76" s="27"/>
      <c r="Y76" s="27"/>
    </row>
    <row r="77" spans="23:25" x14ac:dyDescent="0.25">
      <c r="W77" s="31"/>
      <c r="X77" s="31"/>
      <c r="Y77" s="31"/>
    </row>
    <row r="78" spans="23:25" x14ac:dyDescent="0.25">
      <c r="W78" s="27"/>
      <c r="X78" s="27"/>
      <c r="Y78" s="27"/>
    </row>
    <row r="79" spans="23:25" x14ac:dyDescent="0.25">
      <c r="W79" s="27"/>
      <c r="X79" s="27"/>
      <c r="Y79" s="27"/>
    </row>
    <row r="80" spans="23:25" x14ac:dyDescent="0.25">
      <c r="W80" s="27"/>
      <c r="X80" s="27"/>
      <c r="Y80" s="27"/>
    </row>
    <row r="81" spans="23:25" x14ac:dyDescent="0.25">
      <c r="W81" s="27"/>
      <c r="X81" s="27"/>
      <c r="Y81" s="27"/>
    </row>
    <row r="82" spans="23:25" x14ac:dyDescent="0.25">
      <c r="W82" s="27"/>
      <c r="X82" s="27"/>
      <c r="Y82" s="27"/>
    </row>
    <row r="83" spans="23:25" x14ac:dyDescent="0.25">
      <c r="W83" s="27"/>
      <c r="X83" s="27"/>
      <c r="Y83" s="27"/>
    </row>
    <row r="84" spans="23:25" x14ac:dyDescent="0.25">
      <c r="W84" s="27"/>
      <c r="X84" s="27"/>
      <c r="Y84" s="27"/>
    </row>
    <row r="85" spans="23:25" x14ac:dyDescent="0.25">
      <c r="W85" s="27"/>
      <c r="X85" s="27"/>
      <c r="Y85" s="27"/>
    </row>
    <row r="86" spans="23:25" x14ac:dyDescent="0.25">
      <c r="W86" s="27"/>
      <c r="X86" s="27"/>
      <c r="Y86" s="27"/>
    </row>
    <row r="87" spans="23:25" x14ac:dyDescent="0.25">
      <c r="W87" s="27"/>
      <c r="X87" s="27"/>
      <c r="Y87" s="27"/>
    </row>
    <row r="88" spans="23:25" x14ac:dyDescent="0.25">
      <c r="W88" s="27"/>
      <c r="X88" s="27"/>
      <c r="Y88" s="27"/>
    </row>
    <row r="89" spans="23:25" x14ac:dyDescent="0.25">
      <c r="W89" s="27"/>
      <c r="X89" s="27"/>
      <c r="Y89" s="27"/>
    </row>
    <row r="90" spans="23:25" x14ac:dyDescent="0.25">
      <c r="W90" s="27"/>
      <c r="X90" s="27"/>
      <c r="Y90" s="27"/>
    </row>
    <row r="91" spans="23:25" x14ac:dyDescent="0.25">
      <c r="W91" s="27"/>
      <c r="X91" s="27"/>
      <c r="Y91" s="27"/>
    </row>
    <row r="92" spans="23:25" x14ac:dyDescent="0.25">
      <c r="W92" s="27"/>
      <c r="X92" s="27"/>
      <c r="Y92" s="27"/>
    </row>
    <row r="93" spans="23:25" x14ac:dyDescent="0.25">
      <c r="W93" s="27"/>
      <c r="X93" s="27"/>
      <c r="Y93" s="27"/>
    </row>
    <row r="94" spans="23:25" x14ac:dyDescent="0.25">
      <c r="W94" s="27"/>
      <c r="X94" s="27"/>
      <c r="Y94" s="27"/>
    </row>
    <row r="95" spans="23:25" ht="15.75" thickBot="1" x14ac:dyDescent="0.3">
      <c r="W95" s="38">
        <f>SUM(W7:W94)</f>
        <v>0</v>
      </c>
      <c r="X95" s="38">
        <f>SUM(X7:X94)</f>
        <v>0</v>
      </c>
      <c r="Y95" s="40"/>
    </row>
    <row r="96" spans="23:25" ht="15.75" thickTop="1" x14ac:dyDescent="0.25">
      <c r="W96" s="16"/>
      <c r="X96" s="16"/>
      <c r="Y96" s="16"/>
    </row>
    <row r="97" spans="23:25" x14ac:dyDescent="0.25">
      <c r="W97" s="16"/>
      <c r="X97" s="16"/>
      <c r="Y97" s="16"/>
    </row>
    <row r="98" spans="23:25" x14ac:dyDescent="0.25">
      <c r="W98" s="22" t="e">
        <f>+P98+#REF!+V98</f>
        <v>#REF!</v>
      </c>
      <c r="X98" s="22" t="e">
        <f>+Q98+V98+W98</f>
        <v>#REF!</v>
      </c>
      <c r="Y98" s="41"/>
    </row>
    <row r="99" spans="23:25" x14ac:dyDescent="0.25">
      <c r="W99" s="22" t="e">
        <f>+P99+#REF!+V99</f>
        <v>#REF!</v>
      </c>
      <c r="X99" s="22" t="e">
        <f>+Q99+V99+W99</f>
        <v>#REF!</v>
      </c>
      <c r="Y99" s="41"/>
    </row>
  </sheetData>
  <sheetProtection selectLockedCells="1" selectUnlockedCells="1"/>
  <autoFilter ref="A6:AP48">
    <sortState ref="A8:AW49">
      <sortCondition ref="B6"/>
    </sortState>
  </autoFilter>
  <mergeCells count="23">
    <mergeCell ref="AA5:AA6"/>
    <mergeCell ref="T5:T6"/>
    <mergeCell ref="Q5:Q6"/>
    <mergeCell ref="S5:S6"/>
    <mergeCell ref="W5:X5"/>
    <mergeCell ref="R5:R6"/>
    <mergeCell ref="Z5:Z6"/>
    <mergeCell ref="V5:V6"/>
    <mergeCell ref="U5:U6"/>
    <mergeCell ref="A43:B43"/>
    <mergeCell ref="P5:P6"/>
    <mergeCell ref="N5:N6"/>
    <mergeCell ref="H5:H6"/>
    <mergeCell ref="A5:A6"/>
    <mergeCell ref="G5:G6"/>
    <mergeCell ref="I5:I6"/>
    <mergeCell ref="E5:E6"/>
    <mergeCell ref="M5:M6"/>
    <mergeCell ref="O5:O6"/>
    <mergeCell ref="J5:J6"/>
    <mergeCell ref="C5:C6"/>
    <mergeCell ref="B5:B6"/>
    <mergeCell ref="K5:K6"/>
  </mergeCells>
  <pageMargins left="0.32708333333333334" right="8.4027777777777785E-2" top="0.29097222222222224" bottom="0.35277777777777775" header="2.5694444444444443E-2" footer="8.7499999999999994E-2"/>
  <pageSetup scale="42" orientation="portrait" useFirstPageNumber="1" horizontalDpi="300" verticalDpi="300" r:id="rId1"/>
  <headerFooter alignWithMargins="0">
    <oddHeader>&amp;C&amp;"Times New Roman,Normal"&amp;12&amp;A</oddHeader>
    <oddFooter>&amp;C&amp;"Times New Roman,Normal"&amp;12Página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H105"/>
  <sheetViews>
    <sheetView workbookViewId="0">
      <pane xSplit="2" ySplit="10" topLeftCell="N11" activePane="bottomRight" state="frozen"/>
      <selection pane="topRight" activeCell="C1" sqref="C1"/>
      <selection pane="bottomLeft" activeCell="A11" sqref="A11"/>
      <selection pane="bottomRight" activeCell="W30" sqref="W30"/>
    </sheetView>
  </sheetViews>
  <sheetFormatPr baseColWidth="10" defaultRowHeight="15" x14ac:dyDescent="0.25"/>
  <cols>
    <col min="2" max="2" width="30.85546875" bestFit="1" customWidth="1"/>
    <col min="4" max="4" width="14.28515625" style="133" customWidth="1"/>
    <col min="5" max="5" width="0.85546875" style="133" customWidth="1"/>
    <col min="6" max="6" width="2.85546875" style="133" customWidth="1"/>
    <col min="7" max="7" width="11.140625" style="133" bestFit="1" customWidth="1"/>
    <col min="8" max="8" width="8.5703125" style="133" customWidth="1"/>
    <col min="9" max="9" width="9.7109375" style="133" bestFit="1" customWidth="1"/>
    <col min="10" max="10" width="8.7109375" style="133" bestFit="1" customWidth="1"/>
    <col min="11" max="11" width="9.28515625" style="133" bestFit="1" customWidth="1"/>
    <col min="12" max="12" width="7.85546875" style="133" bestFit="1" customWidth="1"/>
    <col min="13" max="13" width="8.7109375" style="133" bestFit="1" customWidth="1"/>
    <col min="14" max="14" width="4.5703125" style="133" customWidth="1"/>
    <col min="15" max="15" width="14.42578125" style="133" customWidth="1"/>
    <col min="16" max="16" width="12.85546875" style="133" customWidth="1"/>
    <col min="17" max="17" width="10.140625" style="133" customWidth="1"/>
    <col min="18" max="18" width="11.42578125" style="133"/>
    <col min="23" max="23" width="28.7109375" style="29" customWidth="1"/>
    <col min="24" max="24" width="43.85546875" style="29" customWidth="1"/>
    <col min="25" max="25" width="8.85546875" style="29" customWidth="1"/>
    <col min="26" max="26" width="21.140625" style="29" bestFit="1" customWidth="1"/>
    <col min="27" max="27" width="28.5703125" style="29" bestFit="1" customWidth="1"/>
    <col min="28" max="28" width="18.42578125" style="93" customWidth="1"/>
    <col min="29" max="29" width="18.42578125" style="4" hidden="1" customWidth="1"/>
    <col min="30" max="31" width="13.5703125" style="4" hidden="1" customWidth="1"/>
    <col min="32" max="32" width="17" style="16" customWidth="1"/>
    <col min="33" max="37" width="13.5703125" style="4" hidden="1" customWidth="1"/>
    <col min="38" max="38" width="13.5703125" style="93" customWidth="1"/>
    <col min="39" max="39" width="16.7109375" style="16" hidden="1" customWidth="1"/>
    <col min="40" max="40" width="16.7109375" style="4" hidden="1" customWidth="1"/>
    <col min="41" max="41" width="15.42578125" style="16" hidden="1" customWidth="1"/>
    <col min="42" max="43" width="13.5703125" style="4" hidden="1" customWidth="1"/>
    <col min="44" max="44" width="15.42578125" style="16" hidden="1" customWidth="1"/>
    <col min="45" max="45" width="23.140625" style="29" hidden="1" customWidth="1"/>
    <col min="46" max="46" width="17.85546875" style="29" hidden="1" customWidth="1"/>
    <col min="47" max="47" width="22.5703125" style="29" hidden="1" customWidth="1"/>
    <col min="48" max="48" width="21.28515625" style="29" hidden="1" customWidth="1"/>
    <col min="49" max="49" width="28.42578125" style="29" customWidth="1"/>
    <col min="50" max="51" width="11.5703125" style="29" customWidth="1"/>
    <col min="52" max="52" width="29" style="29" bestFit="1" customWidth="1"/>
    <col min="53" max="60" width="11.42578125" style="29"/>
  </cols>
  <sheetData>
    <row r="1" spans="1:60" x14ac:dyDescent="0.25">
      <c r="A1" s="112" t="s">
        <v>181</v>
      </c>
      <c r="B1" s="114" t="s">
        <v>182</v>
      </c>
      <c r="C1" s="109"/>
      <c r="D1" s="132"/>
      <c r="E1" s="132"/>
      <c r="F1" s="132"/>
      <c r="G1"/>
      <c r="H1"/>
      <c r="I1"/>
      <c r="J1"/>
      <c r="K1"/>
      <c r="L1"/>
      <c r="M1"/>
      <c r="N1"/>
      <c r="O1"/>
      <c r="P1"/>
      <c r="Q1"/>
      <c r="W1" s="5" t="s">
        <v>4</v>
      </c>
      <c r="X1" s="5"/>
      <c r="Y1" s="5"/>
      <c r="Z1" s="5"/>
      <c r="AA1" s="6"/>
      <c r="AB1" s="92"/>
      <c r="AC1" s="7"/>
      <c r="AD1" s="7"/>
      <c r="AE1" s="7"/>
      <c r="AF1" s="8"/>
      <c r="AG1" s="7"/>
      <c r="AH1" s="7"/>
      <c r="AI1" s="7"/>
      <c r="AJ1" s="7"/>
      <c r="AK1" s="7"/>
      <c r="AL1" s="92"/>
      <c r="AM1" s="8"/>
      <c r="AN1" s="7"/>
      <c r="AO1" s="8"/>
      <c r="AP1" s="7"/>
      <c r="AQ1" s="7"/>
      <c r="AR1" s="8"/>
      <c r="AS1" s="9"/>
      <c r="AT1" s="9"/>
      <c r="AU1" s="9"/>
      <c r="AV1" s="10"/>
      <c r="AW1" s="9"/>
      <c r="AX1" s="9"/>
      <c r="AY1" s="9"/>
      <c r="AZ1" s="9"/>
      <c r="BA1" s="9"/>
      <c r="BB1" s="9"/>
      <c r="BC1" s="9"/>
      <c r="BD1" s="9"/>
      <c r="BE1" s="9"/>
      <c r="BF1" s="9"/>
      <c r="BG1" s="9"/>
      <c r="BH1" s="9"/>
    </row>
    <row r="2" spans="1:60" ht="18" x14ac:dyDescent="0.25">
      <c r="A2" s="113" t="s">
        <v>183</v>
      </c>
      <c r="B2" s="129" t="s">
        <v>184</v>
      </c>
      <c r="C2" s="109"/>
      <c r="D2" s="134"/>
      <c r="E2" s="134"/>
      <c r="F2" s="134"/>
      <c r="G2"/>
      <c r="H2"/>
      <c r="I2"/>
      <c r="J2"/>
      <c r="K2"/>
      <c r="L2"/>
      <c r="M2"/>
      <c r="N2"/>
      <c r="O2"/>
      <c r="P2"/>
      <c r="Q2"/>
      <c r="W2" s="11" t="s">
        <v>31</v>
      </c>
      <c r="X2" s="11"/>
      <c r="Y2" s="11"/>
      <c r="Z2" s="11"/>
      <c r="AA2" s="12"/>
      <c r="AB2" s="92"/>
      <c r="AC2" s="7"/>
      <c r="AD2" s="7"/>
      <c r="AE2" s="7"/>
      <c r="AF2" s="8"/>
      <c r="AG2" s="7" t="s">
        <v>29</v>
      </c>
      <c r="AH2" s="7"/>
      <c r="AI2" s="7"/>
      <c r="AJ2" s="7"/>
      <c r="AK2" s="7"/>
      <c r="AL2" s="92"/>
      <c r="AM2" s="8"/>
      <c r="AN2" s="7"/>
      <c r="AO2" s="8"/>
      <c r="AP2" s="7"/>
      <c r="AQ2" s="7"/>
      <c r="AR2" s="8"/>
      <c r="AS2" s="9"/>
      <c r="AT2" s="9"/>
      <c r="AU2" s="9"/>
      <c r="AV2" s="10"/>
      <c r="AW2" s="9"/>
      <c r="AX2" s="9"/>
      <c r="AY2" s="9"/>
      <c r="AZ2" s="9"/>
      <c r="BA2" s="9"/>
      <c r="BB2" s="9"/>
      <c r="BC2" s="9"/>
      <c r="BD2" s="9"/>
      <c r="BE2" s="9"/>
      <c r="BF2" s="9"/>
      <c r="BG2" s="9"/>
      <c r="BH2" s="9"/>
    </row>
    <row r="3" spans="1:60" ht="15.75" x14ac:dyDescent="0.25">
      <c r="A3" s="109"/>
      <c r="B3" s="130" t="s">
        <v>185</v>
      </c>
      <c r="C3" s="109"/>
      <c r="D3" s="132"/>
      <c r="E3" s="132"/>
      <c r="F3" s="132"/>
      <c r="G3"/>
      <c r="H3"/>
      <c r="I3"/>
      <c r="J3"/>
      <c r="K3"/>
      <c r="L3"/>
      <c r="M3"/>
      <c r="N3"/>
      <c r="O3"/>
      <c r="P3"/>
      <c r="Q3"/>
      <c r="W3" s="13" t="s">
        <v>112</v>
      </c>
      <c r="X3" s="13"/>
      <c r="Y3" s="13"/>
      <c r="Z3" s="13"/>
      <c r="AA3" s="14"/>
      <c r="AB3" s="92"/>
      <c r="AC3" s="7"/>
      <c r="AD3" s="7"/>
      <c r="AE3" s="7"/>
      <c r="AF3" s="8"/>
      <c r="AG3" s="7"/>
      <c r="AH3" s="7"/>
      <c r="AI3" s="7"/>
      <c r="AJ3" s="7"/>
      <c r="AK3" s="7"/>
      <c r="AL3" s="92"/>
      <c r="AM3" s="8"/>
      <c r="AN3" s="7"/>
      <c r="AO3" s="8"/>
      <c r="AP3" s="7"/>
      <c r="AQ3" s="7"/>
      <c r="AR3" s="8"/>
      <c r="AS3" s="9"/>
      <c r="AT3" s="9"/>
      <c r="AU3" s="9"/>
      <c r="AV3" s="10"/>
      <c r="AW3" s="9"/>
      <c r="AX3" s="9"/>
      <c r="AY3" s="9"/>
      <c r="AZ3" s="9"/>
      <c r="BA3" s="9"/>
      <c r="BB3" s="9"/>
      <c r="BC3" s="9"/>
      <c r="BD3" s="9"/>
      <c r="BE3" s="9"/>
      <c r="BF3" s="9"/>
      <c r="BG3" s="9"/>
      <c r="BH3" s="9"/>
    </row>
    <row r="4" spans="1:60" x14ac:dyDescent="0.25">
      <c r="A4" s="109"/>
      <c r="B4" s="131" t="s">
        <v>186</v>
      </c>
      <c r="C4" s="109"/>
      <c r="D4" s="132"/>
      <c r="E4" s="132"/>
      <c r="F4" s="132"/>
      <c r="G4"/>
      <c r="H4"/>
      <c r="I4"/>
      <c r="J4"/>
      <c r="K4"/>
      <c r="L4"/>
      <c r="M4"/>
      <c r="N4"/>
      <c r="O4"/>
      <c r="P4"/>
      <c r="Q4"/>
      <c r="W4" s="13"/>
      <c r="X4" s="13"/>
      <c r="Y4" s="13"/>
      <c r="Z4" s="13"/>
      <c r="AA4" s="14"/>
      <c r="AB4" s="92"/>
      <c r="AC4" s="7"/>
      <c r="AD4" s="7"/>
      <c r="AE4" s="7"/>
      <c r="AF4" s="8"/>
      <c r="AG4" s="7"/>
      <c r="AH4" s="7"/>
      <c r="AI4" s="7"/>
      <c r="AJ4" s="7"/>
      <c r="AK4" s="7"/>
      <c r="AL4" s="92"/>
      <c r="AM4" s="8"/>
      <c r="AN4" s="7"/>
      <c r="AO4" s="8"/>
      <c r="AP4" s="7"/>
      <c r="AQ4" s="7"/>
      <c r="AR4" s="8"/>
      <c r="AS4" s="9"/>
      <c r="AT4" s="9"/>
      <c r="AU4" s="9"/>
      <c r="AV4" s="10"/>
      <c r="AW4" s="9"/>
      <c r="AX4" s="9"/>
      <c r="AY4" s="9"/>
      <c r="AZ4" s="9"/>
      <c r="BA4" s="9"/>
      <c r="BB4" s="15"/>
      <c r="BC4" s="15"/>
      <c r="BD4" s="15"/>
      <c r="BE4" s="15"/>
      <c r="BF4" s="15"/>
      <c r="BG4" s="15"/>
      <c r="BH4" s="15"/>
    </row>
    <row r="5" spans="1:60" x14ac:dyDescent="0.25">
      <c r="A5" s="109"/>
      <c r="B5" s="115" t="s">
        <v>187</v>
      </c>
      <c r="C5" s="109"/>
      <c r="G5"/>
      <c r="H5"/>
      <c r="I5"/>
      <c r="J5"/>
      <c r="K5"/>
      <c r="L5"/>
      <c r="M5"/>
      <c r="N5"/>
      <c r="O5"/>
      <c r="P5"/>
      <c r="Q5"/>
      <c r="W5" s="13"/>
      <c r="X5" s="13"/>
      <c r="Y5" s="13"/>
      <c r="Z5" s="13"/>
      <c r="AA5" s="14"/>
      <c r="AB5" s="92"/>
      <c r="AC5" s="7"/>
      <c r="AD5" s="7"/>
      <c r="AE5" s="7"/>
      <c r="AF5" s="8"/>
      <c r="AG5" s="7"/>
      <c r="AH5" s="7"/>
      <c r="AI5" s="7"/>
      <c r="AJ5" s="7"/>
      <c r="AK5" s="7"/>
      <c r="AL5" s="92"/>
      <c r="AM5" s="8"/>
      <c r="AN5" s="7"/>
      <c r="AO5" s="8"/>
      <c r="AP5" s="7"/>
      <c r="AQ5" s="7"/>
      <c r="AR5" s="8"/>
      <c r="AS5" s="9"/>
      <c r="AT5" s="9"/>
      <c r="AU5" s="9"/>
      <c r="AV5" s="10"/>
      <c r="AW5" s="9"/>
      <c r="AX5" s="9"/>
      <c r="AY5" s="9"/>
      <c r="AZ5" s="9"/>
      <c r="BA5" s="9"/>
      <c r="BB5" s="18"/>
      <c r="BC5" s="18"/>
      <c r="BD5" s="18"/>
      <c r="BE5" s="18"/>
      <c r="BF5" s="18"/>
      <c r="BG5" s="18"/>
      <c r="BH5" s="18"/>
    </row>
    <row r="6" spans="1:60" x14ac:dyDescent="0.25">
      <c r="A6" s="109"/>
      <c r="B6" s="115" t="s">
        <v>188</v>
      </c>
      <c r="C6" s="109"/>
      <c r="F6" s="134"/>
      <c r="G6"/>
      <c r="H6"/>
      <c r="I6"/>
      <c r="J6"/>
      <c r="K6"/>
      <c r="L6"/>
      <c r="M6"/>
      <c r="N6"/>
      <c r="O6"/>
      <c r="P6"/>
      <c r="Q6"/>
      <c r="W6" s="13"/>
      <c r="X6" s="13"/>
      <c r="Y6" s="13"/>
      <c r="Z6" s="13"/>
      <c r="AA6" s="14"/>
      <c r="AB6" s="92"/>
      <c r="AC6" s="7"/>
      <c r="AD6" s="7"/>
      <c r="AE6" s="7"/>
      <c r="AF6" s="8"/>
      <c r="AG6" s="7"/>
      <c r="AH6" s="7"/>
      <c r="AI6" s="7"/>
      <c r="AJ6" s="7"/>
      <c r="AK6" s="7"/>
      <c r="AL6" s="92"/>
      <c r="AM6" s="8"/>
      <c r="AN6" s="7"/>
      <c r="AO6" s="8"/>
      <c r="AP6" s="7"/>
      <c r="AQ6" s="7"/>
      <c r="AR6" s="8"/>
      <c r="AS6" s="9"/>
      <c r="AT6" s="9"/>
      <c r="AU6" s="9"/>
      <c r="AV6" s="10"/>
      <c r="AW6" s="9"/>
      <c r="AX6" s="9"/>
      <c r="AY6" s="9"/>
      <c r="AZ6" s="9"/>
      <c r="BA6" s="9"/>
      <c r="BB6" s="18"/>
      <c r="BC6" s="18"/>
      <c r="BD6" s="18"/>
      <c r="BE6" s="18"/>
      <c r="BF6" s="18"/>
      <c r="BG6" s="18"/>
      <c r="BH6" s="18"/>
    </row>
    <row r="7" spans="1:60" x14ac:dyDescent="0.25">
      <c r="D7" s="135"/>
      <c r="E7" s="135"/>
      <c r="F7" s="134"/>
      <c r="G7" s="183" t="s">
        <v>204</v>
      </c>
      <c r="H7" s="184"/>
      <c r="I7" s="184"/>
      <c r="J7" s="184"/>
      <c r="K7" s="184"/>
      <c r="L7" s="184"/>
      <c r="M7" s="185"/>
      <c r="N7" s="134"/>
      <c r="O7" s="183" t="s">
        <v>204</v>
      </c>
      <c r="P7" s="184"/>
      <c r="Q7" s="185"/>
      <c r="R7" s="135"/>
      <c r="W7" s="13"/>
      <c r="X7" s="13"/>
      <c r="Y7" s="13"/>
      <c r="Z7" s="13"/>
      <c r="AA7" s="14"/>
      <c r="AB7" s="92"/>
      <c r="AC7" s="7"/>
      <c r="AD7" s="7"/>
      <c r="AE7" s="7"/>
      <c r="AF7" s="8"/>
      <c r="AG7" s="7"/>
      <c r="AH7" s="7"/>
      <c r="AI7" s="7"/>
      <c r="AJ7" s="7"/>
      <c r="AK7" s="7"/>
      <c r="AL7" s="92"/>
      <c r="AM7" s="8"/>
      <c r="AN7" s="7"/>
      <c r="AO7" s="8"/>
      <c r="AP7" s="7"/>
      <c r="AQ7" s="7"/>
      <c r="AR7" s="8"/>
      <c r="AS7" s="9"/>
      <c r="AT7" s="9"/>
      <c r="AU7" s="9"/>
      <c r="AV7" s="10"/>
      <c r="AW7" s="9"/>
      <c r="AX7" s="9"/>
      <c r="AY7" s="9"/>
      <c r="AZ7" s="9"/>
      <c r="BA7" s="9"/>
      <c r="BB7" s="27"/>
      <c r="BC7" s="27"/>
      <c r="BD7" s="27"/>
      <c r="BE7" s="27"/>
      <c r="BF7" s="27"/>
      <c r="BG7" s="27"/>
      <c r="BH7" s="27"/>
    </row>
    <row r="8" spans="1:60" ht="35.25" thickBot="1" x14ac:dyDescent="0.3">
      <c r="A8" s="117" t="s">
        <v>189</v>
      </c>
      <c r="B8" s="118" t="s">
        <v>190</v>
      </c>
      <c r="C8" s="119" t="s">
        <v>193</v>
      </c>
      <c r="D8" s="136" t="s">
        <v>205</v>
      </c>
      <c r="F8" s="134"/>
      <c r="G8" s="137" t="s">
        <v>193</v>
      </c>
      <c r="H8" s="137" t="s">
        <v>206</v>
      </c>
      <c r="I8" s="137" t="s">
        <v>207</v>
      </c>
      <c r="J8" s="137" t="s">
        <v>208</v>
      </c>
      <c r="K8" s="137" t="s">
        <v>209</v>
      </c>
      <c r="L8" s="137" t="s">
        <v>210</v>
      </c>
      <c r="M8" s="137" t="s">
        <v>211</v>
      </c>
      <c r="N8" s="138"/>
      <c r="O8" s="137" t="s">
        <v>212</v>
      </c>
      <c r="P8" s="137" t="s">
        <v>210</v>
      </c>
      <c r="Q8" s="137" t="s">
        <v>211</v>
      </c>
      <c r="R8" s="138"/>
      <c r="W8" s="13"/>
      <c r="X8" s="13"/>
      <c r="Y8" s="13"/>
      <c r="Z8" s="13"/>
      <c r="AA8" s="14"/>
      <c r="AB8" s="92"/>
      <c r="AC8" s="7"/>
      <c r="AD8" s="7"/>
      <c r="AE8" s="7"/>
      <c r="AF8" s="8"/>
      <c r="AG8" s="7"/>
      <c r="AH8" s="7"/>
      <c r="AI8" s="7"/>
      <c r="AJ8" s="7"/>
      <c r="AK8" s="7"/>
      <c r="AL8" s="92"/>
      <c r="AM8" s="8"/>
      <c r="AN8" s="7"/>
      <c r="AO8" s="8"/>
      <c r="AP8" s="7"/>
      <c r="AQ8" s="7"/>
      <c r="AR8" s="8"/>
      <c r="AS8" s="9"/>
      <c r="AT8" s="9"/>
      <c r="AU8" s="9"/>
      <c r="AV8" s="10"/>
      <c r="AW8" s="9"/>
      <c r="AX8" s="9"/>
      <c r="AY8" s="9"/>
      <c r="AZ8" s="9"/>
      <c r="BA8" s="9"/>
      <c r="BB8" s="27"/>
      <c r="BC8" s="27"/>
      <c r="BD8" s="27"/>
      <c r="BE8" s="27"/>
      <c r="BF8" s="27"/>
      <c r="BG8" s="27"/>
      <c r="BH8" s="27"/>
    </row>
    <row r="9" spans="1:60" ht="15.75" thickTop="1" x14ac:dyDescent="0.25">
      <c r="A9" s="109"/>
      <c r="B9" s="109"/>
      <c r="C9" s="109"/>
      <c r="F9" s="134"/>
      <c r="G9"/>
      <c r="H9"/>
      <c r="I9"/>
      <c r="J9"/>
      <c r="K9"/>
      <c r="L9"/>
      <c r="M9"/>
      <c r="N9"/>
      <c r="O9"/>
      <c r="P9"/>
      <c r="Q9"/>
      <c r="W9" s="13"/>
      <c r="X9" s="13"/>
      <c r="Y9" s="13"/>
      <c r="Z9" s="13"/>
      <c r="AA9" s="14"/>
      <c r="AB9" s="92"/>
      <c r="AC9" s="7"/>
      <c r="AD9" s="7"/>
      <c r="AE9" s="7"/>
      <c r="AF9" s="8"/>
      <c r="AG9" s="7"/>
      <c r="AH9" s="7"/>
      <c r="AI9" s="7"/>
      <c r="AJ9" s="7"/>
      <c r="AK9" s="7"/>
      <c r="AL9" s="92"/>
      <c r="AM9" s="8"/>
      <c r="AN9" s="7"/>
      <c r="AO9" s="8"/>
      <c r="AP9" s="7"/>
      <c r="AQ9" s="7"/>
      <c r="AR9" s="8"/>
      <c r="AS9" s="9"/>
      <c r="AT9" s="9"/>
      <c r="AU9" s="9"/>
      <c r="AV9" s="10"/>
      <c r="AW9" s="9"/>
      <c r="AX9" s="9"/>
      <c r="AY9" s="9"/>
      <c r="AZ9" s="9"/>
      <c r="BA9" s="9"/>
      <c r="BB9" s="27"/>
      <c r="BC9" s="27"/>
      <c r="BD9" s="27"/>
      <c r="BE9" s="27"/>
      <c r="BF9" s="27"/>
      <c r="BG9" s="27"/>
      <c r="BH9" s="27"/>
    </row>
    <row r="10" spans="1:60" x14ac:dyDescent="0.25">
      <c r="F10" s="134"/>
      <c r="G10"/>
      <c r="H10"/>
      <c r="I10"/>
      <c r="J10"/>
      <c r="K10"/>
      <c r="L10"/>
      <c r="M10"/>
      <c r="N10"/>
      <c r="O10"/>
      <c r="P10"/>
      <c r="Q10"/>
      <c r="W10" s="15" t="s">
        <v>113</v>
      </c>
      <c r="X10" s="15"/>
      <c r="Y10" s="15"/>
      <c r="Z10" s="15"/>
      <c r="AA10" s="15"/>
      <c r="AS10" s="15"/>
      <c r="AT10" s="15"/>
      <c r="AU10" s="15"/>
      <c r="AV10" s="15"/>
      <c r="AW10" s="15"/>
      <c r="AX10" s="15"/>
      <c r="AY10" s="15"/>
      <c r="AZ10" s="15"/>
      <c r="BA10" s="15"/>
      <c r="BB10" s="27"/>
      <c r="BC10" s="27"/>
      <c r="BD10" s="27"/>
      <c r="BE10" s="27"/>
      <c r="BF10" s="27"/>
      <c r="BG10" s="27"/>
      <c r="BH10" s="27"/>
    </row>
    <row r="11" spans="1:60" x14ac:dyDescent="0.25">
      <c r="A11" s="121" t="s">
        <v>201</v>
      </c>
      <c r="B11" s="109"/>
      <c r="C11" s="109"/>
      <c r="F11" s="134"/>
      <c r="G11"/>
      <c r="H11"/>
      <c r="I11"/>
      <c r="J11"/>
      <c r="K11"/>
      <c r="L11"/>
      <c r="M11"/>
      <c r="N11"/>
      <c r="O11"/>
      <c r="P11"/>
      <c r="Q11"/>
      <c r="W11" s="177" t="s">
        <v>17</v>
      </c>
      <c r="X11" s="177" t="s">
        <v>18</v>
      </c>
      <c r="Y11" s="177" t="s">
        <v>19</v>
      </c>
      <c r="Z11" s="88"/>
      <c r="AA11" s="177" t="s">
        <v>0</v>
      </c>
      <c r="AB11" s="94"/>
      <c r="AC11" s="175" t="s">
        <v>13</v>
      </c>
      <c r="AD11" s="175" t="s">
        <v>14</v>
      </c>
      <c r="AE11" s="175" t="s">
        <v>94</v>
      </c>
      <c r="AF11" s="175" t="s">
        <v>15</v>
      </c>
      <c r="AG11" s="175" t="s">
        <v>16</v>
      </c>
      <c r="AH11" s="86"/>
      <c r="AI11" s="175" t="s">
        <v>9</v>
      </c>
      <c r="AJ11" s="175" t="s">
        <v>21</v>
      </c>
      <c r="AK11" s="175" t="s">
        <v>20</v>
      </c>
      <c r="AL11" s="173" t="s">
        <v>11</v>
      </c>
      <c r="AM11" s="175" t="s">
        <v>28</v>
      </c>
      <c r="AN11" s="175" t="s">
        <v>6</v>
      </c>
      <c r="AO11" s="175" t="s">
        <v>10</v>
      </c>
      <c r="AP11" s="175" t="s">
        <v>5</v>
      </c>
      <c r="AQ11" s="175" t="s">
        <v>7</v>
      </c>
      <c r="AR11" s="175" t="s">
        <v>8</v>
      </c>
      <c r="AS11" s="180" t="s">
        <v>102</v>
      </c>
      <c r="AT11" s="181"/>
      <c r="AU11" s="17"/>
      <c r="AV11" s="182" t="s">
        <v>42</v>
      </c>
      <c r="AW11" s="179" t="s">
        <v>70</v>
      </c>
      <c r="AX11" s="18"/>
      <c r="AY11" s="18"/>
      <c r="AZ11" s="18"/>
      <c r="BA11" s="18"/>
      <c r="BB11" s="82"/>
      <c r="BC11" s="82"/>
      <c r="BD11" s="82"/>
      <c r="BE11" s="82"/>
      <c r="BF11" s="82"/>
      <c r="BG11" s="82"/>
      <c r="BH11" s="82"/>
    </row>
    <row r="12" spans="1:60" x14ac:dyDescent="0.25">
      <c r="D12" s="139"/>
      <c r="E12" s="139"/>
      <c r="F12" s="134"/>
      <c r="G12" s="139"/>
      <c r="H12" s="139"/>
      <c r="I12" s="139"/>
      <c r="J12" s="139"/>
      <c r="K12" s="139"/>
      <c r="L12" s="139"/>
      <c r="M12" s="139"/>
      <c r="N12" s="139"/>
      <c r="O12" s="139"/>
      <c r="P12" s="139"/>
      <c r="Q12" s="139"/>
      <c r="W12" s="178"/>
      <c r="X12" s="178"/>
      <c r="Y12" s="178"/>
      <c r="Z12" s="89" t="s">
        <v>101</v>
      </c>
      <c r="AA12" s="178"/>
      <c r="AB12" s="95" t="s">
        <v>93</v>
      </c>
      <c r="AC12" s="176"/>
      <c r="AD12" s="176"/>
      <c r="AE12" s="176"/>
      <c r="AF12" s="176"/>
      <c r="AG12" s="176"/>
      <c r="AH12" s="87" t="s">
        <v>105</v>
      </c>
      <c r="AI12" s="176"/>
      <c r="AJ12" s="176"/>
      <c r="AK12" s="176"/>
      <c r="AL12" s="174"/>
      <c r="AM12" s="176"/>
      <c r="AN12" s="176"/>
      <c r="AO12" s="176"/>
      <c r="AP12" s="176"/>
      <c r="AQ12" s="176"/>
      <c r="AR12" s="176"/>
      <c r="AS12" s="42" t="s">
        <v>30</v>
      </c>
      <c r="AT12" s="42" t="s">
        <v>32</v>
      </c>
      <c r="AU12" s="19" t="s">
        <v>90</v>
      </c>
      <c r="AV12" s="182"/>
      <c r="AW12" s="179"/>
      <c r="AX12" s="18"/>
      <c r="AY12" s="18"/>
      <c r="AZ12" s="18"/>
      <c r="BA12" s="18"/>
      <c r="BB12" s="27"/>
      <c r="BC12" s="27"/>
      <c r="BD12" s="27"/>
      <c r="BE12" s="27"/>
      <c r="BF12" s="27"/>
      <c r="BG12" s="27"/>
      <c r="BH12" s="27"/>
    </row>
    <row r="13" spans="1:60" x14ac:dyDescent="0.25">
      <c r="A13" s="111" t="s">
        <v>114</v>
      </c>
      <c r="B13" s="110" t="s">
        <v>115</v>
      </c>
      <c r="C13" s="122">
        <v>1026.76</v>
      </c>
      <c r="D13" s="139">
        <f>+AB13</f>
        <v>0</v>
      </c>
      <c r="E13" s="139"/>
      <c r="F13" s="134"/>
      <c r="G13" s="139">
        <f>+INGENIERIA!E13</f>
        <v>1026.76</v>
      </c>
      <c r="H13" s="139">
        <v>0</v>
      </c>
      <c r="I13" s="139">
        <f>+G13*0.02</f>
        <v>20.5352</v>
      </c>
      <c r="J13" s="139">
        <f>+G13*7.5%</f>
        <v>77.006999999999991</v>
      </c>
      <c r="K13" s="139">
        <f>SUM(G13:J13)</f>
        <v>1124.3022000000001</v>
      </c>
      <c r="L13" s="139">
        <f>+K13*0.16</f>
        <v>179.88835200000003</v>
      </c>
      <c r="M13" s="139">
        <f>+K13+L13</f>
        <v>1304.190552</v>
      </c>
      <c r="N13"/>
      <c r="O13" s="139">
        <f>+D13</f>
        <v>0</v>
      </c>
      <c r="P13" s="139">
        <f>+O13*0.16</f>
        <v>0</v>
      </c>
      <c r="Q13" s="139">
        <f>+O13+P13</f>
        <v>0</v>
      </c>
      <c r="V13" t="str">
        <f t="shared" ref="V13:V42" si="0">IF(B13=X13,"SI","NO")</f>
        <v>SI</v>
      </c>
      <c r="W13" s="53" t="s">
        <v>36</v>
      </c>
      <c r="X13" s="62" t="s">
        <v>48</v>
      </c>
      <c r="Y13" s="54" t="s">
        <v>53</v>
      </c>
      <c r="Z13" s="76">
        <v>41575</v>
      </c>
      <c r="AA13" s="53" t="s">
        <v>40</v>
      </c>
      <c r="AB13" s="96"/>
      <c r="AC13" s="56"/>
      <c r="AD13" s="56"/>
      <c r="AE13" s="57"/>
      <c r="AF13" s="58">
        <f t="shared" ref="AF13:AF42" si="1">SUM(AB13:AD13)-AE13</f>
        <v>0</v>
      </c>
      <c r="AG13" s="85"/>
      <c r="AH13" s="85"/>
      <c r="AI13" s="59"/>
      <c r="AJ13" s="59"/>
      <c r="AK13" s="55"/>
      <c r="AL13" s="106">
        <v>0</v>
      </c>
      <c r="AM13" s="58">
        <f t="shared" ref="AM13:AM30" si="2">+AF13-SUM(AG13:AL13)</f>
        <v>0</v>
      </c>
      <c r="AN13" s="60">
        <f>IF(AF13&gt;2250,AF13*0.1,0)</f>
        <v>0</v>
      </c>
      <c r="AO13" s="58">
        <f t="shared" ref="AO13:AO30" si="3">+AM13-AN13</f>
        <v>0</v>
      </c>
      <c r="AP13" s="61">
        <f>IF(AF13&lt;2250,AF13*0.1,0)</f>
        <v>0</v>
      </c>
      <c r="AQ13" s="60" t="e">
        <f>#REF!*0.02</f>
        <v>#REF!</v>
      </c>
      <c r="AR13" s="58" t="e">
        <f t="shared" ref="AR13:AR30" si="4">+AF13+AP13+AQ13</f>
        <v>#REF!</v>
      </c>
      <c r="AS13" s="78"/>
      <c r="AT13" s="72"/>
      <c r="AU13" s="77">
        <f>+AS13+AT13-AO13</f>
        <v>0</v>
      </c>
      <c r="AV13" s="71" t="s">
        <v>104</v>
      </c>
      <c r="AW13" s="62" t="s">
        <v>71</v>
      </c>
      <c r="AX13" s="27" t="str">
        <f>IF(X13=AZ13,"si","no")</f>
        <v>si</v>
      </c>
      <c r="AY13" s="111" t="s">
        <v>114</v>
      </c>
      <c r="AZ13" s="110" t="s">
        <v>115</v>
      </c>
      <c r="BA13" s="27"/>
      <c r="BB13" s="27"/>
      <c r="BC13" s="27"/>
      <c r="BD13" s="27"/>
      <c r="BE13" s="27"/>
      <c r="BF13" s="27"/>
      <c r="BG13" s="27"/>
      <c r="BH13" s="27"/>
    </row>
    <row r="14" spans="1:60" x14ac:dyDescent="0.25">
      <c r="A14" s="111" t="s">
        <v>116</v>
      </c>
      <c r="B14" s="110" t="s">
        <v>117</v>
      </c>
      <c r="C14" s="122">
        <v>1026.76</v>
      </c>
      <c r="D14" s="139">
        <f t="shared" ref="D14:D42" si="5">+AB14</f>
        <v>11940.91</v>
      </c>
      <c r="E14" s="139"/>
      <c r="F14" s="139"/>
      <c r="G14" s="139">
        <f>+INGENIERIA!E14</f>
        <v>1026.76</v>
      </c>
      <c r="H14" s="139">
        <v>0</v>
      </c>
      <c r="I14" s="139">
        <f t="shared" ref="I14:I42" si="6">+G14*0.02</f>
        <v>20.5352</v>
      </c>
      <c r="J14" s="139">
        <f t="shared" ref="J14:J42" si="7">+G14*7.5%</f>
        <v>77.006999999999991</v>
      </c>
      <c r="K14" s="139">
        <f t="shared" ref="K14:K42" si="8">SUM(G14:J14)</f>
        <v>1124.3022000000001</v>
      </c>
      <c r="L14" s="139">
        <f t="shared" ref="L14:L42" si="9">+K14*0.16</f>
        <v>179.88835200000003</v>
      </c>
      <c r="M14" s="139">
        <f t="shared" ref="M14:M42" si="10">+K14+L14</f>
        <v>1304.190552</v>
      </c>
      <c r="N14"/>
      <c r="O14" s="139">
        <f t="shared" ref="O14:O42" si="11">+D14</f>
        <v>11940.91</v>
      </c>
      <c r="P14" s="139">
        <f t="shared" ref="P14:P42" si="12">+O14*0.16</f>
        <v>1910.5455999999999</v>
      </c>
      <c r="Q14" s="139">
        <f t="shared" ref="Q14:Q42" si="13">+O14+P14</f>
        <v>13851.455599999999</v>
      </c>
      <c r="V14" t="str">
        <f t="shared" si="0"/>
        <v>SI</v>
      </c>
      <c r="W14" s="53" t="s">
        <v>36</v>
      </c>
      <c r="X14" s="62" t="s">
        <v>96</v>
      </c>
      <c r="Y14" s="54" t="s">
        <v>54</v>
      </c>
      <c r="Z14" s="76">
        <v>42310</v>
      </c>
      <c r="AA14" s="53" t="s">
        <v>40</v>
      </c>
      <c r="AB14" s="97">
        <f>8940.91+3000</f>
        <v>11940.91</v>
      </c>
      <c r="AC14" s="55"/>
      <c r="AD14" s="55"/>
      <c r="AE14" s="57"/>
      <c r="AF14" s="58">
        <f t="shared" si="1"/>
        <v>11940.91</v>
      </c>
      <c r="AG14" s="85"/>
      <c r="AH14" s="85"/>
      <c r="AI14" s="59"/>
      <c r="AJ14" s="59"/>
      <c r="AK14" s="55"/>
      <c r="AL14" s="106">
        <v>0</v>
      </c>
      <c r="AM14" s="58">
        <f t="shared" si="2"/>
        <v>11940.91</v>
      </c>
      <c r="AN14" s="60">
        <f t="shared" ref="AN14:AN42" si="14">IF(AF14&gt;2250,AF14*0.1,0)</f>
        <v>1194.0910000000001</v>
      </c>
      <c r="AO14" s="58">
        <f t="shared" si="3"/>
        <v>10746.819</v>
      </c>
      <c r="AP14" s="61">
        <f t="shared" ref="AP14:AP42" si="15">IF(AF14&lt;2250,AF14*0.1,0)</f>
        <v>0</v>
      </c>
      <c r="AQ14" s="60" t="e">
        <f>#REF!*0.02</f>
        <v>#REF!</v>
      </c>
      <c r="AR14" s="58" t="e">
        <f t="shared" si="4"/>
        <v>#REF!</v>
      </c>
      <c r="AS14" s="78"/>
      <c r="AT14" s="72"/>
      <c r="AU14" s="77">
        <f t="shared" ref="AU14:AU54" si="16">+AS14+AT14-AO14</f>
        <v>-10746.819</v>
      </c>
      <c r="AV14" s="62"/>
      <c r="AW14" s="62" t="s">
        <v>72</v>
      </c>
      <c r="AX14" s="27" t="str">
        <f t="shared" ref="AX14:AX42" si="17">IF(X14=AZ14,"si","no")</f>
        <v>si</v>
      </c>
      <c r="AY14" s="111" t="s">
        <v>116</v>
      </c>
      <c r="AZ14" s="110" t="s">
        <v>117</v>
      </c>
      <c r="BA14" s="27"/>
      <c r="BB14" s="27"/>
      <c r="BC14" s="27"/>
      <c r="BD14" s="27"/>
      <c r="BE14" s="27"/>
      <c r="BF14" s="27"/>
      <c r="BG14" s="27"/>
      <c r="BH14" s="27"/>
    </row>
    <row r="15" spans="1:60" x14ac:dyDescent="0.25">
      <c r="A15" s="111" t="s">
        <v>118</v>
      </c>
      <c r="B15" s="110" t="s">
        <v>119</v>
      </c>
      <c r="C15" s="122">
        <v>1026.76</v>
      </c>
      <c r="D15" s="139">
        <f t="shared" si="5"/>
        <v>8410.1</v>
      </c>
      <c r="E15" s="139"/>
      <c r="F15" s="139"/>
      <c r="G15" s="139">
        <f>+INGENIERIA!E15</f>
        <v>1026.76</v>
      </c>
      <c r="H15" s="139">
        <v>0</v>
      </c>
      <c r="I15" s="139">
        <f t="shared" si="6"/>
        <v>20.5352</v>
      </c>
      <c r="J15" s="139">
        <f t="shared" si="7"/>
        <v>77.006999999999991</v>
      </c>
      <c r="K15" s="139">
        <f t="shared" si="8"/>
        <v>1124.3022000000001</v>
      </c>
      <c r="L15" s="139">
        <f t="shared" si="9"/>
        <v>179.88835200000003</v>
      </c>
      <c r="M15" s="139">
        <f t="shared" si="10"/>
        <v>1304.190552</v>
      </c>
      <c r="N15"/>
      <c r="O15" s="139">
        <f t="shared" si="11"/>
        <v>8410.1</v>
      </c>
      <c r="P15" s="139">
        <f t="shared" si="12"/>
        <v>1345.616</v>
      </c>
      <c r="Q15" s="139">
        <f t="shared" si="13"/>
        <v>9755.7160000000003</v>
      </c>
      <c r="V15" t="str">
        <f t="shared" si="0"/>
        <v>SI</v>
      </c>
      <c r="W15" s="53" t="s">
        <v>36</v>
      </c>
      <c r="X15" s="62" t="s">
        <v>47</v>
      </c>
      <c r="Y15" s="54" t="s">
        <v>52</v>
      </c>
      <c r="Z15" s="76">
        <v>42215</v>
      </c>
      <c r="AA15" s="53" t="s">
        <v>40</v>
      </c>
      <c r="AB15" s="96">
        <v>8410.1</v>
      </c>
      <c r="AC15" s="55"/>
      <c r="AD15" s="55"/>
      <c r="AE15" s="57"/>
      <c r="AF15" s="58">
        <f t="shared" si="1"/>
        <v>8410.1</v>
      </c>
      <c r="AG15" s="85"/>
      <c r="AH15" s="85"/>
      <c r="AI15" s="59"/>
      <c r="AJ15" s="59"/>
      <c r="AK15" s="55"/>
      <c r="AL15" s="108">
        <v>1569.09</v>
      </c>
      <c r="AM15" s="58">
        <f t="shared" si="2"/>
        <v>6841.01</v>
      </c>
      <c r="AN15" s="60">
        <f t="shared" si="14"/>
        <v>841.0100000000001</v>
      </c>
      <c r="AO15" s="58">
        <f t="shared" si="3"/>
        <v>6000</v>
      </c>
      <c r="AP15" s="61">
        <f t="shared" si="15"/>
        <v>0</v>
      </c>
      <c r="AQ15" s="60" t="e">
        <f>#REF!*0.02</f>
        <v>#REF!</v>
      </c>
      <c r="AR15" s="58" t="e">
        <f t="shared" si="4"/>
        <v>#REF!</v>
      </c>
      <c r="AS15" s="78"/>
      <c r="AT15" s="72"/>
      <c r="AU15" s="77">
        <f t="shared" si="16"/>
        <v>-6000</v>
      </c>
      <c r="AV15" s="62"/>
      <c r="AW15" s="62" t="s">
        <v>73</v>
      </c>
      <c r="AX15" s="27" t="str">
        <f t="shared" si="17"/>
        <v>si</v>
      </c>
      <c r="AY15" s="111" t="s">
        <v>118</v>
      </c>
      <c r="AZ15" s="110" t="s">
        <v>119</v>
      </c>
      <c r="BA15" s="27"/>
      <c r="BB15" s="27"/>
      <c r="BC15" s="27"/>
      <c r="BD15" s="27"/>
      <c r="BE15" s="27"/>
      <c r="BF15" s="27"/>
      <c r="BG15" s="27"/>
      <c r="BH15" s="27"/>
    </row>
    <row r="16" spans="1:60" x14ac:dyDescent="0.25">
      <c r="A16" s="111" t="s">
        <v>120</v>
      </c>
      <c r="B16" s="110" t="s">
        <v>121</v>
      </c>
      <c r="C16" s="122">
        <v>1750</v>
      </c>
      <c r="D16" s="139">
        <f t="shared" si="5"/>
        <v>0</v>
      </c>
      <c r="E16" s="139"/>
      <c r="F16" s="139"/>
      <c r="G16" s="139">
        <f>+INGENIERIA!E16</f>
        <v>1750</v>
      </c>
      <c r="H16" s="139">
        <v>0</v>
      </c>
      <c r="I16" s="139">
        <f t="shared" si="6"/>
        <v>35</v>
      </c>
      <c r="J16" s="139">
        <f t="shared" si="7"/>
        <v>131.25</v>
      </c>
      <c r="K16" s="139">
        <f t="shared" si="8"/>
        <v>1916.25</v>
      </c>
      <c r="L16" s="139">
        <f t="shared" si="9"/>
        <v>306.60000000000002</v>
      </c>
      <c r="M16" s="139">
        <f t="shared" si="10"/>
        <v>2222.85</v>
      </c>
      <c r="N16"/>
      <c r="O16" s="139">
        <f t="shared" si="11"/>
        <v>0</v>
      </c>
      <c r="P16" s="139">
        <f t="shared" si="12"/>
        <v>0</v>
      </c>
      <c r="Q16" s="139">
        <f t="shared" si="13"/>
        <v>0</v>
      </c>
      <c r="V16" t="str">
        <f t="shared" si="0"/>
        <v>SI</v>
      </c>
      <c r="W16" s="53" t="s">
        <v>33</v>
      </c>
      <c r="X16" s="62" t="s">
        <v>174</v>
      </c>
      <c r="Y16" s="54" t="s">
        <v>55</v>
      </c>
      <c r="Z16" s="76">
        <v>40147</v>
      </c>
      <c r="AA16" s="53" t="s">
        <v>38</v>
      </c>
      <c r="AB16" s="97"/>
      <c r="AC16" s="56"/>
      <c r="AD16" s="56"/>
      <c r="AE16" s="57"/>
      <c r="AF16" s="58">
        <f t="shared" si="1"/>
        <v>0</v>
      </c>
      <c r="AG16" s="85"/>
      <c r="AH16" s="85"/>
      <c r="AI16" s="59"/>
      <c r="AJ16" s="59"/>
      <c r="AK16" s="55"/>
      <c r="AL16" s="106">
        <v>0</v>
      </c>
      <c r="AM16" s="58">
        <f t="shared" si="2"/>
        <v>0</v>
      </c>
      <c r="AN16" s="60">
        <f t="shared" si="14"/>
        <v>0</v>
      </c>
      <c r="AO16" s="58">
        <f t="shared" si="3"/>
        <v>0</v>
      </c>
      <c r="AP16" s="61">
        <f t="shared" si="15"/>
        <v>0</v>
      </c>
      <c r="AQ16" s="60" t="e">
        <f>#REF!*0.02</f>
        <v>#REF!</v>
      </c>
      <c r="AR16" s="58" t="e">
        <f t="shared" si="4"/>
        <v>#REF!</v>
      </c>
      <c r="AS16" s="78"/>
      <c r="AT16" s="72"/>
      <c r="AU16" s="77">
        <f t="shared" si="16"/>
        <v>0</v>
      </c>
      <c r="AV16" s="62"/>
      <c r="AW16" s="62" t="s">
        <v>74</v>
      </c>
      <c r="AX16" s="27" t="str">
        <f t="shared" si="17"/>
        <v>si</v>
      </c>
      <c r="AY16" s="111" t="s">
        <v>120</v>
      </c>
      <c r="AZ16" s="110" t="s">
        <v>121</v>
      </c>
      <c r="BA16" s="27"/>
      <c r="BB16" s="27"/>
      <c r="BC16" s="27"/>
      <c r="BD16" s="27"/>
      <c r="BE16" s="27"/>
      <c r="BF16" s="27"/>
      <c r="BG16" s="27"/>
      <c r="BH16" s="27"/>
    </row>
    <row r="17" spans="1:60" x14ac:dyDescent="0.25">
      <c r="A17" s="111" t="s">
        <v>122</v>
      </c>
      <c r="B17" s="110" t="s">
        <v>123</v>
      </c>
      <c r="C17" s="122">
        <v>1026.76</v>
      </c>
      <c r="D17" s="139">
        <f t="shared" si="5"/>
        <v>0</v>
      </c>
      <c r="E17" s="139"/>
      <c r="F17" s="139"/>
      <c r="G17" s="139">
        <f>+INGENIERIA!E17</f>
        <v>1026.76</v>
      </c>
      <c r="H17" s="139">
        <v>0</v>
      </c>
      <c r="I17" s="139">
        <f t="shared" si="6"/>
        <v>20.5352</v>
      </c>
      <c r="J17" s="139">
        <f t="shared" si="7"/>
        <v>77.006999999999991</v>
      </c>
      <c r="K17" s="139">
        <f t="shared" si="8"/>
        <v>1124.3022000000001</v>
      </c>
      <c r="L17" s="139">
        <f t="shared" si="9"/>
        <v>179.88835200000003</v>
      </c>
      <c r="M17" s="139">
        <f t="shared" si="10"/>
        <v>1304.190552</v>
      </c>
      <c r="N17"/>
      <c r="O17" s="139">
        <f t="shared" si="11"/>
        <v>0</v>
      </c>
      <c r="P17" s="139">
        <f t="shared" si="12"/>
        <v>0</v>
      </c>
      <c r="Q17" s="139">
        <f t="shared" si="13"/>
        <v>0</v>
      </c>
      <c r="V17" t="str">
        <f t="shared" si="0"/>
        <v>SI</v>
      </c>
      <c r="W17" s="53" t="s">
        <v>35</v>
      </c>
      <c r="X17" s="62" t="s">
        <v>103</v>
      </c>
      <c r="Y17" s="54"/>
      <c r="Z17" s="76">
        <v>42548</v>
      </c>
      <c r="AA17" s="53" t="s">
        <v>40</v>
      </c>
      <c r="AB17" s="97"/>
      <c r="AC17" s="56"/>
      <c r="AD17" s="56"/>
      <c r="AE17" s="57"/>
      <c r="AF17" s="58">
        <f t="shared" si="1"/>
        <v>0</v>
      </c>
      <c r="AG17" s="85"/>
      <c r="AH17" s="85"/>
      <c r="AI17" s="59"/>
      <c r="AJ17" s="59"/>
      <c r="AK17" s="55"/>
      <c r="AL17" s="106">
        <v>500</v>
      </c>
      <c r="AM17" s="58">
        <f t="shared" si="2"/>
        <v>-500</v>
      </c>
      <c r="AN17" s="60">
        <f t="shared" si="14"/>
        <v>0</v>
      </c>
      <c r="AO17" s="58">
        <f>+AM17-AN17</f>
        <v>-500</v>
      </c>
      <c r="AP17" s="61">
        <f>IF(AF17&lt;2250,AF17*0.1,0)</f>
        <v>0</v>
      </c>
      <c r="AQ17" s="60" t="e">
        <f>#REF!*0.02</f>
        <v>#REF!</v>
      </c>
      <c r="AR17" s="58" t="e">
        <f>+AF17+AP17+AQ17</f>
        <v>#REF!</v>
      </c>
      <c r="AS17" s="79"/>
      <c r="AT17" s="80"/>
      <c r="AU17" s="81"/>
      <c r="AV17" s="62"/>
      <c r="AW17" s="64">
        <v>1167172540</v>
      </c>
      <c r="AX17" s="27" t="str">
        <f t="shared" si="17"/>
        <v>si</v>
      </c>
      <c r="AY17" s="111" t="s">
        <v>122</v>
      </c>
      <c r="AZ17" s="110" t="s">
        <v>123</v>
      </c>
      <c r="BA17" s="82"/>
      <c r="BB17" s="27"/>
      <c r="BC17" s="27"/>
      <c r="BD17" s="27"/>
      <c r="BE17" s="27"/>
      <c r="BF17" s="27"/>
      <c r="BG17" s="27"/>
      <c r="BH17" s="27"/>
    </row>
    <row r="18" spans="1:60" x14ac:dyDescent="0.25">
      <c r="A18" s="111" t="s">
        <v>124</v>
      </c>
      <c r="B18" s="110" t="s">
        <v>125</v>
      </c>
      <c r="C18" s="122">
        <v>1026.76</v>
      </c>
      <c r="D18" s="139">
        <f t="shared" si="5"/>
        <v>0</v>
      </c>
      <c r="E18" s="139"/>
      <c r="F18" s="139"/>
      <c r="G18" s="139">
        <f>+INGENIERIA!E18</f>
        <v>1026.76</v>
      </c>
      <c r="H18" s="139">
        <v>0</v>
      </c>
      <c r="I18" s="139">
        <f t="shared" si="6"/>
        <v>20.5352</v>
      </c>
      <c r="J18" s="139">
        <f t="shared" si="7"/>
        <v>77.006999999999991</v>
      </c>
      <c r="K18" s="139">
        <f t="shared" si="8"/>
        <v>1124.3022000000001</v>
      </c>
      <c r="L18" s="139">
        <f t="shared" si="9"/>
        <v>179.88835200000003</v>
      </c>
      <c r="M18" s="139">
        <f t="shared" si="10"/>
        <v>1304.190552</v>
      </c>
      <c r="N18"/>
      <c r="O18" s="139">
        <f t="shared" si="11"/>
        <v>0</v>
      </c>
      <c r="P18" s="139">
        <f t="shared" si="12"/>
        <v>0</v>
      </c>
      <c r="Q18" s="139">
        <f t="shared" si="13"/>
        <v>0</v>
      </c>
      <c r="V18" t="str">
        <f t="shared" si="0"/>
        <v>SI</v>
      </c>
      <c r="W18" s="53" t="s">
        <v>35</v>
      </c>
      <c r="X18" s="62" t="s">
        <v>44</v>
      </c>
      <c r="Y18" s="54" t="s">
        <v>57</v>
      </c>
      <c r="Z18" s="76">
        <v>41842</v>
      </c>
      <c r="AA18" s="53" t="s">
        <v>40</v>
      </c>
      <c r="AB18" s="98"/>
      <c r="AC18" s="55"/>
      <c r="AD18" s="55"/>
      <c r="AE18" s="57"/>
      <c r="AF18" s="58">
        <f t="shared" si="1"/>
        <v>0</v>
      </c>
      <c r="AG18" s="85"/>
      <c r="AH18" s="85"/>
      <c r="AI18" s="59"/>
      <c r="AJ18" s="59"/>
      <c r="AK18" s="55"/>
      <c r="AL18" s="106">
        <v>0</v>
      </c>
      <c r="AM18" s="58">
        <f t="shared" si="2"/>
        <v>0</v>
      </c>
      <c r="AN18" s="60">
        <f t="shared" si="14"/>
        <v>0</v>
      </c>
      <c r="AO18" s="58">
        <f t="shared" si="3"/>
        <v>0</v>
      </c>
      <c r="AP18" s="61">
        <f t="shared" si="15"/>
        <v>0</v>
      </c>
      <c r="AQ18" s="60" t="e">
        <f>#REF!*0.02</f>
        <v>#REF!</v>
      </c>
      <c r="AR18" s="58" t="e">
        <f t="shared" si="4"/>
        <v>#REF!</v>
      </c>
      <c r="AS18" s="78"/>
      <c r="AT18" s="78"/>
      <c r="AU18" s="77">
        <f t="shared" si="16"/>
        <v>0</v>
      </c>
      <c r="AV18" s="62"/>
      <c r="AW18" s="62" t="s">
        <v>75</v>
      </c>
      <c r="AX18" s="27" t="str">
        <f t="shared" si="17"/>
        <v>si</v>
      </c>
      <c r="AY18" s="111" t="s">
        <v>124</v>
      </c>
      <c r="AZ18" s="110" t="s">
        <v>125</v>
      </c>
      <c r="BA18" s="27"/>
      <c r="BB18" s="27"/>
      <c r="BC18" s="27"/>
      <c r="BD18" s="27"/>
      <c r="BE18" s="27"/>
      <c r="BF18" s="27"/>
      <c r="BG18" s="27"/>
      <c r="BH18" s="27"/>
    </row>
    <row r="19" spans="1:60" x14ac:dyDescent="0.25">
      <c r="A19" s="111" t="s">
        <v>126</v>
      </c>
      <c r="B19" s="110" t="s">
        <v>127</v>
      </c>
      <c r="C19" s="122">
        <v>1026.76</v>
      </c>
      <c r="D19" s="139">
        <f t="shared" si="5"/>
        <v>1836.3</v>
      </c>
      <c r="E19" s="139"/>
      <c r="F19" s="139"/>
      <c r="G19" s="139">
        <f>+INGENIERIA!E19</f>
        <v>1026.76</v>
      </c>
      <c r="H19" s="139">
        <v>0</v>
      </c>
      <c r="I19" s="139">
        <f t="shared" si="6"/>
        <v>20.5352</v>
      </c>
      <c r="J19" s="139">
        <f t="shared" si="7"/>
        <v>77.006999999999991</v>
      </c>
      <c r="K19" s="139">
        <f t="shared" si="8"/>
        <v>1124.3022000000001</v>
      </c>
      <c r="L19" s="139">
        <f t="shared" si="9"/>
        <v>179.88835200000003</v>
      </c>
      <c r="M19" s="139">
        <f t="shared" si="10"/>
        <v>1304.190552</v>
      </c>
      <c r="N19"/>
      <c r="O19" s="139">
        <f t="shared" si="11"/>
        <v>1836.3</v>
      </c>
      <c r="P19" s="139">
        <f t="shared" si="12"/>
        <v>293.80799999999999</v>
      </c>
      <c r="Q19" s="139">
        <f t="shared" si="13"/>
        <v>2130.1080000000002</v>
      </c>
      <c r="V19" t="str">
        <f t="shared" si="0"/>
        <v>SI</v>
      </c>
      <c r="W19" s="53" t="s">
        <v>35</v>
      </c>
      <c r="X19" s="62" t="s">
        <v>91</v>
      </c>
      <c r="Y19" s="65"/>
      <c r="Z19" s="76">
        <v>42167</v>
      </c>
      <c r="AA19" s="62" t="s">
        <v>40</v>
      </c>
      <c r="AB19" s="97">
        <v>1836.3</v>
      </c>
      <c r="AC19" s="55"/>
      <c r="AD19" s="55"/>
      <c r="AE19" s="57"/>
      <c r="AF19" s="58">
        <f t="shared" si="1"/>
        <v>1836.3</v>
      </c>
      <c r="AG19" s="85"/>
      <c r="AH19" s="85"/>
      <c r="AI19" s="59"/>
      <c r="AJ19" s="59"/>
      <c r="AK19" s="55"/>
      <c r="AL19" s="106">
        <v>0</v>
      </c>
      <c r="AM19" s="58">
        <f t="shared" si="2"/>
        <v>1836.3</v>
      </c>
      <c r="AN19" s="60">
        <f t="shared" si="14"/>
        <v>0</v>
      </c>
      <c r="AO19" s="58">
        <f t="shared" si="3"/>
        <v>1836.3</v>
      </c>
      <c r="AP19" s="61">
        <f t="shared" si="15"/>
        <v>183.63</v>
      </c>
      <c r="AQ19" s="60" t="e">
        <f>#REF!*0.02</f>
        <v>#REF!</v>
      </c>
      <c r="AR19" s="58" t="e">
        <f t="shared" si="4"/>
        <v>#REF!</v>
      </c>
      <c r="AS19" s="78"/>
      <c r="AT19" s="72"/>
      <c r="AU19" s="77">
        <f t="shared" si="16"/>
        <v>-1836.3</v>
      </c>
      <c r="AV19" s="62"/>
      <c r="AW19" s="64">
        <v>1449517286</v>
      </c>
      <c r="AX19" s="27" t="str">
        <f t="shared" si="17"/>
        <v>si</v>
      </c>
      <c r="AY19" s="111" t="s">
        <v>126</v>
      </c>
      <c r="AZ19" s="110" t="s">
        <v>127</v>
      </c>
      <c r="BA19" s="27"/>
      <c r="BB19" s="27"/>
      <c r="BC19" s="27"/>
      <c r="BD19" s="27"/>
      <c r="BE19" s="27"/>
      <c r="BF19" s="27"/>
      <c r="BG19" s="27"/>
      <c r="BH19" s="27"/>
    </row>
    <row r="20" spans="1:60" x14ac:dyDescent="0.25">
      <c r="A20" s="111" t="s">
        <v>128</v>
      </c>
      <c r="B20" s="110" t="s">
        <v>129</v>
      </c>
      <c r="C20" s="122">
        <v>4666.76</v>
      </c>
      <c r="D20" s="139">
        <f t="shared" si="5"/>
        <v>5049.8500000000004</v>
      </c>
      <c r="E20" s="139"/>
      <c r="F20" s="139"/>
      <c r="G20" s="139">
        <f>+INGENIERIA!E20</f>
        <v>4666.76</v>
      </c>
      <c r="H20" s="139">
        <v>0</v>
      </c>
      <c r="I20" s="139">
        <f t="shared" si="6"/>
        <v>93.3352</v>
      </c>
      <c r="J20" s="139">
        <f t="shared" si="7"/>
        <v>350.00700000000001</v>
      </c>
      <c r="K20" s="139">
        <f t="shared" si="8"/>
        <v>5110.1022000000003</v>
      </c>
      <c r="L20" s="139">
        <f t="shared" si="9"/>
        <v>817.61635200000001</v>
      </c>
      <c r="M20" s="139">
        <f t="shared" si="10"/>
        <v>5927.7185520000003</v>
      </c>
      <c r="N20"/>
      <c r="O20" s="139">
        <f t="shared" si="11"/>
        <v>5049.8500000000004</v>
      </c>
      <c r="P20" s="139">
        <f t="shared" si="12"/>
        <v>807.97600000000011</v>
      </c>
      <c r="Q20" s="139">
        <f t="shared" si="13"/>
        <v>5857.8260000000009</v>
      </c>
      <c r="V20" t="str">
        <f t="shared" si="0"/>
        <v>SI</v>
      </c>
      <c r="W20" s="53" t="s">
        <v>36</v>
      </c>
      <c r="X20" s="62" t="s">
        <v>46</v>
      </c>
      <c r="Y20" s="65">
        <v>5</v>
      </c>
      <c r="Z20" s="76">
        <v>40310</v>
      </c>
      <c r="AA20" s="62" t="s">
        <v>41</v>
      </c>
      <c r="AB20" s="99">
        <v>5049.8500000000004</v>
      </c>
      <c r="AC20" s="66"/>
      <c r="AD20" s="56"/>
      <c r="AE20" s="57"/>
      <c r="AF20" s="58">
        <f t="shared" si="1"/>
        <v>5049.8500000000004</v>
      </c>
      <c r="AG20" s="85"/>
      <c r="AH20" s="85"/>
      <c r="AI20" s="59"/>
      <c r="AJ20" s="59"/>
      <c r="AK20" s="55"/>
      <c r="AL20" s="106">
        <v>0</v>
      </c>
      <c r="AM20" s="58">
        <f t="shared" si="2"/>
        <v>5049.8500000000004</v>
      </c>
      <c r="AN20" s="60">
        <f t="shared" si="14"/>
        <v>504.98500000000007</v>
      </c>
      <c r="AO20" s="58">
        <f t="shared" si="3"/>
        <v>4544.8650000000007</v>
      </c>
      <c r="AP20" s="61">
        <f t="shared" si="15"/>
        <v>0</v>
      </c>
      <c r="AQ20" s="60" t="e">
        <f>#REF!*0.02</f>
        <v>#REF!</v>
      </c>
      <c r="AR20" s="58" t="e">
        <f t="shared" si="4"/>
        <v>#REF!</v>
      </c>
      <c r="AS20" s="78"/>
      <c r="AT20" s="72"/>
      <c r="AU20" s="77">
        <f t="shared" si="16"/>
        <v>-4544.8650000000007</v>
      </c>
      <c r="AV20" s="62"/>
      <c r="AW20" s="62" t="s">
        <v>76</v>
      </c>
      <c r="AX20" s="27" t="str">
        <f t="shared" si="17"/>
        <v>si</v>
      </c>
      <c r="AY20" s="111" t="s">
        <v>128</v>
      </c>
      <c r="AZ20" s="110" t="s">
        <v>129</v>
      </c>
      <c r="BA20" s="27"/>
      <c r="BB20" s="27"/>
      <c r="BC20" s="27"/>
      <c r="BD20" s="27"/>
      <c r="BE20" s="27"/>
      <c r="BF20" s="27"/>
      <c r="BG20" s="27"/>
      <c r="BH20" s="27"/>
    </row>
    <row r="21" spans="1:60" x14ac:dyDescent="0.25">
      <c r="A21" s="111" t="s">
        <v>130</v>
      </c>
      <c r="B21" s="110" t="s">
        <v>131</v>
      </c>
      <c r="C21" s="122">
        <v>1026.76</v>
      </c>
      <c r="D21" s="139">
        <f t="shared" si="5"/>
        <v>14707.14</v>
      </c>
      <c r="E21" s="139"/>
      <c r="F21" s="139"/>
      <c r="G21" s="139">
        <f>+INGENIERIA!E21</f>
        <v>1026.76</v>
      </c>
      <c r="H21" s="139">
        <v>0</v>
      </c>
      <c r="I21" s="139">
        <f t="shared" si="6"/>
        <v>20.5352</v>
      </c>
      <c r="J21" s="139">
        <f t="shared" si="7"/>
        <v>77.006999999999991</v>
      </c>
      <c r="K21" s="139">
        <f t="shared" si="8"/>
        <v>1124.3022000000001</v>
      </c>
      <c r="L21" s="139">
        <f t="shared" si="9"/>
        <v>179.88835200000003</v>
      </c>
      <c r="M21" s="139">
        <f t="shared" si="10"/>
        <v>1304.190552</v>
      </c>
      <c r="N21"/>
      <c r="O21" s="139">
        <f t="shared" si="11"/>
        <v>14707.14</v>
      </c>
      <c r="P21" s="139">
        <f t="shared" si="12"/>
        <v>2353.1424000000002</v>
      </c>
      <c r="Q21" s="139">
        <f t="shared" si="13"/>
        <v>17060.2824</v>
      </c>
      <c r="V21" t="str">
        <f t="shared" si="0"/>
        <v>SI</v>
      </c>
      <c r="W21" s="53" t="s">
        <v>36</v>
      </c>
      <c r="X21" s="62" t="s">
        <v>49</v>
      </c>
      <c r="Y21" s="54" t="s">
        <v>58</v>
      </c>
      <c r="Z21" s="76">
        <v>41311</v>
      </c>
      <c r="AA21" s="53" t="s">
        <v>40</v>
      </c>
      <c r="AB21" s="100">
        <v>14707.14</v>
      </c>
      <c r="AC21" s="55"/>
      <c r="AD21" s="55"/>
      <c r="AE21" s="57"/>
      <c r="AF21" s="58">
        <f t="shared" si="1"/>
        <v>14707.14</v>
      </c>
      <c r="AG21" s="85"/>
      <c r="AH21" s="85"/>
      <c r="AI21" s="59"/>
      <c r="AJ21" s="59"/>
      <c r="AK21" s="55"/>
      <c r="AL21" s="106">
        <v>0</v>
      </c>
      <c r="AM21" s="58">
        <f t="shared" si="2"/>
        <v>14707.14</v>
      </c>
      <c r="AN21" s="60">
        <f t="shared" si="14"/>
        <v>1470.7139999999999</v>
      </c>
      <c r="AO21" s="58">
        <f t="shared" si="3"/>
        <v>13236.425999999999</v>
      </c>
      <c r="AP21" s="61">
        <f t="shared" si="15"/>
        <v>0</v>
      </c>
      <c r="AQ21" s="60" t="e">
        <f>#REF!*0.02</f>
        <v>#REF!</v>
      </c>
      <c r="AR21" s="58" t="e">
        <f t="shared" si="4"/>
        <v>#REF!</v>
      </c>
      <c r="AS21" s="78"/>
      <c r="AT21" s="72"/>
      <c r="AU21" s="77">
        <f t="shared" si="16"/>
        <v>-13236.425999999999</v>
      </c>
      <c r="AV21" s="62"/>
      <c r="AW21" s="62" t="s">
        <v>77</v>
      </c>
      <c r="AX21" s="27" t="str">
        <f t="shared" si="17"/>
        <v>si</v>
      </c>
      <c r="AY21" s="111" t="s">
        <v>130</v>
      </c>
      <c r="AZ21" s="110" t="s">
        <v>131</v>
      </c>
      <c r="BA21" s="27"/>
      <c r="BB21" s="27"/>
      <c r="BC21" s="27"/>
      <c r="BD21" s="27"/>
      <c r="BE21" s="27"/>
      <c r="BF21" s="27"/>
      <c r="BG21" s="27"/>
      <c r="BH21" s="27"/>
    </row>
    <row r="22" spans="1:60" x14ac:dyDescent="0.25">
      <c r="A22" s="111" t="s">
        <v>132</v>
      </c>
      <c r="B22" s="110" t="s">
        <v>133</v>
      </c>
      <c r="C22" s="122">
        <v>1166.76</v>
      </c>
      <c r="D22" s="139">
        <f t="shared" si="5"/>
        <v>1334.09</v>
      </c>
      <c r="E22" s="139"/>
      <c r="F22" s="139"/>
      <c r="G22" s="139">
        <f>+INGENIERIA!E22</f>
        <v>1166.76</v>
      </c>
      <c r="H22" s="139">
        <v>0</v>
      </c>
      <c r="I22" s="139">
        <f t="shared" si="6"/>
        <v>23.3352</v>
      </c>
      <c r="J22" s="139">
        <f t="shared" si="7"/>
        <v>87.506999999999991</v>
      </c>
      <c r="K22" s="139">
        <f t="shared" si="8"/>
        <v>1277.6022</v>
      </c>
      <c r="L22" s="139">
        <f t="shared" si="9"/>
        <v>204.41635200000002</v>
      </c>
      <c r="M22" s="139">
        <f t="shared" si="10"/>
        <v>1482.018552</v>
      </c>
      <c r="N22"/>
      <c r="O22" s="139">
        <f t="shared" si="11"/>
        <v>1334.09</v>
      </c>
      <c r="P22" s="139">
        <f t="shared" si="12"/>
        <v>213.45439999999999</v>
      </c>
      <c r="Q22" s="139">
        <f t="shared" si="13"/>
        <v>1547.5444</v>
      </c>
      <c r="V22" t="str">
        <f t="shared" si="0"/>
        <v>SI</v>
      </c>
      <c r="W22" s="53" t="s">
        <v>34</v>
      </c>
      <c r="X22" s="62" t="s">
        <v>45</v>
      </c>
      <c r="Y22" s="54" t="s">
        <v>56</v>
      </c>
      <c r="Z22" s="76">
        <v>40610</v>
      </c>
      <c r="AA22" s="53" t="s">
        <v>39</v>
      </c>
      <c r="AB22" s="97">
        <v>1334.09</v>
      </c>
      <c r="AC22" s="55"/>
      <c r="AD22" s="55"/>
      <c r="AE22" s="57"/>
      <c r="AF22" s="58">
        <f t="shared" si="1"/>
        <v>1334.09</v>
      </c>
      <c r="AG22" s="85"/>
      <c r="AH22" s="85"/>
      <c r="AI22" s="59"/>
      <c r="AJ22" s="59"/>
      <c r="AK22" s="55"/>
      <c r="AL22" s="106">
        <v>490</v>
      </c>
      <c r="AM22" s="58">
        <f t="shared" si="2"/>
        <v>844.08999999999992</v>
      </c>
      <c r="AN22" s="60">
        <f t="shared" si="14"/>
        <v>0</v>
      </c>
      <c r="AO22" s="58">
        <f t="shared" si="3"/>
        <v>844.08999999999992</v>
      </c>
      <c r="AP22" s="61">
        <f t="shared" si="15"/>
        <v>133.40899999999999</v>
      </c>
      <c r="AQ22" s="60" t="e">
        <f>#REF!*0.02</f>
        <v>#REF!</v>
      </c>
      <c r="AR22" s="58" t="e">
        <f t="shared" si="4"/>
        <v>#REF!</v>
      </c>
      <c r="AS22" s="78"/>
      <c r="AT22" s="72"/>
      <c r="AU22" s="77">
        <f t="shared" si="16"/>
        <v>-844.08999999999992</v>
      </c>
      <c r="AV22" s="62"/>
      <c r="AW22" s="62" t="s">
        <v>78</v>
      </c>
      <c r="AX22" s="27" t="str">
        <f t="shared" si="17"/>
        <v>si</v>
      </c>
      <c r="AY22" s="111" t="s">
        <v>132</v>
      </c>
      <c r="AZ22" s="110" t="s">
        <v>133</v>
      </c>
      <c r="BA22" s="27"/>
      <c r="BB22" s="27"/>
      <c r="BC22" s="27"/>
      <c r="BD22" s="27"/>
      <c r="BE22" s="27"/>
      <c r="BF22" s="27"/>
      <c r="BG22" s="27"/>
      <c r="BH22" s="27"/>
    </row>
    <row r="23" spans="1:60" x14ac:dyDescent="0.25">
      <c r="A23" s="111" t="s">
        <v>134</v>
      </c>
      <c r="B23" s="110" t="s">
        <v>135</v>
      </c>
      <c r="C23" s="122">
        <v>1026.76</v>
      </c>
      <c r="D23" s="139">
        <f t="shared" si="5"/>
        <v>8475.32</v>
      </c>
      <c r="E23" s="139"/>
      <c r="F23" s="139"/>
      <c r="G23" s="139">
        <f>+INGENIERIA!E23</f>
        <v>1026.76</v>
      </c>
      <c r="H23" s="139">
        <v>0</v>
      </c>
      <c r="I23" s="139">
        <f t="shared" si="6"/>
        <v>20.5352</v>
      </c>
      <c r="J23" s="139">
        <f t="shared" si="7"/>
        <v>77.006999999999991</v>
      </c>
      <c r="K23" s="139">
        <f t="shared" si="8"/>
        <v>1124.3022000000001</v>
      </c>
      <c r="L23" s="139">
        <f t="shared" si="9"/>
        <v>179.88835200000003</v>
      </c>
      <c r="M23" s="139">
        <f t="shared" si="10"/>
        <v>1304.190552</v>
      </c>
      <c r="N23"/>
      <c r="O23" s="139">
        <f t="shared" si="11"/>
        <v>8475.32</v>
      </c>
      <c r="P23" s="139">
        <f t="shared" si="12"/>
        <v>1356.0511999999999</v>
      </c>
      <c r="Q23" s="139">
        <f t="shared" si="13"/>
        <v>9831.3711999999996</v>
      </c>
      <c r="V23" t="str">
        <f t="shared" si="0"/>
        <v>SI</v>
      </c>
      <c r="W23" s="53" t="s">
        <v>36</v>
      </c>
      <c r="X23" s="62" t="s">
        <v>37</v>
      </c>
      <c r="Y23" s="54" t="s">
        <v>61</v>
      </c>
      <c r="Z23" s="76">
        <v>41842</v>
      </c>
      <c r="AA23" s="53" t="s">
        <v>40</v>
      </c>
      <c r="AB23" s="96">
        <v>8475.32</v>
      </c>
      <c r="AC23" s="56"/>
      <c r="AD23" s="56"/>
      <c r="AE23" s="57"/>
      <c r="AF23" s="58">
        <f t="shared" si="1"/>
        <v>8475.32</v>
      </c>
      <c r="AG23" s="85"/>
      <c r="AH23" s="85"/>
      <c r="AI23" s="59"/>
      <c r="AJ23" s="59"/>
      <c r="AK23" s="55"/>
      <c r="AL23" s="106">
        <v>0</v>
      </c>
      <c r="AM23" s="58">
        <f t="shared" si="2"/>
        <v>8475.32</v>
      </c>
      <c r="AN23" s="60">
        <f t="shared" si="14"/>
        <v>847.53200000000004</v>
      </c>
      <c r="AO23" s="58">
        <f t="shared" si="3"/>
        <v>7627.7879999999996</v>
      </c>
      <c r="AP23" s="61">
        <f t="shared" si="15"/>
        <v>0</v>
      </c>
      <c r="AQ23" s="60" t="e">
        <f>#REF!*0.02</f>
        <v>#REF!</v>
      </c>
      <c r="AR23" s="58" t="e">
        <f t="shared" si="4"/>
        <v>#REF!</v>
      </c>
      <c r="AS23" s="78"/>
      <c r="AT23" s="72"/>
      <c r="AU23" s="77">
        <f t="shared" si="16"/>
        <v>-7627.7879999999996</v>
      </c>
      <c r="AV23" s="62"/>
      <c r="AW23" s="62" t="s">
        <v>79</v>
      </c>
      <c r="AX23" s="27" t="str">
        <f t="shared" si="17"/>
        <v>si</v>
      </c>
      <c r="AY23" s="111" t="s">
        <v>134</v>
      </c>
      <c r="AZ23" s="110" t="s">
        <v>135</v>
      </c>
      <c r="BA23" s="27"/>
      <c r="BB23" s="27"/>
      <c r="BC23" s="27"/>
      <c r="BD23" s="27"/>
      <c r="BE23" s="27"/>
      <c r="BF23" s="27"/>
      <c r="BG23" s="27"/>
      <c r="BH23" s="27"/>
    </row>
    <row r="24" spans="1:60" x14ac:dyDescent="0.25">
      <c r="A24" s="111" t="s">
        <v>136</v>
      </c>
      <c r="B24" s="110" t="s">
        <v>137</v>
      </c>
      <c r="C24" s="122">
        <v>1026.76</v>
      </c>
      <c r="D24" s="139">
        <f t="shared" si="5"/>
        <v>2200.12</v>
      </c>
      <c r="E24" s="139"/>
      <c r="F24" s="139"/>
      <c r="G24" s="139">
        <f>+INGENIERIA!E24</f>
        <v>1026.76</v>
      </c>
      <c r="H24" s="139">
        <v>0</v>
      </c>
      <c r="I24" s="139">
        <f t="shared" si="6"/>
        <v>20.5352</v>
      </c>
      <c r="J24" s="139">
        <f t="shared" si="7"/>
        <v>77.006999999999991</v>
      </c>
      <c r="K24" s="139">
        <f t="shared" si="8"/>
        <v>1124.3022000000001</v>
      </c>
      <c r="L24" s="139">
        <f t="shared" si="9"/>
        <v>179.88835200000003</v>
      </c>
      <c r="M24" s="139">
        <f t="shared" si="10"/>
        <v>1304.190552</v>
      </c>
      <c r="N24"/>
      <c r="O24" s="139">
        <f t="shared" si="11"/>
        <v>2200.12</v>
      </c>
      <c r="P24" s="139">
        <f t="shared" si="12"/>
        <v>352.01920000000001</v>
      </c>
      <c r="Q24" s="139">
        <f t="shared" si="13"/>
        <v>2552.1392000000001</v>
      </c>
      <c r="V24" t="str">
        <f t="shared" si="0"/>
        <v>SI</v>
      </c>
      <c r="W24" s="53" t="s">
        <v>36</v>
      </c>
      <c r="X24" s="62" t="s">
        <v>175</v>
      </c>
      <c r="Y24" s="54" t="s">
        <v>59</v>
      </c>
      <c r="Z24" s="76">
        <v>41768</v>
      </c>
      <c r="AA24" s="53" t="s">
        <v>40</v>
      </c>
      <c r="AB24" s="99">
        <v>2200.12</v>
      </c>
      <c r="AC24" s="56"/>
      <c r="AD24" s="56"/>
      <c r="AE24" s="57"/>
      <c r="AF24" s="58">
        <f t="shared" si="1"/>
        <v>2200.12</v>
      </c>
      <c r="AG24" s="85"/>
      <c r="AH24" s="85"/>
      <c r="AI24" s="59"/>
      <c r="AJ24" s="59"/>
      <c r="AK24" s="55"/>
      <c r="AL24" s="106">
        <v>0</v>
      </c>
      <c r="AM24" s="58">
        <f t="shared" si="2"/>
        <v>2200.12</v>
      </c>
      <c r="AN24" s="60">
        <f t="shared" si="14"/>
        <v>0</v>
      </c>
      <c r="AO24" s="58">
        <f t="shared" si="3"/>
        <v>2200.12</v>
      </c>
      <c r="AP24" s="61">
        <f t="shared" si="15"/>
        <v>220.012</v>
      </c>
      <c r="AQ24" s="60" t="e">
        <f>#REF!*0.02</f>
        <v>#REF!</v>
      </c>
      <c r="AR24" s="58" t="e">
        <f t="shared" si="4"/>
        <v>#REF!</v>
      </c>
      <c r="AS24" s="78"/>
      <c r="AT24" s="72"/>
      <c r="AU24" s="77">
        <f t="shared" si="16"/>
        <v>-2200.12</v>
      </c>
      <c r="AV24" s="62"/>
      <c r="AW24" s="62" t="s">
        <v>80</v>
      </c>
      <c r="AX24" s="27" t="str">
        <f t="shared" si="17"/>
        <v>si</v>
      </c>
      <c r="AY24" s="111" t="s">
        <v>136</v>
      </c>
      <c r="AZ24" s="110" t="s">
        <v>137</v>
      </c>
      <c r="BA24" s="27"/>
      <c r="BB24" s="27"/>
      <c r="BC24" s="27"/>
      <c r="BD24" s="27"/>
      <c r="BE24" s="27"/>
      <c r="BF24" s="27"/>
      <c r="BG24" s="27"/>
      <c r="BH24" s="27"/>
    </row>
    <row r="25" spans="1:60" x14ac:dyDescent="0.25">
      <c r="A25" s="111" t="s">
        <v>138</v>
      </c>
      <c r="B25" s="110" t="s">
        <v>139</v>
      </c>
      <c r="C25" s="122">
        <v>1026.76</v>
      </c>
      <c r="D25" s="139">
        <f t="shared" si="5"/>
        <v>4068.03</v>
      </c>
      <c r="E25" s="139"/>
      <c r="F25" s="139"/>
      <c r="G25" s="139">
        <f>+INGENIERIA!E25</f>
        <v>1026.76</v>
      </c>
      <c r="H25" s="139">
        <v>0</v>
      </c>
      <c r="I25" s="139">
        <f t="shared" si="6"/>
        <v>20.5352</v>
      </c>
      <c r="J25" s="139">
        <f t="shared" si="7"/>
        <v>77.006999999999991</v>
      </c>
      <c r="K25" s="139">
        <f t="shared" si="8"/>
        <v>1124.3022000000001</v>
      </c>
      <c r="L25" s="139">
        <f t="shared" si="9"/>
        <v>179.88835200000003</v>
      </c>
      <c r="M25" s="139">
        <f t="shared" si="10"/>
        <v>1304.190552</v>
      </c>
      <c r="N25"/>
      <c r="O25" s="139">
        <f t="shared" si="11"/>
        <v>4068.03</v>
      </c>
      <c r="P25" s="139">
        <f t="shared" si="12"/>
        <v>650.88480000000004</v>
      </c>
      <c r="Q25" s="139">
        <f t="shared" si="13"/>
        <v>4718.9148000000005</v>
      </c>
      <c r="V25" t="str">
        <f t="shared" si="0"/>
        <v>SI</v>
      </c>
      <c r="W25" s="62" t="s">
        <v>36</v>
      </c>
      <c r="X25" s="62" t="s">
        <v>92</v>
      </c>
      <c r="Y25" s="65" t="s">
        <v>60</v>
      </c>
      <c r="Z25" s="76">
        <v>41957</v>
      </c>
      <c r="AA25" s="62" t="s">
        <v>40</v>
      </c>
      <c r="AB25" s="96">
        <v>4068.03</v>
      </c>
      <c r="AC25" s="63"/>
      <c r="AD25" s="63"/>
      <c r="AE25" s="57"/>
      <c r="AF25" s="58">
        <f t="shared" si="1"/>
        <v>4068.03</v>
      </c>
      <c r="AG25" s="85"/>
      <c r="AH25" s="85"/>
      <c r="AI25" s="59"/>
      <c r="AJ25" s="59"/>
      <c r="AK25" s="55"/>
      <c r="AL25" s="106">
        <v>0</v>
      </c>
      <c r="AM25" s="58">
        <f t="shared" si="2"/>
        <v>4068.03</v>
      </c>
      <c r="AN25" s="60">
        <f t="shared" si="14"/>
        <v>406.80300000000005</v>
      </c>
      <c r="AO25" s="58">
        <f t="shared" si="3"/>
        <v>3661.2270000000003</v>
      </c>
      <c r="AP25" s="61">
        <f t="shared" si="15"/>
        <v>0</v>
      </c>
      <c r="AQ25" s="60" t="e">
        <f>#REF!*0.02</f>
        <v>#REF!</v>
      </c>
      <c r="AR25" s="58" t="e">
        <f t="shared" si="4"/>
        <v>#REF!</v>
      </c>
      <c r="AS25" s="78"/>
      <c r="AT25" s="72"/>
      <c r="AU25" s="77">
        <f t="shared" si="16"/>
        <v>-3661.2270000000003</v>
      </c>
      <c r="AV25" s="62"/>
      <c r="AW25" s="62" t="s">
        <v>81</v>
      </c>
      <c r="AX25" s="27" t="str">
        <f t="shared" si="17"/>
        <v>si</v>
      </c>
      <c r="AY25" s="111" t="s">
        <v>138</v>
      </c>
      <c r="AZ25" s="110" t="s">
        <v>139</v>
      </c>
      <c r="BA25" s="27"/>
      <c r="BB25" s="27"/>
      <c r="BC25" s="27"/>
      <c r="BD25" s="27"/>
      <c r="BE25" s="27"/>
      <c r="BF25" s="27"/>
      <c r="BG25" s="27"/>
      <c r="BH25" s="27"/>
    </row>
    <row r="26" spans="1:60" x14ac:dyDescent="0.25">
      <c r="A26" s="111" t="s">
        <v>140</v>
      </c>
      <c r="B26" s="110" t="s">
        <v>141</v>
      </c>
      <c r="C26" s="122">
        <v>4666.76</v>
      </c>
      <c r="D26" s="139">
        <f t="shared" si="5"/>
        <v>3003.98</v>
      </c>
      <c r="E26" s="139"/>
      <c r="F26" s="139"/>
      <c r="G26" s="139">
        <f>+INGENIERIA!E26</f>
        <v>4666.76</v>
      </c>
      <c r="H26" s="139">
        <v>0</v>
      </c>
      <c r="I26" s="139">
        <f t="shared" si="6"/>
        <v>93.3352</v>
      </c>
      <c r="J26" s="139">
        <f t="shared" si="7"/>
        <v>350.00700000000001</v>
      </c>
      <c r="K26" s="139">
        <f t="shared" si="8"/>
        <v>5110.1022000000003</v>
      </c>
      <c r="L26" s="139">
        <f t="shared" si="9"/>
        <v>817.61635200000001</v>
      </c>
      <c r="M26" s="139">
        <f t="shared" si="10"/>
        <v>5927.7185520000003</v>
      </c>
      <c r="N26"/>
      <c r="O26" s="139">
        <f t="shared" si="11"/>
        <v>3003.98</v>
      </c>
      <c r="P26" s="139">
        <f t="shared" si="12"/>
        <v>480.63679999999999</v>
      </c>
      <c r="Q26" s="139">
        <f t="shared" si="13"/>
        <v>3484.6167999999998</v>
      </c>
      <c r="V26" t="str">
        <f t="shared" si="0"/>
        <v>SI</v>
      </c>
      <c r="W26" s="62" t="s">
        <v>36</v>
      </c>
      <c r="X26" s="62" t="s">
        <v>109</v>
      </c>
      <c r="Y26" s="65"/>
      <c r="Z26" s="76">
        <v>41906</v>
      </c>
      <c r="AA26" s="62" t="s">
        <v>41</v>
      </c>
      <c r="AB26" s="97">
        <v>3003.98</v>
      </c>
      <c r="AC26" s="63"/>
      <c r="AD26" s="63"/>
      <c r="AE26" s="57"/>
      <c r="AF26" s="58">
        <f t="shared" si="1"/>
        <v>3003.98</v>
      </c>
      <c r="AG26" s="85"/>
      <c r="AH26" s="85"/>
      <c r="AI26" s="59"/>
      <c r="AJ26" s="59"/>
      <c r="AK26" s="55"/>
      <c r="AL26" s="106">
        <v>350</v>
      </c>
      <c r="AM26" s="58">
        <f t="shared" si="2"/>
        <v>2653.98</v>
      </c>
      <c r="AN26" s="60"/>
      <c r="AO26" s="58">
        <f>+AM26-AN26</f>
        <v>2653.98</v>
      </c>
      <c r="AP26" s="61">
        <f>IF(AF26&lt;2250,AF26*0.1,0)</f>
        <v>0</v>
      </c>
      <c r="AQ26" s="60"/>
      <c r="AR26" s="58"/>
      <c r="AS26" s="78"/>
      <c r="AT26" s="72"/>
      <c r="AU26" s="77"/>
      <c r="AV26" s="62"/>
      <c r="AW26" s="62"/>
      <c r="AX26" s="27" t="str">
        <f t="shared" si="17"/>
        <v>si</v>
      </c>
      <c r="AY26" s="111" t="s">
        <v>140</v>
      </c>
      <c r="AZ26" s="110" t="s">
        <v>141</v>
      </c>
      <c r="BA26" s="27"/>
      <c r="BB26" s="27"/>
      <c r="BC26" s="27"/>
      <c r="BD26" s="27"/>
      <c r="BE26" s="27"/>
      <c r="BF26" s="27"/>
      <c r="BG26" s="27"/>
      <c r="BH26" s="27"/>
    </row>
    <row r="27" spans="1:60" x14ac:dyDescent="0.25">
      <c r="A27" s="111" t="s">
        <v>142</v>
      </c>
      <c r="B27" s="110" t="s">
        <v>143</v>
      </c>
      <c r="C27" s="122">
        <v>1166.76</v>
      </c>
      <c r="D27" s="139">
        <f t="shared" si="5"/>
        <v>191.75</v>
      </c>
      <c r="E27" s="139"/>
      <c r="F27" s="139"/>
      <c r="G27" s="139">
        <f>+INGENIERIA!E27</f>
        <v>1166.76</v>
      </c>
      <c r="H27" s="139">
        <v>0</v>
      </c>
      <c r="I27" s="139">
        <f t="shared" si="6"/>
        <v>23.3352</v>
      </c>
      <c r="J27" s="139">
        <f t="shared" si="7"/>
        <v>87.506999999999991</v>
      </c>
      <c r="K27" s="139">
        <f t="shared" si="8"/>
        <v>1277.6022</v>
      </c>
      <c r="L27" s="139">
        <f t="shared" si="9"/>
        <v>204.41635200000002</v>
      </c>
      <c r="M27" s="139">
        <f t="shared" si="10"/>
        <v>1482.018552</v>
      </c>
      <c r="N27"/>
      <c r="O27" s="139">
        <f t="shared" si="11"/>
        <v>191.75</v>
      </c>
      <c r="P27" s="139">
        <f t="shared" si="12"/>
        <v>30.68</v>
      </c>
      <c r="Q27" s="139">
        <f t="shared" si="13"/>
        <v>222.43</v>
      </c>
      <c r="V27" t="str">
        <f t="shared" si="0"/>
        <v>SI</v>
      </c>
      <c r="W27" s="53" t="s">
        <v>34</v>
      </c>
      <c r="X27" s="62" t="s">
        <v>176</v>
      </c>
      <c r="Y27" s="54">
        <v>21</v>
      </c>
      <c r="Z27" s="76">
        <v>39332</v>
      </c>
      <c r="AA27" s="53" t="s">
        <v>39</v>
      </c>
      <c r="AB27" s="99">
        <v>191.75</v>
      </c>
      <c r="AC27" s="55"/>
      <c r="AD27" s="55"/>
      <c r="AE27" s="57"/>
      <c r="AF27" s="58">
        <f t="shared" si="1"/>
        <v>191.75</v>
      </c>
      <c r="AG27" s="85"/>
      <c r="AH27" s="85"/>
      <c r="AI27" s="59"/>
      <c r="AJ27" s="59"/>
      <c r="AK27" s="55"/>
      <c r="AL27" s="106">
        <v>83.6</v>
      </c>
      <c r="AM27" s="58">
        <f t="shared" si="2"/>
        <v>108.15</v>
      </c>
      <c r="AN27" s="60">
        <f t="shared" si="14"/>
        <v>0</v>
      </c>
      <c r="AO27" s="58">
        <f>+AM27-AN27</f>
        <v>108.15</v>
      </c>
      <c r="AP27" s="61">
        <f t="shared" si="15"/>
        <v>19.175000000000001</v>
      </c>
      <c r="AQ27" s="60" t="e">
        <f>#REF!*0.02</f>
        <v>#REF!</v>
      </c>
      <c r="AR27" s="58" t="e">
        <f t="shared" si="4"/>
        <v>#REF!</v>
      </c>
      <c r="AS27" s="78"/>
      <c r="AT27" s="72"/>
      <c r="AU27" s="77">
        <f>+AS27+AT27-AO27</f>
        <v>-108.15</v>
      </c>
      <c r="AV27" s="62"/>
      <c r="AW27" s="62" t="s">
        <v>82</v>
      </c>
      <c r="AX27" s="27" t="str">
        <f t="shared" si="17"/>
        <v>si</v>
      </c>
      <c r="AY27" s="111" t="s">
        <v>142</v>
      </c>
      <c r="AZ27" s="110" t="s">
        <v>143</v>
      </c>
      <c r="BA27" s="27"/>
      <c r="BB27" s="27"/>
      <c r="BC27" s="27"/>
      <c r="BD27" s="27"/>
      <c r="BE27" s="27"/>
      <c r="BF27" s="27"/>
      <c r="BG27" s="27"/>
      <c r="BH27" s="27"/>
    </row>
    <row r="28" spans="1:60" x14ac:dyDescent="0.25">
      <c r="A28" s="111" t="s">
        <v>144</v>
      </c>
      <c r="B28" s="110" t="s">
        <v>145</v>
      </c>
      <c r="C28" s="122">
        <v>1026.76</v>
      </c>
      <c r="D28" s="139">
        <f t="shared" si="5"/>
        <v>10686.74</v>
      </c>
      <c r="E28" s="139"/>
      <c r="F28" s="139"/>
      <c r="G28" s="139">
        <f>+INGENIERIA!E28</f>
        <v>1026.76</v>
      </c>
      <c r="H28" s="139">
        <v>0</v>
      </c>
      <c r="I28" s="139">
        <f t="shared" si="6"/>
        <v>20.5352</v>
      </c>
      <c r="J28" s="139">
        <f t="shared" si="7"/>
        <v>77.006999999999991</v>
      </c>
      <c r="K28" s="139">
        <f t="shared" si="8"/>
        <v>1124.3022000000001</v>
      </c>
      <c r="L28" s="139">
        <f t="shared" si="9"/>
        <v>179.88835200000003</v>
      </c>
      <c r="M28" s="139">
        <f t="shared" si="10"/>
        <v>1304.190552</v>
      </c>
      <c r="N28"/>
      <c r="O28" s="139">
        <f t="shared" si="11"/>
        <v>10686.74</v>
      </c>
      <c r="P28" s="139">
        <f t="shared" si="12"/>
        <v>1709.8784000000001</v>
      </c>
      <c r="Q28" s="139">
        <f t="shared" si="13"/>
        <v>12396.618399999999</v>
      </c>
      <c r="V28" t="str">
        <f t="shared" si="0"/>
        <v>SI</v>
      </c>
      <c r="W28" s="62" t="s">
        <v>36</v>
      </c>
      <c r="X28" s="62" t="s">
        <v>97</v>
      </c>
      <c r="Y28" s="65" t="s">
        <v>63</v>
      </c>
      <c r="Z28" s="76">
        <v>41680</v>
      </c>
      <c r="AA28" s="62" t="s">
        <v>40</v>
      </c>
      <c r="AB28" s="99">
        <v>10686.74</v>
      </c>
      <c r="AC28" s="63"/>
      <c r="AD28" s="63"/>
      <c r="AE28" s="57"/>
      <c r="AF28" s="58">
        <f t="shared" si="1"/>
        <v>10686.74</v>
      </c>
      <c r="AG28" s="85"/>
      <c r="AH28" s="85"/>
      <c r="AI28" s="59"/>
      <c r="AJ28" s="59"/>
      <c r="AK28" s="55"/>
      <c r="AL28" s="106">
        <v>0</v>
      </c>
      <c r="AM28" s="58">
        <f>+AF28-SUM(AG28:AL28)</f>
        <v>10686.74</v>
      </c>
      <c r="AN28" s="60">
        <f t="shared" si="14"/>
        <v>1068.674</v>
      </c>
      <c r="AO28" s="58">
        <f>+AM28-AN28</f>
        <v>9618.0659999999989</v>
      </c>
      <c r="AP28" s="61">
        <f t="shared" si="15"/>
        <v>0</v>
      </c>
      <c r="AQ28" s="60" t="e">
        <f>#REF!*0.02</f>
        <v>#REF!</v>
      </c>
      <c r="AR28" s="58" t="e">
        <f>+AF28+AP28+AQ28</f>
        <v>#REF!</v>
      </c>
      <c r="AS28" s="78"/>
      <c r="AT28" s="72"/>
      <c r="AU28" s="77">
        <f t="shared" si="16"/>
        <v>-9618.0659999999989</v>
      </c>
      <c r="AV28" s="62"/>
      <c r="AW28" s="62" t="s">
        <v>83</v>
      </c>
      <c r="AX28" s="27" t="str">
        <f t="shared" si="17"/>
        <v>si</v>
      </c>
      <c r="AY28" s="111" t="s">
        <v>144</v>
      </c>
      <c r="AZ28" s="110" t="s">
        <v>145</v>
      </c>
      <c r="BA28" s="27"/>
      <c r="BB28" s="27"/>
      <c r="BC28" s="27"/>
      <c r="BD28" s="27"/>
      <c r="BE28" s="27"/>
      <c r="BF28" s="27"/>
      <c r="BG28" s="27"/>
      <c r="BH28" s="27"/>
    </row>
    <row r="29" spans="1:60" x14ac:dyDescent="0.25">
      <c r="A29" s="111" t="s">
        <v>146</v>
      </c>
      <c r="B29" s="110" t="s">
        <v>147</v>
      </c>
      <c r="C29" s="122">
        <v>1026.76</v>
      </c>
      <c r="D29" s="139">
        <f t="shared" si="5"/>
        <v>0</v>
      </c>
      <c r="E29" s="139"/>
      <c r="F29" s="139"/>
      <c r="G29" s="139">
        <f>+INGENIERIA!E29</f>
        <v>1026.76</v>
      </c>
      <c r="H29" s="139">
        <v>0</v>
      </c>
      <c r="I29" s="139">
        <f t="shared" si="6"/>
        <v>20.5352</v>
      </c>
      <c r="J29" s="139">
        <f t="shared" si="7"/>
        <v>77.006999999999991</v>
      </c>
      <c r="K29" s="139">
        <f t="shared" si="8"/>
        <v>1124.3022000000001</v>
      </c>
      <c r="L29" s="139">
        <f t="shared" si="9"/>
        <v>179.88835200000003</v>
      </c>
      <c r="M29" s="139">
        <f t="shared" si="10"/>
        <v>1304.190552</v>
      </c>
      <c r="N29"/>
      <c r="O29" s="139">
        <f t="shared" si="11"/>
        <v>0</v>
      </c>
      <c r="P29" s="139">
        <f t="shared" si="12"/>
        <v>0</v>
      </c>
      <c r="Q29" s="139">
        <f t="shared" si="13"/>
        <v>0</v>
      </c>
      <c r="V29" t="str">
        <f t="shared" si="0"/>
        <v>SI</v>
      </c>
      <c r="W29" s="62" t="s">
        <v>36</v>
      </c>
      <c r="X29" s="62" t="s">
        <v>50</v>
      </c>
      <c r="Y29" s="65" t="s">
        <v>62</v>
      </c>
      <c r="Z29" s="76">
        <v>41944</v>
      </c>
      <c r="AA29" s="62" t="s">
        <v>40</v>
      </c>
      <c r="AB29" s="96"/>
      <c r="AC29" s="63"/>
      <c r="AD29" s="63"/>
      <c r="AE29" s="57"/>
      <c r="AF29" s="58">
        <f t="shared" si="1"/>
        <v>0</v>
      </c>
      <c r="AG29" s="85"/>
      <c r="AH29" s="85"/>
      <c r="AI29" s="59"/>
      <c r="AJ29" s="59"/>
      <c r="AK29" s="55"/>
      <c r="AL29" s="106">
        <v>0</v>
      </c>
      <c r="AM29" s="58">
        <f>+AF29-SUM(AG29:AL29)</f>
        <v>0</v>
      </c>
      <c r="AN29" s="60">
        <f t="shared" si="14"/>
        <v>0</v>
      </c>
      <c r="AO29" s="58">
        <f>+AM29-AN29</f>
        <v>0</v>
      </c>
      <c r="AP29" s="61">
        <f t="shared" si="15"/>
        <v>0</v>
      </c>
      <c r="AQ29" s="60" t="e">
        <f>#REF!*0.02</f>
        <v>#REF!</v>
      </c>
      <c r="AR29" s="58" t="e">
        <f>+AF29+AP29+AQ29</f>
        <v>#REF!</v>
      </c>
      <c r="AS29" s="78"/>
      <c r="AT29" s="72"/>
      <c r="AU29" s="77">
        <f t="shared" si="16"/>
        <v>0</v>
      </c>
      <c r="AV29" s="62"/>
      <c r="AW29" s="62" t="s">
        <v>84</v>
      </c>
      <c r="AX29" s="27" t="str">
        <f t="shared" si="17"/>
        <v>si</v>
      </c>
      <c r="AY29" s="111" t="s">
        <v>146</v>
      </c>
      <c r="AZ29" s="110" t="s">
        <v>147</v>
      </c>
      <c r="BA29" s="27"/>
      <c r="BB29" s="27"/>
      <c r="BC29" s="27"/>
      <c r="BD29" s="27"/>
      <c r="BE29" s="27"/>
      <c r="BF29" s="27"/>
      <c r="BG29" s="27"/>
      <c r="BH29" s="27"/>
    </row>
    <row r="30" spans="1:60" x14ac:dyDescent="0.25">
      <c r="A30" s="111" t="s">
        <v>148</v>
      </c>
      <c r="B30" s="110" t="s">
        <v>149</v>
      </c>
      <c r="C30" s="122">
        <v>1166.76</v>
      </c>
      <c r="D30" s="139">
        <f t="shared" si="5"/>
        <v>1460.94</v>
      </c>
      <c r="E30" s="139"/>
      <c r="F30" s="139"/>
      <c r="G30" s="139">
        <f>+INGENIERIA!E30</f>
        <v>1166.76</v>
      </c>
      <c r="H30" s="139">
        <v>0</v>
      </c>
      <c r="I30" s="139">
        <f t="shared" si="6"/>
        <v>23.3352</v>
      </c>
      <c r="J30" s="139">
        <f t="shared" si="7"/>
        <v>87.506999999999991</v>
      </c>
      <c r="K30" s="139">
        <f t="shared" si="8"/>
        <v>1277.6022</v>
      </c>
      <c r="L30" s="139">
        <f t="shared" si="9"/>
        <v>204.41635200000002</v>
      </c>
      <c r="M30" s="139">
        <f t="shared" si="10"/>
        <v>1482.018552</v>
      </c>
      <c r="N30"/>
      <c r="O30" s="139">
        <f t="shared" si="11"/>
        <v>1460.94</v>
      </c>
      <c r="P30" s="139">
        <f t="shared" si="12"/>
        <v>233.75040000000001</v>
      </c>
      <c r="Q30" s="139">
        <f t="shared" si="13"/>
        <v>1694.6904</v>
      </c>
      <c r="V30" t="str">
        <f t="shared" si="0"/>
        <v>SI</v>
      </c>
      <c r="W30" s="53" t="s">
        <v>34</v>
      </c>
      <c r="X30" s="62" t="s">
        <v>43</v>
      </c>
      <c r="Y30" s="54" t="s">
        <v>64</v>
      </c>
      <c r="Z30" s="76">
        <v>40362</v>
      </c>
      <c r="AA30" s="53" t="s">
        <v>39</v>
      </c>
      <c r="AB30" s="99">
        <v>1460.94</v>
      </c>
      <c r="AC30" s="55"/>
      <c r="AD30" s="55"/>
      <c r="AE30" s="57"/>
      <c r="AF30" s="58">
        <f t="shared" si="1"/>
        <v>1460.94</v>
      </c>
      <c r="AG30" s="85"/>
      <c r="AH30" s="85"/>
      <c r="AI30" s="59"/>
      <c r="AJ30" s="59"/>
      <c r="AK30" s="55"/>
      <c r="AL30" s="106">
        <v>0</v>
      </c>
      <c r="AM30" s="58">
        <f t="shared" si="2"/>
        <v>1460.94</v>
      </c>
      <c r="AN30" s="60">
        <f t="shared" si="14"/>
        <v>0</v>
      </c>
      <c r="AO30" s="58">
        <f t="shared" si="3"/>
        <v>1460.94</v>
      </c>
      <c r="AP30" s="61">
        <f t="shared" si="15"/>
        <v>146.09400000000002</v>
      </c>
      <c r="AQ30" s="60" t="e">
        <f>#REF!*0.02</f>
        <v>#REF!</v>
      </c>
      <c r="AR30" s="58" t="e">
        <f t="shared" si="4"/>
        <v>#REF!</v>
      </c>
      <c r="AS30" s="78"/>
      <c r="AT30" s="72"/>
      <c r="AU30" s="77">
        <f t="shared" si="16"/>
        <v>-1460.94</v>
      </c>
      <c r="AV30" s="62"/>
      <c r="AW30" s="62" t="s">
        <v>85</v>
      </c>
      <c r="AX30" s="27" t="str">
        <f t="shared" si="17"/>
        <v>si</v>
      </c>
      <c r="AY30" s="111" t="s">
        <v>148</v>
      </c>
      <c r="AZ30" s="110" t="s">
        <v>149</v>
      </c>
      <c r="BA30" s="27"/>
      <c r="BB30" s="27"/>
      <c r="BC30" s="27"/>
      <c r="BD30" s="27"/>
      <c r="BE30" s="27"/>
      <c r="BF30" s="27"/>
      <c r="BG30" s="27"/>
      <c r="BH30" s="27"/>
    </row>
    <row r="31" spans="1:60" x14ac:dyDescent="0.25">
      <c r="A31" s="111" t="s">
        <v>150</v>
      </c>
      <c r="B31" s="110" t="s">
        <v>151</v>
      </c>
      <c r="C31" s="122">
        <v>1026.76</v>
      </c>
      <c r="D31" s="139">
        <f t="shared" si="5"/>
        <v>3158.56</v>
      </c>
      <c r="E31" s="139"/>
      <c r="F31" s="139"/>
      <c r="G31" s="139">
        <f>+INGENIERIA!E31</f>
        <v>1026.76</v>
      </c>
      <c r="H31" s="139">
        <v>0</v>
      </c>
      <c r="I31" s="139">
        <f t="shared" si="6"/>
        <v>20.5352</v>
      </c>
      <c r="J31" s="139">
        <f t="shared" si="7"/>
        <v>77.006999999999991</v>
      </c>
      <c r="K31" s="139">
        <f t="shared" si="8"/>
        <v>1124.3022000000001</v>
      </c>
      <c r="L31" s="139">
        <f t="shared" si="9"/>
        <v>179.88835200000003</v>
      </c>
      <c r="M31" s="139">
        <f t="shared" si="10"/>
        <v>1304.190552</v>
      </c>
      <c r="N31"/>
      <c r="O31" s="139">
        <f t="shared" si="11"/>
        <v>3158.56</v>
      </c>
      <c r="P31" s="139">
        <f t="shared" si="12"/>
        <v>505.36959999999999</v>
      </c>
      <c r="Q31" s="139">
        <f t="shared" si="13"/>
        <v>3663.9295999999999</v>
      </c>
      <c r="V31" t="str">
        <f t="shared" si="0"/>
        <v>SI</v>
      </c>
      <c r="W31" s="62" t="s">
        <v>36</v>
      </c>
      <c r="X31" s="62" t="s">
        <v>106</v>
      </c>
      <c r="Y31" s="65"/>
      <c r="Z31" s="76">
        <v>42557</v>
      </c>
      <c r="AA31" s="62" t="s">
        <v>40</v>
      </c>
      <c r="AB31" s="99">
        <v>3158.56</v>
      </c>
      <c r="AC31" s="63"/>
      <c r="AD31" s="63"/>
      <c r="AE31" s="57"/>
      <c r="AF31" s="58">
        <f t="shared" si="1"/>
        <v>3158.56</v>
      </c>
      <c r="AG31" s="85"/>
      <c r="AH31" s="85"/>
      <c r="AI31" s="59"/>
      <c r="AJ31" s="59"/>
      <c r="AK31" s="55"/>
      <c r="AL31" s="106"/>
      <c r="AM31" s="58">
        <f>+AF31-SUM(AG31:AL31)</f>
        <v>3158.56</v>
      </c>
      <c r="AN31" s="60">
        <f>IF(AF31&gt;2250,AF31*0.1,0)</f>
        <v>315.85599999999999</v>
      </c>
      <c r="AO31" s="58">
        <f>+AM31-AN31</f>
        <v>2842.7039999999997</v>
      </c>
      <c r="AP31" s="61">
        <f>IF(AF31&lt;2250,AF31*0.1,0)</f>
        <v>0</v>
      </c>
      <c r="AQ31" s="60" t="e">
        <f>#REF!*0.02</f>
        <v>#REF!</v>
      </c>
      <c r="AR31" s="58" t="e">
        <f>+AF31+AP31+AQ31</f>
        <v>#REF!</v>
      </c>
      <c r="AS31" s="78"/>
      <c r="AT31" s="78"/>
      <c r="AU31" s="77"/>
      <c r="AV31" s="62" t="s">
        <v>104</v>
      </c>
      <c r="AW31" s="64">
        <v>405715097</v>
      </c>
      <c r="AX31" s="27" t="str">
        <f t="shared" si="17"/>
        <v>si</v>
      </c>
      <c r="AY31" s="111" t="s">
        <v>150</v>
      </c>
      <c r="AZ31" s="110" t="s">
        <v>151</v>
      </c>
      <c r="BA31" s="27"/>
      <c r="BB31" s="27"/>
      <c r="BC31" s="27"/>
      <c r="BD31" s="27"/>
      <c r="BE31" s="27"/>
      <c r="BF31" s="27"/>
      <c r="BG31" s="27"/>
      <c r="BH31" s="27"/>
    </row>
    <row r="32" spans="1:60" x14ac:dyDescent="0.25">
      <c r="A32" s="111" t="s">
        <v>152</v>
      </c>
      <c r="B32" s="110" t="s">
        <v>153</v>
      </c>
      <c r="C32" s="122">
        <v>4666.76</v>
      </c>
      <c r="D32" s="139">
        <f t="shared" si="5"/>
        <v>1629.88</v>
      </c>
      <c r="E32" s="139"/>
      <c r="F32" s="139"/>
      <c r="G32" s="139">
        <f>+INGENIERIA!E32</f>
        <v>4666.76</v>
      </c>
      <c r="H32" s="139">
        <v>0</v>
      </c>
      <c r="I32" s="139">
        <f t="shared" si="6"/>
        <v>93.3352</v>
      </c>
      <c r="J32" s="139">
        <f t="shared" si="7"/>
        <v>350.00700000000001</v>
      </c>
      <c r="K32" s="139">
        <f t="shared" si="8"/>
        <v>5110.1022000000003</v>
      </c>
      <c r="L32" s="139">
        <f t="shared" si="9"/>
        <v>817.61635200000001</v>
      </c>
      <c r="M32" s="139">
        <f t="shared" si="10"/>
        <v>5927.7185520000003</v>
      </c>
      <c r="N32"/>
      <c r="O32" s="139">
        <f t="shared" si="11"/>
        <v>1629.88</v>
      </c>
      <c r="P32" s="139">
        <f t="shared" si="12"/>
        <v>260.7808</v>
      </c>
      <c r="Q32" s="139">
        <f t="shared" si="13"/>
        <v>1890.6608000000001</v>
      </c>
      <c r="V32" t="str">
        <f t="shared" si="0"/>
        <v>SI</v>
      </c>
      <c r="W32" s="62" t="s">
        <v>35</v>
      </c>
      <c r="X32" s="62" t="s">
        <v>99</v>
      </c>
      <c r="Y32" s="65"/>
      <c r="Z32" s="76">
        <v>42478</v>
      </c>
      <c r="AA32" s="53" t="s">
        <v>41</v>
      </c>
      <c r="AB32" s="99">
        <v>1629.88</v>
      </c>
      <c r="AC32" s="63"/>
      <c r="AD32" s="63"/>
      <c r="AE32" s="57"/>
      <c r="AF32" s="58">
        <f t="shared" si="1"/>
        <v>1629.88</v>
      </c>
      <c r="AG32" s="85"/>
      <c r="AH32" s="85"/>
      <c r="AI32" s="59"/>
      <c r="AJ32" s="59"/>
      <c r="AK32" s="55"/>
      <c r="AL32" s="106">
        <v>403</v>
      </c>
      <c r="AM32" s="58">
        <f t="shared" ref="AM32:AM42" si="18">+AF32-SUM(AG32:AL32)</f>
        <v>1226.8800000000001</v>
      </c>
      <c r="AN32" s="60">
        <f t="shared" si="14"/>
        <v>0</v>
      </c>
      <c r="AO32" s="58">
        <f t="shared" ref="AO32:AO42" si="19">+AM32-AN32</f>
        <v>1226.8800000000001</v>
      </c>
      <c r="AP32" s="61">
        <f t="shared" si="15"/>
        <v>162.98800000000003</v>
      </c>
      <c r="AQ32" s="60" t="e">
        <f>#REF!*0.02</f>
        <v>#REF!</v>
      </c>
      <c r="AR32" s="58" t="e">
        <f>+AF32+AP32+AQ32</f>
        <v>#REF!</v>
      </c>
      <c r="AS32" s="78"/>
      <c r="AT32" s="72"/>
      <c r="AU32" s="77">
        <f t="shared" si="16"/>
        <v>-1226.8800000000001</v>
      </c>
      <c r="AV32" s="71"/>
      <c r="AW32" s="62" t="s">
        <v>100</v>
      </c>
      <c r="AX32" s="27" t="str">
        <f t="shared" si="17"/>
        <v>si</v>
      </c>
      <c r="AY32" s="111" t="s">
        <v>152</v>
      </c>
      <c r="AZ32" s="110" t="s">
        <v>153</v>
      </c>
      <c r="BA32" s="27"/>
      <c r="BB32" s="27"/>
      <c r="BC32" s="27"/>
      <c r="BD32" s="27"/>
      <c r="BE32" s="27"/>
      <c r="BF32" s="27"/>
      <c r="BG32" s="27"/>
      <c r="BH32" s="27"/>
    </row>
    <row r="33" spans="1:60" x14ac:dyDescent="0.25">
      <c r="A33" s="111" t="s">
        <v>154</v>
      </c>
      <c r="B33" s="110" t="s">
        <v>155</v>
      </c>
      <c r="C33" s="122">
        <v>1026.76</v>
      </c>
      <c r="D33" s="139">
        <f t="shared" si="5"/>
        <v>10439.5</v>
      </c>
      <c r="E33" s="139"/>
      <c r="F33" s="139"/>
      <c r="G33" s="139">
        <f>+INGENIERIA!E33</f>
        <v>1026.76</v>
      </c>
      <c r="H33" s="139">
        <v>0</v>
      </c>
      <c r="I33" s="139">
        <f t="shared" si="6"/>
        <v>20.5352</v>
      </c>
      <c r="J33" s="139">
        <f t="shared" si="7"/>
        <v>77.006999999999991</v>
      </c>
      <c r="K33" s="139">
        <f t="shared" si="8"/>
        <v>1124.3022000000001</v>
      </c>
      <c r="L33" s="139">
        <f t="shared" si="9"/>
        <v>179.88835200000003</v>
      </c>
      <c r="M33" s="139">
        <f t="shared" si="10"/>
        <v>1304.190552</v>
      </c>
      <c r="N33"/>
      <c r="O33" s="139">
        <f t="shared" si="11"/>
        <v>10439.5</v>
      </c>
      <c r="P33" s="139">
        <f t="shared" si="12"/>
        <v>1670.32</v>
      </c>
      <c r="Q33" s="139">
        <f t="shared" si="13"/>
        <v>12109.82</v>
      </c>
      <c r="V33" t="str">
        <f t="shared" si="0"/>
        <v>SI</v>
      </c>
      <c r="W33" s="62" t="s">
        <v>36</v>
      </c>
      <c r="X33" s="62" t="s">
        <v>95</v>
      </c>
      <c r="Y33" s="65"/>
      <c r="Z33" s="76">
        <v>42430</v>
      </c>
      <c r="AA33" s="62" t="s">
        <v>40</v>
      </c>
      <c r="AB33" s="99">
        <v>10439.5</v>
      </c>
      <c r="AC33" s="63"/>
      <c r="AD33" s="63"/>
      <c r="AE33" s="57"/>
      <c r="AF33" s="58">
        <f t="shared" si="1"/>
        <v>10439.5</v>
      </c>
      <c r="AG33" s="85"/>
      <c r="AH33" s="85"/>
      <c r="AI33" s="59"/>
      <c r="AJ33" s="59"/>
      <c r="AK33" s="55"/>
      <c r="AL33" s="106">
        <v>0</v>
      </c>
      <c r="AM33" s="58">
        <f t="shared" si="18"/>
        <v>10439.5</v>
      </c>
      <c r="AN33" s="60">
        <f t="shared" si="14"/>
        <v>1043.95</v>
      </c>
      <c r="AO33" s="58">
        <f t="shared" si="19"/>
        <v>9395.5499999999993</v>
      </c>
      <c r="AP33" s="61">
        <f t="shared" si="15"/>
        <v>0</v>
      </c>
      <c r="AQ33" s="60" t="e">
        <f>#REF!*0.02</f>
        <v>#REF!</v>
      </c>
      <c r="AR33" s="58" t="e">
        <f t="shared" ref="AR33:AR42" si="20">+AF33+AP33+AQ33</f>
        <v>#REF!</v>
      </c>
      <c r="AS33" s="78"/>
      <c r="AT33" s="72"/>
      <c r="AU33" s="77">
        <f t="shared" si="16"/>
        <v>-9395.5499999999993</v>
      </c>
      <c r="AV33" s="62"/>
      <c r="AW33" s="64"/>
      <c r="AX33" s="27" t="str">
        <f t="shared" si="17"/>
        <v>si</v>
      </c>
      <c r="AY33" s="111" t="s">
        <v>154</v>
      </c>
      <c r="AZ33" s="110" t="s">
        <v>155</v>
      </c>
      <c r="BA33" s="27"/>
      <c r="BB33" s="27"/>
      <c r="BC33" s="27"/>
      <c r="BD33" s="27"/>
      <c r="BE33" s="27"/>
      <c r="BF33" s="27"/>
      <c r="BG33" s="27"/>
      <c r="BH33" s="27"/>
    </row>
    <row r="34" spans="1:60" x14ac:dyDescent="0.25">
      <c r="A34" s="111" t="s">
        <v>156</v>
      </c>
      <c r="B34" s="110" t="s">
        <v>157</v>
      </c>
      <c r="C34" s="122">
        <v>1026.76</v>
      </c>
      <c r="D34" s="139">
        <f t="shared" si="5"/>
        <v>14576.91</v>
      </c>
      <c r="E34" s="139"/>
      <c r="F34" s="139"/>
      <c r="G34" s="139">
        <f>+INGENIERIA!E34</f>
        <v>1026.76</v>
      </c>
      <c r="H34" s="139">
        <v>0</v>
      </c>
      <c r="I34" s="139">
        <f t="shared" si="6"/>
        <v>20.5352</v>
      </c>
      <c r="J34" s="139">
        <f t="shared" si="7"/>
        <v>77.006999999999991</v>
      </c>
      <c r="K34" s="139">
        <f t="shared" si="8"/>
        <v>1124.3022000000001</v>
      </c>
      <c r="L34" s="139">
        <f t="shared" si="9"/>
        <v>179.88835200000003</v>
      </c>
      <c r="M34" s="139">
        <f t="shared" si="10"/>
        <v>1304.190552</v>
      </c>
      <c r="N34"/>
      <c r="O34" s="139">
        <f t="shared" si="11"/>
        <v>14576.91</v>
      </c>
      <c r="P34" s="139">
        <f t="shared" si="12"/>
        <v>2332.3056000000001</v>
      </c>
      <c r="Q34" s="139">
        <f t="shared" si="13"/>
        <v>16909.2156</v>
      </c>
      <c r="V34" t="str">
        <f t="shared" si="0"/>
        <v>SI</v>
      </c>
      <c r="W34" s="62" t="s">
        <v>36</v>
      </c>
      <c r="X34" s="62" t="s">
        <v>108</v>
      </c>
      <c r="Y34" s="65"/>
      <c r="Z34" s="76">
        <v>42570</v>
      </c>
      <c r="AA34" s="62" t="s">
        <v>40</v>
      </c>
      <c r="AB34" s="99">
        <v>14576.91</v>
      </c>
      <c r="AC34" s="63"/>
      <c r="AD34" s="63"/>
      <c r="AE34" s="57"/>
      <c r="AF34" s="58">
        <f t="shared" si="1"/>
        <v>14576.91</v>
      </c>
      <c r="AG34" s="85"/>
      <c r="AH34" s="85"/>
      <c r="AI34" s="59"/>
      <c r="AJ34" s="59"/>
      <c r="AK34" s="55"/>
      <c r="AL34" s="106">
        <v>385.41</v>
      </c>
      <c r="AM34" s="58">
        <f t="shared" si="18"/>
        <v>14191.5</v>
      </c>
      <c r="AN34" s="60">
        <f>IF(AF34&gt;2250,AF34*0.1,0)</f>
        <v>1457.691</v>
      </c>
      <c r="AO34" s="58">
        <f>+AM34-AN34</f>
        <v>12733.808999999999</v>
      </c>
      <c r="AP34" s="61">
        <f t="shared" si="15"/>
        <v>0</v>
      </c>
      <c r="AQ34" s="60" t="e">
        <f>#REF!*0.02</f>
        <v>#REF!</v>
      </c>
      <c r="AR34" s="58" t="e">
        <f t="shared" si="20"/>
        <v>#REF!</v>
      </c>
      <c r="AS34" s="78"/>
      <c r="AT34" s="72"/>
      <c r="AU34" s="77"/>
      <c r="AV34" s="62"/>
      <c r="AW34" s="64"/>
      <c r="AX34" s="27" t="str">
        <f t="shared" si="17"/>
        <v>si</v>
      </c>
      <c r="AY34" s="111" t="s">
        <v>156</v>
      </c>
      <c r="AZ34" s="110" t="s">
        <v>157</v>
      </c>
      <c r="BA34" s="27"/>
    </row>
    <row r="35" spans="1:60" x14ac:dyDescent="0.25">
      <c r="A35" s="111" t="s">
        <v>158</v>
      </c>
      <c r="B35" s="110" t="s">
        <v>159</v>
      </c>
      <c r="C35" s="122">
        <v>1026.76</v>
      </c>
      <c r="D35" s="139">
        <f t="shared" si="5"/>
        <v>0</v>
      </c>
      <c r="E35" s="139"/>
      <c r="F35" s="139"/>
      <c r="G35" s="139">
        <f>+INGENIERIA!E35</f>
        <v>1026.76</v>
      </c>
      <c r="H35" s="139">
        <v>0</v>
      </c>
      <c r="I35" s="139">
        <f t="shared" si="6"/>
        <v>20.5352</v>
      </c>
      <c r="J35" s="139">
        <f t="shared" si="7"/>
        <v>77.006999999999991</v>
      </c>
      <c r="K35" s="139">
        <f t="shared" si="8"/>
        <v>1124.3022000000001</v>
      </c>
      <c r="L35" s="139">
        <f t="shared" si="9"/>
        <v>179.88835200000003</v>
      </c>
      <c r="M35" s="139">
        <f t="shared" si="10"/>
        <v>1304.190552</v>
      </c>
      <c r="N35"/>
      <c r="O35" s="139">
        <f t="shared" si="11"/>
        <v>0</v>
      </c>
      <c r="P35" s="139">
        <f t="shared" si="12"/>
        <v>0</v>
      </c>
      <c r="Q35" s="139">
        <f t="shared" si="13"/>
        <v>0</v>
      </c>
      <c r="V35" t="str">
        <f t="shared" si="0"/>
        <v>SI</v>
      </c>
      <c r="W35" s="53" t="s">
        <v>36</v>
      </c>
      <c r="X35" s="62" t="s">
        <v>177</v>
      </c>
      <c r="Y35" s="54" t="s">
        <v>65</v>
      </c>
      <c r="Z35" s="76">
        <v>41592</v>
      </c>
      <c r="AA35" s="53" t="s">
        <v>40</v>
      </c>
      <c r="AB35" s="99"/>
      <c r="AC35" s="56"/>
      <c r="AD35" s="56"/>
      <c r="AE35" s="57"/>
      <c r="AF35" s="58">
        <f t="shared" si="1"/>
        <v>0</v>
      </c>
      <c r="AG35" s="85"/>
      <c r="AH35" s="85"/>
      <c r="AI35" s="59"/>
      <c r="AJ35" s="59"/>
      <c r="AK35" s="55"/>
      <c r="AL35" s="106">
        <v>0</v>
      </c>
      <c r="AM35" s="58">
        <f t="shared" si="18"/>
        <v>0</v>
      </c>
      <c r="AN35" s="60">
        <f t="shared" si="14"/>
        <v>0</v>
      </c>
      <c r="AO35" s="58">
        <f t="shared" si="19"/>
        <v>0</v>
      </c>
      <c r="AP35" s="61">
        <f t="shared" si="15"/>
        <v>0</v>
      </c>
      <c r="AQ35" s="60" t="e">
        <f>#REF!*0.02</f>
        <v>#REF!</v>
      </c>
      <c r="AR35" s="58" t="e">
        <f t="shared" si="20"/>
        <v>#REF!</v>
      </c>
      <c r="AS35" s="78"/>
      <c r="AT35" s="72"/>
      <c r="AU35" s="77">
        <f t="shared" si="16"/>
        <v>0</v>
      </c>
      <c r="AV35" s="62"/>
      <c r="AW35" s="62" t="s">
        <v>86</v>
      </c>
      <c r="AX35" s="27" t="str">
        <f t="shared" si="17"/>
        <v>si</v>
      </c>
      <c r="AY35" s="111" t="s">
        <v>158</v>
      </c>
      <c r="AZ35" s="110" t="s">
        <v>159</v>
      </c>
      <c r="BA35" s="27"/>
    </row>
    <row r="36" spans="1:60" x14ac:dyDescent="0.25">
      <c r="A36" s="111" t="s">
        <v>160</v>
      </c>
      <c r="B36" s="110" t="s">
        <v>161</v>
      </c>
      <c r="C36" s="122">
        <v>1026.76</v>
      </c>
      <c r="D36" s="139">
        <f t="shared" si="5"/>
        <v>816.44</v>
      </c>
      <c r="E36" s="139"/>
      <c r="F36" s="139"/>
      <c r="G36" s="139">
        <f>+INGENIERIA!E36</f>
        <v>1026.76</v>
      </c>
      <c r="H36" s="139">
        <v>0</v>
      </c>
      <c r="I36" s="139">
        <f t="shared" si="6"/>
        <v>20.5352</v>
      </c>
      <c r="J36" s="139">
        <f t="shared" si="7"/>
        <v>77.006999999999991</v>
      </c>
      <c r="K36" s="139">
        <f t="shared" si="8"/>
        <v>1124.3022000000001</v>
      </c>
      <c r="L36" s="139">
        <f t="shared" si="9"/>
        <v>179.88835200000003</v>
      </c>
      <c r="M36" s="139">
        <f t="shared" si="10"/>
        <v>1304.190552</v>
      </c>
      <c r="N36"/>
      <c r="O36" s="139">
        <f t="shared" si="11"/>
        <v>816.44</v>
      </c>
      <c r="P36" s="139">
        <f t="shared" si="12"/>
        <v>130.63040000000001</v>
      </c>
      <c r="Q36" s="139">
        <f t="shared" si="13"/>
        <v>947.07040000000006</v>
      </c>
      <c r="V36" t="str">
        <f t="shared" si="0"/>
        <v>SI</v>
      </c>
      <c r="W36" s="53" t="s">
        <v>35</v>
      </c>
      <c r="X36" s="62" t="s">
        <v>178</v>
      </c>
      <c r="Y36" s="54" t="s">
        <v>66</v>
      </c>
      <c r="Z36" s="76">
        <v>42030</v>
      </c>
      <c r="AA36" s="53" t="s">
        <v>40</v>
      </c>
      <c r="AB36" s="99">
        <v>816.44</v>
      </c>
      <c r="AC36" s="55"/>
      <c r="AD36" s="55"/>
      <c r="AE36" s="57"/>
      <c r="AF36" s="58">
        <f t="shared" si="1"/>
        <v>816.44</v>
      </c>
      <c r="AG36" s="85"/>
      <c r="AH36" s="85"/>
      <c r="AI36" s="59"/>
      <c r="AJ36" s="59"/>
      <c r="AK36" s="55"/>
      <c r="AL36" s="106">
        <v>0</v>
      </c>
      <c r="AM36" s="58">
        <f t="shared" si="18"/>
        <v>816.44</v>
      </c>
      <c r="AN36" s="60">
        <f t="shared" si="14"/>
        <v>0</v>
      </c>
      <c r="AO36" s="58">
        <f t="shared" si="19"/>
        <v>816.44</v>
      </c>
      <c r="AP36" s="61">
        <f t="shared" si="15"/>
        <v>81.644000000000005</v>
      </c>
      <c r="AQ36" s="60" t="e">
        <f>#REF!*0.02</f>
        <v>#REF!</v>
      </c>
      <c r="AR36" s="58" t="e">
        <f t="shared" si="20"/>
        <v>#REF!</v>
      </c>
      <c r="AS36" s="78"/>
      <c r="AT36" s="73"/>
      <c r="AU36" s="77">
        <f t="shared" si="16"/>
        <v>-816.44</v>
      </c>
      <c r="AV36" s="62"/>
      <c r="AW36" s="62" t="s">
        <v>87</v>
      </c>
      <c r="AX36" s="27" t="str">
        <f t="shared" si="17"/>
        <v>si</v>
      </c>
      <c r="AY36" s="111" t="s">
        <v>160</v>
      </c>
      <c r="AZ36" s="110" t="s">
        <v>161</v>
      </c>
      <c r="BA36" s="27"/>
      <c r="BB36" s="27"/>
      <c r="BC36" s="27"/>
      <c r="BD36" s="27"/>
      <c r="BE36" s="27"/>
      <c r="BF36" s="27"/>
      <c r="BG36" s="27"/>
      <c r="BH36" s="27"/>
    </row>
    <row r="37" spans="1:60" x14ac:dyDescent="0.25">
      <c r="A37" s="111" t="s">
        <v>162</v>
      </c>
      <c r="B37" s="110" t="s">
        <v>163</v>
      </c>
      <c r="C37" s="122">
        <v>1026.76</v>
      </c>
      <c r="D37" s="139">
        <f t="shared" si="5"/>
        <v>0</v>
      </c>
      <c r="E37" s="139"/>
      <c r="F37" s="139"/>
      <c r="G37" s="139">
        <f>+INGENIERIA!E37</f>
        <v>1026.76</v>
      </c>
      <c r="H37" s="139">
        <v>0</v>
      </c>
      <c r="I37" s="139">
        <f t="shared" si="6"/>
        <v>20.5352</v>
      </c>
      <c r="J37" s="139">
        <f t="shared" si="7"/>
        <v>77.006999999999991</v>
      </c>
      <c r="K37" s="139">
        <f t="shared" si="8"/>
        <v>1124.3022000000001</v>
      </c>
      <c r="L37" s="139">
        <f t="shared" si="9"/>
        <v>179.88835200000003</v>
      </c>
      <c r="M37" s="139">
        <f t="shared" si="10"/>
        <v>1304.190552</v>
      </c>
      <c r="N37"/>
      <c r="O37" s="139">
        <f t="shared" si="11"/>
        <v>0</v>
      </c>
      <c r="P37" s="139">
        <f t="shared" si="12"/>
        <v>0</v>
      </c>
      <c r="Q37" s="139">
        <f t="shared" si="13"/>
        <v>0</v>
      </c>
      <c r="V37" t="str">
        <f t="shared" si="0"/>
        <v>SI</v>
      </c>
      <c r="W37" s="53" t="s">
        <v>36</v>
      </c>
      <c r="X37" s="62" t="s">
        <v>110</v>
      </c>
      <c r="Y37" s="54"/>
      <c r="Z37" s="76">
        <v>42597</v>
      </c>
      <c r="AA37" s="53" t="s">
        <v>40</v>
      </c>
      <c r="AB37" s="99"/>
      <c r="AC37" s="55"/>
      <c r="AD37" s="55"/>
      <c r="AE37" s="57"/>
      <c r="AF37" s="58">
        <f t="shared" si="1"/>
        <v>0</v>
      </c>
      <c r="AG37" s="85"/>
      <c r="AH37" s="85"/>
      <c r="AI37" s="59"/>
      <c r="AJ37" s="59"/>
      <c r="AK37" s="55"/>
      <c r="AL37" s="106"/>
      <c r="AM37" s="58">
        <f>+AF37-SUM(AG37:AL37)</f>
        <v>0</v>
      </c>
      <c r="AN37" s="60">
        <f>IF(AF37&gt;2250,AF37*0.1,0)</f>
        <v>0</v>
      </c>
      <c r="AO37" s="58">
        <f>+AM37-AN37</f>
        <v>0</v>
      </c>
      <c r="AP37" s="61"/>
      <c r="AQ37" s="60"/>
      <c r="AR37" s="58"/>
      <c r="AS37" s="78"/>
      <c r="AT37" s="73"/>
      <c r="AU37" s="77"/>
      <c r="AV37" s="62"/>
      <c r="AW37" s="64">
        <v>1148534756</v>
      </c>
      <c r="AX37" s="27" t="str">
        <f t="shared" si="17"/>
        <v>si</v>
      </c>
      <c r="AY37" s="111" t="s">
        <v>162</v>
      </c>
      <c r="AZ37" s="110" t="s">
        <v>163</v>
      </c>
      <c r="BA37" s="27"/>
      <c r="BB37" s="27"/>
      <c r="BC37" s="27"/>
      <c r="BD37" s="27"/>
      <c r="BE37" s="27"/>
      <c r="BF37" s="27"/>
      <c r="BG37" s="27"/>
      <c r="BH37" s="27"/>
    </row>
    <row r="38" spans="1:60" x14ac:dyDescent="0.25">
      <c r="A38" s="111" t="s">
        <v>164</v>
      </c>
      <c r="B38" s="110" t="s">
        <v>165</v>
      </c>
      <c r="C38" s="122">
        <v>1166.69</v>
      </c>
      <c r="D38" s="139">
        <f t="shared" si="5"/>
        <v>725.21</v>
      </c>
      <c r="E38" s="139"/>
      <c r="F38" s="139"/>
      <c r="G38" s="139">
        <f>+INGENIERIA!E38</f>
        <v>1166.69</v>
      </c>
      <c r="H38" s="139">
        <v>0</v>
      </c>
      <c r="I38" s="139">
        <f t="shared" si="6"/>
        <v>23.3338</v>
      </c>
      <c r="J38" s="139">
        <f t="shared" si="7"/>
        <v>87.501750000000001</v>
      </c>
      <c r="K38" s="139">
        <f t="shared" si="8"/>
        <v>1277.5255500000001</v>
      </c>
      <c r="L38" s="139">
        <f t="shared" si="9"/>
        <v>204.404088</v>
      </c>
      <c r="M38" s="139">
        <f t="shared" si="10"/>
        <v>1481.9296380000001</v>
      </c>
      <c r="N38"/>
      <c r="O38" s="139">
        <f t="shared" si="11"/>
        <v>725.21</v>
      </c>
      <c r="P38" s="139">
        <f t="shared" si="12"/>
        <v>116.03360000000001</v>
      </c>
      <c r="Q38" s="139">
        <f t="shared" si="13"/>
        <v>841.24360000000001</v>
      </c>
      <c r="V38" t="str">
        <f t="shared" si="0"/>
        <v>SI</v>
      </c>
      <c r="W38" s="62" t="s">
        <v>34</v>
      </c>
      <c r="X38" s="62" t="s">
        <v>111</v>
      </c>
      <c r="Y38" s="65"/>
      <c r="Z38" s="76">
        <v>42618</v>
      </c>
      <c r="AA38" s="62" t="s">
        <v>39</v>
      </c>
      <c r="AB38" s="101">
        <f>600.35+124.86</f>
        <v>725.21</v>
      </c>
      <c r="AC38" s="63"/>
      <c r="AD38" s="63"/>
      <c r="AE38" s="57"/>
      <c r="AF38" s="58">
        <f>SUM(AB38:AD38)-AE38</f>
        <v>725.21</v>
      </c>
      <c r="AG38" s="85"/>
      <c r="AH38" s="85"/>
      <c r="AI38" s="59"/>
      <c r="AJ38" s="59"/>
      <c r="AK38" s="55"/>
      <c r="AL38" s="106"/>
      <c r="AM38" s="58">
        <f>+AF38-SUM(AG38:AL38)</f>
        <v>725.21</v>
      </c>
      <c r="AN38" s="60">
        <f>IF(AF38&gt;2250,AF38*0.1,0)</f>
        <v>0</v>
      </c>
      <c r="AO38" s="58">
        <f>+AM38-AN38</f>
        <v>725.21</v>
      </c>
      <c r="AP38" s="61"/>
      <c r="AQ38" s="60"/>
      <c r="AR38" s="58"/>
      <c r="AS38" s="78"/>
      <c r="AT38" s="72"/>
      <c r="AU38" s="77"/>
      <c r="AV38" s="62"/>
      <c r="AW38" s="64">
        <v>1137834713</v>
      </c>
      <c r="AX38" s="27" t="str">
        <f t="shared" si="17"/>
        <v>si</v>
      </c>
      <c r="AY38" s="111" t="s">
        <v>164</v>
      </c>
      <c r="AZ38" s="110" t="s">
        <v>165</v>
      </c>
      <c r="BA38" s="27"/>
      <c r="BB38" s="27"/>
      <c r="BC38" s="27"/>
      <c r="BD38" s="27"/>
      <c r="BE38" s="27"/>
      <c r="BF38" s="27"/>
      <c r="BG38" s="27"/>
      <c r="BH38" s="27"/>
    </row>
    <row r="39" spans="1:60" x14ac:dyDescent="0.25">
      <c r="A39" s="111" t="s">
        <v>166</v>
      </c>
      <c r="B39" s="110" t="s">
        <v>167</v>
      </c>
      <c r="C39" s="122">
        <v>1026.76</v>
      </c>
      <c r="D39" s="139">
        <f t="shared" si="5"/>
        <v>8651.17</v>
      </c>
      <c r="E39" s="139"/>
      <c r="F39" s="139"/>
      <c r="G39" s="139">
        <f>+INGENIERIA!E39</f>
        <v>1026.76</v>
      </c>
      <c r="H39" s="139">
        <v>0</v>
      </c>
      <c r="I39" s="139">
        <f t="shared" si="6"/>
        <v>20.5352</v>
      </c>
      <c r="J39" s="139">
        <f t="shared" si="7"/>
        <v>77.006999999999991</v>
      </c>
      <c r="K39" s="139">
        <f t="shared" si="8"/>
        <v>1124.3022000000001</v>
      </c>
      <c r="L39" s="139">
        <f t="shared" si="9"/>
        <v>179.88835200000003</v>
      </c>
      <c r="M39" s="139">
        <f t="shared" si="10"/>
        <v>1304.190552</v>
      </c>
      <c r="N39"/>
      <c r="O39" s="139">
        <f t="shared" si="11"/>
        <v>8651.17</v>
      </c>
      <c r="P39" s="139">
        <f t="shared" si="12"/>
        <v>1384.1872000000001</v>
      </c>
      <c r="Q39" s="139">
        <f t="shared" si="13"/>
        <v>10035.3572</v>
      </c>
      <c r="V39" t="str">
        <f t="shared" si="0"/>
        <v>SI</v>
      </c>
      <c r="W39" s="53" t="s">
        <v>35</v>
      </c>
      <c r="X39" s="62" t="s">
        <v>179</v>
      </c>
      <c r="Y39" s="54" t="s">
        <v>67</v>
      </c>
      <c r="Z39" s="76">
        <v>41435</v>
      </c>
      <c r="AA39" s="53" t="s">
        <v>40</v>
      </c>
      <c r="AB39" s="97">
        <v>8651.17</v>
      </c>
      <c r="AC39" s="55"/>
      <c r="AD39" s="55"/>
      <c r="AE39" s="57"/>
      <c r="AF39" s="58">
        <f t="shared" si="1"/>
        <v>8651.17</v>
      </c>
      <c r="AG39" s="85"/>
      <c r="AH39" s="85"/>
      <c r="AI39" s="59"/>
      <c r="AJ39" s="59"/>
      <c r="AK39" s="55"/>
      <c r="AL39" s="106">
        <v>577.35</v>
      </c>
      <c r="AM39" s="58">
        <f t="shared" si="18"/>
        <v>8073.82</v>
      </c>
      <c r="AN39" s="60">
        <f t="shared" si="14"/>
        <v>865.11700000000008</v>
      </c>
      <c r="AO39" s="58">
        <f t="shared" si="19"/>
        <v>7208.7029999999995</v>
      </c>
      <c r="AP39" s="61">
        <f t="shared" si="15"/>
        <v>0</v>
      </c>
      <c r="AQ39" s="60" t="e">
        <f>#REF!*0.02</f>
        <v>#REF!</v>
      </c>
      <c r="AR39" s="58" t="e">
        <f t="shared" si="20"/>
        <v>#REF!</v>
      </c>
      <c r="AS39" s="78"/>
      <c r="AT39" s="73"/>
      <c r="AU39" s="77">
        <f t="shared" si="16"/>
        <v>-7208.7029999999995</v>
      </c>
      <c r="AV39" s="62"/>
      <c r="AW39" s="62" t="s">
        <v>88</v>
      </c>
      <c r="AX39" s="27" t="str">
        <f t="shared" si="17"/>
        <v>si</v>
      </c>
      <c r="AY39" s="111" t="s">
        <v>166</v>
      </c>
      <c r="AZ39" s="110" t="s">
        <v>167</v>
      </c>
      <c r="BA39" s="27"/>
      <c r="BB39" s="27"/>
      <c r="BC39" s="27"/>
      <c r="BD39" s="27"/>
      <c r="BE39" s="27"/>
      <c r="BF39" s="27"/>
      <c r="BG39" s="27"/>
      <c r="BH39" s="27"/>
    </row>
    <row r="40" spans="1:60" x14ac:dyDescent="0.25">
      <c r="A40" s="111" t="s">
        <v>168</v>
      </c>
      <c r="B40" s="110" t="s">
        <v>169</v>
      </c>
      <c r="C40" s="122">
        <v>1026.76</v>
      </c>
      <c r="D40" s="139">
        <f t="shared" si="5"/>
        <v>5196.68</v>
      </c>
      <c r="E40" s="139"/>
      <c r="F40" s="139"/>
      <c r="G40" s="139">
        <f>+INGENIERIA!E40</f>
        <v>1026.76</v>
      </c>
      <c r="H40" s="139">
        <v>0</v>
      </c>
      <c r="I40" s="139">
        <f t="shared" si="6"/>
        <v>20.5352</v>
      </c>
      <c r="J40" s="139">
        <f t="shared" si="7"/>
        <v>77.006999999999991</v>
      </c>
      <c r="K40" s="139">
        <f t="shared" si="8"/>
        <v>1124.3022000000001</v>
      </c>
      <c r="L40" s="139">
        <f t="shared" si="9"/>
        <v>179.88835200000003</v>
      </c>
      <c r="M40" s="139">
        <f t="shared" si="10"/>
        <v>1304.190552</v>
      </c>
      <c r="N40"/>
      <c r="O40" s="139">
        <f t="shared" si="11"/>
        <v>5196.68</v>
      </c>
      <c r="P40" s="139">
        <f t="shared" si="12"/>
        <v>831.4688000000001</v>
      </c>
      <c r="Q40" s="139">
        <f t="shared" si="13"/>
        <v>6028.1488000000008</v>
      </c>
      <c r="V40" t="str">
        <f t="shared" si="0"/>
        <v>SI</v>
      </c>
      <c r="W40" s="62" t="s">
        <v>36</v>
      </c>
      <c r="X40" s="62" t="s">
        <v>180</v>
      </c>
      <c r="Y40" s="65" t="s">
        <v>68</v>
      </c>
      <c r="Z40" s="76">
        <v>41848</v>
      </c>
      <c r="AA40" s="62" t="s">
        <v>40</v>
      </c>
      <c r="AB40" s="96">
        <v>5196.68</v>
      </c>
      <c r="AC40" s="63"/>
      <c r="AD40" s="63"/>
      <c r="AE40" s="57"/>
      <c r="AF40" s="58">
        <f t="shared" si="1"/>
        <v>5196.68</v>
      </c>
      <c r="AG40" s="85"/>
      <c r="AH40" s="85"/>
      <c r="AI40" s="59"/>
      <c r="AJ40" s="59"/>
      <c r="AK40" s="55"/>
      <c r="AL40" s="108">
        <v>1677</v>
      </c>
      <c r="AM40" s="58">
        <f>+AF40-SUM(AG40:AL40)</f>
        <v>3519.6800000000003</v>
      </c>
      <c r="AN40" s="60">
        <f t="shared" si="14"/>
        <v>519.66800000000001</v>
      </c>
      <c r="AO40" s="67">
        <f>+AM40-AN40</f>
        <v>3000.0120000000002</v>
      </c>
      <c r="AP40" s="61">
        <f t="shared" si="15"/>
        <v>0</v>
      </c>
      <c r="AQ40" s="60" t="e">
        <f>#REF!*0.02</f>
        <v>#REF!</v>
      </c>
      <c r="AR40" s="58" t="e">
        <f>+AF40+AP40+AQ40</f>
        <v>#REF!</v>
      </c>
      <c r="AS40" s="78"/>
      <c r="AT40" s="72"/>
      <c r="AU40" s="77">
        <f>+AS40+AT40-AO40</f>
        <v>-3000.0120000000002</v>
      </c>
      <c r="AV40" s="62"/>
      <c r="AW40" s="62"/>
      <c r="AX40" s="27" t="str">
        <f t="shared" si="17"/>
        <v>si</v>
      </c>
      <c r="AY40" s="111" t="s">
        <v>168</v>
      </c>
      <c r="AZ40" s="110" t="s">
        <v>169</v>
      </c>
      <c r="BB40" s="27"/>
      <c r="BC40" s="27"/>
      <c r="BD40" s="27"/>
      <c r="BE40" s="27"/>
      <c r="BF40" s="27"/>
      <c r="BG40" s="27"/>
      <c r="BH40" s="27"/>
    </row>
    <row r="41" spans="1:60" x14ac:dyDescent="0.25">
      <c r="A41" s="111" t="s">
        <v>170</v>
      </c>
      <c r="B41" s="110" t="s">
        <v>171</v>
      </c>
      <c r="C41" s="122">
        <v>1026.76</v>
      </c>
      <c r="D41" s="139">
        <f t="shared" si="5"/>
        <v>0</v>
      </c>
      <c r="F41" s="140"/>
      <c r="G41" s="139">
        <f>+INGENIERIA!E41</f>
        <v>1026.76</v>
      </c>
      <c r="H41" s="139">
        <v>0</v>
      </c>
      <c r="I41" s="139">
        <f t="shared" si="6"/>
        <v>20.5352</v>
      </c>
      <c r="J41" s="139">
        <f t="shared" si="7"/>
        <v>77.006999999999991</v>
      </c>
      <c r="K41" s="139">
        <f t="shared" si="8"/>
        <v>1124.3022000000001</v>
      </c>
      <c r="L41" s="139">
        <f t="shared" si="9"/>
        <v>179.88835200000003</v>
      </c>
      <c r="M41" s="139">
        <f t="shared" si="10"/>
        <v>1304.190552</v>
      </c>
      <c r="N41"/>
      <c r="O41" s="139">
        <f t="shared" si="11"/>
        <v>0</v>
      </c>
      <c r="P41" s="139">
        <f t="shared" si="12"/>
        <v>0</v>
      </c>
      <c r="Q41" s="139">
        <f t="shared" si="13"/>
        <v>0</v>
      </c>
      <c r="V41" t="str">
        <f t="shared" si="0"/>
        <v>SI</v>
      </c>
      <c r="W41" s="69" t="s">
        <v>36</v>
      </c>
      <c r="X41" s="69" t="s">
        <v>98</v>
      </c>
      <c r="Y41" s="70"/>
      <c r="Z41" s="76">
        <v>42496</v>
      </c>
      <c r="AA41" s="62" t="s">
        <v>107</v>
      </c>
      <c r="AB41" s="97"/>
      <c r="AC41" s="63"/>
      <c r="AD41" s="63"/>
      <c r="AE41" s="57"/>
      <c r="AF41" s="58">
        <f t="shared" si="1"/>
        <v>0</v>
      </c>
      <c r="AG41" s="85"/>
      <c r="AH41" s="85"/>
      <c r="AI41" s="59"/>
      <c r="AJ41" s="59"/>
      <c r="AK41" s="55"/>
      <c r="AL41" s="106">
        <v>0</v>
      </c>
      <c r="AM41" s="58">
        <f>+AF41-SUM(AG41:AL41)</f>
        <v>0</v>
      </c>
      <c r="AN41" s="60">
        <f>IF(AF41&gt;2250,AF41*0.1,0)</f>
        <v>0</v>
      </c>
      <c r="AO41" s="67">
        <f>+AM41-AN41</f>
        <v>0</v>
      </c>
      <c r="AP41" s="61">
        <f t="shared" si="15"/>
        <v>0</v>
      </c>
      <c r="AQ41" s="60" t="e">
        <f>#REF!*0.02</f>
        <v>#REF!</v>
      </c>
      <c r="AR41" s="58" t="e">
        <f>+AF41+AP41+AQ41</f>
        <v>#REF!</v>
      </c>
      <c r="AS41" s="78"/>
      <c r="AT41" s="78"/>
      <c r="AU41" s="77">
        <f>+AS41+AT41-AO41</f>
        <v>0</v>
      </c>
      <c r="AV41" s="68"/>
      <c r="AW41" s="64">
        <v>1129582916</v>
      </c>
      <c r="AX41" s="27" t="str">
        <f t="shared" si="17"/>
        <v>si</v>
      </c>
      <c r="AY41" s="111" t="s">
        <v>170</v>
      </c>
      <c r="AZ41" s="110" t="s">
        <v>171</v>
      </c>
    </row>
    <row r="42" spans="1:60" x14ac:dyDescent="0.25">
      <c r="A42" s="111" t="s">
        <v>172</v>
      </c>
      <c r="B42" s="110" t="s">
        <v>173</v>
      </c>
      <c r="C42" s="122">
        <v>1026.76</v>
      </c>
      <c r="D42" s="139">
        <f t="shared" si="5"/>
        <v>0</v>
      </c>
      <c r="E42" s="141"/>
      <c r="G42" s="139">
        <f>+INGENIERIA!E42</f>
        <v>1026.76</v>
      </c>
      <c r="H42" s="139">
        <v>0</v>
      </c>
      <c r="I42" s="139">
        <f t="shared" si="6"/>
        <v>20.5352</v>
      </c>
      <c r="J42" s="139">
        <f t="shared" si="7"/>
        <v>77.006999999999991</v>
      </c>
      <c r="K42" s="139">
        <f t="shared" si="8"/>
        <v>1124.3022000000001</v>
      </c>
      <c r="L42" s="139">
        <f t="shared" si="9"/>
        <v>179.88835200000003</v>
      </c>
      <c r="M42" s="139">
        <f t="shared" si="10"/>
        <v>1304.190552</v>
      </c>
      <c r="N42" s="141"/>
      <c r="O42" s="139">
        <f t="shared" si="11"/>
        <v>0</v>
      </c>
      <c r="P42" s="139">
        <f t="shared" si="12"/>
        <v>0</v>
      </c>
      <c r="Q42" s="139">
        <f t="shared" si="13"/>
        <v>0</v>
      </c>
      <c r="V42" t="str">
        <f t="shared" si="0"/>
        <v>SI</v>
      </c>
      <c r="W42" s="53" t="s">
        <v>36</v>
      </c>
      <c r="X42" s="62" t="s">
        <v>51</v>
      </c>
      <c r="Y42" s="54" t="s">
        <v>69</v>
      </c>
      <c r="Z42" s="76">
        <v>42215</v>
      </c>
      <c r="AA42" s="53" t="s">
        <v>40</v>
      </c>
      <c r="AB42" s="99"/>
      <c r="AC42" s="56"/>
      <c r="AD42" s="56"/>
      <c r="AE42" s="57"/>
      <c r="AF42" s="58">
        <f t="shared" si="1"/>
        <v>0</v>
      </c>
      <c r="AG42" s="85"/>
      <c r="AH42" s="85"/>
      <c r="AI42" s="59"/>
      <c r="AJ42" s="59"/>
      <c r="AK42" s="55"/>
      <c r="AL42" s="106">
        <v>0</v>
      </c>
      <c r="AM42" s="58">
        <f t="shared" si="18"/>
        <v>0</v>
      </c>
      <c r="AN42" s="60">
        <f t="shared" si="14"/>
        <v>0</v>
      </c>
      <c r="AO42" s="58">
        <f t="shared" si="19"/>
        <v>0</v>
      </c>
      <c r="AP42" s="61">
        <f t="shared" si="15"/>
        <v>0</v>
      </c>
      <c r="AQ42" s="60" t="e">
        <f>#REF!*0.02</f>
        <v>#REF!</v>
      </c>
      <c r="AR42" s="58" t="e">
        <f t="shared" si="20"/>
        <v>#REF!</v>
      </c>
      <c r="AS42" s="78"/>
      <c r="AT42" s="72"/>
      <c r="AU42" s="77">
        <f t="shared" si="16"/>
        <v>0</v>
      </c>
      <c r="AV42" s="71"/>
      <c r="AW42" s="62" t="s">
        <v>89</v>
      </c>
      <c r="AX42" s="27" t="str">
        <f t="shared" si="17"/>
        <v>si</v>
      </c>
      <c r="AY42" s="111" t="s">
        <v>172</v>
      </c>
      <c r="AZ42" s="110" t="s">
        <v>173</v>
      </c>
      <c r="BA42" s="27"/>
    </row>
    <row r="43" spans="1:60" x14ac:dyDescent="0.25">
      <c r="D43" s="141"/>
      <c r="E43" s="141"/>
      <c r="G43" s="139"/>
      <c r="H43" s="139"/>
      <c r="I43" s="139"/>
      <c r="J43" s="139"/>
      <c r="K43" s="139"/>
      <c r="L43" s="139"/>
      <c r="M43" s="139"/>
      <c r="N43" s="141"/>
      <c r="O43" s="141"/>
      <c r="P43" s="141"/>
      <c r="Q43" s="141"/>
      <c r="W43" s="43"/>
      <c r="X43" s="43"/>
      <c r="Y43" s="44"/>
      <c r="Z43" s="44"/>
      <c r="AA43" s="43"/>
      <c r="AB43" s="102"/>
      <c r="AC43" s="46"/>
      <c r="AD43" s="46"/>
      <c r="AE43" s="47"/>
      <c r="AF43" s="48"/>
      <c r="AG43" s="49"/>
      <c r="AH43" s="85"/>
      <c r="AI43" s="50"/>
      <c r="AJ43" s="50"/>
      <c r="AK43" s="45"/>
      <c r="AL43" s="102"/>
      <c r="AM43" s="48"/>
      <c r="AN43" s="51"/>
      <c r="AO43" s="48"/>
      <c r="AP43" s="52"/>
      <c r="AQ43" s="51"/>
      <c r="AR43" s="48"/>
      <c r="AS43" s="27"/>
      <c r="AT43" s="27"/>
      <c r="AU43" s="28">
        <f t="shared" si="16"/>
        <v>0</v>
      </c>
      <c r="AV43" s="27"/>
      <c r="AW43" s="27"/>
      <c r="AX43" s="27"/>
      <c r="AY43" s="27"/>
      <c r="AZ43" s="27"/>
      <c r="BA43" s="27"/>
    </row>
    <row r="44" spans="1:60" ht="15.75" thickBot="1" x14ac:dyDescent="0.3">
      <c r="C44" s="142">
        <f>SUM(C12:C42)</f>
        <v>43005.970000000008</v>
      </c>
      <c r="D44" s="142">
        <f>SUM(D12:D42)</f>
        <v>118559.62000000002</v>
      </c>
      <c r="E44" s="140"/>
      <c r="F44" s="141"/>
      <c r="G44" s="142">
        <f>SUM(G12:G42)</f>
        <v>43005.970000000008</v>
      </c>
      <c r="H44" s="142">
        <f t="shared" ref="H44:M44" si="21">SUM(H12:H42)</f>
        <v>0</v>
      </c>
      <c r="I44" s="142">
        <f t="shared" si="21"/>
        <v>860.11940000000016</v>
      </c>
      <c r="J44" s="142">
        <f t="shared" si="21"/>
        <v>3225.4477500000007</v>
      </c>
      <c r="K44" s="142">
        <f t="shared" si="21"/>
        <v>47091.537149999982</v>
      </c>
      <c r="L44" s="142">
        <f t="shared" si="21"/>
        <v>7534.6459439999999</v>
      </c>
      <c r="M44" s="142">
        <f t="shared" si="21"/>
        <v>54626.183094000007</v>
      </c>
      <c r="N44"/>
      <c r="O44" s="142">
        <f>SUM(O13:O42)</f>
        <v>118559.62000000002</v>
      </c>
      <c r="P44" s="142">
        <f>SUM(P13:P42)</f>
        <v>18969.539199999999</v>
      </c>
      <c r="Q44" s="142">
        <f>SUM(Q13:Q42)</f>
        <v>137529.15920000002</v>
      </c>
      <c r="W44" s="32"/>
      <c r="X44" s="20"/>
      <c r="Y44" s="30"/>
      <c r="Z44" s="30"/>
      <c r="AA44" s="20"/>
      <c r="AB44" s="103"/>
      <c r="AC44" s="2"/>
      <c r="AD44" s="2"/>
      <c r="AE44" s="21"/>
      <c r="AF44" s="22"/>
      <c r="AG44" s="23"/>
      <c r="AH44" s="85"/>
      <c r="AI44" s="24"/>
      <c r="AJ44" s="24"/>
      <c r="AK44" s="2"/>
      <c r="AL44" s="103"/>
      <c r="AM44" s="22"/>
      <c r="AN44" s="25"/>
      <c r="AO44" s="22"/>
      <c r="AP44" s="26"/>
      <c r="AQ44" s="25"/>
      <c r="AR44" s="22"/>
      <c r="AS44" s="27"/>
      <c r="AT44" s="27"/>
      <c r="AU44" s="28">
        <f t="shared" si="16"/>
        <v>0</v>
      </c>
      <c r="AV44" s="27"/>
      <c r="AW44" s="27"/>
      <c r="AX44" s="27"/>
      <c r="AY44" s="27"/>
      <c r="AZ44" s="27"/>
      <c r="BA44" s="27"/>
    </row>
    <row r="45" spans="1:60" ht="15.75" thickTop="1" x14ac:dyDescent="0.25">
      <c r="A45" s="124"/>
      <c r="B45" s="116"/>
      <c r="C45" s="116"/>
      <c r="F45" s="140"/>
      <c r="G45"/>
      <c r="H45"/>
      <c r="I45"/>
      <c r="J45"/>
      <c r="K45"/>
      <c r="L45"/>
      <c r="M45"/>
      <c r="N45"/>
      <c r="O45"/>
      <c r="P45"/>
      <c r="Q45"/>
      <c r="R45" s="141"/>
      <c r="W45" s="32"/>
      <c r="X45" s="20"/>
      <c r="Y45" s="30"/>
      <c r="Z45" s="30"/>
      <c r="AA45" s="20"/>
      <c r="AB45" s="103"/>
      <c r="AC45" s="2"/>
      <c r="AD45" s="2"/>
      <c r="AE45" s="21"/>
      <c r="AF45" s="22"/>
      <c r="AG45" s="23"/>
      <c r="AH45" s="85"/>
      <c r="AI45" s="24"/>
      <c r="AJ45" s="24"/>
      <c r="AK45" s="25"/>
      <c r="AL45" s="107"/>
      <c r="AM45" s="22"/>
      <c r="AN45" s="25"/>
      <c r="AO45" s="22"/>
      <c r="AP45" s="26"/>
      <c r="AQ45" s="25"/>
      <c r="AR45" s="22"/>
      <c r="AS45" s="27"/>
      <c r="AT45" s="27"/>
      <c r="AU45" s="28">
        <f t="shared" si="16"/>
        <v>0</v>
      </c>
      <c r="AV45" s="27"/>
      <c r="AW45" s="27"/>
      <c r="AX45" s="27"/>
      <c r="AY45" s="27"/>
      <c r="AZ45" s="27"/>
      <c r="BA45" s="27"/>
    </row>
    <row r="46" spans="1:60" x14ac:dyDescent="0.25">
      <c r="A46" s="127" t="s">
        <v>203</v>
      </c>
      <c r="B46" s="110" t="s">
        <v>182</v>
      </c>
      <c r="C46" s="126"/>
      <c r="G46"/>
      <c r="H46"/>
      <c r="I46"/>
      <c r="J46"/>
      <c r="K46"/>
      <c r="L46"/>
      <c r="M46" s="139"/>
      <c r="N46"/>
      <c r="O46"/>
      <c r="P46"/>
      <c r="Q46"/>
      <c r="W46" s="32"/>
      <c r="X46" s="33"/>
      <c r="Y46" s="33"/>
      <c r="Z46" s="33"/>
      <c r="AA46" s="33"/>
      <c r="AB46" s="104"/>
      <c r="AC46" s="34"/>
      <c r="AD46" s="34"/>
      <c r="AE46" s="34"/>
      <c r="AF46" s="35"/>
      <c r="AG46" s="34"/>
      <c r="AH46" s="34"/>
      <c r="AI46" s="25"/>
      <c r="AJ46" s="25"/>
      <c r="AK46" s="25"/>
      <c r="AL46" s="107"/>
      <c r="AM46" s="36"/>
      <c r="AN46" s="25"/>
      <c r="AO46" s="35"/>
      <c r="AP46" s="25"/>
      <c r="AQ46" s="25"/>
      <c r="AR46" s="35"/>
      <c r="AS46" s="27"/>
      <c r="AT46" s="27"/>
      <c r="AU46" s="28">
        <f t="shared" si="16"/>
        <v>0</v>
      </c>
      <c r="AV46" s="27"/>
      <c r="AW46" s="27"/>
      <c r="AX46" s="27"/>
      <c r="AY46" s="27"/>
      <c r="AZ46" s="27"/>
      <c r="BA46" s="27"/>
    </row>
    <row r="47" spans="1:60" ht="15.75" thickBot="1" x14ac:dyDescent="0.3">
      <c r="D47" s="143"/>
      <c r="E47" s="143"/>
      <c r="G47"/>
      <c r="H47"/>
      <c r="I47"/>
      <c r="J47"/>
      <c r="K47"/>
      <c r="L47"/>
      <c r="M47" s="144"/>
      <c r="N47"/>
      <c r="O47"/>
      <c r="P47"/>
      <c r="Q47"/>
      <c r="X47" s="37" t="s">
        <v>1</v>
      </c>
      <c r="Y47" s="37"/>
      <c r="Z47" s="37"/>
      <c r="AA47" s="37"/>
      <c r="AB47" s="105">
        <f>SUM(AB13:AB42)</f>
        <v>118559.62000000002</v>
      </c>
      <c r="AC47" s="38">
        <f>SUM(AC13:AC35)</f>
        <v>0</v>
      </c>
      <c r="AD47" s="38">
        <f>SUM(AD13:AD35)</f>
        <v>0</v>
      </c>
      <c r="AE47" s="38"/>
      <c r="AF47" s="38">
        <f>SUM(AF13:AF42)</f>
        <v>118559.62000000002</v>
      </c>
      <c r="AG47" s="38">
        <f>SUM(AG13:AG35)</f>
        <v>0</v>
      </c>
      <c r="AH47" s="38"/>
      <c r="AI47" s="38">
        <f>SUM(AI13:AI35)</f>
        <v>0</v>
      </c>
      <c r="AJ47" s="38">
        <f>SUM(AJ13:AJ35)</f>
        <v>0</v>
      </c>
      <c r="AK47" s="38">
        <f>SUM(AK13:AK35)</f>
        <v>0</v>
      </c>
      <c r="AL47" s="105">
        <f>SUM(AL13:AL42)</f>
        <v>6035.45</v>
      </c>
      <c r="AM47" s="38">
        <f>SUM(AM13:AM42)</f>
        <v>112524.17000000001</v>
      </c>
      <c r="AN47" s="38">
        <f>SUBTOTAL(9,AN11:AN46)</f>
        <v>10536.091</v>
      </c>
      <c r="AO47" s="38">
        <f>SUM(AO13:AO42)</f>
        <v>101988.07900000001</v>
      </c>
      <c r="AP47" s="38">
        <f>SUM(AP13:AP35)</f>
        <v>865.30799999999999</v>
      </c>
      <c r="AQ47" s="38" t="e">
        <f>SUM(AQ13:AQ35)</f>
        <v>#REF!</v>
      </c>
      <c r="AR47" s="38" t="e">
        <f>SUBTOTAL(9,AR11:AR46)</f>
        <v>#REF!</v>
      </c>
      <c r="AS47" s="27"/>
      <c r="AT47" s="27"/>
      <c r="AU47" s="28"/>
      <c r="AW47" s="27"/>
      <c r="AX47" s="27"/>
    </row>
    <row r="48" spans="1:60" ht="15.75" thickTop="1" x14ac:dyDescent="0.25">
      <c r="A48" s="109"/>
      <c r="B48" s="109"/>
      <c r="C48" s="110" t="s">
        <v>182</v>
      </c>
      <c r="F48" s="143"/>
      <c r="G48"/>
      <c r="H48"/>
      <c r="I48"/>
      <c r="J48"/>
      <c r="K48"/>
      <c r="L48"/>
      <c r="M48"/>
      <c r="N48"/>
      <c r="O48"/>
      <c r="P48"/>
      <c r="Q48"/>
      <c r="AR48" s="16" t="e">
        <f>AR47*0.16</f>
        <v>#REF!</v>
      </c>
      <c r="AS48" s="27"/>
      <c r="AT48" s="27"/>
      <c r="AU48" s="28">
        <f t="shared" si="16"/>
        <v>0</v>
      </c>
      <c r="AW48" s="27"/>
      <c r="AX48" s="27"/>
    </row>
    <row r="49" spans="1:50" x14ac:dyDescent="0.25">
      <c r="A49" s="111" t="s">
        <v>182</v>
      </c>
      <c r="B49" s="110" t="s">
        <v>182</v>
      </c>
      <c r="C49" s="125"/>
      <c r="W49" s="172" t="s">
        <v>12</v>
      </c>
      <c r="X49" s="172"/>
      <c r="AN49" s="4">
        <f>+AN47-AN48</f>
        <v>10536.091</v>
      </c>
      <c r="AR49" s="16" t="e">
        <f>+AR47+AR48</f>
        <v>#REF!</v>
      </c>
      <c r="AS49" s="27"/>
      <c r="AT49" s="27"/>
      <c r="AU49" s="28">
        <f t="shared" si="16"/>
        <v>0</v>
      </c>
      <c r="AV49" s="4">
        <v>112981.14</v>
      </c>
      <c r="AX49" s="27"/>
    </row>
    <row r="50" spans="1:50" x14ac:dyDescent="0.25">
      <c r="AX50" s="27"/>
    </row>
    <row r="51" spans="1:50" x14ac:dyDescent="0.25">
      <c r="W51" s="32"/>
      <c r="X51" s="30"/>
      <c r="Y51" s="30"/>
      <c r="Z51" s="30"/>
      <c r="AA51" s="30"/>
      <c r="AB51" s="103"/>
      <c r="AC51" s="3"/>
      <c r="AD51" s="3"/>
      <c r="AE51" s="3"/>
      <c r="AF51" s="22">
        <f>SUM(AB51:AE51)</f>
        <v>0</v>
      </c>
      <c r="AG51" s="23"/>
      <c r="AH51" s="23"/>
      <c r="AI51" s="24"/>
      <c r="AJ51" s="24"/>
      <c r="AK51" s="24"/>
      <c r="AL51" s="107"/>
      <c r="AM51" s="22">
        <f>+AF51-AG51</f>
        <v>0</v>
      </c>
      <c r="AN51" s="25">
        <f>+AM51*0.05</f>
        <v>0</v>
      </c>
      <c r="AO51" s="22">
        <f>+AM51-AI51-AL51</f>
        <v>0</v>
      </c>
      <c r="AP51" s="26">
        <f>IF(AM51&lt;3000,AM51*0.1,0)</f>
        <v>0</v>
      </c>
      <c r="AQ51" s="25">
        <v>0</v>
      </c>
      <c r="AR51" s="22">
        <f>+AM51+AP51+AQ51</f>
        <v>0</v>
      </c>
      <c r="AS51" s="27"/>
      <c r="AT51" s="27"/>
      <c r="AU51" s="28">
        <f t="shared" si="16"/>
        <v>0</v>
      </c>
      <c r="AX51" s="27"/>
    </row>
    <row r="52" spans="1:50" x14ac:dyDescent="0.25">
      <c r="AR52" s="16" t="e">
        <f>SUM(AR40:AR51)</f>
        <v>#REF!</v>
      </c>
      <c r="AS52" s="27"/>
      <c r="AT52" s="27"/>
      <c r="AU52" s="28">
        <f t="shared" si="16"/>
        <v>0</v>
      </c>
      <c r="AX52" s="27"/>
    </row>
    <row r="53" spans="1:50" x14ac:dyDescent="0.25">
      <c r="X53" s="39" t="s">
        <v>2</v>
      </c>
      <c r="Y53" s="39"/>
      <c r="Z53" s="39"/>
      <c r="AR53" s="16" t="e">
        <f>+AR52*0.16</f>
        <v>#REF!</v>
      </c>
      <c r="AS53" s="27"/>
      <c r="AT53" s="27"/>
      <c r="AU53" s="28">
        <f t="shared" si="16"/>
        <v>0</v>
      </c>
      <c r="AX53" s="27"/>
    </row>
    <row r="54" spans="1:50" x14ac:dyDescent="0.25">
      <c r="X54" s="39"/>
      <c r="Y54" s="39"/>
      <c r="Z54" s="39"/>
      <c r="AR54" s="16" t="e">
        <f>+AR52+AR53</f>
        <v>#REF!</v>
      </c>
      <c r="AS54" s="31"/>
      <c r="AT54" s="31"/>
      <c r="AU54" s="28">
        <f t="shared" si="16"/>
        <v>0</v>
      </c>
      <c r="AX54" s="27"/>
    </row>
    <row r="55" spans="1:50" x14ac:dyDescent="0.25">
      <c r="X55" s="39"/>
      <c r="Y55" s="39"/>
      <c r="Z55" s="39"/>
      <c r="AS55" s="27"/>
      <c r="AT55" s="27"/>
      <c r="AU55" s="27"/>
    </row>
    <row r="56" spans="1:50" x14ac:dyDescent="0.25">
      <c r="X56" s="39" t="s">
        <v>3</v>
      </c>
      <c r="Y56" s="39"/>
      <c r="Z56" s="39"/>
      <c r="AR56" s="16" t="e">
        <f>+AR49+AR54</f>
        <v>#REF!</v>
      </c>
      <c r="AS56" s="27"/>
      <c r="AT56" s="27"/>
      <c r="AU56" s="27"/>
    </row>
    <row r="57" spans="1:50" x14ac:dyDescent="0.25">
      <c r="X57" s="27"/>
      <c r="AS57" s="27"/>
      <c r="AT57" s="27"/>
      <c r="AU57" s="27"/>
    </row>
    <row r="58" spans="1:50" x14ac:dyDescent="0.25">
      <c r="X58" s="27"/>
      <c r="AS58" s="27"/>
      <c r="AT58" s="27"/>
      <c r="AU58" s="27"/>
    </row>
    <row r="59" spans="1:50" x14ac:dyDescent="0.25">
      <c r="X59" s="27"/>
      <c r="AS59" s="27"/>
      <c r="AT59" s="27"/>
      <c r="AU59" s="27"/>
    </row>
    <row r="60" spans="1:50" x14ac:dyDescent="0.25">
      <c r="X60" s="27"/>
      <c r="AS60" s="27"/>
      <c r="AT60" s="27"/>
      <c r="AU60" s="27"/>
    </row>
    <row r="61" spans="1:50" x14ac:dyDescent="0.25">
      <c r="AS61" s="27"/>
      <c r="AT61" s="27"/>
      <c r="AU61" s="27"/>
    </row>
    <row r="62" spans="1:50" x14ac:dyDescent="0.25">
      <c r="AS62" s="27"/>
      <c r="AT62" s="27"/>
      <c r="AU62" s="27"/>
    </row>
    <row r="63" spans="1:50" x14ac:dyDescent="0.25">
      <c r="W63" s="29" t="s">
        <v>22</v>
      </c>
      <c r="X63" s="4"/>
      <c r="AS63" s="27"/>
      <c r="AT63" s="27"/>
      <c r="AU63" s="27"/>
    </row>
    <row r="64" spans="1:50" x14ac:dyDescent="0.25">
      <c r="W64" s="29" t="s">
        <v>23</v>
      </c>
      <c r="X64" s="4"/>
      <c r="AS64" s="27"/>
      <c r="AT64" s="27"/>
      <c r="AU64" s="27"/>
    </row>
    <row r="65" spans="23:47" x14ac:dyDescent="0.25">
      <c r="W65" s="29" t="s">
        <v>24</v>
      </c>
      <c r="X65" s="4"/>
      <c r="AS65" s="27"/>
      <c r="AT65" s="27"/>
      <c r="AU65" s="27"/>
    </row>
    <row r="66" spans="23:47" x14ac:dyDescent="0.25">
      <c r="W66" s="29" t="s">
        <v>25</v>
      </c>
      <c r="X66" s="4"/>
      <c r="AS66" s="27"/>
      <c r="AT66" s="27"/>
      <c r="AU66" s="27"/>
    </row>
    <row r="67" spans="23:47" x14ac:dyDescent="0.25">
      <c r="W67" s="29" t="s">
        <v>26</v>
      </c>
      <c r="X67" s="4"/>
      <c r="AS67" s="27"/>
      <c r="AT67" s="27"/>
      <c r="AU67" s="27"/>
    </row>
    <row r="68" spans="23:47" x14ac:dyDescent="0.25">
      <c r="W68" s="29" t="s">
        <v>27</v>
      </c>
      <c r="X68" s="4"/>
      <c r="AS68" s="27"/>
      <c r="AT68" s="27"/>
      <c r="AU68" s="27"/>
    </row>
    <row r="69" spans="23:47" x14ac:dyDescent="0.25">
      <c r="AS69" s="27"/>
      <c r="AT69" s="27"/>
      <c r="AU69" s="27"/>
    </row>
    <row r="70" spans="23:47" x14ac:dyDescent="0.25">
      <c r="AS70" s="27"/>
      <c r="AT70" s="27"/>
      <c r="AU70" s="27"/>
    </row>
    <row r="71" spans="23:47" x14ac:dyDescent="0.25">
      <c r="AS71" s="27"/>
      <c r="AT71" s="27"/>
      <c r="AU71" s="27"/>
    </row>
    <row r="72" spans="23:47" x14ac:dyDescent="0.25">
      <c r="AS72" s="27"/>
      <c r="AT72" s="27"/>
      <c r="AU72" s="27"/>
    </row>
    <row r="73" spans="23:47" x14ac:dyDescent="0.25">
      <c r="AS73" s="31"/>
      <c r="AT73" s="31"/>
      <c r="AU73" s="31"/>
    </row>
    <row r="74" spans="23:47" x14ac:dyDescent="0.25">
      <c r="AS74" s="27"/>
      <c r="AT74" s="27"/>
      <c r="AU74" s="27"/>
    </row>
    <row r="75" spans="23:47" x14ac:dyDescent="0.25">
      <c r="AS75" s="27"/>
      <c r="AT75" s="27"/>
      <c r="AU75" s="27"/>
    </row>
    <row r="76" spans="23:47" x14ac:dyDescent="0.25">
      <c r="AS76" s="27"/>
      <c r="AT76" s="27"/>
      <c r="AU76" s="27"/>
    </row>
    <row r="77" spans="23:47" x14ac:dyDescent="0.25">
      <c r="AS77" s="27"/>
      <c r="AT77" s="27"/>
      <c r="AU77" s="27"/>
    </row>
    <row r="78" spans="23:47" x14ac:dyDescent="0.25">
      <c r="AS78" s="27"/>
      <c r="AT78" s="27"/>
      <c r="AU78" s="27"/>
    </row>
    <row r="79" spans="23:47" x14ac:dyDescent="0.25">
      <c r="AS79" s="27"/>
      <c r="AT79" s="27"/>
      <c r="AU79" s="27"/>
    </row>
    <row r="80" spans="23:47" x14ac:dyDescent="0.25">
      <c r="AS80" s="27"/>
      <c r="AT80" s="27"/>
      <c r="AU80" s="27"/>
    </row>
    <row r="81" spans="45:47" x14ac:dyDescent="0.25">
      <c r="AS81" s="27"/>
      <c r="AT81" s="27"/>
      <c r="AU81" s="27"/>
    </row>
    <row r="82" spans="45:47" x14ac:dyDescent="0.25">
      <c r="AS82" s="27"/>
      <c r="AT82" s="27"/>
      <c r="AU82" s="27"/>
    </row>
    <row r="83" spans="45:47" x14ac:dyDescent="0.25">
      <c r="AS83" s="31"/>
      <c r="AT83" s="31"/>
      <c r="AU83" s="31"/>
    </row>
    <row r="84" spans="45:47" x14ac:dyDescent="0.25">
      <c r="AS84" s="27"/>
      <c r="AT84" s="27"/>
      <c r="AU84" s="27"/>
    </row>
    <row r="85" spans="45:47" x14ac:dyDescent="0.25">
      <c r="AS85" s="27"/>
      <c r="AT85" s="27"/>
      <c r="AU85" s="27"/>
    </row>
    <row r="86" spans="45:47" x14ac:dyDescent="0.25">
      <c r="AS86" s="27"/>
      <c r="AT86" s="27"/>
      <c r="AU86" s="27"/>
    </row>
    <row r="87" spans="45:47" x14ac:dyDescent="0.25">
      <c r="AS87" s="27"/>
      <c r="AT87" s="27"/>
      <c r="AU87" s="27"/>
    </row>
    <row r="88" spans="45:47" x14ac:dyDescent="0.25">
      <c r="AS88" s="27"/>
      <c r="AT88" s="27"/>
      <c r="AU88" s="27"/>
    </row>
    <row r="89" spans="45:47" x14ac:dyDescent="0.25">
      <c r="AS89" s="27"/>
      <c r="AT89" s="27"/>
      <c r="AU89" s="27"/>
    </row>
    <row r="90" spans="45:47" x14ac:dyDescent="0.25">
      <c r="AS90" s="27"/>
      <c r="AT90" s="27"/>
      <c r="AU90" s="27"/>
    </row>
    <row r="91" spans="45:47" x14ac:dyDescent="0.25">
      <c r="AS91" s="27"/>
      <c r="AT91" s="27"/>
      <c r="AU91" s="27"/>
    </row>
    <row r="92" spans="45:47" x14ac:dyDescent="0.25">
      <c r="AS92" s="27"/>
      <c r="AT92" s="27"/>
      <c r="AU92" s="27"/>
    </row>
    <row r="93" spans="45:47" x14ac:dyDescent="0.25">
      <c r="AS93" s="27"/>
      <c r="AT93" s="27"/>
      <c r="AU93" s="27"/>
    </row>
    <row r="94" spans="45:47" x14ac:dyDescent="0.25">
      <c r="AS94" s="27"/>
      <c r="AT94" s="27"/>
      <c r="AU94" s="27"/>
    </row>
    <row r="95" spans="45:47" x14ac:dyDescent="0.25">
      <c r="AS95" s="27"/>
      <c r="AT95" s="27"/>
      <c r="AU95" s="27"/>
    </row>
    <row r="96" spans="45:47" x14ac:dyDescent="0.25">
      <c r="AS96" s="27"/>
      <c r="AT96" s="27"/>
      <c r="AU96" s="27"/>
    </row>
    <row r="97" spans="45:47" x14ac:dyDescent="0.25">
      <c r="AS97" s="27"/>
      <c r="AT97" s="27"/>
      <c r="AU97" s="27"/>
    </row>
    <row r="98" spans="45:47" x14ac:dyDescent="0.25">
      <c r="AS98" s="27"/>
      <c r="AT98" s="27"/>
      <c r="AU98" s="27"/>
    </row>
    <row r="99" spans="45:47" x14ac:dyDescent="0.25">
      <c r="AS99" s="27"/>
      <c r="AT99" s="27"/>
      <c r="AU99" s="27"/>
    </row>
    <row r="100" spans="45:47" x14ac:dyDescent="0.25">
      <c r="AS100" s="27"/>
      <c r="AT100" s="27"/>
      <c r="AU100" s="27"/>
    </row>
    <row r="101" spans="45:47" ht="15.75" thickBot="1" x14ac:dyDescent="0.3">
      <c r="AS101" s="38">
        <f>SUM(AS13:AS100)</f>
        <v>0</v>
      </c>
      <c r="AT101" s="38">
        <f>SUM(AT13:AT100)</f>
        <v>0</v>
      </c>
      <c r="AU101" s="40"/>
    </row>
    <row r="102" spans="45:47" ht="15.75" thickTop="1" x14ac:dyDescent="0.25">
      <c r="AS102" s="16"/>
      <c r="AT102" s="16"/>
      <c r="AU102" s="16"/>
    </row>
    <row r="103" spans="45:47" x14ac:dyDescent="0.25">
      <c r="AS103" s="16"/>
      <c r="AT103" s="16"/>
      <c r="AU103" s="16"/>
    </row>
    <row r="104" spans="45:47" x14ac:dyDescent="0.25">
      <c r="AS104" s="22" t="e">
        <f>+AL104+#REF!+AR104</f>
        <v>#REF!</v>
      </c>
      <c r="AT104" s="22" t="e">
        <f>+AM104+AR104+AS104</f>
        <v>#REF!</v>
      </c>
      <c r="AU104" s="41"/>
    </row>
    <row r="105" spans="45:47" x14ac:dyDescent="0.25">
      <c r="AS105" s="22" t="e">
        <f>+AL105+#REF!+AR105</f>
        <v>#REF!</v>
      </c>
      <c r="AT105" s="22" t="e">
        <f>+AM105+AR105+AS105</f>
        <v>#REF!</v>
      </c>
      <c r="AU105" s="41"/>
    </row>
  </sheetData>
  <autoFilter ref="V10:AZ49"/>
  <mergeCells count="25">
    <mergeCell ref="AJ11:AJ12"/>
    <mergeCell ref="AK11:AK12"/>
    <mergeCell ref="AL11:AL12"/>
    <mergeCell ref="AM11:AM12"/>
    <mergeCell ref="W11:W12"/>
    <mergeCell ref="X11:X12"/>
    <mergeCell ref="Y11:Y12"/>
    <mergeCell ref="AA11:AA12"/>
    <mergeCell ref="AC11:AC12"/>
    <mergeCell ref="AV11:AV12"/>
    <mergeCell ref="AW11:AW12"/>
    <mergeCell ref="W49:X49"/>
    <mergeCell ref="G7:M7"/>
    <mergeCell ref="O7:Q7"/>
    <mergeCell ref="AN11:AN12"/>
    <mergeCell ref="AO11:AO12"/>
    <mergeCell ref="AP11:AP12"/>
    <mergeCell ref="AQ11:AQ12"/>
    <mergeCell ref="AR11:AR12"/>
    <mergeCell ref="AD11:AD12"/>
    <mergeCell ref="AE11:AE12"/>
    <mergeCell ref="AF11:AF12"/>
    <mergeCell ref="AS11:AT11"/>
    <mergeCell ref="AG11:AG12"/>
    <mergeCell ref="AI11:AI12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9"/>
  <sheetViews>
    <sheetView workbookViewId="0">
      <pane xSplit="2" ySplit="10" topLeftCell="C11" activePane="bottomRight" state="frozen"/>
      <selection pane="topRight" activeCell="C1" sqref="C1"/>
      <selection pane="bottomLeft" activeCell="A11" sqref="A11"/>
      <selection pane="bottomRight" activeCell="I46" sqref="I46"/>
    </sheetView>
  </sheetViews>
  <sheetFormatPr baseColWidth="10" defaultRowHeight="12.75" x14ac:dyDescent="0.2"/>
  <cols>
    <col min="2" max="2" width="30.85546875" bestFit="1" customWidth="1"/>
  </cols>
  <sheetData>
    <row r="1" spans="1:12" ht="15" x14ac:dyDescent="0.25">
      <c r="A1" s="112" t="s">
        <v>181</v>
      </c>
      <c r="B1" s="186" t="s">
        <v>182</v>
      </c>
      <c r="C1" s="187"/>
      <c r="D1" s="187"/>
      <c r="E1" s="109"/>
      <c r="F1" s="109"/>
      <c r="G1" s="109"/>
      <c r="H1" s="109"/>
      <c r="I1" s="109"/>
      <c r="J1" s="109"/>
      <c r="K1" s="109"/>
      <c r="L1" s="109"/>
    </row>
    <row r="2" spans="1:12" ht="18" x14ac:dyDescent="0.25">
      <c r="A2" s="113" t="s">
        <v>183</v>
      </c>
      <c r="B2" s="188" t="s">
        <v>184</v>
      </c>
      <c r="C2" s="189"/>
      <c r="D2" s="189"/>
      <c r="E2" s="109"/>
      <c r="F2" s="109"/>
      <c r="G2" s="109"/>
      <c r="H2" s="109"/>
      <c r="I2" s="109"/>
      <c r="J2" s="109"/>
      <c r="K2" s="109"/>
      <c r="L2" s="109"/>
    </row>
    <row r="3" spans="1:12" ht="15.75" x14ac:dyDescent="0.25">
      <c r="A3" s="109"/>
      <c r="B3" s="190" t="s">
        <v>185</v>
      </c>
      <c r="C3" s="187"/>
      <c r="D3" s="187"/>
      <c r="E3" s="109"/>
      <c r="F3" s="109"/>
      <c r="G3" s="109"/>
      <c r="H3" s="109"/>
      <c r="I3" s="109"/>
      <c r="J3" s="109"/>
      <c r="K3" s="109"/>
      <c r="L3" s="109"/>
    </row>
    <row r="4" spans="1:12" ht="15" x14ac:dyDescent="0.25">
      <c r="A4" s="109"/>
      <c r="B4" s="191" t="s">
        <v>186</v>
      </c>
      <c r="C4" s="187"/>
      <c r="D4" s="187"/>
      <c r="E4" s="109"/>
      <c r="F4" s="109"/>
      <c r="G4" s="109"/>
      <c r="H4" s="109"/>
      <c r="I4" s="109"/>
      <c r="J4" s="109"/>
      <c r="K4" s="109"/>
      <c r="L4" s="109"/>
    </row>
    <row r="5" spans="1:12" ht="15" x14ac:dyDescent="0.25">
      <c r="A5" s="109"/>
      <c r="B5" s="115" t="s">
        <v>187</v>
      </c>
      <c r="C5" s="109"/>
      <c r="D5" s="109"/>
      <c r="E5" s="109"/>
      <c r="F5" s="109"/>
      <c r="G5" s="109"/>
      <c r="H5" s="109"/>
      <c r="I5" s="109"/>
      <c r="J5" s="109"/>
      <c r="K5" s="109"/>
      <c r="L5" s="109"/>
    </row>
    <row r="6" spans="1:12" ht="15" x14ac:dyDescent="0.25">
      <c r="A6" s="109"/>
      <c r="B6" s="115" t="s">
        <v>188</v>
      </c>
      <c r="C6" s="109"/>
      <c r="D6" s="109"/>
      <c r="E6" s="109"/>
      <c r="F6" s="109"/>
      <c r="G6" s="109"/>
      <c r="H6" s="109"/>
      <c r="I6" s="109"/>
      <c r="J6" s="109"/>
      <c r="K6" s="109"/>
      <c r="L6" s="109"/>
    </row>
    <row r="8" spans="1:12" ht="34.5" thickBot="1" x14ac:dyDescent="0.25">
      <c r="A8" s="117" t="s">
        <v>189</v>
      </c>
      <c r="B8" s="118" t="s">
        <v>190</v>
      </c>
      <c r="C8" s="118" t="s">
        <v>191</v>
      </c>
      <c r="D8" s="118" t="s">
        <v>192</v>
      </c>
      <c r="E8" s="119" t="s">
        <v>193</v>
      </c>
      <c r="F8" s="118" t="s">
        <v>194</v>
      </c>
      <c r="G8" s="118" t="s">
        <v>195</v>
      </c>
      <c r="H8" s="118" t="s">
        <v>196</v>
      </c>
      <c r="I8" s="118" t="s">
        <v>197</v>
      </c>
      <c r="J8" s="118" t="s">
        <v>198</v>
      </c>
      <c r="K8" s="119" t="s">
        <v>199</v>
      </c>
      <c r="L8" s="120" t="s">
        <v>200</v>
      </c>
    </row>
    <row r="9" spans="1:12" ht="15.75" thickTop="1" x14ac:dyDescent="0.25">
      <c r="A9" s="109"/>
      <c r="B9" s="109"/>
      <c r="C9" s="109"/>
      <c r="D9" s="109"/>
      <c r="E9" s="109"/>
      <c r="F9" s="109"/>
      <c r="G9" s="109"/>
      <c r="H9" s="109"/>
      <c r="I9" s="109"/>
      <c r="J9" s="109"/>
      <c r="K9" s="109"/>
      <c r="L9" s="109"/>
    </row>
    <row r="11" spans="1:12" ht="15" x14ac:dyDescent="0.25">
      <c r="A11" s="121" t="s">
        <v>201</v>
      </c>
      <c r="B11" s="109"/>
      <c r="C11" s="109"/>
      <c r="D11" s="109"/>
      <c r="E11" s="109"/>
      <c r="F11" s="109"/>
      <c r="G11" s="109"/>
      <c r="H11" s="109"/>
      <c r="I11" s="109"/>
      <c r="J11" s="109"/>
      <c r="K11" s="109"/>
      <c r="L11" s="109"/>
    </row>
    <row r="13" spans="1:12" x14ac:dyDescent="0.2">
      <c r="A13" s="111" t="s">
        <v>114</v>
      </c>
      <c r="B13" s="110" t="s">
        <v>115</v>
      </c>
      <c r="C13" s="122">
        <v>880.08</v>
      </c>
      <c r="D13" s="122">
        <v>146.68</v>
      </c>
      <c r="E13" s="122">
        <v>1026.76</v>
      </c>
      <c r="F13" s="123">
        <v>-18.41</v>
      </c>
      <c r="G13" s="122">
        <v>0</v>
      </c>
      <c r="H13" s="122">
        <v>25.55</v>
      </c>
      <c r="I13" s="122">
        <v>0</v>
      </c>
      <c r="J13" s="122">
        <v>0.02</v>
      </c>
      <c r="K13" s="122">
        <v>7.16</v>
      </c>
      <c r="L13" s="122">
        <v>1019.6</v>
      </c>
    </row>
    <row r="14" spans="1:12" x14ac:dyDescent="0.2">
      <c r="A14" s="111" t="s">
        <v>116</v>
      </c>
      <c r="B14" s="110" t="s">
        <v>117</v>
      </c>
      <c r="C14" s="122">
        <v>880.08</v>
      </c>
      <c r="D14" s="122">
        <v>146.68</v>
      </c>
      <c r="E14" s="122">
        <v>1026.76</v>
      </c>
      <c r="F14" s="123">
        <v>-18.41</v>
      </c>
      <c r="G14" s="122">
        <v>0</v>
      </c>
      <c r="H14" s="122">
        <v>25.48</v>
      </c>
      <c r="I14" s="122">
        <v>0</v>
      </c>
      <c r="J14" s="122">
        <v>0.09</v>
      </c>
      <c r="K14" s="122">
        <v>7.16</v>
      </c>
      <c r="L14" s="122">
        <v>1019.6</v>
      </c>
    </row>
    <row r="15" spans="1:12" x14ac:dyDescent="0.2">
      <c r="A15" s="111" t="s">
        <v>118</v>
      </c>
      <c r="B15" s="110" t="s">
        <v>119</v>
      </c>
      <c r="C15" s="122">
        <v>880.08</v>
      </c>
      <c r="D15" s="122">
        <v>146.68</v>
      </c>
      <c r="E15" s="122">
        <v>1026.76</v>
      </c>
      <c r="F15" s="123">
        <v>-18.41</v>
      </c>
      <c r="G15" s="122">
        <v>0</v>
      </c>
      <c r="H15" s="122">
        <v>25.53</v>
      </c>
      <c r="I15" s="122">
        <v>0</v>
      </c>
      <c r="J15" s="122">
        <v>0.04</v>
      </c>
      <c r="K15" s="122">
        <v>7.16</v>
      </c>
      <c r="L15" s="122">
        <v>1019.6</v>
      </c>
    </row>
    <row r="16" spans="1:12" x14ac:dyDescent="0.2">
      <c r="A16" s="111" t="s">
        <v>120</v>
      </c>
      <c r="B16" s="110" t="s">
        <v>121</v>
      </c>
      <c r="C16" s="122">
        <v>1500</v>
      </c>
      <c r="D16" s="122">
        <v>250</v>
      </c>
      <c r="E16" s="122">
        <v>1750</v>
      </c>
      <c r="F16" s="122">
        <v>0</v>
      </c>
      <c r="G16" s="122">
        <v>144.21</v>
      </c>
      <c r="H16" s="122">
        <v>44.9</v>
      </c>
      <c r="I16" s="122">
        <v>0</v>
      </c>
      <c r="J16" s="122">
        <v>0.09</v>
      </c>
      <c r="K16" s="122">
        <v>189.2</v>
      </c>
      <c r="L16" s="122">
        <v>1560.8</v>
      </c>
    </row>
    <row r="17" spans="1:12" x14ac:dyDescent="0.2">
      <c r="A17" s="111" t="s">
        <v>122</v>
      </c>
      <c r="B17" s="110" t="s">
        <v>123</v>
      </c>
      <c r="C17" s="122">
        <v>880.08</v>
      </c>
      <c r="D17" s="122">
        <v>146.68</v>
      </c>
      <c r="E17" s="122">
        <v>1026.76</v>
      </c>
      <c r="F17" s="123">
        <v>-18.41</v>
      </c>
      <c r="G17" s="122">
        <v>0</v>
      </c>
      <c r="H17" s="122">
        <v>25.48</v>
      </c>
      <c r="I17" s="122">
        <v>500</v>
      </c>
      <c r="J17" s="123">
        <v>-0.11</v>
      </c>
      <c r="K17" s="122">
        <v>506.96</v>
      </c>
      <c r="L17" s="122">
        <v>519.79999999999995</v>
      </c>
    </row>
    <row r="18" spans="1:12" x14ac:dyDescent="0.2">
      <c r="A18" s="111" t="s">
        <v>124</v>
      </c>
      <c r="B18" s="110" t="s">
        <v>125</v>
      </c>
      <c r="C18" s="122">
        <v>880.08</v>
      </c>
      <c r="D18" s="122">
        <v>146.68</v>
      </c>
      <c r="E18" s="122">
        <v>1026.76</v>
      </c>
      <c r="F18" s="123">
        <v>-18.41</v>
      </c>
      <c r="G18" s="122">
        <v>0</v>
      </c>
      <c r="H18" s="122">
        <v>25.55</v>
      </c>
      <c r="I18" s="122">
        <v>0</v>
      </c>
      <c r="J18" s="122">
        <v>0.02</v>
      </c>
      <c r="K18" s="122">
        <v>7.16</v>
      </c>
      <c r="L18" s="122">
        <v>1019.6</v>
      </c>
    </row>
    <row r="19" spans="1:12" x14ac:dyDescent="0.2">
      <c r="A19" s="111" t="s">
        <v>126</v>
      </c>
      <c r="B19" s="110" t="s">
        <v>127</v>
      </c>
      <c r="C19" s="122">
        <v>880.08</v>
      </c>
      <c r="D19" s="122">
        <v>146.68</v>
      </c>
      <c r="E19" s="122">
        <v>1026.76</v>
      </c>
      <c r="F19" s="123">
        <v>-18.41</v>
      </c>
      <c r="G19" s="122">
        <v>0</v>
      </c>
      <c r="H19" s="122">
        <v>25.53</v>
      </c>
      <c r="I19" s="122">
        <v>0</v>
      </c>
      <c r="J19" s="122">
        <v>0.04</v>
      </c>
      <c r="K19" s="122">
        <v>7.16</v>
      </c>
      <c r="L19" s="122">
        <v>1019.6</v>
      </c>
    </row>
    <row r="20" spans="1:12" x14ac:dyDescent="0.2">
      <c r="A20" s="111" t="s">
        <v>128</v>
      </c>
      <c r="B20" s="110" t="s">
        <v>129</v>
      </c>
      <c r="C20" s="122">
        <v>4000.08</v>
      </c>
      <c r="D20" s="122">
        <v>666.68</v>
      </c>
      <c r="E20" s="122">
        <v>4666.76</v>
      </c>
      <c r="F20" s="122">
        <v>0</v>
      </c>
      <c r="G20" s="122">
        <v>741.43</v>
      </c>
      <c r="H20" s="122">
        <v>129.94</v>
      </c>
      <c r="I20" s="122">
        <v>0</v>
      </c>
      <c r="J20" s="123">
        <v>-0.01</v>
      </c>
      <c r="K20" s="122">
        <v>871.36</v>
      </c>
      <c r="L20" s="122">
        <v>3795.4</v>
      </c>
    </row>
    <row r="21" spans="1:12" x14ac:dyDescent="0.2">
      <c r="A21" s="111" t="s">
        <v>130</v>
      </c>
      <c r="B21" s="110" t="s">
        <v>131</v>
      </c>
      <c r="C21" s="122">
        <v>880.08</v>
      </c>
      <c r="D21" s="122">
        <v>146.68</v>
      </c>
      <c r="E21" s="122">
        <v>1026.76</v>
      </c>
      <c r="F21" s="123">
        <v>-18.41</v>
      </c>
      <c r="G21" s="122">
        <v>0</v>
      </c>
      <c r="H21" s="122">
        <v>25.58</v>
      </c>
      <c r="I21" s="122">
        <v>0</v>
      </c>
      <c r="J21" s="123">
        <v>-0.01</v>
      </c>
      <c r="K21" s="122">
        <v>7.16</v>
      </c>
      <c r="L21" s="122">
        <v>1019.6</v>
      </c>
    </row>
    <row r="22" spans="1:12" x14ac:dyDescent="0.2">
      <c r="A22" s="111" t="s">
        <v>132</v>
      </c>
      <c r="B22" s="110" t="s">
        <v>133</v>
      </c>
      <c r="C22" s="122">
        <v>1000.08</v>
      </c>
      <c r="D22" s="122">
        <v>166.68</v>
      </c>
      <c r="E22" s="122">
        <v>1166.76</v>
      </c>
      <c r="F22" s="122">
        <v>0</v>
      </c>
      <c r="G22" s="122">
        <v>3.59</v>
      </c>
      <c r="H22" s="122">
        <v>29.11</v>
      </c>
      <c r="I22" s="122">
        <v>490</v>
      </c>
      <c r="J22" s="122">
        <v>0.06</v>
      </c>
      <c r="K22" s="122">
        <v>522.76</v>
      </c>
      <c r="L22" s="122">
        <v>644</v>
      </c>
    </row>
    <row r="23" spans="1:12" x14ac:dyDescent="0.2">
      <c r="A23" s="111" t="s">
        <v>134</v>
      </c>
      <c r="B23" s="110" t="s">
        <v>135</v>
      </c>
      <c r="C23" s="122">
        <v>880.08</v>
      </c>
      <c r="D23" s="122">
        <v>146.68</v>
      </c>
      <c r="E23" s="122">
        <v>1026.76</v>
      </c>
      <c r="F23" s="123">
        <v>-18.41</v>
      </c>
      <c r="G23" s="122">
        <v>0</v>
      </c>
      <c r="H23" s="122">
        <v>25.55</v>
      </c>
      <c r="I23" s="122">
        <v>0</v>
      </c>
      <c r="J23" s="122">
        <v>0.02</v>
      </c>
      <c r="K23" s="122">
        <v>7.16</v>
      </c>
      <c r="L23" s="122">
        <v>1019.6</v>
      </c>
    </row>
    <row r="24" spans="1:12" x14ac:dyDescent="0.2">
      <c r="A24" s="111" t="s">
        <v>136</v>
      </c>
      <c r="B24" s="110" t="s">
        <v>137</v>
      </c>
      <c r="C24" s="122">
        <v>880.08</v>
      </c>
      <c r="D24" s="122">
        <v>146.68</v>
      </c>
      <c r="E24" s="122">
        <v>1026.76</v>
      </c>
      <c r="F24" s="123">
        <v>-18.41</v>
      </c>
      <c r="G24" s="122">
        <v>0</v>
      </c>
      <c r="H24" s="122">
        <v>25.55</v>
      </c>
      <c r="I24" s="122">
        <v>0</v>
      </c>
      <c r="J24" s="123">
        <v>-0.18</v>
      </c>
      <c r="K24" s="122">
        <v>6.96</v>
      </c>
      <c r="L24" s="122">
        <v>1019.8</v>
      </c>
    </row>
    <row r="25" spans="1:12" x14ac:dyDescent="0.2">
      <c r="A25" s="111" t="s">
        <v>138</v>
      </c>
      <c r="B25" s="110" t="s">
        <v>139</v>
      </c>
      <c r="C25" s="122">
        <v>880.08</v>
      </c>
      <c r="D25" s="122">
        <v>146.68</v>
      </c>
      <c r="E25" s="122">
        <v>1026.76</v>
      </c>
      <c r="F25" s="123">
        <v>-18.41</v>
      </c>
      <c r="G25" s="122">
        <v>0</v>
      </c>
      <c r="H25" s="122">
        <v>25.53</v>
      </c>
      <c r="I25" s="122">
        <v>0</v>
      </c>
      <c r="J25" s="122">
        <v>0.04</v>
      </c>
      <c r="K25" s="122">
        <v>7.16</v>
      </c>
      <c r="L25" s="122">
        <v>1019.6</v>
      </c>
    </row>
    <row r="26" spans="1:12" x14ac:dyDescent="0.2">
      <c r="A26" s="111" t="s">
        <v>140</v>
      </c>
      <c r="B26" s="110" t="s">
        <v>141</v>
      </c>
      <c r="C26" s="122">
        <v>4000.08</v>
      </c>
      <c r="D26" s="122">
        <v>666.68</v>
      </c>
      <c r="E26" s="122">
        <v>4666.76</v>
      </c>
      <c r="F26" s="122">
        <v>0</v>
      </c>
      <c r="G26" s="122">
        <v>741.43</v>
      </c>
      <c r="H26" s="122">
        <v>129.22</v>
      </c>
      <c r="I26" s="122">
        <v>350</v>
      </c>
      <c r="J26" s="123">
        <v>-0.09</v>
      </c>
      <c r="K26" s="122">
        <v>1220.56</v>
      </c>
      <c r="L26" s="122">
        <v>3446.2</v>
      </c>
    </row>
    <row r="27" spans="1:12" x14ac:dyDescent="0.2">
      <c r="A27" s="111" t="s">
        <v>142</v>
      </c>
      <c r="B27" s="110" t="s">
        <v>143</v>
      </c>
      <c r="C27" s="122">
        <v>1000.08</v>
      </c>
      <c r="D27" s="122">
        <v>166.68</v>
      </c>
      <c r="E27" s="122">
        <v>1166.76</v>
      </c>
      <c r="F27" s="122">
        <v>0</v>
      </c>
      <c r="G27" s="122">
        <v>3.59</v>
      </c>
      <c r="H27" s="122">
        <v>29.11</v>
      </c>
      <c r="I27" s="122">
        <v>83.6</v>
      </c>
      <c r="J27" s="123">
        <v>-0.14000000000000001</v>
      </c>
      <c r="K27" s="122">
        <v>116.16</v>
      </c>
      <c r="L27" s="122">
        <v>1050.5999999999999</v>
      </c>
    </row>
    <row r="28" spans="1:12" x14ac:dyDescent="0.2">
      <c r="A28" s="111" t="s">
        <v>144</v>
      </c>
      <c r="B28" s="110" t="s">
        <v>145</v>
      </c>
      <c r="C28" s="122">
        <v>880.08</v>
      </c>
      <c r="D28" s="122">
        <v>146.68</v>
      </c>
      <c r="E28" s="122">
        <v>1026.76</v>
      </c>
      <c r="F28" s="123">
        <v>-18.41</v>
      </c>
      <c r="G28" s="122">
        <v>0</v>
      </c>
      <c r="H28" s="122">
        <v>25.55</v>
      </c>
      <c r="I28" s="122">
        <v>0</v>
      </c>
      <c r="J28" s="122">
        <v>0.02</v>
      </c>
      <c r="K28" s="122">
        <v>7.16</v>
      </c>
      <c r="L28" s="122">
        <v>1019.6</v>
      </c>
    </row>
    <row r="29" spans="1:12" x14ac:dyDescent="0.2">
      <c r="A29" s="111" t="s">
        <v>146</v>
      </c>
      <c r="B29" s="110" t="s">
        <v>147</v>
      </c>
      <c r="C29" s="122">
        <v>880.08</v>
      </c>
      <c r="D29" s="122">
        <v>146.68</v>
      </c>
      <c r="E29" s="122">
        <v>1026.76</v>
      </c>
      <c r="F29" s="123">
        <v>-18.41</v>
      </c>
      <c r="G29" s="122">
        <v>0</v>
      </c>
      <c r="H29" s="122">
        <v>25.53</v>
      </c>
      <c r="I29" s="122">
        <v>0</v>
      </c>
      <c r="J29" s="122">
        <v>0.04</v>
      </c>
      <c r="K29" s="122">
        <v>7.16</v>
      </c>
      <c r="L29" s="122">
        <v>1019.6</v>
      </c>
    </row>
    <row r="30" spans="1:12" x14ac:dyDescent="0.2">
      <c r="A30" s="111" t="s">
        <v>148</v>
      </c>
      <c r="B30" s="110" t="s">
        <v>149</v>
      </c>
      <c r="C30" s="122">
        <v>1000.08</v>
      </c>
      <c r="D30" s="122">
        <v>166.68</v>
      </c>
      <c r="E30" s="122">
        <v>1166.76</v>
      </c>
      <c r="F30" s="122">
        <v>0</v>
      </c>
      <c r="G30" s="122">
        <v>3.59</v>
      </c>
      <c r="H30" s="122">
        <v>29</v>
      </c>
      <c r="I30" s="122">
        <v>0</v>
      </c>
      <c r="J30" s="123">
        <v>-0.03</v>
      </c>
      <c r="K30" s="122">
        <v>32.56</v>
      </c>
      <c r="L30" s="122">
        <v>1134.2</v>
      </c>
    </row>
    <row r="31" spans="1:12" x14ac:dyDescent="0.2">
      <c r="A31" s="111" t="s">
        <v>150</v>
      </c>
      <c r="B31" s="110" t="s">
        <v>151</v>
      </c>
      <c r="C31" s="122">
        <v>880.08</v>
      </c>
      <c r="D31" s="122">
        <v>146.68</v>
      </c>
      <c r="E31" s="122">
        <v>1026.76</v>
      </c>
      <c r="F31" s="123">
        <v>-18.41</v>
      </c>
      <c r="G31" s="122">
        <v>0</v>
      </c>
      <c r="H31" s="122">
        <v>25.48</v>
      </c>
      <c r="I31" s="122">
        <v>0</v>
      </c>
      <c r="J31" s="122">
        <v>0.09</v>
      </c>
      <c r="K31" s="122">
        <v>7.16</v>
      </c>
      <c r="L31" s="122">
        <v>1019.6</v>
      </c>
    </row>
    <row r="32" spans="1:12" x14ac:dyDescent="0.2">
      <c r="A32" s="111" t="s">
        <v>152</v>
      </c>
      <c r="B32" s="110" t="s">
        <v>153</v>
      </c>
      <c r="C32" s="122">
        <v>4000.08</v>
      </c>
      <c r="D32" s="122">
        <v>666.68</v>
      </c>
      <c r="E32" s="122">
        <v>4666.76</v>
      </c>
      <c r="F32" s="122">
        <v>0</v>
      </c>
      <c r="G32" s="122">
        <v>741.43</v>
      </c>
      <c r="H32" s="122">
        <v>129.22</v>
      </c>
      <c r="I32" s="122">
        <v>403</v>
      </c>
      <c r="J32" s="123">
        <v>-0.09</v>
      </c>
      <c r="K32" s="122">
        <v>1273.56</v>
      </c>
      <c r="L32" s="122">
        <v>3393.2</v>
      </c>
    </row>
    <row r="33" spans="1:12" x14ac:dyDescent="0.2">
      <c r="A33" s="111" t="s">
        <v>154</v>
      </c>
      <c r="B33" s="110" t="s">
        <v>155</v>
      </c>
      <c r="C33" s="122">
        <v>880.08</v>
      </c>
      <c r="D33" s="122">
        <v>146.68</v>
      </c>
      <c r="E33" s="122">
        <v>1026.76</v>
      </c>
      <c r="F33" s="123">
        <v>-18.41</v>
      </c>
      <c r="G33" s="122">
        <v>0</v>
      </c>
      <c r="H33" s="122">
        <v>25.48</v>
      </c>
      <c r="I33" s="122">
        <v>0</v>
      </c>
      <c r="J33" s="122">
        <v>0.09</v>
      </c>
      <c r="K33" s="122">
        <v>7.16</v>
      </c>
      <c r="L33" s="122">
        <v>1019.6</v>
      </c>
    </row>
    <row r="34" spans="1:12" x14ac:dyDescent="0.2">
      <c r="A34" s="111" t="s">
        <v>156</v>
      </c>
      <c r="B34" s="110" t="s">
        <v>157</v>
      </c>
      <c r="C34" s="122">
        <v>880.08</v>
      </c>
      <c r="D34" s="122">
        <v>146.68</v>
      </c>
      <c r="E34" s="122">
        <v>1026.76</v>
      </c>
      <c r="F34" s="123">
        <v>-18.41</v>
      </c>
      <c r="G34" s="122">
        <v>0</v>
      </c>
      <c r="H34" s="122">
        <v>25.48</v>
      </c>
      <c r="I34" s="122">
        <v>385.41</v>
      </c>
      <c r="J34" s="122">
        <v>0.08</v>
      </c>
      <c r="K34" s="122">
        <v>392.56</v>
      </c>
      <c r="L34" s="122">
        <v>634.20000000000005</v>
      </c>
    </row>
    <row r="35" spans="1:12" x14ac:dyDescent="0.2">
      <c r="A35" s="111" t="s">
        <v>158</v>
      </c>
      <c r="B35" s="110" t="s">
        <v>159</v>
      </c>
      <c r="C35" s="122">
        <v>880.08</v>
      </c>
      <c r="D35" s="122">
        <v>146.68</v>
      </c>
      <c r="E35" s="122">
        <v>1026.76</v>
      </c>
      <c r="F35" s="123">
        <v>-18.41</v>
      </c>
      <c r="G35" s="122">
        <v>0</v>
      </c>
      <c r="H35" s="122">
        <v>25.48</v>
      </c>
      <c r="I35" s="122">
        <v>0</v>
      </c>
      <c r="J35" s="122">
        <v>0.09</v>
      </c>
      <c r="K35" s="122">
        <v>7.16</v>
      </c>
      <c r="L35" s="122">
        <v>1019.6</v>
      </c>
    </row>
    <row r="36" spans="1:12" x14ac:dyDescent="0.2">
      <c r="A36" s="111" t="s">
        <v>160</v>
      </c>
      <c r="B36" s="110" t="s">
        <v>161</v>
      </c>
      <c r="C36" s="122">
        <v>880.08</v>
      </c>
      <c r="D36" s="122">
        <v>146.68</v>
      </c>
      <c r="E36" s="122">
        <v>1026.76</v>
      </c>
      <c r="F36" s="123">
        <v>-18.41</v>
      </c>
      <c r="G36" s="122">
        <v>0</v>
      </c>
      <c r="H36" s="122">
        <v>25.53</v>
      </c>
      <c r="I36" s="122">
        <v>0</v>
      </c>
      <c r="J36" s="122">
        <v>0.04</v>
      </c>
      <c r="K36" s="122">
        <v>7.16</v>
      </c>
      <c r="L36" s="122">
        <v>1019.6</v>
      </c>
    </row>
    <row r="37" spans="1:12" x14ac:dyDescent="0.2">
      <c r="A37" s="111" t="s">
        <v>162</v>
      </c>
      <c r="B37" s="110" t="s">
        <v>163</v>
      </c>
      <c r="C37" s="122">
        <v>880.08</v>
      </c>
      <c r="D37" s="122">
        <v>146.68</v>
      </c>
      <c r="E37" s="122">
        <v>1026.76</v>
      </c>
      <c r="F37" s="123">
        <v>-18.41</v>
      </c>
      <c r="G37" s="122">
        <v>0</v>
      </c>
      <c r="H37" s="122">
        <v>25.48</v>
      </c>
      <c r="I37" s="122">
        <v>0</v>
      </c>
      <c r="J37" s="123">
        <v>-0.11</v>
      </c>
      <c r="K37" s="122">
        <v>6.96</v>
      </c>
      <c r="L37" s="122">
        <v>1019.8</v>
      </c>
    </row>
    <row r="38" spans="1:12" x14ac:dyDescent="0.2">
      <c r="A38" s="111" t="s">
        <v>164</v>
      </c>
      <c r="B38" s="110" t="s">
        <v>165</v>
      </c>
      <c r="C38" s="122">
        <v>1000.02</v>
      </c>
      <c r="D38" s="122">
        <v>166.67</v>
      </c>
      <c r="E38" s="122">
        <v>1166.69</v>
      </c>
      <c r="F38" s="122">
        <v>0</v>
      </c>
      <c r="G38" s="122">
        <v>3.58</v>
      </c>
      <c r="H38" s="122">
        <v>28.96</v>
      </c>
      <c r="I38" s="122">
        <v>0</v>
      </c>
      <c r="J38" s="123">
        <v>-0.05</v>
      </c>
      <c r="K38" s="122">
        <v>32.49</v>
      </c>
      <c r="L38" s="122">
        <v>1134.2</v>
      </c>
    </row>
    <row r="39" spans="1:12" x14ac:dyDescent="0.2">
      <c r="A39" s="111" t="s">
        <v>166</v>
      </c>
      <c r="B39" s="110" t="s">
        <v>167</v>
      </c>
      <c r="C39" s="122">
        <v>880.08</v>
      </c>
      <c r="D39" s="122">
        <v>146.68</v>
      </c>
      <c r="E39" s="122">
        <v>1026.76</v>
      </c>
      <c r="F39" s="123">
        <v>-18.41</v>
      </c>
      <c r="G39" s="122">
        <v>0</v>
      </c>
      <c r="H39" s="122">
        <v>25.58</v>
      </c>
      <c r="I39" s="122">
        <v>577.35</v>
      </c>
      <c r="J39" s="122">
        <v>0.04</v>
      </c>
      <c r="K39" s="122">
        <v>584.55999999999995</v>
      </c>
      <c r="L39" s="122">
        <v>442.2</v>
      </c>
    </row>
    <row r="40" spans="1:12" x14ac:dyDescent="0.2">
      <c r="A40" s="111" t="s">
        <v>168</v>
      </c>
      <c r="B40" s="110" t="s">
        <v>169</v>
      </c>
      <c r="C40" s="122">
        <v>880.08</v>
      </c>
      <c r="D40" s="122">
        <v>146.68</v>
      </c>
      <c r="E40" s="122">
        <v>1026.76</v>
      </c>
      <c r="F40" s="123">
        <v>-18.41</v>
      </c>
      <c r="G40" s="122">
        <v>0</v>
      </c>
      <c r="H40" s="122">
        <v>25.55</v>
      </c>
      <c r="I40" s="122">
        <v>0</v>
      </c>
      <c r="J40" s="122">
        <v>0.02</v>
      </c>
      <c r="K40" s="122">
        <v>7.16</v>
      </c>
      <c r="L40" s="122">
        <v>1019.6</v>
      </c>
    </row>
    <row r="41" spans="1:12" x14ac:dyDescent="0.2">
      <c r="A41" s="111" t="s">
        <v>170</v>
      </c>
      <c r="B41" s="110" t="s">
        <v>171</v>
      </c>
      <c r="C41" s="122">
        <v>880.08</v>
      </c>
      <c r="D41" s="122">
        <v>146.68</v>
      </c>
      <c r="E41" s="122">
        <v>1026.76</v>
      </c>
      <c r="F41" s="123">
        <v>-18.41</v>
      </c>
      <c r="G41" s="122">
        <v>0</v>
      </c>
      <c r="H41" s="122">
        <v>25.48</v>
      </c>
      <c r="I41" s="122">
        <v>0</v>
      </c>
      <c r="J41" s="122">
        <v>0.09</v>
      </c>
      <c r="K41" s="122">
        <v>7.16</v>
      </c>
      <c r="L41" s="122">
        <v>1019.6</v>
      </c>
    </row>
    <row r="42" spans="1:12" x14ac:dyDescent="0.2">
      <c r="A42" s="111" t="s">
        <v>172</v>
      </c>
      <c r="B42" s="110" t="s">
        <v>173</v>
      </c>
      <c r="C42" s="122">
        <v>880.08</v>
      </c>
      <c r="D42" s="122">
        <v>146.68</v>
      </c>
      <c r="E42" s="122">
        <v>1026.76</v>
      </c>
      <c r="F42" s="123">
        <v>-18.41</v>
      </c>
      <c r="G42" s="122">
        <v>0</v>
      </c>
      <c r="H42" s="122">
        <v>25.53</v>
      </c>
      <c r="I42" s="122">
        <v>0</v>
      </c>
      <c r="J42" s="122">
        <v>0.04</v>
      </c>
      <c r="K42" s="122">
        <v>7.16</v>
      </c>
      <c r="L42" s="122">
        <v>1019.6</v>
      </c>
    </row>
    <row r="45" spans="1:12" x14ac:dyDescent="0.2">
      <c r="A45" s="124"/>
      <c r="B45" s="116"/>
      <c r="C45" s="116" t="s">
        <v>202</v>
      </c>
      <c r="D45" s="116" t="s">
        <v>202</v>
      </c>
      <c r="E45" s="116" t="s">
        <v>202</v>
      </c>
      <c r="F45" s="116" t="s">
        <v>202</v>
      </c>
      <c r="G45" s="116" t="s">
        <v>202</v>
      </c>
      <c r="H45" s="116" t="s">
        <v>202</v>
      </c>
      <c r="I45" s="116" t="s">
        <v>202</v>
      </c>
      <c r="J45" s="116" t="s">
        <v>202</v>
      </c>
      <c r="K45" s="116" t="s">
        <v>202</v>
      </c>
      <c r="L45" s="116" t="s">
        <v>202</v>
      </c>
    </row>
    <row r="46" spans="1:12" x14ac:dyDescent="0.2">
      <c r="A46" s="127" t="s">
        <v>203</v>
      </c>
      <c r="B46" s="110" t="s">
        <v>182</v>
      </c>
      <c r="C46" s="126">
        <v>36862.26</v>
      </c>
      <c r="D46" s="126">
        <v>6143.71</v>
      </c>
      <c r="E46" s="126">
        <v>43005.97</v>
      </c>
      <c r="F46" s="128">
        <v>-405.02</v>
      </c>
      <c r="G46" s="126">
        <v>2382.85</v>
      </c>
      <c r="H46" s="126">
        <v>1110.94</v>
      </c>
      <c r="I46" s="126">
        <v>2789.36</v>
      </c>
      <c r="J46" s="126">
        <v>0.24</v>
      </c>
      <c r="K46" s="126">
        <v>5878.37</v>
      </c>
      <c r="L46" s="126">
        <v>37127.599999999999</v>
      </c>
    </row>
    <row r="48" spans="1:12" ht="15" x14ac:dyDescent="0.25">
      <c r="A48" s="109"/>
      <c r="B48" s="109"/>
      <c r="C48" s="110" t="s">
        <v>182</v>
      </c>
      <c r="D48" s="110" t="s">
        <v>182</v>
      </c>
      <c r="E48" s="110" t="s">
        <v>182</v>
      </c>
      <c r="F48" s="110" t="s">
        <v>182</v>
      </c>
      <c r="G48" s="110" t="s">
        <v>182</v>
      </c>
      <c r="H48" s="110" t="s">
        <v>182</v>
      </c>
      <c r="I48" s="110" t="s">
        <v>182</v>
      </c>
      <c r="J48" s="110" t="s">
        <v>182</v>
      </c>
      <c r="K48" s="110" t="s">
        <v>182</v>
      </c>
      <c r="L48" s="110" t="s">
        <v>182</v>
      </c>
    </row>
    <row r="49" spans="1:12" x14ac:dyDescent="0.2">
      <c r="A49" s="111" t="s">
        <v>182</v>
      </c>
      <c r="B49" s="110" t="s">
        <v>182</v>
      </c>
      <c r="C49" s="125"/>
      <c r="D49" s="125"/>
      <c r="E49" s="125"/>
      <c r="F49" s="125"/>
      <c r="G49" s="125"/>
      <c r="H49" s="125"/>
      <c r="I49" s="125"/>
      <c r="J49" s="125"/>
      <c r="K49" s="125"/>
      <c r="L49" s="125"/>
    </row>
  </sheetData>
  <mergeCells count="4">
    <mergeCell ref="B1:D1"/>
    <mergeCell ref="B2:D2"/>
    <mergeCell ref="B3:D3"/>
    <mergeCell ref="B4:D4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57"/>
  <sheetViews>
    <sheetView topLeftCell="A4" workbookViewId="0">
      <pane xSplit="2" ySplit="8" topLeftCell="C12" activePane="bottomRight" state="frozen"/>
      <selection activeCell="A4" sqref="A4"/>
      <selection pane="topRight" activeCell="C4" sqref="C4"/>
      <selection pane="bottomLeft" activeCell="A12" sqref="A12"/>
      <selection pane="bottomRight" activeCell="H40" sqref="H40"/>
    </sheetView>
  </sheetViews>
  <sheetFormatPr baseColWidth="10" defaultRowHeight="12.75" x14ac:dyDescent="0.2"/>
  <cols>
    <col min="2" max="2" width="26.5703125" customWidth="1"/>
    <col min="10" max="10" width="14.28515625" customWidth="1"/>
  </cols>
  <sheetData>
    <row r="1" spans="1:15" x14ac:dyDescent="0.2">
      <c r="A1" s="145" t="s">
        <v>181</v>
      </c>
      <c r="B1" s="192" t="s">
        <v>182</v>
      </c>
      <c r="C1" s="193"/>
      <c r="D1" s="193"/>
      <c r="E1" s="133"/>
      <c r="F1" s="133"/>
      <c r="G1" s="133"/>
      <c r="H1" s="133"/>
      <c r="I1" s="133"/>
      <c r="J1" s="133"/>
      <c r="K1" s="133"/>
    </row>
    <row r="2" spans="1:15" ht="18" x14ac:dyDescent="0.2">
      <c r="A2" s="146" t="s">
        <v>183</v>
      </c>
      <c r="B2" s="147" t="s">
        <v>213</v>
      </c>
      <c r="C2" s="134"/>
      <c r="D2" s="134"/>
      <c r="E2" s="133"/>
      <c r="F2" s="133"/>
      <c r="G2" s="133"/>
      <c r="H2" s="133"/>
      <c r="I2" s="133"/>
      <c r="J2" s="133"/>
      <c r="K2" s="133"/>
    </row>
    <row r="3" spans="1:15" ht="15" x14ac:dyDescent="0.2">
      <c r="A3" s="148"/>
      <c r="B3" s="194" t="s">
        <v>185</v>
      </c>
      <c r="C3" s="194"/>
      <c r="D3" s="194"/>
      <c r="E3" s="133"/>
      <c r="F3" s="133"/>
      <c r="G3" s="133"/>
      <c r="H3" s="133"/>
      <c r="I3" s="133"/>
      <c r="J3" s="133"/>
      <c r="K3" s="133"/>
    </row>
    <row r="4" spans="1:15" x14ac:dyDescent="0.2">
      <c r="A4" s="148"/>
      <c r="B4" s="195" t="str">
        <f>+INGENIERIA!B4</f>
        <v>Periodo 37 al 37 Semanal del 07/09/2016 al 13/09/2016</v>
      </c>
      <c r="C4" s="193"/>
      <c r="D4" s="193"/>
      <c r="E4" s="133"/>
      <c r="F4" s="133"/>
      <c r="G4" s="133"/>
      <c r="H4" s="133"/>
      <c r="I4" s="133"/>
      <c r="J4" s="133"/>
      <c r="K4" s="133"/>
    </row>
    <row r="5" spans="1:15" x14ac:dyDescent="0.2">
      <c r="A5" s="148"/>
      <c r="B5" s="149"/>
      <c r="C5" s="133"/>
      <c r="D5" s="133"/>
      <c r="E5" s="133"/>
      <c r="F5" s="133"/>
      <c r="G5" s="133"/>
      <c r="H5" s="133"/>
      <c r="I5" s="133"/>
      <c r="J5" s="133"/>
      <c r="K5" s="133"/>
    </row>
    <row r="8" spans="1:15" x14ac:dyDescent="0.2">
      <c r="F8" t="s">
        <v>214</v>
      </c>
    </row>
    <row r="9" spans="1:15" s="134" customFormat="1" ht="34.5" thickBot="1" x14ac:dyDescent="0.25">
      <c r="A9" s="150" t="s">
        <v>189</v>
      </c>
      <c r="B9" s="151" t="s">
        <v>190</v>
      </c>
      <c r="C9" s="151" t="s">
        <v>215</v>
      </c>
      <c r="D9" s="151" t="s">
        <v>215</v>
      </c>
      <c r="E9" s="152" t="s">
        <v>193</v>
      </c>
      <c r="F9" s="152" t="s">
        <v>216</v>
      </c>
      <c r="G9" s="151" t="s">
        <v>217</v>
      </c>
      <c r="H9" s="151" t="s">
        <v>197</v>
      </c>
      <c r="I9" s="151" t="s">
        <v>198</v>
      </c>
      <c r="J9" s="152" t="s">
        <v>199</v>
      </c>
      <c r="K9" s="153" t="s">
        <v>200</v>
      </c>
    </row>
    <row r="10" spans="1:15" ht="13.5" thickTop="1" x14ac:dyDescent="0.2">
      <c r="A10" s="154" t="s">
        <v>201</v>
      </c>
      <c r="B10" s="133"/>
      <c r="C10" s="133"/>
      <c r="D10" s="133"/>
      <c r="E10" s="133"/>
      <c r="F10" s="133"/>
      <c r="G10" s="133"/>
      <c r="H10" s="133"/>
      <c r="I10" s="133"/>
      <c r="J10" s="133"/>
      <c r="K10" s="133"/>
    </row>
    <row r="11" spans="1:15" x14ac:dyDescent="0.2">
      <c r="A11" s="148"/>
      <c r="B11" s="133"/>
      <c r="C11" s="133"/>
      <c r="D11" s="133"/>
      <c r="E11" s="133"/>
      <c r="F11" s="133"/>
      <c r="G11" s="133"/>
      <c r="H11" s="133"/>
      <c r="I11" s="133"/>
      <c r="J11" s="133"/>
      <c r="K11" s="133"/>
    </row>
    <row r="12" spans="1:15" x14ac:dyDescent="0.2">
      <c r="A12" s="155" t="s">
        <v>218</v>
      </c>
      <c r="C12" s="139"/>
      <c r="D12" s="139"/>
      <c r="E12" s="139"/>
      <c r="F12" s="139"/>
      <c r="G12" s="139"/>
      <c r="H12" s="139"/>
      <c r="I12" s="139"/>
      <c r="J12" s="139"/>
      <c r="K12" s="139"/>
    </row>
    <row r="13" spans="1:15" x14ac:dyDescent="0.2">
      <c r="A13" s="111" t="s">
        <v>114</v>
      </c>
      <c r="B13" s="110" t="s">
        <v>115</v>
      </c>
      <c r="C13" s="139">
        <f>+FACTURA!D13</f>
        <v>0</v>
      </c>
      <c r="D13" s="139">
        <v>0</v>
      </c>
      <c r="E13" s="139">
        <f>SUM(C13:D13)</f>
        <v>0</v>
      </c>
      <c r="F13" s="139">
        <f>+[1]FACTURA!AH14</f>
        <v>0</v>
      </c>
      <c r="G13" s="139">
        <f>+E13*0.1</f>
        <v>0</v>
      </c>
      <c r="H13" s="139">
        <f>+FACTURA!AL13-INGENIERIA!I13</f>
        <v>0</v>
      </c>
      <c r="I13" s="139">
        <v>0</v>
      </c>
      <c r="J13" s="139">
        <f>SUM(F13:I13)</f>
        <v>0</v>
      </c>
      <c r="K13" s="139">
        <f>+E13-J13</f>
        <v>0</v>
      </c>
      <c r="M13" t="str">
        <f>IF(O13=B13,"SI","NO")</f>
        <v>SI</v>
      </c>
      <c r="N13" s="111" t="s">
        <v>114</v>
      </c>
      <c r="O13" s="110" t="s">
        <v>115</v>
      </c>
    </row>
    <row r="14" spans="1:15" x14ac:dyDescent="0.2">
      <c r="A14" s="111" t="s">
        <v>116</v>
      </c>
      <c r="B14" s="110" t="s">
        <v>117</v>
      </c>
      <c r="C14" s="139">
        <f>+FACTURA!D14</f>
        <v>11940.91</v>
      </c>
      <c r="D14" s="139">
        <v>0</v>
      </c>
      <c r="E14" s="139">
        <f t="shared" ref="E14:E42" si="0">SUM(C14:D14)</f>
        <v>11940.91</v>
      </c>
      <c r="F14" s="139">
        <f>+[1]FACTURA!AH15</f>
        <v>0</v>
      </c>
      <c r="G14" s="139">
        <f t="shared" ref="G14:G42" si="1">+E14*0.1</f>
        <v>1194.0910000000001</v>
      </c>
      <c r="H14" s="139">
        <f>+FACTURA!AL14-INGENIERIA!I14</f>
        <v>0</v>
      </c>
      <c r="I14" s="139">
        <v>0</v>
      </c>
      <c r="J14" s="139">
        <f t="shared" ref="J14:J42" si="2">SUM(F14:I14)</f>
        <v>1194.0910000000001</v>
      </c>
      <c r="K14" s="139">
        <f t="shared" ref="K14:K42" si="3">+E14-J14</f>
        <v>10746.819</v>
      </c>
      <c r="M14" t="str">
        <f t="shared" ref="M14:M42" si="4">IF(O14=B14,"SI","NO")</f>
        <v>SI</v>
      </c>
      <c r="N14" s="111" t="s">
        <v>116</v>
      </c>
      <c r="O14" s="110" t="s">
        <v>117</v>
      </c>
    </row>
    <row r="15" spans="1:15" x14ac:dyDescent="0.2">
      <c r="A15" s="111" t="s">
        <v>118</v>
      </c>
      <c r="B15" s="110" t="s">
        <v>119</v>
      </c>
      <c r="C15" s="139">
        <f>+FACTURA!D15</f>
        <v>8410.1</v>
      </c>
      <c r="D15" s="139">
        <v>0</v>
      </c>
      <c r="E15" s="139">
        <f t="shared" si="0"/>
        <v>8410.1</v>
      </c>
      <c r="F15" s="139">
        <f>+[1]FACTURA!AH16</f>
        <v>0</v>
      </c>
      <c r="G15" s="139">
        <f t="shared" si="1"/>
        <v>841.0100000000001</v>
      </c>
      <c r="H15" s="139">
        <f>+FACTURA!AL15-INGENIERIA!I15</f>
        <v>1569.09</v>
      </c>
      <c r="I15" s="139">
        <v>0</v>
      </c>
      <c r="J15" s="139">
        <f t="shared" si="2"/>
        <v>2410.1</v>
      </c>
      <c r="K15" s="139">
        <f t="shared" si="3"/>
        <v>6000</v>
      </c>
      <c r="M15" t="str">
        <f t="shared" si="4"/>
        <v>SI</v>
      </c>
      <c r="N15" s="111" t="s">
        <v>118</v>
      </c>
      <c r="O15" s="110" t="s">
        <v>119</v>
      </c>
    </row>
    <row r="16" spans="1:15" x14ac:dyDescent="0.2">
      <c r="A16" s="111" t="s">
        <v>120</v>
      </c>
      <c r="B16" s="110" t="s">
        <v>121</v>
      </c>
      <c r="C16" s="139">
        <f>+FACTURA!D16</f>
        <v>0</v>
      </c>
      <c r="D16" s="139">
        <v>0</v>
      </c>
      <c r="E16" s="139">
        <f t="shared" si="0"/>
        <v>0</v>
      </c>
      <c r="F16" s="139">
        <f>+[1]FACTURA!AH17</f>
        <v>0</v>
      </c>
      <c r="G16" s="139">
        <f t="shared" si="1"/>
        <v>0</v>
      </c>
      <c r="H16" s="139">
        <f>+FACTURA!AL16-INGENIERIA!I16</f>
        <v>0</v>
      </c>
      <c r="I16" s="139">
        <v>0</v>
      </c>
      <c r="J16" s="139">
        <f t="shared" si="2"/>
        <v>0</v>
      </c>
      <c r="K16" s="139">
        <f t="shared" si="3"/>
        <v>0</v>
      </c>
      <c r="M16" t="str">
        <f t="shared" si="4"/>
        <v>SI</v>
      </c>
      <c r="N16" s="111" t="s">
        <v>120</v>
      </c>
      <c r="O16" s="110" t="s">
        <v>121</v>
      </c>
    </row>
    <row r="17" spans="1:15" x14ac:dyDescent="0.2">
      <c r="A17" s="111" t="s">
        <v>122</v>
      </c>
      <c r="B17" s="110" t="s">
        <v>123</v>
      </c>
      <c r="C17" s="139">
        <f>+FACTURA!D17</f>
        <v>0</v>
      </c>
      <c r="D17" s="139">
        <v>0</v>
      </c>
      <c r="E17" s="139">
        <f t="shared" si="0"/>
        <v>0</v>
      </c>
      <c r="F17" s="139">
        <f>+[1]FACTURA!AH18</f>
        <v>0</v>
      </c>
      <c r="G17" s="139">
        <f t="shared" si="1"/>
        <v>0</v>
      </c>
      <c r="H17" s="139">
        <f>+FACTURA!AL17-INGENIERIA!I17</f>
        <v>0</v>
      </c>
      <c r="I17" s="139">
        <v>0</v>
      </c>
      <c r="J17" s="139">
        <f t="shared" si="2"/>
        <v>0</v>
      </c>
      <c r="K17" s="139">
        <f t="shared" si="3"/>
        <v>0</v>
      </c>
      <c r="M17" t="str">
        <f t="shared" si="4"/>
        <v>SI</v>
      </c>
      <c r="N17" s="111" t="s">
        <v>122</v>
      </c>
      <c r="O17" s="110" t="s">
        <v>123</v>
      </c>
    </row>
    <row r="18" spans="1:15" x14ac:dyDescent="0.2">
      <c r="A18" s="111" t="s">
        <v>124</v>
      </c>
      <c r="B18" s="110" t="s">
        <v>125</v>
      </c>
      <c r="C18" s="139">
        <f>+FACTURA!D18</f>
        <v>0</v>
      </c>
      <c r="D18" s="139">
        <v>0</v>
      </c>
      <c r="E18" s="139">
        <f t="shared" si="0"/>
        <v>0</v>
      </c>
      <c r="F18" s="139">
        <f>+[1]FACTURA!AH19</f>
        <v>0</v>
      </c>
      <c r="G18" s="139">
        <f t="shared" si="1"/>
        <v>0</v>
      </c>
      <c r="H18" s="139">
        <f>+FACTURA!AL18-INGENIERIA!I18</f>
        <v>0</v>
      </c>
      <c r="I18" s="139">
        <v>0</v>
      </c>
      <c r="J18" s="139">
        <f t="shared" si="2"/>
        <v>0</v>
      </c>
      <c r="K18" s="139">
        <f t="shared" si="3"/>
        <v>0</v>
      </c>
      <c r="M18" t="str">
        <f t="shared" si="4"/>
        <v>SI</v>
      </c>
      <c r="N18" s="111" t="s">
        <v>124</v>
      </c>
      <c r="O18" s="110" t="s">
        <v>125</v>
      </c>
    </row>
    <row r="19" spans="1:15" x14ac:dyDescent="0.2">
      <c r="A19" s="111" t="s">
        <v>126</v>
      </c>
      <c r="B19" s="110" t="s">
        <v>127</v>
      </c>
      <c r="C19" s="139">
        <f>+FACTURA!D19</f>
        <v>1836.3</v>
      </c>
      <c r="D19" s="139">
        <v>0</v>
      </c>
      <c r="E19" s="139">
        <f t="shared" si="0"/>
        <v>1836.3</v>
      </c>
      <c r="F19" s="139">
        <f>+[1]FACTURA!AH20</f>
        <v>0</v>
      </c>
      <c r="G19" s="139">
        <f t="shared" si="1"/>
        <v>183.63</v>
      </c>
      <c r="H19" s="139">
        <f>+FACTURA!AL19-INGENIERIA!I19</f>
        <v>0</v>
      </c>
      <c r="I19" s="139">
        <v>0</v>
      </c>
      <c r="J19" s="139">
        <f t="shared" si="2"/>
        <v>183.63</v>
      </c>
      <c r="K19" s="139">
        <f t="shared" si="3"/>
        <v>1652.67</v>
      </c>
      <c r="M19" t="str">
        <f t="shared" si="4"/>
        <v>SI</v>
      </c>
      <c r="N19" s="111" t="s">
        <v>126</v>
      </c>
      <c r="O19" s="110" t="s">
        <v>127</v>
      </c>
    </row>
    <row r="20" spans="1:15" x14ac:dyDescent="0.2">
      <c r="A20" s="111" t="s">
        <v>128</v>
      </c>
      <c r="B20" s="110" t="s">
        <v>129</v>
      </c>
      <c r="C20" s="139">
        <f>+FACTURA!D20</f>
        <v>5049.8500000000004</v>
      </c>
      <c r="D20" s="139">
        <v>0</v>
      </c>
      <c r="E20" s="139">
        <f t="shared" si="0"/>
        <v>5049.8500000000004</v>
      </c>
      <c r="F20" s="139">
        <f>+[1]FACTURA!AH21</f>
        <v>0</v>
      </c>
      <c r="G20" s="139">
        <f t="shared" si="1"/>
        <v>504.98500000000007</v>
      </c>
      <c r="H20" s="139">
        <f>+FACTURA!AL20-INGENIERIA!I20</f>
        <v>0</v>
      </c>
      <c r="I20" s="139">
        <v>0</v>
      </c>
      <c r="J20" s="139">
        <f t="shared" si="2"/>
        <v>504.98500000000007</v>
      </c>
      <c r="K20" s="139">
        <f t="shared" si="3"/>
        <v>4544.8650000000007</v>
      </c>
      <c r="M20" t="str">
        <f t="shared" si="4"/>
        <v>SI</v>
      </c>
      <c r="N20" s="111" t="s">
        <v>128</v>
      </c>
      <c r="O20" s="110" t="s">
        <v>129</v>
      </c>
    </row>
    <row r="21" spans="1:15" x14ac:dyDescent="0.2">
      <c r="A21" s="111" t="s">
        <v>130</v>
      </c>
      <c r="B21" s="110" t="s">
        <v>131</v>
      </c>
      <c r="C21" s="139">
        <f>+FACTURA!D21</f>
        <v>14707.14</v>
      </c>
      <c r="D21" s="139">
        <v>0</v>
      </c>
      <c r="E21" s="139">
        <f t="shared" si="0"/>
        <v>14707.14</v>
      </c>
      <c r="F21" s="139">
        <f>+[1]FACTURA!AH22</f>
        <v>0</v>
      </c>
      <c r="G21" s="139">
        <f t="shared" si="1"/>
        <v>1470.7139999999999</v>
      </c>
      <c r="H21" s="139">
        <f>+FACTURA!AL21-INGENIERIA!I21</f>
        <v>0</v>
      </c>
      <c r="I21" s="139">
        <v>0</v>
      </c>
      <c r="J21" s="139">
        <f t="shared" si="2"/>
        <v>1470.7139999999999</v>
      </c>
      <c r="K21" s="139">
        <f t="shared" si="3"/>
        <v>13236.425999999999</v>
      </c>
      <c r="M21" t="str">
        <f t="shared" si="4"/>
        <v>SI</v>
      </c>
      <c r="N21" s="111" t="s">
        <v>130</v>
      </c>
      <c r="O21" s="110" t="s">
        <v>131</v>
      </c>
    </row>
    <row r="22" spans="1:15" x14ac:dyDescent="0.2">
      <c r="A22" s="111" t="s">
        <v>132</v>
      </c>
      <c r="B22" s="110" t="s">
        <v>133</v>
      </c>
      <c r="C22" s="139">
        <f>+FACTURA!D22</f>
        <v>1334.09</v>
      </c>
      <c r="D22" s="139">
        <v>0</v>
      </c>
      <c r="E22" s="139">
        <f t="shared" si="0"/>
        <v>1334.09</v>
      </c>
      <c r="F22" s="139">
        <f>+[1]FACTURA!AH23</f>
        <v>0</v>
      </c>
      <c r="G22" s="139">
        <f t="shared" si="1"/>
        <v>133.40899999999999</v>
      </c>
      <c r="H22" s="139">
        <f>+FACTURA!AL22-INGENIERIA!I22</f>
        <v>0</v>
      </c>
      <c r="I22" s="139">
        <v>0</v>
      </c>
      <c r="J22" s="139">
        <f t="shared" si="2"/>
        <v>133.40899999999999</v>
      </c>
      <c r="K22" s="139">
        <f t="shared" si="3"/>
        <v>1200.681</v>
      </c>
      <c r="M22" t="str">
        <f t="shared" si="4"/>
        <v>SI</v>
      </c>
      <c r="N22" s="111" t="s">
        <v>132</v>
      </c>
      <c r="O22" s="110" t="s">
        <v>133</v>
      </c>
    </row>
    <row r="23" spans="1:15" x14ac:dyDescent="0.2">
      <c r="A23" s="111" t="s">
        <v>134</v>
      </c>
      <c r="B23" s="110" t="s">
        <v>135</v>
      </c>
      <c r="C23" s="139">
        <f>+FACTURA!D23</f>
        <v>8475.32</v>
      </c>
      <c r="D23" s="139">
        <v>0</v>
      </c>
      <c r="E23" s="139">
        <f t="shared" si="0"/>
        <v>8475.32</v>
      </c>
      <c r="F23" s="139">
        <f>+[1]FACTURA!AH24</f>
        <v>0</v>
      </c>
      <c r="G23" s="139">
        <f t="shared" si="1"/>
        <v>847.53200000000004</v>
      </c>
      <c r="H23" s="139">
        <f>+FACTURA!AL23-INGENIERIA!I23</f>
        <v>0</v>
      </c>
      <c r="I23" s="139">
        <v>0</v>
      </c>
      <c r="J23" s="139">
        <f t="shared" si="2"/>
        <v>847.53200000000004</v>
      </c>
      <c r="K23" s="139">
        <f t="shared" si="3"/>
        <v>7627.7879999999996</v>
      </c>
      <c r="M23" t="str">
        <f t="shared" si="4"/>
        <v>SI</v>
      </c>
      <c r="N23" s="111" t="s">
        <v>134</v>
      </c>
      <c r="O23" s="110" t="s">
        <v>135</v>
      </c>
    </row>
    <row r="24" spans="1:15" x14ac:dyDescent="0.2">
      <c r="A24" s="111" t="s">
        <v>136</v>
      </c>
      <c r="B24" s="110" t="s">
        <v>137</v>
      </c>
      <c r="C24" s="139">
        <f>+FACTURA!D24</f>
        <v>2200.12</v>
      </c>
      <c r="D24" s="139">
        <v>0</v>
      </c>
      <c r="E24" s="139">
        <f t="shared" si="0"/>
        <v>2200.12</v>
      </c>
      <c r="F24" s="139">
        <f>+[1]FACTURA!AH25</f>
        <v>0</v>
      </c>
      <c r="G24" s="139">
        <f t="shared" si="1"/>
        <v>220.012</v>
      </c>
      <c r="H24" s="139">
        <f>+FACTURA!AL24-INGENIERIA!I24</f>
        <v>0</v>
      </c>
      <c r="I24" s="139">
        <v>0</v>
      </c>
      <c r="J24" s="139">
        <f t="shared" si="2"/>
        <v>220.012</v>
      </c>
      <c r="K24" s="139">
        <f t="shared" si="3"/>
        <v>1980.1079999999999</v>
      </c>
      <c r="M24" t="str">
        <f t="shared" si="4"/>
        <v>SI</v>
      </c>
      <c r="N24" s="111" t="s">
        <v>136</v>
      </c>
      <c r="O24" s="110" t="s">
        <v>137</v>
      </c>
    </row>
    <row r="25" spans="1:15" x14ac:dyDescent="0.2">
      <c r="A25" s="111" t="s">
        <v>138</v>
      </c>
      <c r="B25" s="110" t="s">
        <v>139</v>
      </c>
      <c r="C25" s="139">
        <f>+FACTURA!D25</f>
        <v>4068.03</v>
      </c>
      <c r="D25" s="139">
        <v>0</v>
      </c>
      <c r="E25" s="139">
        <f t="shared" si="0"/>
        <v>4068.03</v>
      </c>
      <c r="F25" s="139">
        <f>+[1]FACTURA!AH26</f>
        <v>0</v>
      </c>
      <c r="G25" s="139">
        <f t="shared" si="1"/>
        <v>406.80300000000005</v>
      </c>
      <c r="H25" s="139">
        <f>+FACTURA!AL25-INGENIERIA!I25</f>
        <v>0</v>
      </c>
      <c r="I25" s="139">
        <v>0</v>
      </c>
      <c r="J25" s="139">
        <f t="shared" si="2"/>
        <v>406.80300000000005</v>
      </c>
      <c r="K25" s="139">
        <f t="shared" si="3"/>
        <v>3661.2270000000003</v>
      </c>
      <c r="M25" t="str">
        <f t="shared" si="4"/>
        <v>SI</v>
      </c>
      <c r="N25" s="111" t="s">
        <v>138</v>
      </c>
      <c r="O25" s="110" t="s">
        <v>139</v>
      </c>
    </row>
    <row r="26" spans="1:15" x14ac:dyDescent="0.2">
      <c r="A26" s="111" t="s">
        <v>140</v>
      </c>
      <c r="B26" s="110" t="s">
        <v>141</v>
      </c>
      <c r="C26" s="139">
        <f>+FACTURA!D26</f>
        <v>3003.98</v>
      </c>
      <c r="D26" s="139">
        <v>0</v>
      </c>
      <c r="E26" s="139">
        <f t="shared" si="0"/>
        <v>3003.98</v>
      </c>
      <c r="F26" s="139">
        <f>+[1]FACTURA!AH27</f>
        <v>0</v>
      </c>
      <c r="G26" s="139">
        <f t="shared" si="1"/>
        <v>300.39800000000002</v>
      </c>
      <c r="H26" s="139">
        <f>+FACTURA!AL26-INGENIERIA!I26</f>
        <v>0</v>
      </c>
      <c r="I26" s="139">
        <v>0</v>
      </c>
      <c r="J26" s="139">
        <f t="shared" si="2"/>
        <v>300.39800000000002</v>
      </c>
      <c r="K26" s="139">
        <f t="shared" si="3"/>
        <v>2703.5819999999999</v>
      </c>
      <c r="M26" t="str">
        <f t="shared" si="4"/>
        <v>SI</v>
      </c>
      <c r="N26" s="111" t="s">
        <v>140</v>
      </c>
      <c r="O26" s="110" t="s">
        <v>141</v>
      </c>
    </row>
    <row r="27" spans="1:15" x14ac:dyDescent="0.2">
      <c r="A27" s="111" t="s">
        <v>142</v>
      </c>
      <c r="B27" s="110" t="s">
        <v>143</v>
      </c>
      <c r="C27" s="139">
        <f>+FACTURA!D27</f>
        <v>191.75</v>
      </c>
      <c r="D27" s="139">
        <v>0</v>
      </c>
      <c r="E27" s="139">
        <f t="shared" si="0"/>
        <v>191.75</v>
      </c>
      <c r="F27" s="139">
        <f>+[1]FACTURA!AH28</f>
        <v>0</v>
      </c>
      <c r="G27" s="139">
        <f t="shared" si="1"/>
        <v>19.175000000000001</v>
      </c>
      <c r="H27" s="139">
        <f>+FACTURA!AL27-INGENIERIA!I27</f>
        <v>0</v>
      </c>
      <c r="I27" s="139">
        <v>0</v>
      </c>
      <c r="J27" s="139">
        <f t="shared" si="2"/>
        <v>19.175000000000001</v>
      </c>
      <c r="K27" s="139">
        <f t="shared" si="3"/>
        <v>172.57499999999999</v>
      </c>
      <c r="M27" t="str">
        <f t="shared" si="4"/>
        <v>SI</v>
      </c>
      <c r="N27" s="111" t="s">
        <v>142</v>
      </c>
      <c r="O27" s="110" t="s">
        <v>143</v>
      </c>
    </row>
    <row r="28" spans="1:15" x14ac:dyDescent="0.2">
      <c r="A28" s="111" t="s">
        <v>144</v>
      </c>
      <c r="B28" s="110" t="s">
        <v>145</v>
      </c>
      <c r="C28" s="139">
        <f>+FACTURA!D28</f>
        <v>10686.74</v>
      </c>
      <c r="D28" s="139">
        <v>0</v>
      </c>
      <c r="E28" s="139">
        <f t="shared" si="0"/>
        <v>10686.74</v>
      </c>
      <c r="F28" s="139">
        <f>+[1]FACTURA!AH29</f>
        <v>0</v>
      </c>
      <c r="G28" s="139">
        <f t="shared" si="1"/>
        <v>1068.674</v>
      </c>
      <c r="H28" s="139">
        <f>+FACTURA!AL28-INGENIERIA!I28</f>
        <v>0</v>
      </c>
      <c r="I28" s="139">
        <v>0</v>
      </c>
      <c r="J28" s="139">
        <f t="shared" si="2"/>
        <v>1068.674</v>
      </c>
      <c r="K28" s="139">
        <f t="shared" si="3"/>
        <v>9618.0659999999989</v>
      </c>
      <c r="M28" t="str">
        <f t="shared" si="4"/>
        <v>SI</v>
      </c>
      <c r="N28" s="111" t="s">
        <v>144</v>
      </c>
      <c r="O28" s="110" t="s">
        <v>145</v>
      </c>
    </row>
    <row r="29" spans="1:15" x14ac:dyDescent="0.2">
      <c r="A29" s="111" t="s">
        <v>146</v>
      </c>
      <c r="B29" s="110" t="s">
        <v>147</v>
      </c>
      <c r="C29" s="139">
        <f>+FACTURA!D29</f>
        <v>0</v>
      </c>
      <c r="D29" s="139">
        <v>0</v>
      </c>
      <c r="E29" s="139">
        <f t="shared" si="0"/>
        <v>0</v>
      </c>
      <c r="F29" s="139">
        <f>+[1]FACTURA!AH30</f>
        <v>0</v>
      </c>
      <c r="G29" s="139">
        <f t="shared" si="1"/>
        <v>0</v>
      </c>
      <c r="H29" s="139">
        <f>+FACTURA!AL29-INGENIERIA!I29</f>
        <v>0</v>
      </c>
      <c r="I29" s="139">
        <v>0</v>
      </c>
      <c r="J29" s="139">
        <f t="shared" si="2"/>
        <v>0</v>
      </c>
      <c r="K29" s="139">
        <f t="shared" si="3"/>
        <v>0</v>
      </c>
      <c r="M29" t="str">
        <f t="shared" si="4"/>
        <v>SI</v>
      </c>
      <c r="N29" s="111" t="s">
        <v>146</v>
      </c>
      <c r="O29" s="110" t="s">
        <v>147</v>
      </c>
    </row>
    <row r="30" spans="1:15" x14ac:dyDescent="0.2">
      <c r="A30" s="111" t="s">
        <v>148</v>
      </c>
      <c r="B30" s="110" t="s">
        <v>149</v>
      </c>
      <c r="C30" s="139">
        <f>+FACTURA!D30</f>
        <v>1460.94</v>
      </c>
      <c r="D30" s="139">
        <v>0</v>
      </c>
      <c r="E30" s="139">
        <f t="shared" si="0"/>
        <v>1460.94</v>
      </c>
      <c r="F30" s="139">
        <f>+[1]FACTURA!AH31</f>
        <v>0</v>
      </c>
      <c r="G30" s="139">
        <f t="shared" si="1"/>
        <v>146.09400000000002</v>
      </c>
      <c r="H30" s="139">
        <f>+FACTURA!AL30-INGENIERIA!I30</f>
        <v>0</v>
      </c>
      <c r="I30" s="139">
        <v>0</v>
      </c>
      <c r="J30" s="139">
        <f t="shared" si="2"/>
        <v>146.09400000000002</v>
      </c>
      <c r="K30" s="139">
        <f t="shared" si="3"/>
        <v>1314.846</v>
      </c>
      <c r="M30" t="str">
        <f t="shared" si="4"/>
        <v>SI</v>
      </c>
      <c r="N30" s="111" t="s">
        <v>148</v>
      </c>
      <c r="O30" s="110" t="s">
        <v>149</v>
      </c>
    </row>
    <row r="31" spans="1:15" x14ac:dyDescent="0.2">
      <c r="A31" s="111" t="s">
        <v>150</v>
      </c>
      <c r="B31" s="110" t="s">
        <v>151</v>
      </c>
      <c r="C31" s="139">
        <f>+FACTURA!D31</f>
        <v>3158.56</v>
      </c>
      <c r="D31" s="139">
        <v>0</v>
      </c>
      <c r="E31" s="139">
        <f t="shared" si="0"/>
        <v>3158.56</v>
      </c>
      <c r="F31" s="139">
        <f>+[1]FACTURA!AH32</f>
        <v>0</v>
      </c>
      <c r="G31" s="139">
        <f t="shared" si="1"/>
        <v>315.85599999999999</v>
      </c>
      <c r="H31" s="139">
        <f>+FACTURA!AL31-INGENIERIA!I31</f>
        <v>0</v>
      </c>
      <c r="I31" s="139">
        <v>0</v>
      </c>
      <c r="J31" s="139">
        <f t="shared" si="2"/>
        <v>315.85599999999999</v>
      </c>
      <c r="K31" s="139">
        <f t="shared" si="3"/>
        <v>2842.7039999999997</v>
      </c>
      <c r="M31" t="str">
        <f t="shared" si="4"/>
        <v>SI</v>
      </c>
      <c r="N31" s="111" t="s">
        <v>150</v>
      </c>
      <c r="O31" s="110" t="s">
        <v>151</v>
      </c>
    </row>
    <row r="32" spans="1:15" x14ac:dyDescent="0.2">
      <c r="A32" s="111" t="s">
        <v>152</v>
      </c>
      <c r="B32" s="110" t="s">
        <v>153</v>
      </c>
      <c r="C32" s="139">
        <f>+FACTURA!D32</f>
        <v>1629.88</v>
      </c>
      <c r="D32" s="139">
        <v>0</v>
      </c>
      <c r="E32" s="139">
        <f t="shared" si="0"/>
        <v>1629.88</v>
      </c>
      <c r="F32" s="139">
        <f>+[1]FACTURA!AH33</f>
        <v>0</v>
      </c>
      <c r="G32" s="139">
        <f t="shared" si="1"/>
        <v>162.98800000000003</v>
      </c>
      <c r="H32" s="139">
        <f>+FACTURA!AL32-INGENIERIA!I32</f>
        <v>0</v>
      </c>
      <c r="I32" s="139">
        <v>0</v>
      </c>
      <c r="J32" s="139">
        <f t="shared" si="2"/>
        <v>162.98800000000003</v>
      </c>
      <c r="K32" s="139">
        <f t="shared" si="3"/>
        <v>1466.8920000000001</v>
      </c>
      <c r="M32" t="str">
        <f t="shared" si="4"/>
        <v>SI</v>
      </c>
      <c r="N32" s="111" t="s">
        <v>152</v>
      </c>
      <c r="O32" s="110" t="s">
        <v>153</v>
      </c>
    </row>
    <row r="33" spans="1:15" x14ac:dyDescent="0.2">
      <c r="A33" s="111" t="s">
        <v>154</v>
      </c>
      <c r="B33" s="110" t="s">
        <v>155</v>
      </c>
      <c r="C33" s="139">
        <f>+FACTURA!D33</f>
        <v>10439.5</v>
      </c>
      <c r="D33" s="139">
        <v>0</v>
      </c>
      <c r="E33" s="139">
        <f t="shared" si="0"/>
        <v>10439.5</v>
      </c>
      <c r="F33" s="139">
        <f>+[1]FACTURA!AH34</f>
        <v>0</v>
      </c>
      <c r="G33" s="139">
        <f t="shared" si="1"/>
        <v>1043.95</v>
      </c>
      <c r="H33" s="139">
        <f>+FACTURA!AL33-INGENIERIA!I33</f>
        <v>0</v>
      </c>
      <c r="I33" s="139">
        <v>0</v>
      </c>
      <c r="J33" s="139">
        <f t="shared" si="2"/>
        <v>1043.95</v>
      </c>
      <c r="K33" s="139">
        <f t="shared" si="3"/>
        <v>9395.5499999999993</v>
      </c>
      <c r="M33" t="str">
        <f t="shared" si="4"/>
        <v>SI</v>
      </c>
      <c r="N33" s="111" t="s">
        <v>154</v>
      </c>
      <c r="O33" s="110" t="s">
        <v>155</v>
      </c>
    </row>
    <row r="34" spans="1:15" x14ac:dyDescent="0.2">
      <c r="A34" s="111" t="s">
        <v>156</v>
      </c>
      <c r="B34" s="110" t="s">
        <v>157</v>
      </c>
      <c r="C34" s="139">
        <f>+FACTURA!D34</f>
        <v>14576.91</v>
      </c>
      <c r="D34" s="139">
        <v>0</v>
      </c>
      <c r="E34" s="139">
        <f t="shared" si="0"/>
        <v>14576.91</v>
      </c>
      <c r="F34" s="139">
        <f>+[1]FACTURA!AH35</f>
        <v>0</v>
      </c>
      <c r="G34" s="139">
        <f t="shared" si="1"/>
        <v>1457.691</v>
      </c>
      <c r="H34" s="139">
        <f>+FACTURA!AL34-INGENIERIA!I34</f>
        <v>0</v>
      </c>
      <c r="I34" s="139">
        <v>0</v>
      </c>
      <c r="J34" s="139">
        <f t="shared" si="2"/>
        <v>1457.691</v>
      </c>
      <c r="K34" s="139">
        <f t="shared" si="3"/>
        <v>13119.218999999999</v>
      </c>
      <c r="M34" t="str">
        <f t="shared" si="4"/>
        <v>SI</v>
      </c>
      <c r="N34" s="111" t="s">
        <v>156</v>
      </c>
      <c r="O34" s="110" t="s">
        <v>157</v>
      </c>
    </row>
    <row r="35" spans="1:15" x14ac:dyDescent="0.2">
      <c r="A35" s="111" t="s">
        <v>158</v>
      </c>
      <c r="B35" s="110" t="s">
        <v>159</v>
      </c>
      <c r="C35" s="139">
        <f>+FACTURA!D35</f>
        <v>0</v>
      </c>
      <c r="D35" s="139">
        <v>0</v>
      </c>
      <c r="E35" s="139">
        <f t="shared" si="0"/>
        <v>0</v>
      </c>
      <c r="F35" s="139">
        <f>+[1]FACTURA!AH36</f>
        <v>0</v>
      </c>
      <c r="G35" s="139">
        <f t="shared" si="1"/>
        <v>0</v>
      </c>
      <c r="H35" s="139">
        <f>+FACTURA!AL35-INGENIERIA!I35</f>
        <v>0</v>
      </c>
      <c r="I35" s="139">
        <v>0</v>
      </c>
      <c r="J35" s="139">
        <f t="shared" si="2"/>
        <v>0</v>
      </c>
      <c r="K35" s="139">
        <f t="shared" si="3"/>
        <v>0</v>
      </c>
      <c r="M35" t="str">
        <f t="shared" si="4"/>
        <v>SI</v>
      </c>
      <c r="N35" s="111" t="s">
        <v>158</v>
      </c>
      <c r="O35" s="110" t="s">
        <v>159</v>
      </c>
    </row>
    <row r="36" spans="1:15" x14ac:dyDescent="0.2">
      <c r="A36" s="111" t="s">
        <v>160</v>
      </c>
      <c r="B36" s="110" t="s">
        <v>161</v>
      </c>
      <c r="C36" s="139">
        <f>+FACTURA!D36</f>
        <v>816.44</v>
      </c>
      <c r="D36" s="139">
        <v>0</v>
      </c>
      <c r="E36" s="139">
        <f t="shared" si="0"/>
        <v>816.44</v>
      </c>
      <c r="F36" s="139">
        <f>+[1]FACTURA!AH37</f>
        <v>0</v>
      </c>
      <c r="G36" s="139">
        <f t="shared" si="1"/>
        <v>81.644000000000005</v>
      </c>
      <c r="H36" s="139">
        <f>+FACTURA!AL36-INGENIERIA!I36</f>
        <v>0</v>
      </c>
      <c r="I36" s="139">
        <v>0</v>
      </c>
      <c r="J36" s="139">
        <f t="shared" si="2"/>
        <v>81.644000000000005</v>
      </c>
      <c r="K36" s="139">
        <f t="shared" si="3"/>
        <v>734.79600000000005</v>
      </c>
      <c r="M36" t="str">
        <f t="shared" si="4"/>
        <v>SI</v>
      </c>
      <c r="N36" s="111" t="s">
        <v>160</v>
      </c>
      <c r="O36" s="110" t="s">
        <v>161</v>
      </c>
    </row>
    <row r="37" spans="1:15" x14ac:dyDescent="0.2">
      <c r="A37" s="111" t="s">
        <v>162</v>
      </c>
      <c r="B37" s="110" t="s">
        <v>163</v>
      </c>
      <c r="C37" s="139">
        <f>+FACTURA!D37</f>
        <v>0</v>
      </c>
      <c r="D37" s="139">
        <v>0</v>
      </c>
      <c r="E37" s="139">
        <f t="shared" si="0"/>
        <v>0</v>
      </c>
      <c r="F37" s="139">
        <f>+[1]FACTURA!AH38</f>
        <v>0</v>
      </c>
      <c r="G37" s="139">
        <f t="shared" si="1"/>
        <v>0</v>
      </c>
      <c r="H37" s="139">
        <f>+FACTURA!AL37-INGENIERIA!I37</f>
        <v>0</v>
      </c>
      <c r="I37" s="139">
        <v>0</v>
      </c>
      <c r="J37" s="139">
        <f t="shared" si="2"/>
        <v>0</v>
      </c>
      <c r="K37" s="139">
        <f t="shared" si="3"/>
        <v>0</v>
      </c>
      <c r="M37" t="str">
        <f t="shared" si="4"/>
        <v>SI</v>
      </c>
      <c r="N37" s="111" t="s">
        <v>162</v>
      </c>
      <c r="O37" s="110" t="s">
        <v>163</v>
      </c>
    </row>
    <row r="38" spans="1:15" x14ac:dyDescent="0.2">
      <c r="A38" s="111" t="s">
        <v>164</v>
      </c>
      <c r="B38" s="110" t="s">
        <v>165</v>
      </c>
      <c r="C38" s="139">
        <f>+FACTURA!D38</f>
        <v>725.21</v>
      </c>
      <c r="D38" s="139">
        <v>0</v>
      </c>
      <c r="E38" s="139">
        <f t="shared" si="0"/>
        <v>725.21</v>
      </c>
      <c r="F38" s="139">
        <f>+[1]FACTURA!AH39</f>
        <v>0</v>
      </c>
      <c r="G38" s="139">
        <f t="shared" si="1"/>
        <v>72.521000000000001</v>
      </c>
      <c r="H38" s="139">
        <f>+FACTURA!AL38-INGENIERIA!I38</f>
        <v>0</v>
      </c>
      <c r="I38" s="139">
        <v>0</v>
      </c>
      <c r="J38" s="139">
        <f t="shared" si="2"/>
        <v>72.521000000000001</v>
      </c>
      <c r="K38" s="139">
        <f t="shared" si="3"/>
        <v>652.68900000000008</v>
      </c>
      <c r="M38" t="str">
        <f t="shared" si="4"/>
        <v>SI</v>
      </c>
      <c r="N38" s="111" t="s">
        <v>164</v>
      </c>
      <c r="O38" s="110" t="s">
        <v>165</v>
      </c>
    </row>
    <row r="39" spans="1:15" x14ac:dyDescent="0.2">
      <c r="A39" s="111" t="s">
        <v>166</v>
      </c>
      <c r="B39" s="110" t="s">
        <v>167</v>
      </c>
      <c r="C39" s="139">
        <f>+FACTURA!D39</f>
        <v>8651.17</v>
      </c>
      <c r="D39" s="139">
        <v>0</v>
      </c>
      <c r="E39" s="139">
        <f t="shared" si="0"/>
        <v>8651.17</v>
      </c>
      <c r="F39" s="139">
        <f>+[1]FACTURA!AH40</f>
        <v>0</v>
      </c>
      <c r="G39" s="139">
        <f t="shared" si="1"/>
        <v>865.11700000000008</v>
      </c>
      <c r="H39" s="139">
        <f>+FACTURA!AL39-INGENIERIA!I39</f>
        <v>0</v>
      </c>
      <c r="I39" s="139">
        <v>0</v>
      </c>
      <c r="J39" s="139">
        <f t="shared" si="2"/>
        <v>865.11700000000008</v>
      </c>
      <c r="K39" s="139">
        <f t="shared" si="3"/>
        <v>7786.0529999999999</v>
      </c>
      <c r="M39" t="str">
        <f t="shared" si="4"/>
        <v>SI</v>
      </c>
      <c r="N39" s="111" t="s">
        <v>166</v>
      </c>
      <c r="O39" s="110" t="s">
        <v>167</v>
      </c>
    </row>
    <row r="40" spans="1:15" x14ac:dyDescent="0.2">
      <c r="A40" s="111" t="s">
        <v>168</v>
      </c>
      <c r="B40" s="110" t="s">
        <v>169</v>
      </c>
      <c r="C40" s="139">
        <f>+FACTURA!D40</f>
        <v>5196.68</v>
      </c>
      <c r="D40" s="139">
        <v>0</v>
      </c>
      <c r="E40" s="139">
        <f t="shared" si="0"/>
        <v>5196.68</v>
      </c>
      <c r="F40" s="139">
        <f>+[1]FACTURA!AH41</f>
        <v>0</v>
      </c>
      <c r="G40" s="139">
        <f t="shared" si="1"/>
        <v>519.66800000000001</v>
      </c>
      <c r="H40" s="139">
        <f>+FACTURA!AL40-INGENIERIA!I40</f>
        <v>1677</v>
      </c>
      <c r="I40" s="139">
        <v>0</v>
      </c>
      <c r="J40" s="139">
        <f t="shared" si="2"/>
        <v>2196.6680000000001</v>
      </c>
      <c r="K40" s="139">
        <f t="shared" si="3"/>
        <v>3000.0120000000002</v>
      </c>
      <c r="M40" t="str">
        <f t="shared" si="4"/>
        <v>SI</v>
      </c>
      <c r="N40" s="111" t="s">
        <v>168</v>
      </c>
      <c r="O40" s="110" t="s">
        <v>169</v>
      </c>
    </row>
    <row r="41" spans="1:15" x14ac:dyDescent="0.2">
      <c r="A41" s="111" t="s">
        <v>170</v>
      </c>
      <c r="B41" s="110" t="s">
        <v>171</v>
      </c>
      <c r="C41" s="139">
        <f>+FACTURA!D41</f>
        <v>0</v>
      </c>
      <c r="D41" s="139">
        <v>0</v>
      </c>
      <c r="E41" s="139">
        <f t="shared" si="0"/>
        <v>0</v>
      </c>
      <c r="F41" s="139">
        <f>+[1]FACTURA!AH42</f>
        <v>0</v>
      </c>
      <c r="G41" s="139">
        <f t="shared" si="1"/>
        <v>0</v>
      </c>
      <c r="H41" s="139">
        <f>+FACTURA!AL41-INGENIERIA!I41</f>
        <v>0</v>
      </c>
      <c r="I41" s="139">
        <v>0</v>
      </c>
      <c r="J41" s="139">
        <f t="shared" si="2"/>
        <v>0</v>
      </c>
      <c r="K41" s="139">
        <f t="shared" si="3"/>
        <v>0</v>
      </c>
      <c r="M41" t="str">
        <f t="shared" si="4"/>
        <v>SI</v>
      </c>
      <c r="N41" s="111" t="s">
        <v>170</v>
      </c>
      <c r="O41" s="110" t="s">
        <v>171</v>
      </c>
    </row>
    <row r="42" spans="1:15" x14ac:dyDescent="0.2">
      <c r="A42" s="111" t="s">
        <v>172</v>
      </c>
      <c r="B42" s="110" t="s">
        <v>173</v>
      </c>
      <c r="C42" s="139">
        <f>+FACTURA!D42</f>
        <v>0</v>
      </c>
      <c r="D42" s="139">
        <v>0</v>
      </c>
      <c r="E42" s="139">
        <f t="shared" si="0"/>
        <v>0</v>
      </c>
      <c r="F42" s="139">
        <f>+[1]FACTURA!AH43</f>
        <v>0</v>
      </c>
      <c r="G42" s="139">
        <f t="shared" si="1"/>
        <v>0</v>
      </c>
      <c r="H42" s="139">
        <f>+FACTURA!AL42-INGENIERIA!I42</f>
        <v>0</v>
      </c>
      <c r="I42" s="139">
        <v>0</v>
      </c>
      <c r="J42" s="139">
        <f t="shared" si="2"/>
        <v>0</v>
      </c>
      <c r="K42" s="139">
        <f t="shared" si="3"/>
        <v>0</v>
      </c>
      <c r="M42" t="str">
        <f t="shared" si="4"/>
        <v>SI</v>
      </c>
      <c r="N42" s="111" t="s">
        <v>172</v>
      </c>
      <c r="O42" s="110" t="s">
        <v>173</v>
      </c>
    </row>
    <row r="43" spans="1:15" x14ac:dyDescent="0.2">
      <c r="A43" s="148"/>
      <c r="B43" s="133"/>
      <c r="C43" s="133"/>
      <c r="D43" s="133"/>
      <c r="E43" s="133"/>
      <c r="F43" s="133"/>
      <c r="G43" s="133"/>
      <c r="H43" s="133"/>
      <c r="I43" s="133"/>
      <c r="J43" s="133"/>
      <c r="K43" s="133"/>
    </row>
    <row r="44" spans="1:15" x14ac:dyDescent="0.2">
      <c r="A44" s="156"/>
      <c r="B44" s="141"/>
      <c r="C44" s="141" t="s">
        <v>202</v>
      </c>
      <c r="D44" s="141" t="s">
        <v>202</v>
      </c>
      <c r="E44" s="141" t="s">
        <v>202</v>
      </c>
      <c r="F44" s="141" t="s">
        <v>202</v>
      </c>
      <c r="G44" s="141" t="s">
        <v>202</v>
      </c>
      <c r="H44" s="141" t="s">
        <v>202</v>
      </c>
      <c r="I44" s="141" t="s">
        <v>202</v>
      </c>
      <c r="J44" s="141" t="s">
        <v>202</v>
      </c>
      <c r="K44" s="141" t="s">
        <v>202</v>
      </c>
    </row>
    <row r="45" spans="1:15" x14ac:dyDescent="0.2">
      <c r="A45" s="157" t="s">
        <v>203</v>
      </c>
      <c r="B45" s="133" t="s">
        <v>182</v>
      </c>
      <c r="C45" s="140">
        <f>SUM(C13:C44)</f>
        <v>118559.62000000002</v>
      </c>
      <c r="D45" s="140">
        <f t="shared" ref="D45:K45" si="5">SUM(D13:D44)</f>
        <v>0</v>
      </c>
      <c r="E45" s="140">
        <f t="shared" si="5"/>
        <v>118559.62000000002</v>
      </c>
      <c r="F45" s="140">
        <f t="shared" si="5"/>
        <v>0</v>
      </c>
      <c r="G45" s="140">
        <f t="shared" si="5"/>
        <v>11855.962000000001</v>
      </c>
      <c r="H45" s="140">
        <f t="shared" si="5"/>
        <v>3246.09</v>
      </c>
      <c r="I45" s="140">
        <f t="shared" si="5"/>
        <v>0</v>
      </c>
      <c r="J45" s="140">
        <f t="shared" si="5"/>
        <v>15102.052</v>
      </c>
      <c r="K45" s="140">
        <f t="shared" si="5"/>
        <v>103457.568</v>
      </c>
    </row>
    <row r="46" spans="1:15" x14ac:dyDescent="0.2">
      <c r="A46" s="148"/>
      <c r="B46" s="133"/>
      <c r="C46" s="133">
        <v>0</v>
      </c>
      <c r="D46" s="133"/>
      <c r="E46" s="133"/>
      <c r="F46" s="133"/>
      <c r="G46" s="133"/>
      <c r="H46" s="133"/>
      <c r="I46" s="133"/>
      <c r="J46" s="133"/>
      <c r="K46" s="133"/>
    </row>
    <row r="47" spans="1:15" x14ac:dyDescent="0.2">
      <c r="K47" s="158"/>
    </row>
    <row r="51" spans="7:8" x14ac:dyDescent="0.2">
      <c r="G51" s="1"/>
      <c r="H51" s="1"/>
    </row>
    <row r="52" spans="7:8" x14ac:dyDescent="0.2">
      <c r="G52" s="1"/>
      <c r="H52" s="1"/>
    </row>
    <row r="53" spans="7:8" x14ac:dyDescent="0.2">
      <c r="G53" s="1"/>
      <c r="H53" s="1"/>
    </row>
    <row r="54" spans="7:8" x14ac:dyDescent="0.2">
      <c r="G54" s="1"/>
      <c r="H54" s="1"/>
    </row>
    <row r="55" spans="7:8" x14ac:dyDescent="0.2">
      <c r="G55" s="1"/>
      <c r="H55" s="1"/>
    </row>
    <row r="56" spans="7:8" x14ac:dyDescent="0.2">
      <c r="G56" s="1"/>
      <c r="H56" s="1"/>
    </row>
    <row r="57" spans="7:8" x14ac:dyDescent="0.2">
      <c r="G57" s="1"/>
      <c r="H57" s="1"/>
    </row>
  </sheetData>
  <mergeCells count="3">
    <mergeCell ref="B1:D1"/>
    <mergeCell ref="B3:D3"/>
    <mergeCell ref="B4:D4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2"/>
  <sheetViews>
    <sheetView workbookViewId="0">
      <selection activeCell="E29" sqref="E29"/>
    </sheetView>
  </sheetViews>
  <sheetFormatPr baseColWidth="10" defaultRowHeight="12.75" x14ac:dyDescent="0.2"/>
  <cols>
    <col min="1" max="1" width="33" bestFit="1" customWidth="1"/>
  </cols>
  <sheetData>
    <row r="1" spans="1:7" x14ac:dyDescent="0.2">
      <c r="A1" s="196" t="s">
        <v>219</v>
      </c>
      <c r="B1" s="197" t="s">
        <v>220</v>
      </c>
      <c r="C1" s="197"/>
      <c r="D1" s="198" t="s">
        <v>211</v>
      </c>
      <c r="E1" s="197" t="s">
        <v>221</v>
      </c>
      <c r="F1" s="197"/>
      <c r="G1" s="198" t="s">
        <v>90</v>
      </c>
    </row>
    <row r="2" spans="1:7" x14ac:dyDescent="0.2">
      <c r="A2" s="196"/>
      <c r="B2" s="159" t="s">
        <v>222</v>
      </c>
      <c r="C2" s="159" t="s">
        <v>32</v>
      </c>
      <c r="D2" s="198"/>
      <c r="E2" s="159" t="s">
        <v>222</v>
      </c>
      <c r="F2" s="159" t="s">
        <v>32</v>
      </c>
      <c r="G2" s="198"/>
    </row>
    <row r="3" spans="1:7" x14ac:dyDescent="0.2">
      <c r="A3" s="160" t="str">
        <f>INGENIERIA!B13</f>
        <v>Alfaro Quezada Pablo Francisco</v>
      </c>
      <c r="B3" s="161">
        <f>INGENIERIA!L13</f>
        <v>1019.6</v>
      </c>
      <c r="C3" s="161">
        <f>SINDICATO!K13</f>
        <v>0</v>
      </c>
      <c r="D3" s="161">
        <f>B3+C3</f>
        <v>1019.6</v>
      </c>
      <c r="E3" s="161"/>
      <c r="F3" s="161"/>
      <c r="G3" s="161">
        <f>E3+F3-D3</f>
        <v>-1019.6</v>
      </c>
    </row>
    <row r="4" spans="1:7" x14ac:dyDescent="0.2">
      <c r="A4" s="160" t="str">
        <f>INGENIERIA!B14</f>
        <v>Andrade Rodriguez Miguel Angel</v>
      </c>
      <c r="B4" s="161">
        <f>INGENIERIA!L14</f>
        <v>1019.6</v>
      </c>
      <c r="C4" s="161">
        <f>SINDICATO!K14</f>
        <v>10746.819</v>
      </c>
      <c r="D4" s="161">
        <f t="shared" ref="D4:D32" si="0">B4+C4</f>
        <v>11766.419</v>
      </c>
      <c r="E4" s="161">
        <v>1019.6</v>
      </c>
      <c r="F4" s="161">
        <v>10746.82</v>
      </c>
      <c r="G4" s="161">
        <f t="shared" ref="G4:G32" si="1">E4+F4-D4</f>
        <v>1.0000000002037268E-3</v>
      </c>
    </row>
    <row r="5" spans="1:7" x14ac:dyDescent="0.2">
      <c r="A5" s="160" t="str">
        <f>INGENIERIA!B15</f>
        <v>Arellano Alvarez Javier</v>
      </c>
      <c r="B5" s="161">
        <f>INGENIERIA!L15</f>
        <v>1019.6</v>
      </c>
      <c r="C5" s="161">
        <f>SINDICATO!K15</f>
        <v>6000</v>
      </c>
      <c r="D5" s="161">
        <f t="shared" si="0"/>
        <v>7019.6</v>
      </c>
      <c r="E5" s="161">
        <v>1019.6</v>
      </c>
      <c r="F5" s="161">
        <v>6000</v>
      </c>
      <c r="G5" s="161">
        <f t="shared" si="1"/>
        <v>0</v>
      </c>
    </row>
    <row r="6" spans="1:7" x14ac:dyDescent="0.2">
      <c r="A6" s="160" t="str">
        <f>INGENIERIA!B16</f>
        <v>Becerra Jimenez Alejandro Bonifacio</v>
      </c>
      <c r="B6" s="161">
        <f>INGENIERIA!L16</f>
        <v>1560.8</v>
      </c>
      <c r="C6" s="161">
        <f>SINDICATO!K16</f>
        <v>0</v>
      </c>
      <c r="D6" s="161">
        <f t="shared" si="0"/>
        <v>1560.8</v>
      </c>
      <c r="E6" s="161">
        <v>1560.8</v>
      </c>
      <c r="F6" s="161"/>
      <c r="G6" s="161">
        <f t="shared" si="1"/>
        <v>0</v>
      </c>
    </row>
    <row r="7" spans="1:7" x14ac:dyDescent="0.2">
      <c r="A7" s="160" t="str">
        <f>INGENIERIA!B17</f>
        <v>Blanco Amezquita Cecilia</v>
      </c>
      <c r="B7" s="161">
        <f>INGENIERIA!L17</f>
        <v>519.79999999999995</v>
      </c>
      <c r="C7" s="161">
        <f>SINDICATO!K17</f>
        <v>0</v>
      </c>
      <c r="D7" s="161">
        <f t="shared" si="0"/>
        <v>519.79999999999995</v>
      </c>
      <c r="E7" s="161">
        <v>519.79999999999995</v>
      </c>
      <c r="F7" s="161"/>
      <c r="G7" s="161">
        <f t="shared" si="1"/>
        <v>0</v>
      </c>
    </row>
    <row r="8" spans="1:7" x14ac:dyDescent="0.2">
      <c r="A8" s="160" t="str">
        <f>INGENIERIA!B18</f>
        <v>Camarena Gamez Guillermo</v>
      </c>
      <c r="B8" s="161">
        <f>INGENIERIA!L18</f>
        <v>1019.6</v>
      </c>
      <c r="C8" s="161">
        <f>SINDICATO!K18</f>
        <v>0</v>
      </c>
      <c r="D8" s="161">
        <f t="shared" si="0"/>
        <v>1019.6</v>
      </c>
      <c r="E8" s="161">
        <v>1019.6</v>
      </c>
      <c r="F8" s="161"/>
      <c r="G8" s="161">
        <f t="shared" si="1"/>
        <v>0</v>
      </c>
    </row>
    <row r="9" spans="1:7" x14ac:dyDescent="0.2">
      <c r="A9" s="160" t="str">
        <f>INGENIERIA!B19</f>
        <v>Carranco Mancera Viridiana</v>
      </c>
      <c r="B9" s="161">
        <f>INGENIERIA!L19</f>
        <v>1019.6</v>
      </c>
      <c r="C9" s="161">
        <f>SINDICATO!K19</f>
        <v>1652.67</v>
      </c>
      <c r="D9" s="161">
        <f t="shared" si="0"/>
        <v>2672.27</v>
      </c>
      <c r="E9" s="161">
        <v>1019.6</v>
      </c>
      <c r="F9" s="161">
        <v>1652.67</v>
      </c>
      <c r="G9" s="161">
        <f t="shared" si="1"/>
        <v>0</v>
      </c>
    </row>
    <row r="10" spans="1:7" x14ac:dyDescent="0.2">
      <c r="A10" s="160" t="str">
        <f>INGENIERIA!B20</f>
        <v>Casas Villanueva Mario</v>
      </c>
      <c r="B10" s="161">
        <f>INGENIERIA!L20</f>
        <v>3795.4</v>
      </c>
      <c r="C10" s="161">
        <f>SINDICATO!K20</f>
        <v>4544.8650000000007</v>
      </c>
      <c r="D10" s="161">
        <f t="shared" si="0"/>
        <v>8340.2650000000012</v>
      </c>
      <c r="E10" s="161">
        <v>3795.4</v>
      </c>
      <c r="F10" s="161">
        <v>4544.87</v>
      </c>
      <c r="G10" s="161">
        <f t="shared" si="1"/>
        <v>4.9999999991996447E-3</v>
      </c>
    </row>
    <row r="11" spans="1:7" x14ac:dyDescent="0.2">
      <c r="A11" s="160" t="str">
        <f>INGENIERIA!B21</f>
        <v>Castro Romero Lizbeth</v>
      </c>
      <c r="B11" s="161">
        <f>INGENIERIA!L21</f>
        <v>1019.6</v>
      </c>
      <c r="C11" s="161">
        <f>SINDICATO!K21</f>
        <v>13236.425999999999</v>
      </c>
      <c r="D11" s="161">
        <f t="shared" si="0"/>
        <v>14256.026</v>
      </c>
      <c r="E11" s="161">
        <v>1019.6</v>
      </c>
      <c r="F11" s="161">
        <v>13236.43</v>
      </c>
      <c r="G11" s="161">
        <f t="shared" si="1"/>
        <v>4.0000000008149073E-3</v>
      </c>
    </row>
    <row r="12" spans="1:7" x14ac:dyDescent="0.2">
      <c r="A12" s="160" t="str">
        <f>INGENIERIA!B22</f>
        <v>Cazares Chaires Erika</v>
      </c>
      <c r="B12" s="161">
        <f>INGENIERIA!L22</f>
        <v>644</v>
      </c>
      <c r="C12" s="161">
        <f>SINDICATO!K22</f>
        <v>1200.681</v>
      </c>
      <c r="D12" s="161">
        <f t="shared" si="0"/>
        <v>1844.681</v>
      </c>
      <c r="E12" s="161">
        <v>644</v>
      </c>
      <c r="F12" s="161">
        <v>1200.68</v>
      </c>
      <c r="G12" s="161">
        <f t="shared" si="1"/>
        <v>-9.9999999997635314E-4</v>
      </c>
    </row>
    <row r="13" spans="1:7" x14ac:dyDescent="0.2">
      <c r="A13" s="160" t="str">
        <f>INGENIERIA!B23</f>
        <v>Gomez Torres Rosaura</v>
      </c>
      <c r="B13" s="161">
        <f>INGENIERIA!L23</f>
        <v>1019.6</v>
      </c>
      <c r="C13" s="161">
        <f>SINDICATO!K23</f>
        <v>7627.7879999999996</v>
      </c>
      <c r="D13" s="161">
        <f t="shared" si="0"/>
        <v>8647.387999999999</v>
      </c>
      <c r="E13" s="161">
        <v>1019.6</v>
      </c>
      <c r="F13" s="161">
        <v>7627.79</v>
      </c>
      <c r="G13" s="161">
        <f t="shared" si="1"/>
        <v>2.0000000004074536E-3</v>
      </c>
    </row>
    <row r="14" spans="1:7" x14ac:dyDescent="0.2">
      <c r="A14" s="160" t="str">
        <f>INGENIERIA!B24</f>
        <v>Gonzalez  Duarte David</v>
      </c>
      <c r="B14" s="161">
        <f>INGENIERIA!L24</f>
        <v>1019.8</v>
      </c>
      <c r="C14" s="161">
        <f>SINDICATO!K24</f>
        <v>1980.1079999999999</v>
      </c>
      <c r="D14" s="161">
        <f t="shared" si="0"/>
        <v>2999.9079999999999</v>
      </c>
      <c r="E14" s="161">
        <v>1019.8</v>
      </c>
      <c r="F14" s="161">
        <v>1980.11</v>
      </c>
      <c r="G14" s="161">
        <f t="shared" si="1"/>
        <v>1.9999999999527063E-3</v>
      </c>
    </row>
    <row r="15" spans="1:7" x14ac:dyDescent="0.2">
      <c r="A15" s="160" t="str">
        <f>INGENIERIA!B25</f>
        <v>Gonzalez Garcia Luis Roberto</v>
      </c>
      <c r="B15" s="161">
        <f>INGENIERIA!L25</f>
        <v>1019.6</v>
      </c>
      <c r="C15" s="161">
        <f>SINDICATO!K25</f>
        <v>3661.2270000000003</v>
      </c>
      <c r="D15" s="161">
        <f t="shared" si="0"/>
        <v>4680.8270000000002</v>
      </c>
      <c r="E15" s="161">
        <v>1019.6</v>
      </c>
      <c r="F15" s="161">
        <v>3661.23</v>
      </c>
      <c r="G15" s="161">
        <f t="shared" si="1"/>
        <v>2.9999999997016857E-3</v>
      </c>
    </row>
    <row r="16" spans="1:7" x14ac:dyDescent="0.2">
      <c r="A16" s="160" t="str">
        <f>INGENIERIA!B26</f>
        <v>Gutierrez Olvera Marihuri</v>
      </c>
      <c r="B16" s="161">
        <f>INGENIERIA!L26</f>
        <v>3446.2</v>
      </c>
      <c r="C16" s="161">
        <f>SINDICATO!K26</f>
        <v>2703.5819999999999</v>
      </c>
      <c r="D16" s="161">
        <f t="shared" si="0"/>
        <v>6149.7819999999992</v>
      </c>
      <c r="E16" s="161">
        <v>3446.2</v>
      </c>
      <c r="F16" s="161">
        <v>2703.58</v>
      </c>
      <c r="G16" s="161">
        <f t="shared" si="1"/>
        <v>-1.9999999994979589E-3</v>
      </c>
    </row>
    <row r="17" spans="1:7" x14ac:dyDescent="0.2">
      <c r="A17" s="160" t="str">
        <f>INGENIERIA!B27</f>
        <v>Guzman Espiller Sergio Luis Alberto</v>
      </c>
      <c r="B17" s="161">
        <f>INGENIERIA!L27</f>
        <v>1050.5999999999999</v>
      </c>
      <c r="C17" s="161">
        <f>SINDICATO!K27</f>
        <v>172.57499999999999</v>
      </c>
      <c r="D17" s="161">
        <f t="shared" si="0"/>
        <v>1223.175</v>
      </c>
      <c r="E17" s="161">
        <v>1050.5999999999999</v>
      </c>
      <c r="F17" s="161">
        <v>172.58</v>
      </c>
      <c r="G17" s="161">
        <f t="shared" si="1"/>
        <v>4.9999999998817657E-3</v>
      </c>
    </row>
    <row r="18" spans="1:7" x14ac:dyDescent="0.2">
      <c r="A18" s="160" t="str">
        <f>INGENIERIA!B28</f>
        <v>Hernandez Quintero Maria De La Luz</v>
      </c>
      <c r="B18" s="161">
        <f>INGENIERIA!L28</f>
        <v>1019.6</v>
      </c>
      <c r="C18" s="161">
        <f>SINDICATO!K28</f>
        <v>9618.0659999999989</v>
      </c>
      <c r="D18" s="161">
        <f t="shared" si="0"/>
        <v>10637.665999999999</v>
      </c>
      <c r="E18" s="161">
        <v>1019.6</v>
      </c>
      <c r="F18" s="161">
        <v>9618.07</v>
      </c>
      <c r="G18" s="161">
        <f t="shared" si="1"/>
        <v>4.0000000008149073E-3</v>
      </c>
    </row>
    <row r="19" spans="1:7" x14ac:dyDescent="0.2">
      <c r="A19" s="160" t="str">
        <f>INGENIERIA!B29</f>
        <v>Herrera Parra Luis Enrique</v>
      </c>
      <c r="B19" s="161">
        <f>INGENIERIA!L29</f>
        <v>1019.6</v>
      </c>
      <c r="C19" s="161">
        <f>SINDICATO!K29</f>
        <v>0</v>
      </c>
      <c r="D19" s="161">
        <f t="shared" si="0"/>
        <v>1019.6</v>
      </c>
      <c r="E19" s="161">
        <v>1019.6</v>
      </c>
      <c r="F19" s="161"/>
      <c r="G19" s="161">
        <f t="shared" si="1"/>
        <v>0</v>
      </c>
    </row>
    <row r="20" spans="1:7" x14ac:dyDescent="0.2">
      <c r="A20" s="160" t="str">
        <f>INGENIERIA!B30</f>
        <v>Leon Cabello Luis Alberto</v>
      </c>
      <c r="B20" s="161">
        <f>INGENIERIA!L30</f>
        <v>1134.2</v>
      </c>
      <c r="C20" s="161">
        <f>SINDICATO!K30</f>
        <v>1314.846</v>
      </c>
      <c r="D20" s="161">
        <f t="shared" si="0"/>
        <v>2449.0460000000003</v>
      </c>
      <c r="E20" s="161">
        <v>1134.2</v>
      </c>
      <c r="F20" s="161">
        <v>1314.85</v>
      </c>
      <c r="G20" s="161">
        <f t="shared" si="1"/>
        <v>3.9999999999054126E-3</v>
      </c>
    </row>
    <row r="21" spans="1:7" x14ac:dyDescent="0.2">
      <c r="A21" s="160" t="str">
        <f>INGENIERIA!B31</f>
        <v>Martinez Gomez Kent Martin</v>
      </c>
      <c r="B21" s="161">
        <f>INGENIERIA!L31</f>
        <v>1019.6</v>
      </c>
      <c r="C21" s="161">
        <f>SINDICATO!K31</f>
        <v>2842.7039999999997</v>
      </c>
      <c r="D21" s="161">
        <f t="shared" si="0"/>
        <v>3862.3039999999996</v>
      </c>
      <c r="E21" s="161"/>
      <c r="F21" s="161"/>
      <c r="G21" s="161">
        <f t="shared" si="1"/>
        <v>-3862.3039999999996</v>
      </c>
    </row>
    <row r="22" spans="1:7" x14ac:dyDescent="0.2">
      <c r="A22" s="160" t="str">
        <f>INGENIERIA!B32</f>
        <v>Monzon Marroquin Juan Arcadio</v>
      </c>
      <c r="B22" s="161">
        <f>INGENIERIA!L32</f>
        <v>3393.2</v>
      </c>
      <c r="C22" s="161">
        <f>SINDICATO!K32</f>
        <v>1466.8920000000001</v>
      </c>
      <c r="D22" s="161">
        <f t="shared" si="0"/>
        <v>4860.0919999999996</v>
      </c>
      <c r="E22" s="161">
        <v>3393.2</v>
      </c>
      <c r="F22" s="161">
        <v>1466.89</v>
      </c>
      <c r="G22" s="161">
        <f t="shared" si="1"/>
        <v>-1.9999999994979589E-3</v>
      </c>
    </row>
    <row r="23" spans="1:7" x14ac:dyDescent="0.2">
      <c r="A23" s="160" t="str">
        <f>INGENIERIA!B33</f>
        <v>Oliveros Maldonado Miguel</v>
      </c>
      <c r="B23" s="161">
        <f>INGENIERIA!L33</f>
        <v>1019.6</v>
      </c>
      <c r="C23" s="161">
        <f>SINDICATO!K33</f>
        <v>9395.5499999999993</v>
      </c>
      <c r="D23" s="161">
        <f t="shared" si="0"/>
        <v>10415.15</v>
      </c>
      <c r="E23" s="161">
        <v>1019.6</v>
      </c>
      <c r="F23" s="161">
        <v>9395.5499999999993</v>
      </c>
      <c r="G23" s="161">
        <f t="shared" si="1"/>
        <v>0</v>
      </c>
    </row>
    <row r="24" spans="1:7" x14ac:dyDescent="0.2">
      <c r="A24" s="160" t="str">
        <f>INGENIERIA!B34</f>
        <v>Ortega Sosa Guillermo</v>
      </c>
      <c r="B24" s="161">
        <f>INGENIERIA!L34</f>
        <v>634.20000000000005</v>
      </c>
      <c r="C24" s="161">
        <f>SINDICATO!K34</f>
        <v>13119.218999999999</v>
      </c>
      <c r="D24" s="161">
        <f t="shared" si="0"/>
        <v>13753.419</v>
      </c>
      <c r="E24" s="161">
        <v>634.20000000000005</v>
      </c>
      <c r="F24" s="161">
        <v>13119.22</v>
      </c>
      <c r="G24" s="161">
        <f t="shared" si="1"/>
        <v>1.0000000002037268E-3</v>
      </c>
    </row>
    <row r="25" spans="1:7" x14ac:dyDescent="0.2">
      <c r="A25" s="160" t="str">
        <f>INGENIERIA!B35</f>
        <v>Ramirez Latour Victor Manuel Martin</v>
      </c>
      <c r="B25" s="161">
        <f>INGENIERIA!L35</f>
        <v>1019.6</v>
      </c>
      <c r="C25" s="161">
        <f>SINDICATO!K35</f>
        <v>0</v>
      </c>
      <c r="D25" s="161">
        <f t="shared" si="0"/>
        <v>1019.6</v>
      </c>
      <c r="E25" s="161">
        <v>1019.6</v>
      </c>
      <c r="F25" s="161"/>
      <c r="G25" s="161">
        <f t="shared" si="1"/>
        <v>0</v>
      </c>
    </row>
    <row r="26" spans="1:7" x14ac:dyDescent="0.2">
      <c r="A26" s="160" t="str">
        <f>INGENIERIA!B36</f>
        <v>Ramirez Mondragon Ricardo Heriberto</v>
      </c>
      <c r="B26" s="161">
        <f>INGENIERIA!L36</f>
        <v>1019.6</v>
      </c>
      <c r="C26" s="161">
        <f>SINDICATO!K36</f>
        <v>734.79600000000005</v>
      </c>
      <c r="D26" s="161">
        <f t="shared" si="0"/>
        <v>1754.3960000000002</v>
      </c>
      <c r="E26" s="161">
        <v>1019.6</v>
      </c>
      <c r="F26" s="161">
        <v>734.8</v>
      </c>
      <c r="G26" s="161">
        <f t="shared" si="1"/>
        <v>3.9999999999054126E-3</v>
      </c>
    </row>
    <row r="27" spans="1:7" x14ac:dyDescent="0.2">
      <c r="A27" s="160" t="str">
        <f>INGENIERIA!B37</f>
        <v>Rodriguez Medina Cesar</v>
      </c>
      <c r="B27" s="161">
        <f>INGENIERIA!L37</f>
        <v>1019.8</v>
      </c>
      <c r="C27" s="161">
        <f>SINDICATO!K37</f>
        <v>0</v>
      </c>
      <c r="D27" s="161">
        <f t="shared" si="0"/>
        <v>1019.8</v>
      </c>
      <c r="E27" s="161">
        <v>1019.8</v>
      </c>
      <c r="F27" s="161"/>
      <c r="G27" s="161">
        <f t="shared" si="1"/>
        <v>0</v>
      </c>
    </row>
    <row r="28" spans="1:7" x14ac:dyDescent="0.2">
      <c r="A28" s="160" t="str">
        <f>INGENIERIA!B38</f>
        <v>Tapia Bolaños Nancy</v>
      </c>
      <c r="B28" s="161">
        <f>INGENIERIA!L38</f>
        <v>1134.2</v>
      </c>
      <c r="C28" s="161">
        <f>SINDICATO!K38</f>
        <v>652.68900000000008</v>
      </c>
      <c r="D28" s="161">
        <f t="shared" si="0"/>
        <v>1786.8890000000001</v>
      </c>
      <c r="E28" s="161">
        <v>1134.2</v>
      </c>
      <c r="F28" s="161">
        <v>652.69000000000005</v>
      </c>
      <c r="G28" s="161">
        <f t="shared" si="1"/>
        <v>9.9999999997635314E-4</v>
      </c>
    </row>
    <row r="29" spans="1:7" x14ac:dyDescent="0.2">
      <c r="A29" s="160" t="str">
        <f>INGENIERIA!B39</f>
        <v>Tierrafria Escaramusa Israel</v>
      </c>
      <c r="B29" s="161">
        <f>INGENIERIA!L39</f>
        <v>442.2</v>
      </c>
      <c r="C29" s="161">
        <f>SINDICATO!K39</f>
        <v>7786.0529999999999</v>
      </c>
      <c r="D29" s="161">
        <f t="shared" si="0"/>
        <v>8228.2530000000006</v>
      </c>
      <c r="E29" s="161">
        <v>442.2</v>
      </c>
      <c r="F29" s="161">
        <v>7786.05</v>
      </c>
      <c r="G29" s="161">
        <f t="shared" si="1"/>
        <v>-3.0000000006111804E-3</v>
      </c>
    </row>
    <row r="30" spans="1:7" x14ac:dyDescent="0.2">
      <c r="A30" s="160" t="str">
        <f>INGENIERIA!B40</f>
        <v>Vazquez  Villalobos Ma Felisa</v>
      </c>
      <c r="B30" s="161">
        <f>INGENIERIA!L40</f>
        <v>1019.6</v>
      </c>
      <c r="C30" s="161">
        <f>SINDICATO!K40</f>
        <v>3000.0120000000002</v>
      </c>
      <c r="D30" s="161">
        <f t="shared" si="0"/>
        <v>4019.6120000000001</v>
      </c>
      <c r="E30" s="161">
        <v>1019.6</v>
      </c>
      <c r="F30" s="161">
        <v>3000.01</v>
      </c>
      <c r="G30" s="161">
        <f t="shared" si="1"/>
        <v>-1.9999999999527063E-3</v>
      </c>
    </row>
    <row r="31" spans="1:7" x14ac:dyDescent="0.2">
      <c r="A31" s="160" t="str">
        <f>INGENIERIA!B41</f>
        <v>Ventura Santamaria Efrain Enrique</v>
      </c>
      <c r="B31" s="161">
        <f>INGENIERIA!L41</f>
        <v>1019.6</v>
      </c>
      <c r="C31" s="161">
        <f>SINDICATO!K41</f>
        <v>0</v>
      </c>
      <c r="D31" s="161">
        <f t="shared" si="0"/>
        <v>1019.6</v>
      </c>
      <c r="E31" s="161">
        <v>1019.6</v>
      </c>
      <c r="F31" s="161"/>
      <c r="G31" s="161">
        <f t="shared" si="1"/>
        <v>0</v>
      </c>
    </row>
    <row r="32" spans="1:7" x14ac:dyDescent="0.2">
      <c r="A32" s="160" t="str">
        <f>INGENIERIA!B42</f>
        <v>Zarate Martinez Ricardo</v>
      </c>
      <c r="B32" s="161">
        <f>INGENIERIA!L42</f>
        <v>1019.6</v>
      </c>
      <c r="C32" s="161">
        <f>SINDICATO!K42</f>
        <v>0</v>
      </c>
      <c r="D32" s="161">
        <f t="shared" si="0"/>
        <v>1019.6</v>
      </c>
      <c r="E32" s="161">
        <v>1019.6</v>
      </c>
      <c r="F32" s="161"/>
      <c r="G32" s="161">
        <f t="shared" si="1"/>
        <v>0</v>
      </c>
    </row>
  </sheetData>
  <mergeCells count="5">
    <mergeCell ref="A1:A2"/>
    <mergeCell ref="B1:C1"/>
    <mergeCell ref="D1:D2"/>
    <mergeCell ref="E1:F1"/>
    <mergeCell ref="G1:G2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0"/>
  <sheetViews>
    <sheetView tabSelected="1" workbookViewId="0"/>
  </sheetViews>
  <sheetFormatPr baseColWidth="10" defaultRowHeight="12.75" x14ac:dyDescent="0.2"/>
  <cols>
    <col min="1" max="1" width="19.85546875" customWidth="1"/>
    <col min="2" max="2" width="11.5703125" bestFit="1" customWidth="1"/>
  </cols>
  <sheetData>
    <row r="1" spans="1:6" ht="15" x14ac:dyDescent="0.25">
      <c r="A1" s="162" t="s">
        <v>223</v>
      </c>
      <c r="B1" s="162"/>
      <c r="C1" s="163"/>
      <c r="D1" s="164"/>
      <c r="E1" s="164"/>
      <c r="F1" s="165"/>
    </row>
    <row r="2" spans="1:6" ht="15" x14ac:dyDescent="0.25">
      <c r="A2" s="162" t="s">
        <v>234</v>
      </c>
      <c r="B2" s="162"/>
      <c r="C2" s="163"/>
      <c r="D2" s="164"/>
      <c r="E2" s="164"/>
      <c r="F2" s="165"/>
    </row>
    <row r="3" spans="1:6" ht="15" x14ac:dyDescent="0.25">
      <c r="A3" s="162" t="s">
        <v>224</v>
      </c>
      <c r="B3" s="166" t="s">
        <v>235</v>
      </c>
      <c r="C3" s="163"/>
      <c r="D3" s="164"/>
      <c r="E3" s="164"/>
      <c r="F3" s="165"/>
    </row>
    <row r="4" spans="1:6" ht="15" x14ac:dyDescent="0.25">
      <c r="A4" s="163"/>
      <c r="B4" s="163"/>
      <c r="C4" s="163"/>
      <c r="D4" s="164"/>
      <c r="E4" s="164"/>
      <c r="F4" s="165"/>
    </row>
    <row r="5" spans="1:6" ht="15" x14ac:dyDescent="0.25">
      <c r="A5" s="163" t="s">
        <v>225</v>
      </c>
      <c r="B5" s="163" t="s">
        <v>226</v>
      </c>
      <c r="C5" s="163"/>
      <c r="D5" s="164"/>
      <c r="E5" s="164"/>
      <c r="F5" s="165"/>
    </row>
    <row r="6" spans="1:6" ht="15" x14ac:dyDescent="0.25">
      <c r="A6" s="164" t="s">
        <v>227</v>
      </c>
      <c r="B6" s="167">
        <v>29333.34</v>
      </c>
      <c r="C6" s="164"/>
      <c r="D6" s="164"/>
      <c r="E6" s="164"/>
      <c r="F6" s="165"/>
    </row>
    <row r="7" spans="1:6" ht="15" x14ac:dyDescent="0.25">
      <c r="A7" s="164" t="s">
        <v>228</v>
      </c>
      <c r="B7" s="167">
        <v>10731.61</v>
      </c>
      <c r="C7" s="164"/>
      <c r="D7" s="164"/>
      <c r="E7" s="164"/>
      <c r="F7" s="165"/>
    </row>
    <row r="8" spans="1:6" ht="15" x14ac:dyDescent="0.25">
      <c r="A8" s="164" t="s">
        <v>229</v>
      </c>
      <c r="B8" s="167">
        <v>0</v>
      </c>
      <c r="C8" s="164"/>
      <c r="D8" s="164"/>
      <c r="E8" s="164"/>
      <c r="F8" s="165"/>
    </row>
    <row r="9" spans="1:6" ht="15" x14ac:dyDescent="0.25">
      <c r="A9" s="164" t="s">
        <v>230</v>
      </c>
      <c r="B9" s="167">
        <v>1916.25</v>
      </c>
      <c r="C9" s="164"/>
      <c r="D9" s="164"/>
      <c r="E9" s="164"/>
      <c r="F9" s="165"/>
    </row>
    <row r="10" spans="1:6" ht="15" x14ac:dyDescent="0.25">
      <c r="A10" s="164" t="s">
        <v>231</v>
      </c>
      <c r="B10" s="167">
        <v>0</v>
      </c>
      <c r="C10" s="164"/>
      <c r="D10" s="164"/>
      <c r="E10" s="164"/>
      <c r="F10" s="165"/>
    </row>
    <row r="11" spans="1:6" ht="15" x14ac:dyDescent="0.25">
      <c r="A11" s="164" t="s">
        <v>232</v>
      </c>
      <c r="B11" s="167">
        <v>5110.33</v>
      </c>
      <c r="C11" s="164"/>
      <c r="D11" s="164"/>
      <c r="E11" s="164"/>
      <c r="F11" s="165"/>
    </row>
    <row r="12" spans="1:6" ht="15.75" thickBot="1" x14ac:dyDescent="0.3">
      <c r="A12" s="164" t="s">
        <v>233</v>
      </c>
      <c r="B12" s="168">
        <v>0</v>
      </c>
      <c r="C12" s="164"/>
      <c r="D12" s="164"/>
      <c r="E12" s="164"/>
      <c r="F12" s="165"/>
    </row>
    <row r="13" spans="1:6" ht="15" x14ac:dyDescent="0.25">
      <c r="A13" s="164"/>
      <c r="B13" s="169">
        <f>SUM(B6:B12)</f>
        <v>47091.53</v>
      </c>
      <c r="C13" s="164"/>
      <c r="D13" s="164"/>
      <c r="E13" s="164"/>
      <c r="F13" s="165"/>
    </row>
    <row r="14" spans="1:6" ht="15.75" thickBot="1" x14ac:dyDescent="0.3">
      <c r="A14" s="164"/>
      <c r="B14" s="170">
        <f>B13*0.16</f>
        <v>7534.6448</v>
      </c>
      <c r="C14" s="164"/>
      <c r="D14" s="164"/>
      <c r="E14" s="164"/>
      <c r="F14" s="165"/>
    </row>
    <row r="15" spans="1:6" ht="15.75" thickTop="1" x14ac:dyDescent="0.25">
      <c r="A15" s="164"/>
      <c r="B15" s="171">
        <f>+B13+B14</f>
        <v>54626.174800000001</v>
      </c>
      <c r="C15" s="164"/>
      <c r="D15" s="164"/>
      <c r="E15" s="164"/>
      <c r="F15" s="165"/>
    </row>
    <row r="16" spans="1:6" ht="15" x14ac:dyDescent="0.25">
      <c r="A16" s="164"/>
      <c r="B16" s="167">
        <v>54626.18</v>
      </c>
      <c r="C16" s="164"/>
      <c r="D16" s="164"/>
      <c r="E16" s="164"/>
      <c r="F16" s="165"/>
    </row>
    <row r="17" spans="1:6" ht="15" x14ac:dyDescent="0.25">
      <c r="A17" s="164"/>
      <c r="B17" s="167">
        <f>B16-B15</f>
        <v>5.1999999996041879E-3</v>
      </c>
      <c r="C17" s="164"/>
      <c r="D17" s="164"/>
      <c r="E17" s="164"/>
      <c r="F17" s="165"/>
    </row>
    <row r="18" spans="1:6" ht="15" x14ac:dyDescent="0.25">
      <c r="A18" s="164"/>
      <c r="B18" s="167"/>
      <c r="C18" s="164"/>
      <c r="D18" s="164"/>
      <c r="E18" s="164"/>
      <c r="F18" s="165"/>
    </row>
    <row r="19" spans="1:6" x14ac:dyDescent="0.2">
      <c r="A19" s="164"/>
      <c r="B19" s="164"/>
      <c r="C19" s="164"/>
      <c r="D19" s="164"/>
      <c r="E19" s="164"/>
      <c r="F19" s="165"/>
    </row>
    <row r="22" spans="1:6" ht="15" x14ac:dyDescent="0.25">
      <c r="A22" s="162" t="s">
        <v>223</v>
      </c>
      <c r="B22" s="162"/>
      <c r="C22" s="163"/>
      <c r="D22" s="164"/>
      <c r="E22" s="164"/>
      <c r="F22" s="165"/>
    </row>
    <row r="23" spans="1:6" ht="15" x14ac:dyDescent="0.25">
      <c r="A23" s="162" t="s">
        <v>234</v>
      </c>
      <c r="B23" s="162"/>
      <c r="C23" s="163"/>
      <c r="D23" s="164"/>
      <c r="E23" s="164"/>
      <c r="F23" s="165"/>
    </row>
    <row r="24" spans="1:6" ht="15" x14ac:dyDescent="0.25">
      <c r="A24" s="162" t="s">
        <v>224</v>
      </c>
      <c r="B24" s="166" t="s">
        <v>235</v>
      </c>
      <c r="C24" s="163"/>
      <c r="D24" s="164"/>
      <c r="E24" s="164"/>
      <c r="F24" s="165"/>
    </row>
    <row r="25" spans="1:6" ht="15" x14ac:dyDescent="0.25">
      <c r="A25" s="163"/>
      <c r="B25" s="163"/>
      <c r="C25" s="163"/>
      <c r="D25" s="164"/>
      <c r="E25" s="164"/>
      <c r="F25" s="165"/>
    </row>
    <row r="26" spans="1:6" ht="15" x14ac:dyDescent="0.25">
      <c r="A26" s="163" t="s">
        <v>225</v>
      </c>
      <c r="B26" s="163" t="s">
        <v>226</v>
      </c>
      <c r="C26" s="163"/>
      <c r="D26" s="164"/>
      <c r="E26" s="164"/>
      <c r="F26" s="165"/>
    </row>
    <row r="27" spans="1:6" ht="15" x14ac:dyDescent="0.25">
      <c r="A27" s="164" t="s">
        <v>227</v>
      </c>
      <c r="B27" s="167">
        <v>101913.84</v>
      </c>
      <c r="C27" s="164"/>
      <c r="D27" s="164"/>
      <c r="E27" s="164"/>
      <c r="F27" s="165"/>
    </row>
    <row r="28" spans="1:6" ht="15" x14ac:dyDescent="0.25">
      <c r="A28" s="164" t="s">
        <v>228</v>
      </c>
      <c r="B28" s="167">
        <v>12933.79</v>
      </c>
      <c r="C28" s="164"/>
      <c r="D28" s="164"/>
      <c r="E28" s="164"/>
      <c r="F28" s="165"/>
    </row>
    <row r="29" spans="1:6" ht="15" x14ac:dyDescent="0.25">
      <c r="A29" s="164" t="s">
        <v>229</v>
      </c>
      <c r="B29" s="167">
        <v>0</v>
      </c>
      <c r="C29" s="164"/>
      <c r="D29" s="164"/>
      <c r="E29" s="164"/>
      <c r="F29" s="165"/>
    </row>
    <row r="30" spans="1:6" ht="15" x14ac:dyDescent="0.25">
      <c r="A30" s="164" t="s">
        <v>230</v>
      </c>
      <c r="B30" s="167">
        <v>0</v>
      </c>
      <c r="C30" s="164"/>
      <c r="D30" s="164"/>
      <c r="E30" s="164"/>
      <c r="F30" s="165"/>
    </row>
    <row r="31" spans="1:6" ht="15" x14ac:dyDescent="0.25">
      <c r="A31" s="164" t="s">
        <v>231</v>
      </c>
      <c r="B31" s="167">
        <v>0</v>
      </c>
      <c r="C31" s="164"/>
      <c r="D31" s="164"/>
      <c r="E31" s="164"/>
      <c r="F31" s="165"/>
    </row>
    <row r="32" spans="1:6" ht="15" x14ac:dyDescent="0.25">
      <c r="A32" s="164" t="s">
        <v>232</v>
      </c>
      <c r="B32" s="167">
        <v>3711.99</v>
      </c>
      <c r="C32" s="164"/>
      <c r="D32" s="164"/>
      <c r="E32" s="164"/>
      <c r="F32" s="165"/>
    </row>
    <row r="33" spans="1:6" ht="15.75" thickBot="1" x14ac:dyDescent="0.3">
      <c r="A33" s="164" t="s">
        <v>233</v>
      </c>
      <c r="B33" s="168">
        <v>0</v>
      </c>
      <c r="C33" s="164"/>
      <c r="D33" s="164"/>
      <c r="E33" s="164"/>
      <c r="F33" s="165"/>
    </row>
    <row r="34" spans="1:6" ht="15" x14ac:dyDescent="0.25">
      <c r="A34" s="164"/>
      <c r="B34" s="169">
        <f>SUM(B27:B33)</f>
        <v>118559.62000000001</v>
      </c>
      <c r="C34" s="164"/>
      <c r="D34" s="164"/>
      <c r="E34" s="164"/>
      <c r="F34" s="165"/>
    </row>
    <row r="35" spans="1:6" ht="15.75" thickBot="1" x14ac:dyDescent="0.3">
      <c r="A35" s="164"/>
      <c r="B35" s="170">
        <f>B34*0.16</f>
        <v>18969.539200000003</v>
      </c>
      <c r="C35" s="164"/>
      <c r="D35" s="164"/>
      <c r="E35" s="164"/>
      <c r="F35" s="165"/>
    </row>
    <row r="36" spans="1:6" ht="15.75" thickTop="1" x14ac:dyDescent="0.25">
      <c r="A36" s="164"/>
      <c r="B36" s="171">
        <f>+B34+B35</f>
        <v>137529.15920000002</v>
      </c>
      <c r="C36" s="164"/>
      <c r="D36" s="164"/>
      <c r="E36" s="164"/>
      <c r="F36" s="165"/>
    </row>
    <row r="37" spans="1:6" ht="15" x14ac:dyDescent="0.25">
      <c r="A37" s="164"/>
      <c r="B37" s="167">
        <v>137529.16</v>
      </c>
      <c r="C37" s="164"/>
      <c r="D37" s="164"/>
      <c r="E37" s="164"/>
      <c r="F37" s="165"/>
    </row>
    <row r="38" spans="1:6" ht="15" x14ac:dyDescent="0.25">
      <c r="A38" s="164"/>
      <c r="B38" s="167">
        <f>B37-B36</f>
        <v>7.9999997979030013E-4</v>
      </c>
      <c r="C38" s="164"/>
      <c r="D38" s="164"/>
      <c r="E38" s="164"/>
      <c r="F38" s="165"/>
    </row>
    <row r="39" spans="1:6" ht="15" x14ac:dyDescent="0.25">
      <c r="A39" s="164"/>
      <c r="B39" s="167"/>
      <c r="C39" s="164"/>
      <c r="D39" s="164"/>
      <c r="E39" s="164"/>
      <c r="F39" s="165"/>
    </row>
    <row r="40" spans="1:6" x14ac:dyDescent="0.2">
      <c r="A40" s="164"/>
      <c r="B40" s="164"/>
      <c r="C40" s="164"/>
      <c r="D40" s="164"/>
      <c r="E40" s="164"/>
      <c r="F40" s="165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6</vt:i4>
      </vt:variant>
    </vt:vector>
  </HeadingPairs>
  <TitlesOfParts>
    <vt:vector size="6" baseType="lpstr">
      <vt:lpstr>FORMATO NOMINA</vt:lpstr>
      <vt:lpstr>FACTURA</vt:lpstr>
      <vt:lpstr>INGENIERIA</vt:lpstr>
      <vt:lpstr>SINDICATO</vt:lpstr>
      <vt:lpstr>DISPERSIONES</vt:lpstr>
      <vt:lpstr>POLIZA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Humanos</dc:creator>
  <cp:lastModifiedBy>ljimenez</cp:lastModifiedBy>
  <cp:lastPrinted>2016-02-12T20:59:22Z</cp:lastPrinted>
  <dcterms:created xsi:type="dcterms:W3CDTF">2015-07-23T15:19:36Z</dcterms:created>
  <dcterms:modified xsi:type="dcterms:W3CDTF">2016-10-03T23:38:17Z</dcterms:modified>
</cp:coreProperties>
</file>