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365" tabRatio="704" activeTab="5"/>
  </bookViews>
  <sheets>
    <sheet name="Hoja1" sheetId="2" r:id="rId1"/>
    <sheet name="INGENIERIA" sheetId="4" r:id="rId2"/>
    <sheet name="SIND" sheetId="3" r:id="rId3"/>
    <sheet name="FORMATO NOMINA" sheetId="1" r:id="rId4"/>
    <sheet name="DISPERSIONES" sheetId="5" r:id="rId5"/>
    <sheet name="POLIZA" sheetId="6" r:id="rId6"/>
  </sheets>
  <definedNames>
    <definedName name="_xlnm._FilterDatabase" localSheetId="3" hidden="1">'FORMATO NOMINA'!$A$6:$AP$48</definedName>
    <definedName name="_xlnm._FilterDatabase" localSheetId="0" hidden="1">Hoja1!$S$13:$Y$43</definedName>
  </definedNames>
  <calcPr calcId="124519"/>
</workbook>
</file>

<file path=xl/calcChain.xml><?xml version="1.0" encoding="utf-8"?>
<calcChain xmlns="http://schemas.openxmlformats.org/spreadsheetml/2006/main">
  <c r="B34" i="6"/>
  <c r="B35" s="1"/>
  <c r="B13"/>
  <c r="B36" l="1"/>
  <c r="B38" s="1"/>
  <c r="B14"/>
  <c r="B15" s="1"/>
  <c r="B17" s="1"/>
  <c r="B4" i="5" l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"/>
  <c r="D41" i="2"/>
  <c r="O41" s="1"/>
  <c r="P41" s="1"/>
  <c r="Q41" s="1"/>
  <c r="D42"/>
  <c r="O42" s="1"/>
  <c r="D43"/>
  <c r="O43" s="1"/>
  <c r="F14" i="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13"/>
  <c r="B4"/>
  <c r="D45"/>
  <c r="H45"/>
  <c r="I45"/>
  <c r="C42"/>
  <c r="E42" s="1"/>
  <c r="C40"/>
  <c r="C41"/>
  <c r="E41" s="1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13"/>
  <c r="N15" i="4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14"/>
  <c r="H15" i="2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14"/>
  <c r="D15"/>
  <c r="O15" s="1"/>
  <c r="D16"/>
  <c r="O16" s="1"/>
  <c r="D17"/>
  <c r="C16" i="3" s="1"/>
  <c r="E16" s="1"/>
  <c r="G16" s="1"/>
  <c r="J16" s="1"/>
  <c r="D18" i="2"/>
  <c r="O18" s="1"/>
  <c r="D19"/>
  <c r="O19" s="1"/>
  <c r="D20"/>
  <c r="O20" s="1"/>
  <c r="D21"/>
  <c r="C20" i="3" s="1"/>
  <c r="E20" s="1"/>
  <c r="G20" s="1"/>
  <c r="J20" s="1"/>
  <c r="D22" i="2"/>
  <c r="O22" s="1"/>
  <c r="D23"/>
  <c r="O23" s="1"/>
  <c r="D24"/>
  <c r="O24" s="1"/>
  <c r="D25"/>
  <c r="C24" i="3" s="1"/>
  <c r="E24" s="1"/>
  <c r="G24" s="1"/>
  <c r="J24" s="1"/>
  <c r="D26" i="2"/>
  <c r="O26" s="1"/>
  <c r="D27"/>
  <c r="O27" s="1"/>
  <c r="D28"/>
  <c r="O28" s="1"/>
  <c r="D29"/>
  <c r="C28" i="3" s="1"/>
  <c r="E28" s="1"/>
  <c r="G28" s="1"/>
  <c r="J28" s="1"/>
  <c r="D30" i="2"/>
  <c r="O30" s="1"/>
  <c r="D31"/>
  <c r="O31" s="1"/>
  <c r="D32"/>
  <c r="O32" s="1"/>
  <c r="D33"/>
  <c r="C32" i="3" s="1"/>
  <c r="E32" s="1"/>
  <c r="G32" s="1"/>
  <c r="J32" s="1"/>
  <c r="D34" i="2"/>
  <c r="O34" s="1"/>
  <c r="D35"/>
  <c r="O35" s="1"/>
  <c r="D36"/>
  <c r="O36" s="1"/>
  <c r="D37"/>
  <c r="C36" i="3" s="1"/>
  <c r="E36" s="1"/>
  <c r="G36" s="1"/>
  <c r="J36" s="1"/>
  <c r="D38" i="2"/>
  <c r="O38" s="1"/>
  <c r="D39"/>
  <c r="O39" s="1"/>
  <c r="D40"/>
  <c r="O40" s="1"/>
  <c r="D14"/>
  <c r="O14" s="1"/>
  <c r="G43"/>
  <c r="I43" s="1"/>
  <c r="G42"/>
  <c r="J42" s="1"/>
  <c r="G41"/>
  <c r="J41" s="1"/>
  <c r="G40"/>
  <c r="I40" s="1"/>
  <c r="G39"/>
  <c r="I39" s="1"/>
  <c r="G38"/>
  <c r="J38" s="1"/>
  <c r="G37"/>
  <c r="J37" s="1"/>
  <c r="G36"/>
  <c r="J36" s="1"/>
  <c r="G35"/>
  <c r="I35" s="1"/>
  <c r="G34"/>
  <c r="J34" s="1"/>
  <c r="G33"/>
  <c r="J33" s="1"/>
  <c r="G32"/>
  <c r="J32" s="1"/>
  <c r="G31"/>
  <c r="I31" s="1"/>
  <c r="G30"/>
  <c r="J30" s="1"/>
  <c r="G29"/>
  <c r="J29" s="1"/>
  <c r="G28"/>
  <c r="J28" s="1"/>
  <c r="G27"/>
  <c r="I27" s="1"/>
  <c r="G26"/>
  <c r="J26" s="1"/>
  <c r="G25"/>
  <c r="I25" s="1"/>
  <c r="G24"/>
  <c r="J24" s="1"/>
  <c r="G23"/>
  <c r="I23" s="1"/>
  <c r="G22"/>
  <c r="J22" s="1"/>
  <c r="G21"/>
  <c r="I21" s="1"/>
  <c r="G20"/>
  <c r="J20" s="1"/>
  <c r="G19"/>
  <c r="I19" s="1"/>
  <c r="G18"/>
  <c r="J18" s="1"/>
  <c r="G17"/>
  <c r="I17" s="1"/>
  <c r="G16"/>
  <c r="J16" s="1"/>
  <c r="G15"/>
  <c r="I15" s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14"/>
  <c r="AP107"/>
  <c r="AQ107"/>
  <c r="AP106"/>
  <c r="AQ106"/>
  <c r="AQ103"/>
  <c r="AP103"/>
  <c r="AR56"/>
  <c r="AR55"/>
  <c r="AR54"/>
  <c r="AC53"/>
  <c r="AJ53"/>
  <c r="AR51"/>
  <c r="AR50"/>
  <c r="AI49"/>
  <c r="AH49"/>
  <c r="AG49"/>
  <c r="AF49"/>
  <c r="AD49"/>
  <c r="AA49"/>
  <c r="Z49"/>
  <c r="AR48"/>
  <c r="AR47"/>
  <c r="AR46"/>
  <c r="AR45"/>
  <c r="AU43"/>
  <c r="AN43"/>
  <c r="Y43"/>
  <c r="AC43"/>
  <c r="AU42"/>
  <c r="AN42"/>
  <c r="AC42"/>
  <c r="AU41"/>
  <c r="AN41"/>
  <c r="AC41"/>
  <c r="AJ41" s="1"/>
  <c r="AU40"/>
  <c r="AN40"/>
  <c r="AC40"/>
  <c r="AU38"/>
  <c r="AC38"/>
  <c r="AK38" s="1"/>
  <c r="AU37"/>
  <c r="AN37"/>
  <c r="AC37"/>
  <c r="AU36"/>
  <c r="AN36"/>
  <c r="AC36"/>
  <c r="AJ36" s="1"/>
  <c r="AU39"/>
  <c r="AC39"/>
  <c r="AK39" s="1"/>
  <c r="AU35"/>
  <c r="AN35"/>
  <c r="AC35"/>
  <c r="AU34"/>
  <c r="AN34"/>
  <c r="AC34"/>
  <c r="AJ34" s="1"/>
  <c r="AU33"/>
  <c r="AN33"/>
  <c r="AC33"/>
  <c r="AU32"/>
  <c r="AN32"/>
  <c r="AC32"/>
  <c r="AU31"/>
  <c r="AN31"/>
  <c r="AC31"/>
  <c r="AJ31" s="1"/>
  <c r="AU30"/>
  <c r="AN30"/>
  <c r="AC30"/>
  <c r="AU29"/>
  <c r="AN29"/>
  <c r="AC29"/>
  <c r="AJ29" s="1"/>
  <c r="AU28"/>
  <c r="AN28"/>
  <c r="AC28"/>
  <c r="AU27"/>
  <c r="AC27"/>
  <c r="AM27" s="1"/>
  <c r="AU26"/>
  <c r="AN26"/>
  <c r="AC26"/>
  <c r="AU25"/>
  <c r="AN25"/>
  <c r="AC25"/>
  <c r="AJ25"/>
  <c r="AU24"/>
  <c r="AN24"/>
  <c r="AC24"/>
  <c r="AU23"/>
  <c r="AN23"/>
  <c r="AC23"/>
  <c r="AJ23" s="1"/>
  <c r="AU22"/>
  <c r="AN22"/>
  <c r="AC22"/>
  <c r="AU21"/>
  <c r="AN21"/>
  <c r="AC21"/>
  <c r="AJ21" s="1"/>
  <c r="AU20"/>
  <c r="AN20"/>
  <c r="AC20"/>
  <c r="AU19"/>
  <c r="AN19"/>
  <c r="AC19"/>
  <c r="AJ19" s="1"/>
  <c r="AU18"/>
  <c r="AN18"/>
  <c r="Y18"/>
  <c r="AU17"/>
  <c r="AN17"/>
  <c r="AC17"/>
  <c r="AJ17" s="1"/>
  <c r="AU16"/>
  <c r="AN16"/>
  <c r="AC16"/>
  <c r="AJ16" s="1"/>
  <c r="AU15"/>
  <c r="AN15"/>
  <c r="AC15"/>
  <c r="AU14"/>
  <c r="AN14"/>
  <c r="AN49"/>
  <c r="AC14"/>
  <c r="AK14" s="1"/>
  <c r="H45"/>
  <c r="G14"/>
  <c r="J14" s="1"/>
  <c r="E40" i="3"/>
  <c r="AJ27" i="2"/>
  <c r="AL27" s="1"/>
  <c r="AJ38"/>
  <c r="AM14"/>
  <c r="AO14" s="1"/>
  <c r="AK16"/>
  <c r="AL53"/>
  <c r="AR53"/>
  <c r="AM53"/>
  <c r="AO53"/>
  <c r="AK53"/>
  <c r="AK15"/>
  <c r="AM15"/>
  <c r="AM16"/>
  <c r="AO16" s="1"/>
  <c r="Y49"/>
  <c r="AC18"/>
  <c r="AM17"/>
  <c r="AO17" s="1"/>
  <c r="AK19"/>
  <c r="AM19"/>
  <c r="AO19" s="1"/>
  <c r="AJ20"/>
  <c r="AK21"/>
  <c r="AM21"/>
  <c r="AO21" s="1"/>
  <c r="AJ22"/>
  <c r="AK23"/>
  <c r="AM23"/>
  <c r="AO23" s="1"/>
  <c r="AJ24"/>
  <c r="AK25"/>
  <c r="AL25" s="1"/>
  <c r="AR25" s="1"/>
  <c r="AM25"/>
  <c r="AO25" s="1"/>
  <c r="AJ26"/>
  <c r="AJ28"/>
  <c r="AK29"/>
  <c r="AM29"/>
  <c r="AO29" s="1"/>
  <c r="AJ30"/>
  <c r="AK31"/>
  <c r="AM31"/>
  <c r="AO31" s="1"/>
  <c r="AJ32"/>
  <c r="AJ33"/>
  <c r="AK34"/>
  <c r="AM34"/>
  <c r="AO34" s="1"/>
  <c r="AJ35"/>
  <c r="AJ39"/>
  <c r="AL39" s="1"/>
  <c r="AK36"/>
  <c r="AM36"/>
  <c r="AO36" s="1"/>
  <c r="AJ37"/>
  <c r="AJ40"/>
  <c r="AK41"/>
  <c r="AM41"/>
  <c r="AO41" s="1"/>
  <c r="AO54" s="1"/>
  <c r="AJ42"/>
  <c r="AJ43"/>
  <c r="AK20"/>
  <c r="AM20"/>
  <c r="AO20" s="1"/>
  <c r="AK22"/>
  <c r="AM22"/>
  <c r="AO22" s="1"/>
  <c r="AK24"/>
  <c r="AM24"/>
  <c r="AO24" s="1"/>
  <c r="AK26"/>
  <c r="AL26" s="1"/>
  <c r="AR26" s="1"/>
  <c r="AM26"/>
  <c r="AO26" s="1"/>
  <c r="AK28"/>
  <c r="AM28"/>
  <c r="AO28" s="1"/>
  <c r="AK30"/>
  <c r="AM30"/>
  <c r="AO30" s="1"/>
  <c r="AK32"/>
  <c r="AL32" s="1"/>
  <c r="AM32"/>
  <c r="AO32" s="1"/>
  <c r="AK33"/>
  <c r="AL33" s="1"/>
  <c r="AR33" s="1"/>
  <c r="AM33"/>
  <c r="AO33" s="1"/>
  <c r="AK35"/>
  <c r="AL35" s="1"/>
  <c r="AM35"/>
  <c r="AO35" s="1"/>
  <c r="AK37"/>
  <c r="AL37" s="1"/>
  <c r="AR37" s="1"/>
  <c r="AM37"/>
  <c r="AO37" s="1"/>
  <c r="AK40"/>
  <c r="AL40" s="1"/>
  <c r="AR40" s="1"/>
  <c r="AM40"/>
  <c r="AO40" s="1"/>
  <c r="AK42"/>
  <c r="AM42"/>
  <c r="AO42" s="1"/>
  <c r="AK43"/>
  <c r="AL43" s="1"/>
  <c r="AR43" s="1"/>
  <c r="AM43"/>
  <c r="AO43" s="1"/>
  <c r="I14"/>
  <c r="K14" s="1"/>
  <c r="D45"/>
  <c r="AL28"/>
  <c r="AR28" s="1"/>
  <c r="AL24"/>
  <c r="AR24" s="1"/>
  <c r="AL20"/>
  <c r="AR20" s="1"/>
  <c r="AL30"/>
  <c r="AR30" s="1"/>
  <c r="AL22"/>
  <c r="AR22" s="1"/>
  <c r="AM18"/>
  <c r="AO18" s="1"/>
  <c r="AK18"/>
  <c r="AJ18"/>
  <c r="AC49"/>
  <c r="AB8" i="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7"/>
  <c r="F36"/>
  <c r="J36"/>
  <c r="F11"/>
  <c r="J11"/>
  <c r="J29"/>
  <c r="R29"/>
  <c r="J24"/>
  <c r="T24"/>
  <c r="V24"/>
  <c r="P41"/>
  <c r="J32"/>
  <c r="R32"/>
  <c r="J20"/>
  <c r="T20"/>
  <c r="J28"/>
  <c r="Q28"/>
  <c r="U28"/>
  <c r="J25"/>
  <c r="T25"/>
  <c r="V25"/>
  <c r="U25"/>
  <c r="U11"/>
  <c r="U26"/>
  <c r="J26"/>
  <c r="R26"/>
  <c r="U35"/>
  <c r="J35"/>
  <c r="U17"/>
  <c r="U34"/>
  <c r="U36"/>
  <c r="U33"/>
  <c r="U31"/>
  <c r="U30"/>
  <c r="U27"/>
  <c r="U23"/>
  <c r="U22"/>
  <c r="J34"/>
  <c r="T34"/>
  <c r="V34"/>
  <c r="V46"/>
  <c r="J27"/>
  <c r="T27"/>
  <c r="V27"/>
  <c r="Y37"/>
  <c r="Y38"/>
  <c r="Y39"/>
  <c r="Y40"/>
  <c r="Y42"/>
  <c r="Y43"/>
  <c r="Y46"/>
  <c r="Y47"/>
  <c r="Y48"/>
  <c r="W99"/>
  <c r="X99"/>
  <c r="W98"/>
  <c r="X98"/>
  <c r="X95"/>
  <c r="W95"/>
  <c r="O41"/>
  <c r="J13"/>
  <c r="T13"/>
  <c r="U13"/>
  <c r="J23"/>
  <c r="Q23"/>
  <c r="U19"/>
  <c r="U18"/>
  <c r="U15"/>
  <c r="U8"/>
  <c r="U7"/>
  <c r="U9"/>
  <c r="U14"/>
  <c r="U12"/>
  <c r="U24"/>
  <c r="U16"/>
  <c r="U21"/>
  <c r="U10"/>
  <c r="U41"/>
  <c r="J30"/>
  <c r="T30"/>
  <c r="V30"/>
  <c r="J22"/>
  <c r="R22"/>
  <c r="J17"/>
  <c r="R17"/>
  <c r="J19"/>
  <c r="Q19"/>
  <c r="J18"/>
  <c r="T18"/>
  <c r="J15"/>
  <c r="Q15"/>
  <c r="J8"/>
  <c r="R8"/>
  <c r="J7"/>
  <c r="T7"/>
  <c r="V7"/>
  <c r="V41"/>
  <c r="J9"/>
  <c r="T9"/>
  <c r="J14"/>
  <c r="T14"/>
  <c r="V14"/>
  <c r="J33"/>
  <c r="T33"/>
  <c r="V33"/>
  <c r="J31"/>
  <c r="Q31"/>
  <c r="J12"/>
  <c r="Q12"/>
  <c r="J16"/>
  <c r="T16"/>
  <c r="V16"/>
  <c r="J21"/>
  <c r="Q21"/>
  <c r="J10"/>
  <c r="T10"/>
  <c r="H41"/>
  <c r="N41"/>
  <c r="M41"/>
  <c r="G41"/>
  <c r="J45"/>
  <c r="Q45"/>
  <c r="K41"/>
  <c r="T23"/>
  <c r="V23"/>
  <c r="T26"/>
  <c r="V26"/>
  <c r="Q13"/>
  <c r="R13"/>
  <c r="T17"/>
  <c r="Q20"/>
  <c r="S20"/>
  <c r="R30"/>
  <c r="Q26"/>
  <c r="R24"/>
  <c r="Q18"/>
  <c r="S18"/>
  <c r="Y18"/>
  <c r="Q25"/>
  <c r="S25"/>
  <c r="T45"/>
  <c r="R16"/>
  <c r="T35"/>
  <c r="V35"/>
  <c r="Q35"/>
  <c r="R35"/>
  <c r="R18"/>
  <c r="Q27"/>
  <c r="S27"/>
  <c r="Y27"/>
  <c r="R14"/>
  <c r="R27"/>
  <c r="Q14"/>
  <c r="S14"/>
  <c r="Y14"/>
  <c r="Q16"/>
  <c r="S16"/>
  <c r="Y16"/>
  <c r="Q10"/>
  <c r="T31"/>
  <c r="R31"/>
  <c r="Q24"/>
  <c r="S24"/>
  <c r="Y24"/>
  <c r="R21"/>
  <c r="Q17"/>
  <c r="V17"/>
  <c r="V13"/>
  <c r="Q22"/>
  <c r="R28"/>
  <c r="S28"/>
  <c r="R34"/>
  <c r="T8"/>
  <c r="Q34"/>
  <c r="R25"/>
  <c r="Q32"/>
  <c r="S32"/>
  <c r="T19"/>
  <c r="T28"/>
  <c r="V28"/>
  <c r="V8"/>
  <c r="F41"/>
  <c r="Q9"/>
  <c r="Q36"/>
  <c r="T36"/>
  <c r="V36"/>
  <c r="R36"/>
  <c r="Q11"/>
  <c r="S11"/>
  <c r="R11"/>
  <c r="T11"/>
  <c r="V11"/>
  <c r="V45"/>
  <c r="S12"/>
  <c r="Y12"/>
  <c r="S22"/>
  <c r="Y22"/>
  <c r="V9"/>
  <c r="V19"/>
  <c r="S34"/>
  <c r="Y34"/>
  <c r="R12"/>
  <c r="R9"/>
  <c r="S9"/>
  <c r="Y9"/>
  <c r="Q8"/>
  <c r="S8"/>
  <c r="Y8"/>
  <c r="Q33"/>
  <c r="Q7"/>
  <c r="R7"/>
  <c r="R19"/>
  <c r="S19"/>
  <c r="Y19"/>
  <c r="S35"/>
  <c r="Y35"/>
  <c r="R45"/>
  <c r="T15"/>
  <c r="V15"/>
  <c r="R15"/>
  <c r="S15"/>
  <c r="Y15"/>
  <c r="T22"/>
  <c r="V22"/>
  <c r="S26"/>
  <c r="Y26"/>
  <c r="Q30"/>
  <c r="S30"/>
  <c r="Y30"/>
  <c r="S13"/>
  <c r="Y13"/>
  <c r="R23"/>
  <c r="S23"/>
  <c r="Y23"/>
  <c r="S21"/>
  <c r="Y21"/>
  <c r="S31"/>
  <c r="Y31"/>
  <c r="V18"/>
  <c r="S17"/>
  <c r="Y17"/>
  <c r="V42"/>
  <c r="V43"/>
  <c r="V47"/>
  <c r="V48"/>
  <c r="V10"/>
  <c r="J41"/>
  <c r="R33"/>
  <c r="T12"/>
  <c r="V12"/>
  <c r="V31"/>
  <c r="R10"/>
  <c r="R41"/>
  <c r="R43"/>
  <c r="S45"/>
  <c r="Y45"/>
  <c r="T21"/>
  <c r="V21"/>
  <c r="Q29"/>
  <c r="S29"/>
  <c r="S10"/>
  <c r="Y10"/>
  <c r="S33"/>
  <c r="Y33"/>
  <c r="S7"/>
  <c r="Y7"/>
  <c r="S36"/>
  <c r="Y36"/>
  <c r="T41"/>
  <c r="S41"/>
  <c r="Q41"/>
  <c r="V50"/>
  <c r="I38" i="2" l="1"/>
  <c r="K40"/>
  <c r="J40"/>
  <c r="I42"/>
  <c r="AO15"/>
  <c r="I16"/>
  <c r="K16" s="1"/>
  <c r="L16" s="1"/>
  <c r="M16" s="1"/>
  <c r="I18"/>
  <c r="I20"/>
  <c r="I22"/>
  <c r="I24"/>
  <c r="I26"/>
  <c r="K26" s="1"/>
  <c r="I28"/>
  <c r="I30"/>
  <c r="K30" s="1"/>
  <c r="I32"/>
  <c r="I34"/>
  <c r="K34" s="1"/>
  <c r="I36"/>
  <c r="AL29"/>
  <c r="AR29" s="1"/>
  <c r="AJ15"/>
  <c r="AL15" s="1"/>
  <c r="AL16"/>
  <c r="AR16" s="1"/>
  <c r="AL18"/>
  <c r="AL42"/>
  <c r="AR42" s="1"/>
  <c r="AK17"/>
  <c r="AL17" s="1"/>
  <c r="AR17" s="1"/>
  <c r="AJ14"/>
  <c r="AL14" s="1"/>
  <c r="AR14" s="1"/>
  <c r="AL34"/>
  <c r="AR34" s="1"/>
  <c r="AL41"/>
  <c r="AR41" s="1"/>
  <c r="J15"/>
  <c r="J19"/>
  <c r="K20"/>
  <c r="J23"/>
  <c r="K23" s="1"/>
  <c r="L23" s="1"/>
  <c r="M23" s="1"/>
  <c r="J27"/>
  <c r="K27" s="1"/>
  <c r="L27" s="1"/>
  <c r="M27" s="1"/>
  <c r="I29"/>
  <c r="K29" s="1"/>
  <c r="J31"/>
  <c r="K31" s="1"/>
  <c r="L31" s="1"/>
  <c r="M31" s="1"/>
  <c r="I33"/>
  <c r="K33" s="1"/>
  <c r="J35"/>
  <c r="K35" s="1"/>
  <c r="L35" s="1"/>
  <c r="M35" s="1"/>
  <c r="I37"/>
  <c r="K37" s="1"/>
  <c r="J39"/>
  <c r="K39" s="1"/>
  <c r="L39" s="1"/>
  <c r="M39" s="1"/>
  <c r="I41"/>
  <c r="K41" s="1"/>
  <c r="J43"/>
  <c r="K43" s="1"/>
  <c r="L43" s="1"/>
  <c r="M43" s="1"/>
  <c r="AL31"/>
  <c r="AR31" s="1"/>
  <c r="AL23"/>
  <c r="AR23" s="1"/>
  <c r="AO49"/>
  <c r="K38"/>
  <c r="K42"/>
  <c r="AL36"/>
  <c r="AR36" s="1"/>
  <c r="AL21"/>
  <c r="AR21" s="1"/>
  <c r="AM49"/>
  <c r="J17"/>
  <c r="K18"/>
  <c r="J21"/>
  <c r="K21" s="1"/>
  <c r="L21" s="1"/>
  <c r="M21" s="1"/>
  <c r="K22"/>
  <c r="J25"/>
  <c r="K25" s="1"/>
  <c r="L25" s="1"/>
  <c r="M25" s="1"/>
  <c r="P43"/>
  <c r="Q43" s="1"/>
  <c r="K15"/>
  <c r="L15" s="1"/>
  <c r="M15" s="1"/>
  <c r="K19"/>
  <c r="K24"/>
  <c r="K28"/>
  <c r="L28" s="1"/>
  <c r="M28" s="1"/>
  <c r="K32"/>
  <c r="L32" s="1"/>
  <c r="K36"/>
  <c r="L40"/>
  <c r="M40" s="1"/>
  <c r="P35"/>
  <c r="Q35" s="1"/>
  <c r="P27"/>
  <c r="Q27" s="1"/>
  <c r="L14"/>
  <c r="M14" s="1"/>
  <c r="AO55"/>
  <c r="AO56" s="1"/>
  <c r="AL19"/>
  <c r="AR19" s="1"/>
  <c r="AJ49"/>
  <c r="L20"/>
  <c r="M20" s="1"/>
  <c r="L29"/>
  <c r="M29" s="1"/>
  <c r="L33"/>
  <c r="M33" s="1"/>
  <c r="L37"/>
  <c r="M37" s="1"/>
  <c r="L41"/>
  <c r="M41" s="1"/>
  <c r="P40"/>
  <c r="Q40" s="1"/>
  <c r="P36"/>
  <c r="Q36" s="1"/>
  <c r="P32"/>
  <c r="Q32" s="1"/>
  <c r="P28"/>
  <c r="Q28" s="1"/>
  <c r="P24"/>
  <c r="Q24" s="1"/>
  <c r="P20"/>
  <c r="Q20" s="1"/>
  <c r="P16"/>
  <c r="Q16" s="1"/>
  <c r="AK49"/>
  <c r="AK51" s="1"/>
  <c r="AL38"/>
  <c r="L26"/>
  <c r="M26" s="1"/>
  <c r="L34"/>
  <c r="M34" s="1"/>
  <c r="P14"/>
  <c r="AO50"/>
  <c r="AO51" s="1"/>
  <c r="L30"/>
  <c r="M30" s="1"/>
  <c r="L38"/>
  <c r="M38" s="1"/>
  <c r="L42"/>
  <c r="M42" s="1"/>
  <c r="L18"/>
  <c r="M18" s="1"/>
  <c r="L22"/>
  <c r="M22" s="1"/>
  <c r="P38"/>
  <c r="Q38" s="1"/>
  <c r="P34"/>
  <c r="Q34" s="1"/>
  <c r="P30"/>
  <c r="Q30" s="1"/>
  <c r="P26"/>
  <c r="Q26" s="1"/>
  <c r="P22"/>
  <c r="Q22" s="1"/>
  <c r="P18"/>
  <c r="Q18" s="1"/>
  <c r="L19"/>
  <c r="M19" s="1"/>
  <c r="L24"/>
  <c r="M24" s="1"/>
  <c r="L36"/>
  <c r="M36" s="1"/>
  <c r="P39"/>
  <c r="Q39" s="1"/>
  <c r="P31"/>
  <c r="Q31" s="1"/>
  <c r="P23"/>
  <c r="Q23" s="1"/>
  <c r="P19"/>
  <c r="Q19" s="1"/>
  <c r="P15"/>
  <c r="Q15" s="1"/>
  <c r="C37" i="3"/>
  <c r="E37" s="1"/>
  <c r="C33"/>
  <c r="E33" s="1"/>
  <c r="G33" s="1"/>
  <c r="J33" s="1"/>
  <c r="K33" s="1"/>
  <c r="C23" i="5" s="1"/>
  <c r="D23" s="1"/>
  <c r="G23" s="1"/>
  <c r="C29" i="3"/>
  <c r="E29" s="1"/>
  <c r="C25"/>
  <c r="E25" s="1"/>
  <c r="C21"/>
  <c r="E21" s="1"/>
  <c r="C17"/>
  <c r="E17" s="1"/>
  <c r="G45" i="2"/>
  <c r="C38" i="3"/>
  <c r="E38" s="1"/>
  <c r="G38" s="1"/>
  <c r="J38" s="1"/>
  <c r="C34"/>
  <c r="E34" s="1"/>
  <c r="G34" s="1"/>
  <c r="J34" s="1"/>
  <c r="C30"/>
  <c r="E30" s="1"/>
  <c r="G30" s="1"/>
  <c r="J30" s="1"/>
  <c r="C26"/>
  <c r="E26" s="1"/>
  <c r="G26" s="1"/>
  <c r="J26" s="1"/>
  <c r="C22"/>
  <c r="E22" s="1"/>
  <c r="G22" s="1"/>
  <c r="J22" s="1"/>
  <c r="C18"/>
  <c r="E18" s="1"/>
  <c r="G18" s="1"/>
  <c r="J18" s="1"/>
  <c r="C14"/>
  <c r="E14" s="1"/>
  <c r="O37" i="2"/>
  <c r="O33"/>
  <c r="O29"/>
  <c r="O25"/>
  <c r="O21"/>
  <c r="O17"/>
  <c r="C13" i="3"/>
  <c r="C39"/>
  <c r="E39" s="1"/>
  <c r="G39" s="1"/>
  <c r="J39" s="1"/>
  <c r="C35"/>
  <c r="E35" s="1"/>
  <c r="G35" s="1"/>
  <c r="J35" s="1"/>
  <c r="C31"/>
  <c r="E31" s="1"/>
  <c r="G31" s="1"/>
  <c r="J31" s="1"/>
  <c r="C27"/>
  <c r="E27" s="1"/>
  <c r="G27" s="1"/>
  <c r="J27" s="1"/>
  <c r="C23"/>
  <c r="E23" s="1"/>
  <c r="G23" s="1"/>
  <c r="J23" s="1"/>
  <c r="C19"/>
  <c r="E19" s="1"/>
  <c r="G19" s="1"/>
  <c r="J19" s="1"/>
  <c r="C15"/>
  <c r="E15" s="1"/>
  <c r="G15" s="1"/>
  <c r="J15" s="1"/>
  <c r="F45"/>
  <c r="P42" i="2"/>
  <c r="Q42" s="1"/>
  <c r="G29" i="3"/>
  <c r="J29" s="1"/>
  <c r="G25"/>
  <c r="J25" s="1"/>
  <c r="G17"/>
  <c r="J17" s="1"/>
  <c r="K17" s="1"/>
  <c r="C7" i="5" s="1"/>
  <c r="D7" s="1"/>
  <c r="G7" s="1"/>
  <c r="G42" i="3"/>
  <c r="J42" s="1"/>
  <c r="K42" s="1"/>
  <c r="C32" i="5" s="1"/>
  <c r="D32" s="1"/>
  <c r="G32" s="1"/>
  <c r="G41" i="3"/>
  <c r="J41" s="1"/>
  <c r="K41" s="1"/>
  <c r="C31" i="5" s="1"/>
  <c r="D31" s="1"/>
  <c r="G31" s="1"/>
  <c r="G14" i="3"/>
  <c r="J14" s="1"/>
  <c r="K14" s="1"/>
  <c r="C4" i="5" s="1"/>
  <c r="D4" s="1"/>
  <c r="G4" s="1"/>
  <c r="K39" i="3"/>
  <c r="C29" i="5" s="1"/>
  <c r="D29" s="1"/>
  <c r="G29" s="1"/>
  <c r="K36" i="3"/>
  <c r="C26" i="5" s="1"/>
  <c r="D26" s="1"/>
  <c r="G26" s="1"/>
  <c r="K34" i="3"/>
  <c r="C24" i="5" s="1"/>
  <c r="D24" s="1"/>
  <c r="G24" s="1"/>
  <c r="K32" i="3"/>
  <c r="C22" i="5" s="1"/>
  <c r="D22" s="1"/>
  <c r="G22" s="1"/>
  <c r="K30" i="3"/>
  <c r="C20" i="5" s="1"/>
  <c r="D20" s="1"/>
  <c r="G20" s="1"/>
  <c r="K28" i="3"/>
  <c r="C18" i="5" s="1"/>
  <c r="D18" s="1"/>
  <c r="G18" s="1"/>
  <c r="K26" i="3"/>
  <c r="C16" i="5" s="1"/>
  <c r="D16" s="1"/>
  <c r="G16" s="1"/>
  <c r="K24" i="3"/>
  <c r="C14" i="5" s="1"/>
  <c r="D14" s="1"/>
  <c r="G14" s="1"/>
  <c r="K23" i="3"/>
  <c r="C13" i="5" s="1"/>
  <c r="D13" s="1"/>
  <c r="G13" s="1"/>
  <c r="K20" i="3"/>
  <c r="C10" i="5" s="1"/>
  <c r="D10" s="1"/>
  <c r="G10" s="1"/>
  <c r="K16" i="3"/>
  <c r="C6" i="5" s="1"/>
  <c r="D6" s="1"/>
  <c r="G6" s="1"/>
  <c r="G40" i="3"/>
  <c r="J40" s="1"/>
  <c r="K40" s="1"/>
  <c r="C30" i="5" s="1"/>
  <c r="D30" s="1"/>
  <c r="G30" s="1"/>
  <c r="K22" i="3" l="1"/>
  <c r="C12" i="5" s="1"/>
  <c r="D12" s="1"/>
  <c r="G12" s="1"/>
  <c r="AL49" i="2"/>
  <c r="AR15"/>
  <c r="K18" i="3"/>
  <c r="C8" i="5" s="1"/>
  <c r="D8" s="1"/>
  <c r="G8" s="1"/>
  <c r="K31" i="3"/>
  <c r="C21" i="5" s="1"/>
  <c r="D21" s="1"/>
  <c r="G21" s="1"/>
  <c r="K38" i="3"/>
  <c r="C28" i="5" s="1"/>
  <c r="D28" s="1"/>
  <c r="G28" s="1"/>
  <c r="K15" i="3"/>
  <c r="C5" i="5" s="1"/>
  <c r="D5" s="1"/>
  <c r="G5" s="1"/>
  <c r="M32" i="2"/>
  <c r="J45"/>
  <c r="O45"/>
  <c r="K25" i="3"/>
  <c r="C15" i="5" s="1"/>
  <c r="D15" s="1"/>
  <c r="G15" s="1"/>
  <c r="I45" i="2"/>
  <c r="K17"/>
  <c r="AO58"/>
  <c r="G21" i="3"/>
  <c r="J21" s="1"/>
  <c r="K21" s="1"/>
  <c r="C11" i="5" s="1"/>
  <c r="D11" s="1"/>
  <c r="G11" s="1"/>
  <c r="G37" i="3"/>
  <c r="J37" s="1"/>
  <c r="K37" s="1"/>
  <c r="C27" i="5" s="1"/>
  <c r="D27" s="1"/>
  <c r="G27" s="1"/>
  <c r="K29" i="3"/>
  <c r="C19" i="5" s="1"/>
  <c r="D19" s="1"/>
  <c r="G19" s="1"/>
  <c r="E13" i="3"/>
  <c r="C45"/>
  <c r="P29" i="2"/>
  <c r="Q29" s="1"/>
  <c r="P25"/>
  <c r="Q25" s="1"/>
  <c r="K19" i="3"/>
  <c r="C9" i="5" s="1"/>
  <c r="D9" s="1"/>
  <c r="G9" s="1"/>
  <c r="K35" i="3"/>
  <c r="C25" i="5" s="1"/>
  <c r="D25" s="1"/>
  <c r="G25" s="1"/>
  <c r="P21" i="2"/>
  <c r="Q21" s="1"/>
  <c r="P37"/>
  <c r="Q37" s="1"/>
  <c r="P17"/>
  <c r="Q17" s="1"/>
  <c r="P33"/>
  <c r="Q33" s="1"/>
  <c r="K27" i="3"/>
  <c r="C17" i="5" s="1"/>
  <c r="D17" s="1"/>
  <c r="G17" s="1"/>
  <c r="Q14" i="2"/>
  <c r="L17" l="1"/>
  <c r="L45" s="1"/>
  <c r="K45"/>
  <c r="M17"/>
  <c r="M45" s="1"/>
  <c r="Q45"/>
  <c r="P45"/>
  <c r="G13" i="3"/>
  <c r="E45"/>
  <c r="G45" l="1"/>
  <c r="J13"/>
  <c r="J45" l="1"/>
  <c r="K13"/>
  <c r="C3" i="5" l="1"/>
  <c r="D3" s="1"/>
  <c r="G3" s="1"/>
  <c r="K45" i="3"/>
</calcChain>
</file>

<file path=xl/sharedStrings.xml><?xml version="1.0" encoding="utf-8"?>
<sst xmlns="http://schemas.openxmlformats.org/spreadsheetml/2006/main" count="930" uniqueCount="242">
  <si>
    <t>Puesto</t>
  </si>
  <si>
    <t>TOTAL NOMINA</t>
  </si>
  <si>
    <t>PASA A NOMINA SEMANAL</t>
  </si>
  <si>
    <t>BAJAS DURANTE LA QUINCENA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</si>
  <si>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</si>
  <si>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</si>
  <si>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</si>
  <si>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</si>
  <si>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</si>
  <si>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</si>
  <si>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</si>
  <si>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</si>
  <si>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</si>
  <si>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</si>
  <si>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</si>
  <si>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</si>
  <si>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</si>
  <si>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</si>
  <si>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</si>
  <si>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</si>
  <si>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</si>
  <si>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</si>
  <si>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</si>
  <si>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</si>
  <si>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</si>
  <si>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</si>
  <si>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</si>
  <si>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</si>
  <si>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</si>
  <si>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devuelto a empresa</t>
  </si>
  <si>
    <t>CONSULTORES</t>
  </si>
  <si>
    <t>Servicios Prestados a :  ALECSA CELAYA S DE RL DE CV</t>
  </si>
  <si>
    <t>SINDICATO</t>
  </si>
  <si>
    <t>CORPORATIVO</t>
  </si>
  <si>
    <t>ADMON SERVICIO</t>
  </si>
  <si>
    <t>SEMINUEVOS</t>
  </si>
  <si>
    <t>VENTAS</t>
  </si>
  <si>
    <t>GOMEZ TORRES ROSAURA</t>
  </si>
  <si>
    <t>JARDINERO</t>
  </si>
  <si>
    <t>ASESOR DE SERVICIO</t>
  </si>
  <si>
    <t>ASESOR DE VENTAS</t>
  </si>
  <si>
    <t>COACH DE VENTAS</t>
  </si>
  <si>
    <t>OBSERVACIONES</t>
  </si>
  <si>
    <t>LEON CABELLO LUIS ALBERTO</t>
  </si>
  <si>
    <t>CAMARENA GAMEZ GUILLERMO</t>
  </si>
  <si>
    <t>CAZARES CHAIRES ERIKA</t>
  </si>
  <si>
    <t>CASAS VILLANUEVA MARIO</t>
  </si>
  <si>
    <t>ARELLANO ALVAREZ JAVIER</t>
  </si>
  <si>
    <t>ALFARO QUEZADA PABLO FRANCISCO</t>
  </si>
  <si>
    <t>CASTRO ROMERO LIZBETH</t>
  </si>
  <si>
    <t>GONZALEZ DUARTE DAVID</t>
  </si>
  <si>
    <t>HERRERA PARRA LUIS ENRIQUE</t>
  </si>
  <si>
    <t>ZARATE MARTINEZ RICARDO</t>
  </si>
  <si>
    <t>AA30</t>
  </si>
  <si>
    <t>AQ28</t>
  </si>
  <si>
    <t>AR02</t>
  </si>
  <si>
    <t>BJ00</t>
  </si>
  <si>
    <t>CC08</t>
  </si>
  <si>
    <t>CG22</t>
  </si>
  <si>
    <t>CR06</t>
  </si>
  <si>
    <t>GD09</t>
  </si>
  <si>
    <t>GG14</t>
  </si>
  <si>
    <t>GT22</t>
  </si>
  <si>
    <t>HP01</t>
  </si>
  <si>
    <t>HQ10</t>
  </si>
  <si>
    <t>LC03</t>
  </si>
  <si>
    <t>RL14</t>
  </si>
  <si>
    <t>RMR26</t>
  </si>
  <si>
    <t>TE10</t>
  </si>
  <si>
    <t>VV28</t>
  </si>
  <si>
    <t>ZM30</t>
  </si>
  <si>
    <t>No. Cuenta</t>
  </si>
  <si>
    <t>2983764567</t>
  </si>
  <si>
    <t>2948214670</t>
  </si>
  <si>
    <t>1482165252</t>
  </si>
  <si>
    <t>2717430477</t>
  </si>
  <si>
    <t>2799505563</t>
  </si>
  <si>
    <t>2730894303</t>
  </si>
  <si>
    <t>2952119943</t>
  </si>
  <si>
    <t>2763908836</t>
  </si>
  <si>
    <t>2863632784</t>
  </si>
  <si>
    <t>2845119553</t>
  </si>
  <si>
    <t>2875214688</t>
  </si>
  <si>
    <t>1499469494</t>
  </si>
  <si>
    <t>1457482116</t>
  </si>
  <si>
    <t>2872328917</t>
  </si>
  <si>
    <t>2735539994</t>
  </si>
  <si>
    <t>2986347665</t>
  </si>
  <si>
    <t>2885838584</t>
  </si>
  <si>
    <t>2906306063</t>
  </si>
  <si>
    <t>1473959848</t>
  </si>
  <si>
    <t>DIFERENCIA</t>
  </si>
  <si>
    <t>CARRANCO MANCERA VIRIDIANA</t>
  </si>
  <si>
    <t>GONZALEZ GARCIA LUIS ROBERTO</t>
  </si>
  <si>
    <t>Comisiones</t>
  </si>
  <si>
    <t>SGV</t>
  </si>
  <si>
    <t>OLIVEROS MALDONADO MIGUEL</t>
  </si>
  <si>
    <t>ANDRADE RODRIGUEZ MIGUEL ANGEL</t>
  </si>
  <si>
    <t>HERNANDEZ QUINTERO MARIA DE LA LUZ</t>
  </si>
  <si>
    <t>VENTURA SANTAMARIA EFRAIN ENRIQUE</t>
  </si>
  <si>
    <t>MONZON MARROQUIN JUAN ARCADIO</t>
  </si>
  <si>
    <t>0208632386 BANORTE</t>
  </si>
  <si>
    <t>Fecha de Ingreso</t>
  </si>
  <si>
    <t>DISPERSION</t>
  </si>
  <si>
    <t>BLANCO AMEZQUITA CECILIA</t>
  </si>
  <si>
    <t>CUENTA BANORTE</t>
  </si>
  <si>
    <t>FALTAS</t>
  </si>
  <si>
    <t>MARTINEZ GOMEZ KENT MARTIN</t>
  </si>
  <si>
    <t>WEB MASTER</t>
  </si>
  <si>
    <t>ORTEGA SOSA GUILLERMO</t>
  </si>
  <si>
    <t>GUTIERREZ OLVERA MARIHURI</t>
  </si>
  <si>
    <t>RODRIGUEZ MEDINA CESAR</t>
  </si>
  <si>
    <t>Periodo Semana 36</t>
  </si>
  <si>
    <t>31/08/2016 AL 06/09/2016</t>
  </si>
  <si>
    <t>TAPIA BOLAÑOS NANCY</t>
  </si>
  <si>
    <t>NUEVO INGRESO 05/09/2016 CUENTA EN TRAMITE</t>
  </si>
  <si>
    <t>CUENTA EN TRAMITE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</si>
  <si>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</si>
  <si>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</si>
  <si>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</si>
  <si>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</si>
  <si>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</si>
  <si>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</si>
  <si>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</si>
  <si>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</si>
  <si>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</si>
  <si>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</si>
  <si>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</si>
  <si>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</si>
  <si>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</si>
  <si>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</si>
  <si>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</si>
  <si>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</si>
  <si>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</si>
  <si>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</si>
  <si>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</si>
  <si>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</si>
  <si>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</si>
  <si>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</si>
  <si>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</si>
  <si>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</si>
  <si>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</si>
  <si>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</si>
  <si>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</si>
  <si>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</si>
  <si>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</si>
  <si>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</si>
  <si>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</si>
  <si>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</si>
  <si>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</si>
  <si>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</si>
  <si>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</si>
  <si>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</si>
  <si>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</si>
  <si>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</si>
  <si>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</si>
  <si>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</si>
  <si>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</si>
  <si>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</si>
  <si>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</si>
  <si>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</si>
  <si>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</si>
  <si>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</si>
  <si>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</si>
  <si>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</si>
  <si>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</si>
  <si>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</si>
  <si>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</si>
  <si>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</si>
  <si>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</si>
  <si>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</si>
  <si>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</si>
  <si>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</si>
  <si>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</si>
  <si>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</si>
  <si>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</si>
  <si>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</si>
  <si>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</si>
  <si>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</si>
  <si>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</si>
  <si>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</si>
  <si>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</si>
  <si>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</si>
  <si>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CONTPAQ i</t>
  </si>
  <si>
    <t xml:space="preserve"> </t>
  </si>
  <si>
    <t xml:space="preserve">      NÓMINAS</t>
  </si>
  <si>
    <t>05 INGENIERIA FISCAL LABORAL SC</t>
  </si>
  <si>
    <t>Lista de Raya (forma tabular)</t>
  </si>
  <si>
    <t>Periodo 36 al 36 Semanal del 31/08/2016 al 06/09/2016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</si>
  <si>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</si>
  <si>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</si>
  <si>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</si>
  <si>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</si>
  <si>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</si>
  <si>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</si>
  <si>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</si>
  <si>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</si>
  <si>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</si>
  <si>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</si>
  <si>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Préstamo Infonavit</t>
  </si>
  <si>
    <t>Deduccion general</t>
  </si>
  <si>
    <t>Ajuste al neto</t>
  </si>
  <si>
    <t>*TOTAL* *DEDUCCIONES*</t>
  </si>
  <si>
    <t>*NETO*</t>
  </si>
  <si>
    <t xml:space="preserve">    Reg. Pat. IMSS:  Z3422423106</t>
  </si>
  <si>
    <t>Departamento 1 1200X05</t>
  </si>
  <si>
    <t>Total Depto</t>
  </si>
  <si>
    <t xml:space="preserve">  -----------------------</t>
  </si>
  <si>
    <t xml:space="preserve">  =============</t>
  </si>
  <si>
    <t>Total Gral.</t>
  </si>
  <si>
    <t>FACTURA</t>
  </si>
  <si>
    <t>COMISIÓN / COMPENSACION</t>
  </si>
  <si>
    <t>descueno SGV</t>
  </si>
  <si>
    <t>2% NOMINA</t>
  </si>
  <si>
    <t>7.5 % COMISIÓN</t>
  </si>
  <si>
    <t>SUBTOTAL</t>
  </si>
  <si>
    <t>IVA</t>
  </si>
  <si>
    <t>TOTAL</t>
  </si>
  <si>
    <t>COMIONES</t>
  </si>
  <si>
    <t>Gonzalez Duarte David</t>
  </si>
  <si>
    <t>05 SINDICATO ASOCIACIÓN -- CELAYA</t>
  </si>
  <si>
    <t>SGMM</t>
  </si>
  <si>
    <t>APOYO</t>
  </si>
  <si>
    <t>OTROS 1</t>
  </si>
  <si>
    <t>OTROS 2</t>
  </si>
  <si>
    <t>NOMBRE</t>
  </si>
  <si>
    <t>NOMINA</t>
  </si>
  <si>
    <t>DISPERSIONES</t>
  </si>
  <si>
    <t>INGENIERIA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</si>
  <si>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</si>
  <si>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</si>
  <si>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</si>
  <si>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</si>
  <si>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</si>
  <si>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</si>
  <si>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</si>
  <si>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</si>
  <si>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</si>
  <si>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</si>
  <si>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</si>
  <si>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36</t>
  </si>
  <si>
    <t>31/08/2016 al 06/09/2016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</si>
</sst>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"/>
    <numFmt numFmtId="165" formatCode="&quot;$&quot;#,##0.00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43" fontId="2" fillId="0" borderId="0" applyFill="0" applyBorder="0" applyAlignment="0" applyProtection="0"/>
    <xf numFmtId="0" fontId="14" fillId="0" borderId="0"/>
    <xf numFmtId="0" fontId="4" fillId="0" borderId="0"/>
    <xf numFmtId="43" fontId="2" fillId="0" borderId="0" applyFill="0" applyBorder="0" applyAlignment="0" applyProtection="0"/>
  </cellStyleXfs>
  <cellXfs count="221">
    <xf numFmtId="0" fontId="0" fillId="0" borderId="0" xfId="0"/>
    <xf numFmtId="43" fontId="2" fillId="0" borderId="0" xfId="2"/>
    <xf numFmtId="43" fontId="6" fillId="0" borderId="1" xfId="2" applyFont="1" applyBorder="1"/>
    <xf numFmtId="43" fontId="6" fillId="3" borderId="1" xfId="2" applyFont="1" applyFill="1" applyBorder="1"/>
    <xf numFmtId="43" fontId="6" fillId="0" borderId="0" xfId="2" applyFont="1"/>
    <xf numFmtId="0" fontId="7" fillId="0" borderId="0" xfId="4" applyFont="1" applyFill="1" applyAlignment="1" applyProtection="1">
      <alignment horizontal="left"/>
    </xf>
    <xf numFmtId="0" fontId="7" fillId="0" borderId="0" xfId="4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0" fontId="9" fillId="0" borderId="0" xfId="4" applyFont="1" applyFill="1" applyAlignment="1" applyProtection="1">
      <alignment horizontal="left"/>
    </xf>
    <xf numFmtId="0" fontId="9" fillId="0" borderId="0" xfId="4" applyFont="1" applyFill="1" applyAlignment="1" applyProtection="1">
      <alignment horizontal="center"/>
    </xf>
    <xf numFmtId="15" fontId="7" fillId="0" borderId="0" xfId="4" applyNumberFormat="1" applyFont="1" applyFill="1" applyAlignment="1" applyProtection="1">
      <alignment horizontal="left"/>
    </xf>
    <xf numFmtId="15" fontId="7" fillId="0" borderId="0" xfId="4" applyNumberFormat="1" applyFont="1" applyFill="1" applyAlignment="1" applyProtection="1">
      <alignment horizontal="center"/>
    </xf>
    <xf numFmtId="0" fontId="8" fillId="0" borderId="0" xfId="0" applyFont="1"/>
    <xf numFmtId="43" fontId="8" fillId="0" borderId="0" xfId="2" applyFont="1"/>
    <xf numFmtId="43" fontId="8" fillId="4" borderId="1" xfId="2" applyFont="1" applyFill="1" applyBorder="1" applyAlignment="1">
      <alignment horizontal="center" wrapText="1"/>
    </xf>
    <xf numFmtId="43" fontId="8" fillId="4" borderId="2" xfId="2" applyFont="1" applyFill="1" applyBorder="1" applyAlignment="1">
      <alignment horizontal="center" wrapText="1"/>
    </xf>
    <xf numFmtId="0" fontId="8" fillId="0" borderId="0" xfId="0" applyFont="1" applyFill="1"/>
    <xf numFmtId="43" fontId="8" fillId="4" borderId="3" xfId="2" applyFont="1" applyFill="1" applyBorder="1" applyAlignment="1">
      <alignment horizontal="center" vertical="center" wrapText="1"/>
    </xf>
    <xf numFmtId="0" fontId="6" fillId="0" borderId="1" xfId="0" applyFont="1" applyBorder="1"/>
    <xf numFmtId="43" fontId="15" fillId="3" borderId="1" xfId="2" applyFont="1" applyFill="1" applyBorder="1"/>
    <xf numFmtId="43" fontId="8" fillId="5" borderId="1" xfId="2" applyFont="1" applyFill="1" applyBorder="1"/>
    <xf numFmtId="43" fontId="6" fillId="6" borderId="1" xfId="2" applyFont="1" applyFill="1" applyBorder="1"/>
    <xf numFmtId="43" fontId="6" fillId="7" borderId="1" xfId="2" applyFont="1" applyFill="1" applyBorder="1" applyAlignment="1">
      <alignment horizontal="center"/>
    </xf>
    <xf numFmtId="43" fontId="6" fillId="0" borderId="1" xfId="2" applyFont="1" applyFill="1" applyBorder="1" applyAlignment="1">
      <alignment horizontal="center"/>
    </xf>
    <xf numFmtId="43" fontId="6" fillId="8" borderId="1" xfId="2" applyFont="1" applyFill="1" applyBorder="1" applyAlignment="1">
      <alignment horizontal="center"/>
    </xf>
    <xf numFmtId="0" fontId="6" fillId="0" borderId="0" xfId="0" applyFont="1" applyFill="1"/>
    <xf numFmtId="43" fontId="6" fillId="0" borderId="0" xfId="0" applyNumberFormat="1" applyFont="1" applyFill="1"/>
    <xf numFmtId="0" fontId="6" fillId="0" borderId="0" xfId="0" applyFont="1"/>
    <xf numFmtId="0" fontId="6" fillId="3" borderId="1" xfId="0" applyFont="1" applyFill="1" applyBorder="1"/>
    <xf numFmtId="0" fontId="6" fillId="9" borderId="0" xfId="0" applyFont="1" applyFill="1"/>
    <xf numFmtId="0" fontId="8" fillId="0" borderId="1" xfId="0" applyFont="1" applyFill="1" applyBorder="1"/>
    <xf numFmtId="0" fontId="6" fillId="0" borderId="4" xfId="0" applyFont="1" applyFill="1" applyBorder="1"/>
    <xf numFmtId="43" fontId="6" fillId="0" borderId="4" xfId="2" applyFont="1" applyFill="1" applyBorder="1"/>
    <xf numFmtId="43" fontId="8" fillId="0" borderId="1" xfId="2" applyFont="1" applyFill="1" applyBorder="1"/>
    <xf numFmtId="43" fontId="8" fillId="0" borderId="4" xfId="2" applyFont="1" applyFill="1" applyBorder="1"/>
    <xf numFmtId="0" fontId="8" fillId="0" borderId="5" xfId="0" applyFont="1" applyBorder="1"/>
    <xf numFmtId="43" fontId="8" fillId="0" borderId="5" xfId="2" applyFont="1" applyBorder="1"/>
    <xf numFmtId="0" fontId="16" fillId="0" borderId="0" xfId="0" applyFont="1"/>
    <xf numFmtId="43" fontId="8" fillId="0" borderId="0" xfId="2" applyFont="1" applyBorder="1"/>
    <xf numFmtId="43" fontId="8" fillId="5" borderId="0" xfId="2" applyFont="1" applyFill="1" applyBorder="1"/>
    <xf numFmtId="43" fontId="8" fillId="4" borderId="4" xfId="2" applyFont="1" applyFill="1" applyBorder="1" applyAlignment="1">
      <alignment horizontal="center" wrapText="1"/>
    </xf>
    <xf numFmtId="43" fontId="8" fillId="4" borderId="4" xfId="2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horizontal="right"/>
    </xf>
    <xf numFmtId="43" fontId="6" fillId="0" borderId="6" xfId="2" applyFont="1" applyBorder="1"/>
    <xf numFmtId="43" fontId="6" fillId="3" borderId="6" xfId="2" applyFont="1" applyFill="1" applyBorder="1"/>
    <xf numFmtId="43" fontId="15" fillId="3" borderId="6" xfId="2" applyFont="1" applyFill="1" applyBorder="1"/>
    <xf numFmtId="43" fontId="8" fillId="5" borderId="6" xfId="2" applyFont="1" applyFill="1" applyBorder="1"/>
    <xf numFmtId="43" fontId="6" fillId="6" borderId="6" xfId="2" applyFont="1" applyFill="1" applyBorder="1"/>
    <xf numFmtId="43" fontId="6" fillId="7" borderId="6" xfId="2" applyFont="1" applyFill="1" applyBorder="1" applyAlignment="1">
      <alignment horizontal="center"/>
    </xf>
    <xf numFmtId="43" fontId="6" fillId="0" borderId="6" xfId="2" applyFont="1" applyFill="1" applyBorder="1" applyAlignment="1">
      <alignment horizontal="center"/>
    </xf>
    <xf numFmtId="43" fontId="6" fillId="8" borderId="6" xfId="2" applyFont="1" applyFill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43" fontId="6" fillId="0" borderId="7" xfId="2" applyFont="1" applyBorder="1"/>
    <xf numFmtId="43" fontId="6" fillId="3" borderId="7" xfId="2" applyFont="1" applyFill="1" applyBorder="1"/>
    <xf numFmtId="43" fontId="15" fillId="3" borderId="7" xfId="2" applyFont="1" applyFill="1" applyBorder="1"/>
    <xf numFmtId="43" fontId="8" fillId="5" borderId="7" xfId="2" applyFont="1" applyFill="1" applyBorder="1"/>
    <xf numFmtId="43" fontId="6" fillId="7" borderId="7" xfId="2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6" fillId="8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6" fillId="0" borderId="7" xfId="0" applyFont="1" applyFill="1" applyBorder="1" applyAlignment="1">
      <alignment horizontal="left"/>
    </xf>
    <xf numFmtId="0" fontId="6" fillId="9" borderId="7" xfId="0" applyFont="1" applyFill="1" applyBorder="1"/>
    <xf numFmtId="0" fontId="6" fillId="0" borderId="7" xfId="0" applyFont="1" applyFill="1" applyBorder="1" applyAlignment="1">
      <alignment horizontal="right"/>
    </xf>
    <xf numFmtId="12" fontId="6" fillId="3" borderId="7" xfId="2" applyNumberFormat="1" applyFont="1" applyFill="1" applyBorder="1"/>
    <xf numFmtId="43" fontId="6" fillId="5" borderId="7" xfId="2" applyFont="1" applyFill="1" applyBorder="1"/>
    <xf numFmtId="14" fontId="8" fillId="0" borderId="7" xfId="0" applyNumberFormat="1" applyFont="1" applyFill="1" applyBorder="1"/>
    <xf numFmtId="0" fontId="6" fillId="0" borderId="6" xfId="0" applyFont="1" applyFill="1" applyBorder="1"/>
    <xf numFmtId="0" fontId="6" fillId="0" borderId="6" xfId="0" applyFont="1" applyFill="1" applyBorder="1" applyAlignment="1">
      <alignment horizontal="right"/>
    </xf>
    <xf numFmtId="0" fontId="8" fillId="0" borderId="7" xfId="0" applyFont="1" applyFill="1" applyBorder="1"/>
    <xf numFmtId="4" fontId="6" fillId="0" borderId="7" xfId="0" applyNumberFormat="1" applyFont="1" applyBorder="1" applyAlignment="1">
      <alignment wrapText="1"/>
    </xf>
    <xf numFmtId="4" fontId="17" fillId="10" borderId="7" xfId="0" applyNumberFormat="1" applyFont="1" applyFill="1" applyBorder="1" applyAlignment="1">
      <alignment horizontal="right" wrapText="1"/>
    </xf>
    <xf numFmtId="3" fontId="8" fillId="4" borderId="1" xfId="0" applyNumberFormat="1" applyFont="1" applyFill="1" applyBorder="1"/>
    <xf numFmtId="3" fontId="8" fillId="4" borderId="4" xfId="0" applyNumberFormat="1" applyFont="1" applyFill="1" applyBorder="1"/>
    <xf numFmtId="164" fontId="18" fillId="0" borderId="7" xfId="0" applyNumberFormat="1" applyFont="1" applyFill="1" applyBorder="1" applyAlignment="1">
      <alignment horizontal="left" vertical="center"/>
    </xf>
    <xf numFmtId="43" fontId="6" fillId="0" borderId="7" xfId="0" applyNumberFormat="1" applyFont="1" applyFill="1" applyBorder="1"/>
    <xf numFmtId="0" fontId="6" fillId="0" borderId="7" xfId="0" applyFont="1" applyBorder="1" applyAlignment="1">
      <alignment wrapText="1"/>
    </xf>
    <xf numFmtId="43" fontId="2" fillId="0" borderId="7" xfId="2" applyBorder="1"/>
    <xf numFmtId="43" fontId="2" fillId="0" borderId="7" xfId="2" applyFill="1" applyBorder="1"/>
    <xf numFmtId="0" fontId="6" fillId="11" borderId="7" xfId="0" applyFont="1" applyFill="1" applyBorder="1" applyAlignment="1">
      <alignment wrapText="1"/>
    </xf>
    <xf numFmtId="4" fontId="6" fillId="11" borderId="7" xfId="0" applyNumberFormat="1" applyFont="1" applyFill="1" applyBorder="1" applyAlignment="1">
      <alignment wrapText="1"/>
    </xf>
    <xf numFmtId="43" fontId="6" fillId="11" borderId="7" xfId="0" applyNumberFormat="1" applyFont="1" applyFill="1" applyBorder="1"/>
    <xf numFmtId="0" fontId="6" fillId="11" borderId="0" xfId="0" applyFont="1" applyFill="1"/>
    <xf numFmtId="43" fontId="8" fillId="4" borderId="1" xfId="2" applyFont="1" applyFill="1" applyBorder="1" applyAlignment="1">
      <alignment horizontal="center" wrapText="1"/>
    </xf>
    <xf numFmtId="43" fontId="8" fillId="4" borderId="4" xfId="2" applyFont="1" applyFill="1" applyBorder="1" applyAlignment="1">
      <alignment horizontal="center" wrapText="1"/>
    </xf>
    <xf numFmtId="43" fontId="3" fillId="0" borderId="0" xfId="2" applyFont="1"/>
    <xf numFmtId="43" fontId="3" fillId="0" borderId="7" xfId="2" applyFont="1" applyFill="1" applyBorder="1"/>
    <xf numFmtId="43" fontId="3" fillId="0" borderId="7" xfId="2" applyFont="1" applyBorder="1"/>
    <xf numFmtId="43" fontId="3" fillId="0" borderId="7" xfId="2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/>
    </xf>
    <xf numFmtId="0" fontId="6" fillId="11" borderId="7" xfId="0" applyFont="1" applyFill="1" applyBorder="1"/>
    <xf numFmtId="0" fontId="6" fillId="11" borderId="7" xfId="0" applyFont="1" applyFill="1" applyBorder="1" applyAlignment="1">
      <alignment horizontal="right"/>
    </xf>
    <xf numFmtId="164" fontId="18" fillId="11" borderId="7" xfId="0" applyNumberFormat="1" applyFont="1" applyFill="1" applyBorder="1" applyAlignment="1">
      <alignment horizontal="left" vertical="center"/>
    </xf>
    <xf numFmtId="43" fontId="3" fillId="11" borderId="7" xfId="2" applyFont="1" applyFill="1" applyBorder="1"/>
    <xf numFmtId="43" fontId="6" fillId="11" borderId="7" xfId="2" applyFont="1" applyFill="1" applyBorder="1"/>
    <xf numFmtId="43" fontId="15" fillId="11" borderId="7" xfId="2" applyFont="1" applyFill="1" applyBorder="1"/>
    <xf numFmtId="0" fontId="8" fillId="11" borderId="7" xfId="2" applyNumberFormat="1" applyFont="1" applyFill="1" applyBorder="1" applyAlignment="1">
      <alignment horizontal="center"/>
    </xf>
    <xf numFmtId="43" fontId="6" fillId="11" borderId="7" xfId="2" applyFont="1" applyFill="1" applyBorder="1" applyAlignment="1">
      <alignment horizontal="center"/>
    </xf>
    <xf numFmtId="43" fontId="8" fillId="4" borderId="1" xfId="2" applyFont="1" applyFill="1" applyBorder="1" applyAlignment="1">
      <alignment horizontal="center" wrapText="1"/>
    </xf>
    <xf numFmtId="43" fontId="8" fillId="4" borderId="4" xfId="2" applyFont="1" applyFill="1" applyBorder="1" applyAlignment="1">
      <alignment horizontal="center" wrapText="1"/>
    </xf>
    <xf numFmtId="3" fontId="8" fillId="4" borderId="1" xfId="0" applyNumberFormat="1" applyFont="1" applyFill="1" applyBorder="1"/>
    <xf numFmtId="3" fontId="8" fillId="4" borderId="4" xfId="0" applyNumberFormat="1" applyFont="1" applyFill="1" applyBorder="1"/>
    <xf numFmtId="0" fontId="19" fillId="0" borderId="0" xfId="3" applyFont="1"/>
    <xf numFmtId="49" fontId="19" fillId="0" borderId="0" xfId="3" applyNumberFormat="1" applyFont="1"/>
    <xf numFmtId="0" fontId="14" fillId="0" borderId="0" xfId="3"/>
    <xf numFmtId="0" fontId="19" fillId="0" borderId="0" xfId="3" applyFont="1"/>
    <xf numFmtId="49" fontId="19" fillId="0" borderId="0" xfId="3" applyNumberFormat="1" applyFont="1"/>
    <xf numFmtId="49" fontId="21" fillId="0" borderId="0" xfId="3" applyNumberFormat="1" applyFont="1" applyAlignment="1">
      <alignment horizontal="centerContinuous"/>
    </xf>
    <xf numFmtId="49" fontId="22" fillId="0" borderId="0" xfId="3" applyNumberFormat="1" applyFont="1" applyAlignment="1">
      <alignment horizontal="centerContinuous" vertical="top"/>
    </xf>
    <xf numFmtId="0" fontId="20" fillId="0" borderId="0" xfId="3" applyFont="1" applyAlignment="1">
      <alignment horizont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19" fillId="0" borderId="0" xfId="3" applyFont="1" applyAlignment="1">
      <alignment horizontal="left"/>
    </xf>
    <xf numFmtId="0" fontId="19" fillId="0" borderId="0" xfId="3" applyFont="1" applyAlignment="1">
      <alignment horizontal="right"/>
    </xf>
    <xf numFmtId="49" fontId="26" fillId="2" borderId="16" xfId="3" applyNumberFormat="1" applyFont="1" applyFill="1" applyBorder="1" applyAlignment="1">
      <alignment horizontal="center" wrapText="1"/>
    </xf>
    <xf numFmtId="0" fontId="26" fillId="2" borderId="16" xfId="3" applyFont="1" applyFill="1" applyBorder="1" applyAlignment="1">
      <alignment horizontal="center" wrapText="1"/>
    </xf>
    <xf numFmtId="0" fontId="10" fillId="2" borderId="16" xfId="3" applyFont="1" applyFill="1" applyBorder="1" applyAlignment="1">
      <alignment horizontal="center" wrapText="1"/>
    </xf>
    <xf numFmtId="49" fontId="26" fillId="0" borderId="0" xfId="3" applyNumberFormat="1" applyFont="1"/>
    <xf numFmtId="49" fontId="11" fillId="0" borderId="0" xfId="3" applyNumberFormat="1" applyFont="1"/>
    <xf numFmtId="165" fontId="19" fillId="0" borderId="0" xfId="3" applyNumberFormat="1" applyFont="1"/>
    <xf numFmtId="165" fontId="12" fillId="0" borderId="0" xfId="3" applyNumberFormat="1" applyFont="1"/>
    <xf numFmtId="49" fontId="19" fillId="0" borderId="0" xfId="3" applyNumberFormat="1" applyFont="1" applyAlignment="1">
      <alignment horizontal="right"/>
    </xf>
    <xf numFmtId="49" fontId="26" fillId="0" borderId="0" xfId="3" applyNumberFormat="1" applyFont="1" applyAlignment="1">
      <alignment horizontal="left"/>
    </xf>
    <xf numFmtId="0" fontId="26" fillId="0" borderId="0" xfId="3" applyFont="1"/>
    <xf numFmtId="165" fontId="26" fillId="0" borderId="0" xfId="3" applyNumberFormat="1" applyFont="1"/>
    <xf numFmtId="165" fontId="13" fillId="0" borderId="0" xfId="3" applyNumberFormat="1" applyFont="1"/>
    <xf numFmtId="0" fontId="0" fillId="0" borderId="0" xfId="0" applyAlignment="1"/>
    <xf numFmtId="0" fontId="19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8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/>
    <xf numFmtId="165" fontId="26" fillId="0" borderId="0" xfId="0" applyNumberFormat="1" applyFont="1"/>
    <xf numFmtId="0" fontId="19" fillId="0" borderId="0" xfId="0" applyFont="1" applyAlignment="1">
      <alignment horizontal="right"/>
    </xf>
    <xf numFmtId="165" fontId="26" fillId="0" borderId="15" xfId="0" applyNumberFormat="1" applyFont="1" applyBorder="1"/>
    <xf numFmtId="0" fontId="26" fillId="0" borderId="0" xfId="0" applyFont="1"/>
    <xf numFmtId="43" fontId="19" fillId="0" borderId="0" xfId="2" applyFont="1"/>
    <xf numFmtId="3" fontId="8" fillId="4" borderId="0" xfId="0" applyNumberFormat="1" applyFont="1" applyFill="1" applyBorder="1"/>
    <xf numFmtId="43" fontId="8" fillId="4" borderId="0" xfId="2" applyFont="1" applyFill="1" applyBorder="1" applyAlignment="1">
      <alignment horizontal="center" wrapText="1"/>
    </xf>
    <xf numFmtId="43" fontId="8" fillId="4" borderId="0" xfId="2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164" fontId="18" fillId="0" borderId="0" xfId="0" applyNumberFormat="1" applyFont="1" applyFill="1" applyBorder="1" applyAlignment="1">
      <alignment horizontal="left" vertical="center"/>
    </xf>
    <xf numFmtId="43" fontId="3" fillId="0" borderId="0" xfId="2" applyFont="1" applyBorder="1"/>
    <xf numFmtId="43" fontId="6" fillId="3" borderId="0" xfId="2" applyFont="1" applyFill="1" applyBorder="1"/>
    <xf numFmtId="43" fontId="15" fillId="3" borderId="0" xfId="2" applyFont="1" applyFill="1" applyBorder="1"/>
    <xf numFmtId="0" fontId="8" fillId="0" borderId="0" xfId="2" applyNumberFormat="1" applyFont="1" applyFill="1" applyBorder="1" applyAlignment="1">
      <alignment horizontal="center"/>
    </xf>
    <xf numFmtId="43" fontId="6" fillId="7" borderId="0" xfId="2" applyFont="1" applyFill="1" applyBorder="1" applyAlignment="1">
      <alignment horizontal="center"/>
    </xf>
    <xf numFmtId="43" fontId="6" fillId="0" borderId="0" xfId="2" applyFont="1" applyBorder="1"/>
    <xf numFmtId="43" fontId="6" fillId="0" borderId="0" xfId="2" applyFont="1" applyFill="1" applyBorder="1" applyAlignment="1">
      <alignment horizontal="center"/>
    </xf>
    <xf numFmtId="43" fontId="6" fillId="8" borderId="0" xfId="2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43" fontId="6" fillId="0" borderId="0" xfId="0" applyNumberFormat="1" applyFont="1" applyFill="1" applyBorder="1"/>
    <xf numFmtId="0" fontId="8" fillId="0" borderId="0" xfId="0" applyFont="1" applyFill="1" applyBorder="1"/>
    <xf numFmtId="49" fontId="21" fillId="0" borderId="0" xfId="0" applyNumberFormat="1" applyFont="1" applyAlignment="1">
      <alignment horizontal="centerContinuous"/>
    </xf>
    <xf numFmtId="49" fontId="22" fillId="0" borderId="0" xfId="0" applyNumberFormat="1" applyFont="1" applyAlignment="1">
      <alignment horizontal="centerContinuous" vertical="top"/>
    </xf>
    <xf numFmtId="0" fontId="23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 applyAlignment="1">
      <alignment horizontal="left"/>
    </xf>
    <xf numFmtId="49" fontId="26" fillId="2" borderId="16" xfId="0" applyNumberFormat="1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49" fontId="11" fillId="0" borderId="0" xfId="0" applyNumberFormat="1" applyFont="1"/>
    <xf numFmtId="49" fontId="26" fillId="0" borderId="0" xfId="0" applyNumberFormat="1" applyFont="1"/>
    <xf numFmtId="49" fontId="19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165" fontId="0" fillId="0" borderId="0" xfId="0" applyNumberFormat="1"/>
    <xf numFmtId="49" fontId="26" fillId="2" borderId="16" xfId="3" applyNumberFormat="1" applyFont="1" applyFill="1" applyBorder="1" applyAlignment="1">
      <alignment horizontal="center" vertical="center" wrapText="1"/>
    </xf>
    <xf numFmtId="0" fontId="26" fillId="2" borderId="16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3" fontId="8" fillId="4" borderId="9" xfId="2" applyFont="1" applyFill="1" applyBorder="1" applyAlignment="1">
      <alignment horizontal="center" wrapText="1"/>
    </xf>
    <xf numFmtId="43" fontId="8" fillId="4" borderId="10" xfId="2" applyFont="1" applyFill="1" applyBorder="1" applyAlignment="1">
      <alignment horizontal="center" wrapText="1"/>
    </xf>
    <xf numFmtId="0" fontId="8" fillId="12" borderId="3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43" fontId="8" fillId="4" borderId="1" xfId="2" applyFont="1" applyFill="1" applyBorder="1" applyAlignment="1">
      <alignment horizontal="center" wrapText="1"/>
    </xf>
    <xf numFmtId="43" fontId="8" fillId="4" borderId="4" xfId="2" applyFont="1" applyFill="1" applyBorder="1" applyAlignment="1">
      <alignment horizont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3" fontId="8" fillId="4" borderId="1" xfId="0" applyNumberFormat="1" applyFont="1" applyFill="1" applyBorder="1"/>
    <xf numFmtId="3" fontId="8" fillId="4" borderId="4" xfId="0" applyNumberFormat="1" applyFont="1" applyFill="1" applyBorder="1"/>
    <xf numFmtId="0" fontId="20" fillId="0" borderId="0" xfId="3" applyFont="1" applyAlignment="1">
      <alignment horizontal="center"/>
    </xf>
    <xf numFmtId="0" fontId="14" fillId="0" borderId="0" xfId="3" applyAlignment="1"/>
    <xf numFmtId="0" fontId="23" fillId="0" borderId="0" xfId="3" applyFont="1" applyAlignment="1">
      <alignment horizontal="center" vertical="center"/>
    </xf>
    <xf numFmtId="0" fontId="14" fillId="0" borderId="0" xfId="3" applyAlignment="1">
      <alignment horizontal="center" vertical="center"/>
    </xf>
    <xf numFmtId="0" fontId="24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12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7" xfId="0" applyFill="1" applyBorder="1" applyAlignment="1">
      <alignment horizontal="center" vertical="center"/>
    </xf>
    <xf numFmtId="0" fontId="30" fillId="0" borderId="18" xfId="0" applyFont="1" applyBorder="1"/>
    <xf numFmtId="0" fontId="29" fillId="0" borderId="18" xfId="0" applyFont="1" applyBorder="1"/>
    <xf numFmtId="0" fontId="0" fillId="0" borderId="18" xfId="0" applyFont="1" applyBorder="1"/>
    <xf numFmtId="0" fontId="0" fillId="0" borderId="18" xfId="0" applyBorder="1"/>
    <xf numFmtId="14" fontId="30" fillId="0" borderId="18" xfId="0" applyNumberFormat="1" applyFont="1" applyBorder="1"/>
    <xf numFmtId="43" fontId="1" fillId="0" borderId="18" xfId="5" applyFont="1" applyBorder="1"/>
    <xf numFmtId="43" fontId="1" fillId="0" borderId="19" xfId="5" applyFont="1" applyBorder="1"/>
    <xf numFmtId="43" fontId="1" fillId="0" borderId="20" xfId="5" applyFont="1" applyBorder="1"/>
    <xf numFmtId="43" fontId="1" fillId="0" borderId="21" xfId="5" applyFont="1" applyBorder="1"/>
    <xf numFmtId="43" fontId="29" fillId="0" borderId="20" xfId="5" applyFont="1" applyBorder="1"/>
  </cellXfs>
  <cellStyles count="6">
    <cellStyle name="Excel Built-in Normal" xfId="1"/>
    <cellStyle name="Millares" xfId="2" builtinId="3"/>
    <cellStyle name="Millares 2 3" xfId="5"/>
    <cellStyle name="Normal" xfId="0" builtinId="0"/>
    <cellStyle name="Normal 2" xfId="3"/>
    <cellStyle name="Normal_Hoja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07"/>
  <sheetViews>
    <sheetView workbookViewId="0">
      <pane xSplit="2" ySplit="13" topLeftCell="J14" activePane="bottomRight" state="frozen"/>
      <selection pane="topRight" activeCell="C1" sqref="C1"/>
      <selection pane="bottomLeft" activeCell="A14" sqref="A14"/>
      <selection pane="bottomRight" activeCell="O17" sqref="O17"/>
    </sheetView>
  </sheetViews>
  <sheetFormatPr baseColWidth="10" defaultRowHeight="15"/>
  <cols>
    <col min="2" max="2" width="30.85546875" bestFit="1" customWidth="1"/>
    <col min="4" max="4" width="14.28515625" style="133" customWidth="1"/>
    <col min="5" max="5" width="0.85546875" style="133" customWidth="1"/>
    <col min="6" max="6" width="2.85546875" style="133" customWidth="1"/>
    <col min="7" max="7" width="11.140625" style="133" bestFit="1" customWidth="1"/>
    <col min="8" max="8" width="8.5703125" style="133" customWidth="1"/>
    <col min="9" max="9" width="9.7109375" style="133" bestFit="1" customWidth="1"/>
    <col min="10" max="10" width="8.7109375" style="133" bestFit="1" customWidth="1"/>
    <col min="11" max="11" width="9.28515625" style="133" bestFit="1" customWidth="1"/>
    <col min="12" max="12" width="7.85546875" style="133" bestFit="1" customWidth="1"/>
    <col min="13" max="13" width="8.7109375" style="133" bestFit="1" customWidth="1"/>
    <col min="14" max="14" width="4.5703125" style="133" customWidth="1"/>
    <col min="15" max="15" width="14.42578125" style="133" customWidth="1"/>
    <col min="16" max="16" width="12.85546875" style="133" customWidth="1"/>
    <col min="17" max="17" width="10.140625" style="133" customWidth="1"/>
    <col min="18" max="18" width="11.42578125" style="133"/>
    <col min="20" max="20" width="28.7109375" style="30" customWidth="1"/>
    <col min="21" max="21" width="43.85546875" style="30" customWidth="1"/>
    <col min="22" max="22" width="8.85546875" style="30" customWidth="1"/>
    <col min="23" max="23" width="21.140625" style="30" bestFit="1" customWidth="1"/>
    <col min="24" max="24" width="28.5703125" style="30" bestFit="1" customWidth="1"/>
    <col min="25" max="26" width="18.42578125" style="4" customWidth="1"/>
    <col min="27" max="28" width="13.5703125" style="4" customWidth="1"/>
    <col min="29" max="29" width="17" style="16" customWidth="1"/>
    <col min="30" max="35" width="13.5703125" style="4" customWidth="1"/>
    <col min="36" max="36" width="16.7109375" style="16" customWidth="1"/>
    <col min="37" max="37" width="16.7109375" style="4" customWidth="1"/>
    <col min="38" max="38" width="15.42578125" style="16" customWidth="1"/>
    <col min="39" max="40" width="13.5703125" style="4" hidden="1" customWidth="1"/>
    <col min="41" max="41" width="15.42578125" style="16" hidden="1" customWidth="1"/>
    <col min="42" max="42" width="23.140625" style="30" hidden="1" customWidth="1"/>
    <col min="43" max="43" width="17.85546875" style="30" hidden="1" customWidth="1"/>
    <col min="44" max="44" width="22.5703125" style="30" hidden="1" customWidth="1"/>
    <col min="45" max="45" width="50.85546875" style="30" bestFit="1" customWidth="1"/>
    <col min="46" max="46" width="28.42578125" style="30" customWidth="1"/>
    <col min="47" max="48" width="11.5703125" style="30" customWidth="1"/>
    <col min="49" max="49" width="29" style="30" bestFit="1" customWidth="1"/>
    <col min="50" max="54" width="11.42578125" style="30"/>
  </cols>
  <sheetData>
    <row r="1" spans="1:54">
      <c r="A1" s="112" t="s">
        <v>183</v>
      </c>
      <c r="B1" s="114" t="s">
        <v>184</v>
      </c>
      <c r="C1" s="109"/>
      <c r="D1" s="132"/>
      <c r="E1" s="132"/>
      <c r="F1" s="132"/>
      <c r="G1"/>
      <c r="H1"/>
      <c r="I1"/>
      <c r="J1"/>
      <c r="K1"/>
      <c r="L1"/>
      <c r="M1"/>
      <c r="N1"/>
      <c r="O1"/>
      <c r="P1"/>
      <c r="Q1"/>
      <c r="T1" s="5" t="s">
        <v>4</v>
      </c>
      <c r="U1" s="5"/>
      <c r="V1" s="5"/>
      <c r="W1" s="5"/>
      <c r="X1" s="6"/>
      <c r="Y1" s="7"/>
      <c r="Z1" s="7"/>
      <c r="AA1" s="7"/>
      <c r="AB1" s="7"/>
      <c r="AC1" s="8"/>
      <c r="AD1" s="7"/>
      <c r="AE1" s="7"/>
      <c r="AF1" s="7"/>
      <c r="AG1" s="7"/>
      <c r="AH1" s="7"/>
      <c r="AI1" s="7"/>
      <c r="AJ1" s="8"/>
      <c r="AK1" s="7"/>
      <c r="AL1" s="8"/>
      <c r="AM1" s="7"/>
      <c r="AN1" s="7"/>
      <c r="AO1" s="8"/>
      <c r="AP1" s="9"/>
      <c r="AQ1" s="9"/>
      <c r="AR1" s="9"/>
      <c r="AS1" s="10"/>
      <c r="AT1" s="9"/>
      <c r="AU1" s="9"/>
      <c r="AV1" s="9"/>
      <c r="AW1" s="9"/>
      <c r="AX1" s="9"/>
      <c r="AY1" s="9"/>
      <c r="AZ1" s="9"/>
      <c r="BA1" s="9"/>
      <c r="BB1" s="9"/>
    </row>
    <row r="2" spans="1:54" ht="18">
      <c r="A2" s="113" t="s">
        <v>185</v>
      </c>
      <c r="B2" s="115" t="s">
        <v>186</v>
      </c>
      <c r="C2" s="109"/>
      <c r="D2" s="134"/>
      <c r="E2" s="134"/>
      <c r="F2" s="134"/>
      <c r="G2"/>
      <c r="H2"/>
      <c r="I2"/>
      <c r="J2"/>
      <c r="K2"/>
      <c r="L2"/>
      <c r="M2"/>
      <c r="N2"/>
      <c r="O2"/>
      <c r="P2"/>
      <c r="Q2"/>
      <c r="T2" s="11" t="s">
        <v>31</v>
      </c>
      <c r="U2" s="11"/>
      <c r="V2" s="11"/>
      <c r="W2" s="11"/>
      <c r="X2" s="12"/>
      <c r="Y2" s="7"/>
      <c r="Z2" s="7"/>
      <c r="AA2" s="7"/>
      <c r="AB2" s="7"/>
      <c r="AC2" s="8"/>
      <c r="AD2" s="7" t="s">
        <v>29</v>
      </c>
      <c r="AE2" s="7"/>
      <c r="AF2" s="7"/>
      <c r="AG2" s="7"/>
      <c r="AH2" s="7"/>
      <c r="AI2" s="7"/>
      <c r="AJ2" s="8"/>
      <c r="AK2" s="7"/>
      <c r="AL2" s="8"/>
      <c r="AM2" s="7"/>
      <c r="AN2" s="7"/>
      <c r="AO2" s="8"/>
      <c r="AP2" s="9"/>
      <c r="AQ2" s="9"/>
      <c r="AR2" s="9"/>
      <c r="AS2" s="10"/>
      <c r="AT2" s="9"/>
      <c r="AU2" s="9"/>
      <c r="AV2" s="9"/>
      <c r="AW2" s="9"/>
      <c r="AX2" s="9"/>
      <c r="AY2" s="9"/>
      <c r="AZ2" s="9"/>
      <c r="BA2" s="9"/>
      <c r="BB2" s="9"/>
    </row>
    <row r="3" spans="1:54" ht="15.75">
      <c r="A3" s="109"/>
      <c r="B3" s="116" t="s">
        <v>187</v>
      </c>
      <c r="C3" s="109"/>
      <c r="D3" s="132"/>
      <c r="E3" s="132"/>
      <c r="F3" s="132"/>
      <c r="G3"/>
      <c r="H3"/>
      <c r="I3"/>
      <c r="J3"/>
      <c r="K3"/>
      <c r="L3"/>
      <c r="M3"/>
      <c r="N3"/>
      <c r="O3"/>
      <c r="P3"/>
      <c r="Q3"/>
      <c r="T3" s="13" t="s">
        <v>112</v>
      </c>
      <c r="U3" s="13"/>
      <c r="V3" s="13"/>
      <c r="W3" s="13"/>
      <c r="X3" s="14"/>
      <c r="Y3" s="7"/>
      <c r="Z3" s="7"/>
      <c r="AA3" s="7"/>
      <c r="AB3" s="7"/>
      <c r="AC3" s="8"/>
      <c r="AD3" s="7"/>
      <c r="AE3" s="7"/>
      <c r="AF3" s="7"/>
      <c r="AG3" s="7"/>
      <c r="AH3" s="7"/>
      <c r="AI3" s="7"/>
      <c r="AJ3" s="8"/>
      <c r="AK3" s="7"/>
      <c r="AL3" s="8"/>
      <c r="AM3" s="7"/>
      <c r="AN3" s="7"/>
      <c r="AO3" s="8"/>
      <c r="AP3" s="9"/>
      <c r="AQ3" s="9"/>
      <c r="AR3" s="9"/>
      <c r="AS3" s="10"/>
      <c r="AT3" s="9"/>
      <c r="AU3" s="9"/>
      <c r="AV3" s="9"/>
      <c r="AW3" s="9"/>
      <c r="AX3" s="9"/>
      <c r="AY3" s="9"/>
      <c r="AZ3" s="9"/>
      <c r="BA3" s="9"/>
      <c r="BB3" s="9"/>
    </row>
    <row r="4" spans="1:54">
      <c r="A4" s="109"/>
      <c r="B4" s="117" t="s">
        <v>188</v>
      </c>
      <c r="C4" s="109"/>
      <c r="D4" s="132"/>
      <c r="E4" s="132"/>
      <c r="F4" s="132"/>
      <c r="G4"/>
      <c r="H4"/>
      <c r="I4"/>
      <c r="J4"/>
      <c r="K4"/>
      <c r="L4"/>
      <c r="M4"/>
      <c r="N4"/>
      <c r="O4"/>
      <c r="P4"/>
      <c r="Q4"/>
      <c r="T4" s="15" t="s">
        <v>113</v>
      </c>
      <c r="U4" s="15"/>
      <c r="V4" s="15"/>
      <c r="W4" s="15"/>
      <c r="X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4">
      <c r="A5" s="109"/>
      <c r="B5" s="118" t="s">
        <v>189</v>
      </c>
      <c r="C5" s="109"/>
      <c r="G5"/>
      <c r="H5"/>
      <c r="I5"/>
      <c r="J5"/>
      <c r="K5"/>
      <c r="L5"/>
      <c r="M5"/>
      <c r="N5"/>
      <c r="O5"/>
      <c r="P5"/>
      <c r="Q5"/>
      <c r="T5" s="196" t="s">
        <v>17</v>
      </c>
      <c r="U5" s="196" t="s">
        <v>18</v>
      </c>
      <c r="V5" s="196" t="s">
        <v>19</v>
      </c>
      <c r="W5" s="105"/>
      <c r="X5" s="196" t="s">
        <v>0</v>
      </c>
      <c r="Y5" s="103"/>
      <c r="Z5" s="191" t="s">
        <v>13</v>
      </c>
      <c r="AA5" s="191" t="s">
        <v>14</v>
      </c>
      <c r="AB5" s="191" t="s">
        <v>95</v>
      </c>
      <c r="AC5" s="191" t="s">
        <v>15</v>
      </c>
      <c r="AD5" s="191" t="s">
        <v>16</v>
      </c>
      <c r="AE5" s="103"/>
      <c r="AF5" s="191" t="s">
        <v>9</v>
      </c>
      <c r="AG5" s="191" t="s">
        <v>21</v>
      </c>
      <c r="AH5" s="191" t="s">
        <v>20</v>
      </c>
      <c r="AI5" s="191" t="s">
        <v>11</v>
      </c>
      <c r="AJ5" s="191" t="s">
        <v>28</v>
      </c>
      <c r="AK5" s="191" t="s">
        <v>6</v>
      </c>
      <c r="AL5" s="191" t="s">
        <v>10</v>
      </c>
      <c r="AM5" s="191" t="s">
        <v>5</v>
      </c>
      <c r="AN5" s="191" t="s">
        <v>7</v>
      </c>
      <c r="AO5" s="191" t="s">
        <v>8</v>
      </c>
      <c r="AP5" s="186" t="s">
        <v>103</v>
      </c>
      <c r="AQ5" s="187"/>
      <c r="AR5" s="18"/>
      <c r="AS5" s="188" t="s">
        <v>42</v>
      </c>
      <c r="AT5" s="189" t="s">
        <v>71</v>
      </c>
      <c r="AU5" s="19"/>
      <c r="AV5" s="19"/>
      <c r="AW5" s="19"/>
      <c r="AX5" s="19"/>
      <c r="AY5" s="19"/>
      <c r="AZ5" s="19"/>
      <c r="BA5" s="19"/>
      <c r="BB5" s="19"/>
    </row>
    <row r="6" spans="1:54">
      <c r="A6" s="109"/>
      <c r="B6" s="118" t="s">
        <v>190</v>
      </c>
      <c r="C6" s="109"/>
      <c r="F6" s="134"/>
      <c r="G6"/>
      <c r="H6"/>
      <c r="I6"/>
      <c r="J6"/>
      <c r="K6"/>
      <c r="L6"/>
      <c r="M6"/>
      <c r="N6"/>
      <c r="O6"/>
      <c r="P6"/>
      <c r="Q6"/>
      <c r="T6" s="197"/>
      <c r="U6" s="197"/>
      <c r="V6" s="197"/>
      <c r="W6" s="106" t="s">
        <v>102</v>
      </c>
      <c r="X6" s="197"/>
      <c r="Y6" s="104" t="s">
        <v>94</v>
      </c>
      <c r="Z6" s="192"/>
      <c r="AA6" s="192"/>
      <c r="AB6" s="192"/>
      <c r="AC6" s="192"/>
      <c r="AD6" s="192"/>
      <c r="AE6" s="104" t="s">
        <v>106</v>
      </c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44" t="s">
        <v>30</v>
      </c>
      <c r="AQ6" s="44" t="s">
        <v>32</v>
      </c>
      <c r="AR6" s="20" t="s">
        <v>91</v>
      </c>
      <c r="AS6" s="188"/>
      <c r="AT6" s="189"/>
      <c r="AU6" s="19"/>
      <c r="AV6" s="19"/>
      <c r="AW6" s="19"/>
      <c r="AX6" s="19"/>
      <c r="AY6" s="19"/>
      <c r="AZ6" s="19"/>
      <c r="BA6" s="19"/>
      <c r="BB6" s="19"/>
    </row>
    <row r="7" spans="1:54">
      <c r="D7" s="135"/>
      <c r="E7" s="135"/>
      <c r="F7" s="134"/>
      <c r="G7" s="193" t="s">
        <v>210</v>
      </c>
      <c r="H7" s="194"/>
      <c r="I7" s="194"/>
      <c r="J7" s="194"/>
      <c r="K7" s="194"/>
      <c r="L7" s="194"/>
      <c r="M7" s="195"/>
      <c r="N7" s="134"/>
      <c r="O7" s="193" t="s">
        <v>210</v>
      </c>
      <c r="P7" s="194"/>
      <c r="Q7" s="195"/>
      <c r="R7" s="135"/>
      <c r="T7" s="145"/>
      <c r="U7" s="145"/>
      <c r="V7" s="145"/>
      <c r="W7" s="145"/>
      <c r="X7" s="145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7"/>
      <c r="AQ7" s="147"/>
      <c r="AR7" s="147"/>
      <c r="AS7" s="148"/>
      <c r="AT7" s="148"/>
      <c r="AU7" s="19"/>
      <c r="AV7" s="19"/>
      <c r="AW7" s="19"/>
      <c r="AX7" s="19"/>
      <c r="AY7" s="19"/>
      <c r="AZ7" s="19"/>
      <c r="BA7" s="28"/>
      <c r="BB7" s="28"/>
    </row>
    <row r="8" spans="1:54" ht="35.25" thickBot="1">
      <c r="A8" s="120" t="s">
        <v>191</v>
      </c>
      <c r="B8" s="121" t="s">
        <v>192</v>
      </c>
      <c r="C8" s="122" t="s">
        <v>195</v>
      </c>
      <c r="D8" s="136" t="s">
        <v>211</v>
      </c>
      <c r="F8" s="134"/>
      <c r="G8" s="137" t="s">
        <v>195</v>
      </c>
      <c r="H8" s="137" t="s">
        <v>212</v>
      </c>
      <c r="I8" s="137" t="s">
        <v>213</v>
      </c>
      <c r="J8" s="137" t="s">
        <v>214</v>
      </c>
      <c r="K8" s="137" t="s">
        <v>215</v>
      </c>
      <c r="L8" s="137" t="s">
        <v>216</v>
      </c>
      <c r="M8" s="137" t="s">
        <v>217</v>
      </c>
      <c r="N8" s="138"/>
      <c r="O8" s="137" t="s">
        <v>218</v>
      </c>
      <c r="P8" s="137" t="s">
        <v>216</v>
      </c>
      <c r="Q8" s="137" t="s">
        <v>217</v>
      </c>
      <c r="R8" s="138"/>
      <c r="T8" s="145"/>
      <c r="U8" s="145"/>
      <c r="V8" s="145"/>
      <c r="W8" s="145"/>
      <c r="X8" s="145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7"/>
      <c r="AQ8" s="147"/>
      <c r="AR8" s="147"/>
      <c r="AS8" s="148"/>
      <c r="AT8" s="148"/>
      <c r="AU8" s="19"/>
      <c r="AV8" s="19"/>
      <c r="AW8" s="19"/>
      <c r="AX8" s="19"/>
      <c r="AY8" s="19"/>
      <c r="AZ8" s="19"/>
      <c r="BA8" s="28"/>
      <c r="BB8" s="28"/>
    </row>
    <row r="9" spans="1:54" ht="15.75" thickTop="1">
      <c r="A9" s="109"/>
      <c r="B9" s="109"/>
      <c r="C9" s="109"/>
      <c r="F9" s="134"/>
      <c r="G9"/>
      <c r="H9"/>
      <c r="I9"/>
      <c r="J9"/>
      <c r="K9"/>
      <c r="L9"/>
      <c r="M9"/>
      <c r="N9"/>
      <c r="O9"/>
      <c r="P9"/>
      <c r="Q9"/>
      <c r="T9" s="145"/>
      <c r="U9" s="145"/>
      <c r="V9" s="145"/>
      <c r="W9" s="145"/>
      <c r="X9" s="145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7"/>
      <c r="AQ9" s="147"/>
      <c r="AR9" s="147"/>
      <c r="AS9" s="148"/>
      <c r="AT9" s="148"/>
      <c r="AU9" s="19"/>
      <c r="AV9" s="19"/>
      <c r="AW9" s="19"/>
      <c r="AX9" s="19"/>
      <c r="AY9" s="19"/>
      <c r="AZ9" s="19"/>
      <c r="BA9" s="28"/>
      <c r="BB9" s="28"/>
    </row>
    <row r="10" spans="1:54">
      <c r="F10" s="134"/>
      <c r="G10"/>
      <c r="H10"/>
      <c r="I10"/>
      <c r="J10"/>
      <c r="K10"/>
      <c r="L10"/>
      <c r="M10"/>
      <c r="N10"/>
      <c r="O10"/>
      <c r="P10"/>
      <c r="Q10"/>
      <c r="T10" s="145"/>
      <c r="U10" s="145"/>
      <c r="V10" s="145"/>
      <c r="W10" s="145"/>
      <c r="X10" s="145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7"/>
      <c r="AQ10" s="147"/>
      <c r="AR10" s="147"/>
      <c r="AS10" s="148"/>
      <c r="AT10" s="148"/>
      <c r="AU10" s="19"/>
      <c r="AV10" s="19"/>
      <c r="AW10" s="19"/>
      <c r="AX10" s="19"/>
      <c r="AY10" s="19"/>
      <c r="AZ10" s="19"/>
      <c r="BA10" s="28"/>
      <c r="BB10" s="28"/>
    </row>
    <row r="11" spans="1:54">
      <c r="A11" s="124" t="s">
        <v>204</v>
      </c>
      <c r="B11" s="109"/>
      <c r="C11" s="109"/>
      <c r="F11" s="134"/>
      <c r="G11"/>
      <c r="H11"/>
      <c r="I11"/>
      <c r="J11"/>
      <c r="K11"/>
      <c r="L11"/>
      <c r="M11"/>
      <c r="N11"/>
      <c r="O11"/>
      <c r="P11"/>
      <c r="Q11"/>
      <c r="T11" s="145"/>
      <c r="U11" s="145"/>
      <c r="V11" s="145"/>
      <c r="W11" s="145"/>
      <c r="X11" s="145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7"/>
      <c r="AQ11" s="147"/>
      <c r="AR11" s="147"/>
      <c r="AS11" s="148"/>
      <c r="AT11" s="148"/>
      <c r="AU11" s="19"/>
      <c r="AV11" s="19"/>
      <c r="AW11" s="19"/>
      <c r="AX11" s="19"/>
      <c r="AY11" s="19"/>
      <c r="AZ11" s="19"/>
      <c r="BA11" s="87"/>
      <c r="BB11" s="87"/>
    </row>
    <row r="12" spans="1:54">
      <c r="F12" s="134"/>
      <c r="G12"/>
      <c r="H12"/>
      <c r="I12"/>
      <c r="J12"/>
      <c r="K12"/>
      <c r="L12"/>
      <c r="M12"/>
      <c r="N12"/>
      <c r="O12"/>
      <c r="P12"/>
      <c r="Q12"/>
      <c r="T12" s="145"/>
      <c r="U12" s="145"/>
      <c r="V12" s="145"/>
      <c r="W12" s="145"/>
      <c r="X12" s="145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7"/>
      <c r="AQ12" s="147"/>
      <c r="AR12" s="147"/>
      <c r="AS12" s="148"/>
      <c r="AT12" s="148"/>
      <c r="AU12" s="19"/>
      <c r="AV12" s="19"/>
      <c r="AW12" s="19"/>
      <c r="AX12" s="19"/>
      <c r="AY12" s="19"/>
      <c r="AZ12" s="19"/>
      <c r="BA12" s="28"/>
      <c r="BB12" s="28"/>
    </row>
    <row r="13" spans="1:54">
      <c r="A13" s="123" t="s">
        <v>205</v>
      </c>
      <c r="B13" s="109"/>
      <c r="C13" s="109"/>
      <c r="D13" s="139"/>
      <c r="E13" s="139"/>
      <c r="F13" s="134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T13" s="145"/>
      <c r="U13" s="145"/>
      <c r="V13" s="145"/>
      <c r="W13" s="145"/>
      <c r="X13" s="145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7"/>
      <c r="AQ13" s="147"/>
      <c r="AR13" s="147"/>
      <c r="AS13" s="148"/>
      <c r="AT13" s="148"/>
      <c r="AU13" s="19"/>
      <c r="AV13" s="19"/>
      <c r="AW13" s="19"/>
      <c r="AX13" s="19"/>
      <c r="AY13" s="19"/>
      <c r="AZ13" s="19"/>
      <c r="BA13" s="28"/>
      <c r="BB13" s="28"/>
    </row>
    <row r="14" spans="1:54">
      <c r="A14" s="111" t="s">
        <v>117</v>
      </c>
      <c r="B14" s="110" t="s">
        <v>118</v>
      </c>
      <c r="C14" s="125">
        <v>1026.76</v>
      </c>
      <c r="D14" s="139">
        <f>+Y14</f>
        <v>0</v>
      </c>
      <c r="E14" s="139"/>
      <c r="F14" s="134"/>
      <c r="G14" s="139">
        <f>+C14</f>
        <v>1026.76</v>
      </c>
      <c r="H14" s="139">
        <f>-AB14</f>
        <v>-45.13</v>
      </c>
      <c r="I14" s="139">
        <f>+G14*0.02</f>
        <v>20.5352</v>
      </c>
      <c r="J14" s="139">
        <f>+G14*7.5%</f>
        <v>77.006999999999991</v>
      </c>
      <c r="K14" s="139">
        <f>SUM(G14:J14)</f>
        <v>1079.1722</v>
      </c>
      <c r="L14" s="139">
        <f>+K14*0.16</f>
        <v>172.667552</v>
      </c>
      <c r="M14" s="139">
        <f>+K14+L14</f>
        <v>1251.8397519999999</v>
      </c>
      <c r="N14"/>
      <c r="O14" s="139">
        <f>+D14</f>
        <v>0</v>
      </c>
      <c r="P14" s="139">
        <f>+O14*0.16</f>
        <v>0</v>
      </c>
      <c r="Q14" s="139">
        <f t="shared" ref="Q14" si="0">+O14+P14</f>
        <v>0</v>
      </c>
      <c r="S14" t="str">
        <f>IF(U14=B14,"SI","NO")</f>
        <v>SI</v>
      </c>
      <c r="T14" s="55" t="s">
        <v>36</v>
      </c>
      <c r="U14" s="64" t="s">
        <v>48</v>
      </c>
      <c r="V14" s="56" t="s">
        <v>54</v>
      </c>
      <c r="W14" s="79">
        <v>41575</v>
      </c>
      <c r="X14" s="55" t="s">
        <v>40</v>
      </c>
      <c r="Y14" s="90"/>
      <c r="Z14" s="58"/>
      <c r="AA14" s="58"/>
      <c r="AB14" s="59">
        <v>45.13</v>
      </c>
      <c r="AC14" s="60">
        <f t="shared" ref="AC14:AC43" si="1">SUM(Y14:AA14)-AB14</f>
        <v>-45.13</v>
      </c>
      <c r="AD14" s="94"/>
      <c r="AE14" s="94"/>
      <c r="AF14" s="61"/>
      <c r="AG14" s="61"/>
      <c r="AH14" s="57"/>
      <c r="AI14" s="57">
        <v>0</v>
      </c>
      <c r="AJ14" s="60">
        <f t="shared" ref="AJ14:AJ31" si="2">+AC14-SUM(AD14:AI14)</f>
        <v>-45.13</v>
      </c>
      <c r="AK14" s="62">
        <f>IF(AC14&gt;2250,AC14*0.1,0)</f>
        <v>0</v>
      </c>
      <c r="AL14" s="60">
        <f t="shared" ref="AL14:AL31" si="3">+AJ14-AK14</f>
        <v>-45.13</v>
      </c>
      <c r="AM14" s="63">
        <f>IF(AC14&lt;2250,AC14*0.1,0)</f>
        <v>-4.5130000000000008</v>
      </c>
      <c r="AN14" s="62" t="e">
        <f>#REF!*0.02</f>
        <v>#REF!</v>
      </c>
      <c r="AO14" s="60" t="e">
        <f t="shared" ref="AO14:AO31" si="4">+AC14+AM14+AN14</f>
        <v>#REF!</v>
      </c>
      <c r="AP14" s="81"/>
      <c r="AQ14" s="75"/>
      <c r="AR14" s="80">
        <f>+AP14+AQ14-AL14</f>
        <v>45.13</v>
      </c>
      <c r="AS14" s="74" t="s">
        <v>105</v>
      </c>
      <c r="AT14" s="64" t="s">
        <v>72</v>
      </c>
      <c r="AU14" s="28" t="str">
        <f>IF(U14=AW14,"si","no")</f>
        <v>si</v>
      </c>
      <c r="AV14" s="111" t="s">
        <v>117</v>
      </c>
      <c r="AW14" s="110" t="s">
        <v>118</v>
      </c>
      <c r="AX14" s="59">
        <v>45.13</v>
      </c>
      <c r="AY14" s="57">
        <v>0</v>
      </c>
      <c r="AZ14" s="28"/>
      <c r="BA14" s="28"/>
      <c r="BB14" s="28"/>
    </row>
    <row r="15" spans="1:54">
      <c r="A15" s="111" t="s">
        <v>119</v>
      </c>
      <c r="B15" s="110" t="s">
        <v>120</v>
      </c>
      <c r="C15" s="125">
        <v>1026.76</v>
      </c>
      <c r="D15" s="139">
        <f t="shared" ref="D15:D43" si="5">+Y15</f>
        <v>647.94000000000005</v>
      </c>
      <c r="E15" s="139"/>
      <c r="F15" s="139"/>
      <c r="G15" s="139">
        <f t="shared" ref="G15:G43" si="6">+C15</f>
        <v>1026.76</v>
      </c>
      <c r="H15" s="139">
        <f t="shared" ref="H15:H43" si="7">-AB15</f>
        <v>-45.13</v>
      </c>
      <c r="I15" s="139">
        <f t="shared" ref="I15:I43" si="8">+G15*0.02</f>
        <v>20.5352</v>
      </c>
      <c r="J15" s="139">
        <f t="shared" ref="J15:J43" si="9">+G15*7.5%</f>
        <v>77.006999999999991</v>
      </c>
      <c r="K15" s="139">
        <f t="shared" ref="K15:K43" si="10">SUM(G15:J15)</f>
        <v>1079.1722</v>
      </c>
      <c r="L15" s="139">
        <f t="shared" ref="L15:L43" si="11">+K15*0.16</f>
        <v>172.667552</v>
      </c>
      <c r="M15" s="139">
        <f t="shared" ref="M15:M43" si="12">+K15+L15</f>
        <v>1251.8397519999999</v>
      </c>
      <c r="N15"/>
      <c r="O15" s="139">
        <f t="shared" ref="O15:O41" si="13">+D15</f>
        <v>647.94000000000005</v>
      </c>
      <c r="P15" s="139">
        <f t="shared" ref="P15:P43" si="14">+O15*0.16</f>
        <v>103.67040000000001</v>
      </c>
      <c r="Q15" s="139">
        <f t="shared" ref="Q15:Q42" si="15">+O15+P15</f>
        <v>751.61040000000003</v>
      </c>
      <c r="S15" t="str">
        <f t="shared" ref="S15:S43" si="16">IF(U15=B15,"SI","NO")</f>
        <v>SI</v>
      </c>
      <c r="T15" s="55" t="s">
        <v>36</v>
      </c>
      <c r="U15" s="64" t="s">
        <v>97</v>
      </c>
      <c r="V15" s="56" t="s">
        <v>55</v>
      </c>
      <c r="W15" s="79">
        <v>42310</v>
      </c>
      <c r="X15" s="55" t="s">
        <v>40</v>
      </c>
      <c r="Y15" s="82">
        <v>647.94000000000005</v>
      </c>
      <c r="Z15" s="57"/>
      <c r="AA15" s="57"/>
      <c r="AB15" s="59">
        <v>45.13</v>
      </c>
      <c r="AC15" s="60">
        <f t="shared" si="1"/>
        <v>602.81000000000006</v>
      </c>
      <c r="AD15" s="94"/>
      <c r="AE15" s="94"/>
      <c r="AF15" s="61"/>
      <c r="AG15" s="61"/>
      <c r="AH15" s="57"/>
      <c r="AI15" s="57">
        <v>0</v>
      </c>
      <c r="AJ15" s="60">
        <f t="shared" si="2"/>
        <v>602.81000000000006</v>
      </c>
      <c r="AK15" s="62">
        <f t="shared" ref="AK15:AK43" si="17">IF(AC15&gt;2250,AC15*0.1,0)</f>
        <v>0</v>
      </c>
      <c r="AL15" s="60">
        <f t="shared" si="3"/>
        <v>602.81000000000006</v>
      </c>
      <c r="AM15" s="63">
        <f t="shared" ref="AM15:AM43" si="18">IF(AC15&lt;2250,AC15*0.1,0)</f>
        <v>60.281000000000006</v>
      </c>
      <c r="AN15" s="62" t="e">
        <f>#REF!*0.02</f>
        <v>#REF!</v>
      </c>
      <c r="AO15" s="60" t="e">
        <f t="shared" si="4"/>
        <v>#REF!</v>
      </c>
      <c r="AP15" s="81"/>
      <c r="AQ15" s="75"/>
      <c r="AR15" s="80">
        <f t="shared" ref="AR15:AR56" si="19">+AP15+AQ15-AL15</f>
        <v>-602.81000000000006</v>
      </c>
      <c r="AS15" s="64"/>
      <c r="AT15" s="64" t="s">
        <v>73</v>
      </c>
      <c r="AU15" s="28" t="str">
        <f t="shared" ref="AU15:AU43" si="20">IF(U15=AW15,"si","no")</f>
        <v>si</v>
      </c>
      <c r="AV15" s="111" t="s">
        <v>119</v>
      </c>
      <c r="AW15" s="110" t="s">
        <v>120</v>
      </c>
      <c r="AX15" s="59">
        <v>45.13</v>
      </c>
      <c r="AY15" s="57">
        <v>0</v>
      </c>
      <c r="AZ15" s="28"/>
      <c r="BA15" s="28"/>
      <c r="BB15" s="28"/>
    </row>
    <row r="16" spans="1:54">
      <c r="A16" s="111" t="s">
        <v>121</v>
      </c>
      <c r="B16" s="110" t="s">
        <v>122</v>
      </c>
      <c r="C16" s="125">
        <v>1026.76</v>
      </c>
      <c r="D16" s="139">
        <f t="shared" si="5"/>
        <v>3000</v>
      </c>
      <c r="E16" s="139"/>
      <c r="F16" s="139"/>
      <c r="G16" s="139">
        <f t="shared" si="6"/>
        <v>1026.76</v>
      </c>
      <c r="H16" s="139">
        <f t="shared" si="7"/>
        <v>-45.13</v>
      </c>
      <c r="I16" s="139">
        <f t="shared" si="8"/>
        <v>20.5352</v>
      </c>
      <c r="J16" s="139">
        <f t="shared" si="9"/>
        <v>77.006999999999991</v>
      </c>
      <c r="K16" s="139">
        <f t="shared" si="10"/>
        <v>1079.1722</v>
      </c>
      <c r="L16" s="139">
        <f t="shared" si="11"/>
        <v>172.667552</v>
      </c>
      <c r="M16" s="139">
        <f t="shared" si="12"/>
        <v>1251.8397519999999</v>
      </c>
      <c r="N16"/>
      <c r="O16" s="139">
        <f t="shared" si="13"/>
        <v>3000</v>
      </c>
      <c r="P16" s="139">
        <f t="shared" si="14"/>
        <v>480</v>
      </c>
      <c r="Q16" s="139">
        <f t="shared" si="15"/>
        <v>3480</v>
      </c>
      <c r="S16" t="str">
        <f t="shared" si="16"/>
        <v>SI</v>
      </c>
      <c r="T16" s="55" t="s">
        <v>36</v>
      </c>
      <c r="U16" s="64" t="s">
        <v>47</v>
      </c>
      <c r="V16" s="56" t="s">
        <v>53</v>
      </c>
      <c r="W16" s="79">
        <v>42215</v>
      </c>
      <c r="X16" s="55" t="s">
        <v>40</v>
      </c>
      <c r="Y16" s="90">
        <v>3000</v>
      </c>
      <c r="Z16" s="57"/>
      <c r="AA16" s="57"/>
      <c r="AB16" s="59">
        <v>45.13</v>
      </c>
      <c r="AC16" s="60">
        <f t="shared" si="1"/>
        <v>2954.87</v>
      </c>
      <c r="AD16" s="94"/>
      <c r="AE16" s="94"/>
      <c r="AF16" s="61"/>
      <c r="AG16" s="61"/>
      <c r="AH16" s="57"/>
      <c r="AI16" s="57">
        <v>500</v>
      </c>
      <c r="AJ16" s="60">
        <f t="shared" si="2"/>
        <v>2454.87</v>
      </c>
      <c r="AK16" s="62">
        <f t="shared" si="17"/>
        <v>295.48700000000002</v>
      </c>
      <c r="AL16" s="60">
        <f t="shared" si="3"/>
        <v>2159.3829999999998</v>
      </c>
      <c r="AM16" s="63">
        <f t="shared" si="18"/>
        <v>0</v>
      </c>
      <c r="AN16" s="62" t="e">
        <f>#REF!*0.02</f>
        <v>#REF!</v>
      </c>
      <c r="AO16" s="60" t="e">
        <f t="shared" si="4"/>
        <v>#REF!</v>
      </c>
      <c r="AP16" s="81"/>
      <c r="AQ16" s="75"/>
      <c r="AR16" s="80">
        <f t="shared" si="19"/>
        <v>-2159.3829999999998</v>
      </c>
      <c r="AS16" s="64"/>
      <c r="AT16" s="64" t="s">
        <v>74</v>
      </c>
      <c r="AU16" s="28" t="str">
        <f t="shared" si="20"/>
        <v>si</v>
      </c>
      <c r="AV16" s="111" t="s">
        <v>121</v>
      </c>
      <c r="AW16" s="110" t="s">
        <v>122</v>
      </c>
      <c r="AX16" s="59">
        <v>45.13</v>
      </c>
      <c r="AY16" s="57">
        <v>500</v>
      </c>
      <c r="AZ16" s="28"/>
      <c r="BA16" s="28"/>
      <c r="BB16" s="28"/>
    </row>
    <row r="17" spans="1:54">
      <c r="A17" s="111" t="s">
        <v>123</v>
      </c>
      <c r="B17" s="110" t="s">
        <v>124</v>
      </c>
      <c r="C17" s="125">
        <v>1750</v>
      </c>
      <c r="D17" s="139">
        <f t="shared" si="5"/>
        <v>0</v>
      </c>
      <c r="E17" s="139"/>
      <c r="F17" s="139"/>
      <c r="G17" s="139">
        <f t="shared" si="6"/>
        <v>1750</v>
      </c>
      <c r="H17" s="139">
        <f t="shared" si="7"/>
        <v>-45.13</v>
      </c>
      <c r="I17" s="139">
        <f t="shared" si="8"/>
        <v>35</v>
      </c>
      <c r="J17" s="139">
        <f t="shared" si="9"/>
        <v>131.25</v>
      </c>
      <c r="K17" s="139">
        <f t="shared" si="10"/>
        <v>1871.12</v>
      </c>
      <c r="L17" s="139">
        <f t="shared" si="11"/>
        <v>299.37919999999997</v>
      </c>
      <c r="M17" s="139">
        <f t="shared" si="12"/>
        <v>2170.4991999999997</v>
      </c>
      <c r="N17"/>
      <c r="O17" s="139">
        <f t="shared" si="13"/>
        <v>0</v>
      </c>
      <c r="P17" s="139">
        <f t="shared" si="14"/>
        <v>0</v>
      </c>
      <c r="Q17" s="139">
        <f t="shared" si="15"/>
        <v>0</v>
      </c>
      <c r="S17" t="str">
        <f t="shared" si="16"/>
        <v>SI</v>
      </c>
      <c r="T17" s="55" t="s">
        <v>33</v>
      </c>
      <c r="U17" s="64" t="s">
        <v>177</v>
      </c>
      <c r="V17" s="56" t="s">
        <v>56</v>
      </c>
      <c r="W17" s="79">
        <v>40147</v>
      </c>
      <c r="X17" s="55" t="s">
        <v>38</v>
      </c>
      <c r="Y17" s="82"/>
      <c r="Z17" s="58"/>
      <c r="AA17" s="58"/>
      <c r="AB17" s="59">
        <v>45.13</v>
      </c>
      <c r="AC17" s="60">
        <f t="shared" si="1"/>
        <v>-45.13</v>
      </c>
      <c r="AD17" s="94"/>
      <c r="AE17" s="94"/>
      <c r="AF17" s="61"/>
      <c r="AG17" s="61"/>
      <c r="AH17" s="57"/>
      <c r="AI17" s="57">
        <v>0</v>
      </c>
      <c r="AJ17" s="60">
        <f t="shared" si="2"/>
        <v>-45.13</v>
      </c>
      <c r="AK17" s="62">
        <f t="shared" si="17"/>
        <v>0</v>
      </c>
      <c r="AL17" s="60">
        <f t="shared" si="3"/>
        <v>-45.13</v>
      </c>
      <c r="AM17" s="63">
        <f t="shared" si="18"/>
        <v>-4.5130000000000008</v>
      </c>
      <c r="AN17" s="62" t="e">
        <f>#REF!*0.02</f>
        <v>#REF!</v>
      </c>
      <c r="AO17" s="60" t="e">
        <f t="shared" si="4"/>
        <v>#REF!</v>
      </c>
      <c r="AP17" s="81"/>
      <c r="AQ17" s="75"/>
      <c r="AR17" s="80">
        <f t="shared" si="19"/>
        <v>45.13</v>
      </c>
      <c r="AS17" s="64"/>
      <c r="AT17" s="64" t="s">
        <v>75</v>
      </c>
      <c r="AU17" s="28" t="str">
        <f t="shared" si="20"/>
        <v>si</v>
      </c>
      <c r="AV17" s="111" t="s">
        <v>123</v>
      </c>
      <c r="AW17" s="110" t="s">
        <v>124</v>
      </c>
      <c r="AX17" s="59">
        <v>45.13</v>
      </c>
      <c r="AY17" s="57">
        <v>0</v>
      </c>
      <c r="AZ17" s="28"/>
      <c r="BA17" s="28"/>
      <c r="BB17" s="28"/>
    </row>
    <row r="18" spans="1:54">
      <c r="A18" s="111" t="s">
        <v>125</v>
      </c>
      <c r="B18" s="110" t="s">
        <v>126</v>
      </c>
      <c r="C18" s="125">
        <v>1026.76</v>
      </c>
      <c r="D18" s="139">
        <f t="shared" si="5"/>
        <v>4859.8999999999996</v>
      </c>
      <c r="E18" s="139"/>
      <c r="F18" s="139"/>
      <c r="G18" s="139">
        <f t="shared" si="6"/>
        <v>1026.76</v>
      </c>
      <c r="H18" s="139">
        <f t="shared" si="7"/>
        <v>-45.13</v>
      </c>
      <c r="I18" s="139">
        <f t="shared" si="8"/>
        <v>20.5352</v>
      </c>
      <c r="J18" s="139">
        <f t="shared" si="9"/>
        <v>77.006999999999991</v>
      </c>
      <c r="K18" s="139">
        <f t="shared" si="10"/>
        <v>1079.1722</v>
      </c>
      <c r="L18" s="139">
        <f t="shared" si="11"/>
        <v>172.667552</v>
      </c>
      <c r="M18" s="139">
        <f t="shared" si="12"/>
        <v>1251.8397519999999</v>
      </c>
      <c r="N18"/>
      <c r="O18" s="139">
        <f t="shared" si="13"/>
        <v>4859.8999999999996</v>
      </c>
      <c r="P18" s="139">
        <f t="shared" si="14"/>
        <v>777.58399999999995</v>
      </c>
      <c r="Q18" s="139">
        <f t="shared" si="15"/>
        <v>5637.4839999999995</v>
      </c>
      <c r="S18" t="str">
        <f t="shared" si="16"/>
        <v>SI</v>
      </c>
      <c r="T18" s="55" t="s">
        <v>35</v>
      </c>
      <c r="U18" s="64" t="s">
        <v>104</v>
      </c>
      <c r="V18" s="56"/>
      <c r="W18" s="79">
        <v>42548</v>
      </c>
      <c r="X18" s="55" t="s">
        <v>40</v>
      </c>
      <c r="Y18" s="82">
        <f>3859.9+1000</f>
        <v>4859.8999999999996</v>
      </c>
      <c r="Z18" s="58"/>
      <c r="AA18" s="58"/>
      <c r="AB18" s="59">
        <v>45.13</v>
      </c>
      <c r="AC18" s="60">
        <f t="shared" si="1"/>
        <v>4814.7699999999995</v>
      </c>
      <c r="AD18" s="94"/>
      <c r="AE18" s="94"/>
      <c r="AF18" s="61"/>
      <c r="AG18" s="61"/>
      <c r="AH18" s="57"/>
      <c r="AI18" s="57">
        <v>533.29</v>
      </c>
      <c r="AJ18" s="60">
        <f t="shared" si="2"/>
        <v>4281.4799999999996</v>
      </c>
      <c r="AK18" s="62">
        <f t="shared" si="17"/>
        <v>481.47699999999998</v>
      </c>
      <c r="AL18" s="60">
        <f>+AJ18-AK18</f>
        <v>3800.0029999999997</v>
      </c>
      <c r="AM18" s="63">
        <f>IF(AC18&lt;2250,AC18*0.1,0)</f>
        <v>0</v>
      </c>
      <c r="AN18" s="62" t="e">
        <f>#REF!*0.02</f>
        <v>#REF!</v>
      </c>
      <c r="AO18" s="60" t="e">
        <f>+AC18+AM18+AN18</f>
        <v>#REF!</v>
      </c>
      <c r="AP18" s="84"/>
      <c r="AQ18" s="85"/>
      <c r="AR18" s="86"/>
      <c r="AS18" s="64"/>
      <c r="AT18" s="66">
        <v>1167172540</v>
      </c>
      <c r="AU18" s="28" t="str">
        <f t="shared" si="20"/>
        <v>si</v>
      </c>
      <c r="AV18" s="111" t="s">
        <v>125</v>
      </c>
      <c r="AW18" s="110" t="s">
        <v>126</v>
      </c>
      <c r="AX18" s="59">
        <v>45.13</v>
      </c>
      <c r="AY18" s="57">
        <v>533.29</v>
      </c>
      <c r="AZ18" s="87"/>
      <c r="BA18" s="28"/>
      <c r="BB18" s="28"/>
    </row>
    <row r="19" spans="1:54">
      <c r="A19" s="111" t="s">
        <v>127</v>
      </c>
      <c r="B19" s="110" t="s">
        <v>128</v>
      </c>
      <c r="C19" s="125">
        <v>1026.76</v>
      </c>
      <c r="D19" s="139">
        <f t="shared" si="5"/>
        <v>0</v>
      </c>
      <c r="E19" s="139"/>
      <c r="F19" s="139"/>
      <c r="G19" s="139">
        <f t="shared" si="6"/>
        <v>1026.76</v>
      </c>
      <c r="H19" s="139">
        <f t="shared" si="7"/>
        <v>-45.13</v>
      </c>
      <c r="I19" s="139">
        <f t="shared" si="8"/>
        <v>20.5352</v>
      </c>
      <c r="J19" s="139">
        <f t="shared" si="9"/>
        <v>77.006999999999991</v>
      </c>
      <c r="K19" s="139">
        <f t="shared" si="10"/>
        <v>1079.1722</v>
      </c>
      <c r="L19" s="139">
        <f t="shared" si="11"/>
        <v>172.667552</v>
      </c>
      <c r="M19" s="139">
        <f t="shared" si="12"/>
        <v>1251.8397519999999</v>
      </c>
      <c r="N19"/>
      <c r="O19" s="139">
        <f t="shared" si="13"/>
        <v>0</v>
      </c>
      <c r="P19" s="139">
        <f t="shared" si="14"/>
        <v>0</v>
      </c>
      <c r="Q19" s="139">
        <f t="shared" si="15"/>
        <v>0</v>
      </c>
      <c r="S19" t="str">
        <f t="shared" si="16"/>
        <v>SI</v>
      </c>
      <c r="T19" s="55" t="s">
        <v>35</v>
      </c>
      <c r="U19" s="64" t="s">
        <v>44</v>
      </c>
      <c r="V19" s="56" t="s">
        <v>58</v>
      </c>
      <c r="W19" s="79">
        <v>41842</v>
      </c>
      <c r="X19" s="55" t="s">
        <v>40</v>
      </c>
      <c r="Y19" s="93"/>
      <c r="Z19" s="57"/>
      <c r="AA19" s="57"/>
      <c r="AB19" s="59">
        <v>45.13</v>
      </c>
      <c r="AC19" s="60">
        <f t="shared" si="1"/>
        <v>-45.13</v>
      </c>
      <c r="AD19" s="94"/>
      <c r="AE19" s="94"/>
      <c r="AF19" s="61"/>
      <c r="AG19" s="61"/>
      <c r="AH19" s="57"/>
      <c r="AI19" s="57">
        <v>0</v>
      </c>
      <c r="AJ19" s="60">
        <f t="shared" si="2"/>
        <v>-45.13</v>
      </c>
      <c r="AK19" s="62">
        <f t="shared" si="17"/>
        <v>0</v>
      </c>
      <c r="AL19" s="60">
        <f t="shared" si="3"/>
        <v>-45.13</v>
      </c>
      <c r="AM19" s="63">
        <f t="shared" si="18"/>
        <v>-4.5130000000000008</v>
      </c>
      <c r="AN19" s="62" t="e">
        <f>#REF!*0.02</f>
        <v>#REF!</v>
      </c>
      <c r="AO19" s="60" t="e">
        <f t="shared" si="4"/>
        <v>#REF!</v>
      </c>
      <c r="AP19" s="81"/>
      <c r="AQ19" s="81"/>
      <c r="AR19" s="80">
        <f t="shared" si="19"/>
        <v>45.13</v>
      </c>
      <c r="AS19" s="64"/>
      <c r="AT19" s="64" t="s">
        <v>76</v>
      </c>
      <c r="AU19" s="28" t="str">
        <f t="shared" si="20"/>
        <v>si</v>
      </c>
      <c r="AV19" s="111" t="s">
        <v>127</v>
      </c>
      <c r="AW19" s="110" t="s">
        <v>128</v>
      </c>
      <c r="AX19" s="59">
        <v>45.13</v>
      </c>
      <c r="AY19" s="57">
        <v>0</v>
      </c>
      <c r="AZ19" s="28"/>
      <c r="BA19" s="28"/>
      <c r="BB19" s="28"/>
    </row>
    <row r="20" spans="1:54">
      <c r="A20" s="111" t="s">
        <v>129</v>
      </c>
      <c r="B20" s="110" t="s">
        <v>130</v>
      </c>
      <c r="C20" s="125">
        <v>1026.76</v>
      </c>
      <c r="D20" s="139">
        <f t="shared" si="5"/>
        <v>3553.59</v>
      </c>
      <c r="E20" s="139"/>
      <c r="F20" s="139"/>
      <c r="G20" s="139">
        <f t="shared" si="6"/>
        <v>1026.76</v>
      </c>
      <c r="H20" s="139">
        <f t="shared" si="7"/>
        <v>-45.13</v>
      </c>
      <c r="I20" s="139">
        <f t="shared" si="8"/>
        <v>20.5352</v>
      </c>
      <c r="J20" s="139">
        <f t="shared" si="9"/>
        <v>77.006999999999991</v>
      </c>
      <c r="K20" s="139">
        <f t="shared" si="10"/>
        <v>1079.1722</v>
      </c>
      <c r="L20" s="139">
        <f t="shared" si="11"/>
        <v>172.667552</v>
      </c>
      <c r="M20" s="139">
        <f t="shared" si="12"/>
        <v>1251.8397519999999</v>
      </c>
      <c r="N20"/>
      <c r="O20" s="139">
        <f t="shared" si="13"/>
        <v>3553.59</v>
      </c>
      <c r="P20" s="139">
        <f t="shared" si="14"/>
        <v>568.57440000000008</v>
      </c>
      <c r="Q20" s="139">
        <f t="shared" si="15"/>
        <v>4122.1644000000006</v>
      </c>
      <c r="S20" t="str">
        <f t="shared" si="16"/>
        <v>SI</v>
      </c>
      <c r="T20" s="55" t="s">
        <v>35</v>
      </c>
      <c r="U20" s="64" t="s">
        <v>92</v>
      </c>
      <c r="V20" s="68"/>
      <c r="W20" s="79">
        <v>42167</v>
      </c>
      <c r="X20" s="64" t="s">
        <v>40</v>
      </c>
      <c r="Y20" s="83">
        <v>3553.59</v>
      </c>
      <c r="Z20" s="57"/>
      <c r="AA20" s="57"/>
      <c r="AB20" s="59">
        <v>45.13</v>
      </c>
      <c r="AC20" s="60">
        <f t="shared" si="1"/>
        <v>3508.46</v>
      </c>
      <c r="AD20" s="94"/>
      <c r="AE20" s="94"/>
      <c r="AF20" s="61"/>
      <c r="AG20" s="61"/>
      <c r="AH20" s="57"/>
      <c r="AI20" s="57">
        <v>0</v>
      </c>
      <c r="AJ20" s="60">
        <f t="shared" si="2"/>
        <v>3508.46</v>
      </c>
      <c r="AK20" s="62">
        <f t="shared" si="17"/>
        <v>350.846</v>
      </c>
      <c r="AL20" s="60">
        <f t="shared" si="3"/>
        <v>3157.614</v>
      </c>
      <c r="AM20" s="63">
        <f t="shared" si="18"/>
        <v>0</v>
      </c>
      <c r="AN20" s="62" t="e">
        <f>#REF!*0.02</f>
        <v>#REF!</v>
      </c>
      <c r="AO20" s="60" t="e">
        <f t="shared" si="4"/>
        <v>#REF!</v>
      </c>
      <c r="AP20" s="81"/>
      <c r="AQ20" s="75"/>
      <c r="AR20" s="80">
        <f t="shared" si="19"/>
        <v>-3157.614</v>
      </c>
      <c r="AS20" s="64"/>
      <c r="AT20" s="66">
        <v>1449517286</v>
      </c>
      <c r="AU20" s="28" t="str">
        <f t="shared" si="20"/>
        <v>si</v>
      </c>
      <c r="AV20" s="111" t="s">
        <v>129</v>
      </c>
      <c r="AW20" s="110" t="s">
        <v>130</v>
      </c>
      <c r="AX20" s="59">
        <v>45.13</v>
      </c>
      <c r="AY20" s="57">
        <v>0</v>
      </c>
      <c r="AZ20" s="28"/>
      <c r="BA20" s="28"/>
      <c r="BB20" s="28"/>
    </row>
    <row r="21" spans="1:54">
      <c r="A21" s="111" t="s">
        <v>131</v>
      </c>
      <c r="B21" s="110" t="s">
        <v>132</v>
      </c>
      <c r="C21" s="125">
        <v>4666.76</v>
      </c>
      <c r="D21" s="139">
        <f t="shared" si="5"/>
        <v>400.27</v>
      </c>
      <c r="E21" s="139"/>
      <c r="F21" s="139"/>
      <c r="G21" s="139">
        <f t="shared" si="6"/>
        <v>4666.76</v>
      </c>
      <c r="H21" s="139">
        <f t="shared" si="7"/>
        <v>-45.13</v>
      </c>
      <c r="I21" s="139">
        <f t="shared" si="8"/>
        <v>93.3352</v>
      </c>
      <c r="J21" s="139">
        <f t="shared" si="9"/>
        <v>350.00700000000001</v>
      </c>
      <c r="K21" s="139">
        <f t="shared" si="10"/>
        <v>5064.9722000000002</v>
      </c>
      <c r="L21" s="139">
        <f t="shared" si="11"/>
        <v>810.39555200000007</v>
      </c>
      <c r="M21" s="139">
        <f t="shared" si="12"/>
        <v>5875.3677520000001</v>
      </c>
      <c r="N21"/>
      <c r="O21" s="139">
        <f t="shared" si="13"/>
        <v>400.27</v>
      </c>
      <c r="P21" s="139">
        <f t="shared" si="14"/>
        <v>64.043199999999999</v>
      </c>
      <c r="Q21" s="139">
        <f t="shared" si="15"/>
        <v>464.31319999999999</v>
      </c>
      <c r="S21" t="str">
        <f t="shared" si="16"/>
        <v>SI</v>
      </c>
      <c r="T21" s="55" t="s">
        <v>36</v>
      </c>
      <c r="U21" s="64" t="s">
        <v>46</v>
      </c>
      <c r="V21" s="68">
        <v>5</v>
      </c>
      <c r="W21" s="79">
        <v>40310</v>
      </c>
      <c r="X21" s="64" t="s">
        <v>41</v>
      </c>
      <c r="Y21" s="91">
        <v>400.27</v>
      </c>
      <c r="Z21" s="69"/>
      <c r="AA21" s="58"/>
      <c r="AB21" s="59">
        <v>45.13</v>
      </c>
      <c r="AC21" s="60">
        <f t="shared" si="1"/>
        <v>355.14</v>
      </c>
      <c r="AD21" s="94"/>
      <c r="AE21" s="94"/>
      <c r="AF21" s="61"/>
      <c r="AG21" s="61"/>
      <c r="AH21" s="57"/>
      <c r="AI21" s="57">
        <v>0</v>
      </c>
      <c r="AJ21" s="60">
        <f t="shared" si="2"/>
        <v>355.14</v>
      </c>
      <c r="AK21" s="62">
        <f t="shared" si="17"/>
        <v>0</v>
      </c>
      <c r="AL21" s="60">
        <f t="shared" si="3"/>
        <v>355.14</v>
      </c>
      <c r="AM21" s="63">
        <f t="shared" si="18"/>
        <v>35.514000000000003</v>
      </c>
      <c r="AN21" s="62" t="e">
        <f>#REF!*0.02</f>
        <v>#REF!</v>
      </c>
      <c r="AO21" s="60" t="e">
        <f t="shared" si="4"/>
        <v>#REF!</v>
      </c>
      <c r="AP21" s="81"/>
      <c r="AQ21" s="75"/>
      <c r="AR21" s="80">
        <f t="shared" si="19"/>
        <v>-355.14</v>
      </c>
      <c r="AS21" s="64"/>
      <c r="AT21" s="64" t="s">
        <v>77</v>
      </c>
      <c r="AU21" s="28" t="str">
        <f t="shared" si="20"/>
        <v>si</v>
      </c>
      <c r="AV21" s="111" t="s">
        <v>131</v>
      </c>
      <c r="AW21" s="110" t="s">
        <v>132</v>
      </c>
      <c r="AX21" s="59">
        <v>45.13</v>
      </c>
      <c r="AY21" s="57">
        <v>0</v>
      </c>
      <c r="AZ21" s="28"/>
      <c r="BA21" s="28"/>
      <c r="BB21" s="28"/>
    </row>
    <row r="22" spans="1:54">
      <c r="A22" s="111" t="s">
        <v>133</v>
      </c>
      <c r="B22" s="110" t="s">
        <v>134</v>
      </c>
      <c r="C22" s="125">
        <v>1026.76</v>
      </c>
      <c r="D22" s="139">
        <f t="shared" si="5"/>
        <v>0</v>
      </c>
      <c r="E22" s="139"/>
      <c r="F22" s="139"/>
      <c r="G22" s="139">
        <f t="shared" si="6"/>
        <v>1026.76</v>
      </c>
      <c r="H22" s="139">
        <f t="shared" si="7"/>
        <v>-45.13</v>
      </c>
      <c r="I22" s="139">
        <f t="shared" si="8"/>
        <v>20.5352</v>
      </c>
      <c r="J22" s="139">
        <f t="shared" si="9"/>
        <v>77.006999999999991</v>
      </c>
      <c r="K22" s="139">
        <f t="shared" si="10"/>
        <v>1079.1722</v>
      </c>
      <c r="L22" s="139">
        <f t="shared" si="11"/>
        <v>172.667552</v>
      </c>
      <c r="M22" s="139">
        <f t="shared" si="12"/>
        <v>1251.8397519999999</v>
      </c>
      <c r="N22"/>
      <c r="O22" s="139">
        <f t="shared" si="13"/>
        <v>0</v>
      </c>
      <c r="P22" s="139">
        <f t="shared" si="14"/>
        <v>0</v>
      </c>
      <c r="Q22" s="139">
        <f t="shared" si="15"/>
        <v>0</v>
      </c>
      <c r="S22" t="str">
        <f t="shared" si="16"/>
        <v>SI</v>
      </c>
      <c r="T22" s="55" t="s">
        <v>36</v>
      </c>
      <c r="U22" s="64" t="s">
        <v>49</v>
      </c>
      <c r="V22" s="56" t="s">
        <v>59</v>
      </c>
      <c r="W22" s="79">
        <v>41311</v>
      </c>
      <c r="X22" s="55" t="s">
        <v>40</v>
      </c>
      <c r="Y22" s="1"/>
      <c r="Z22" s="57"/>
      <c r="AA22" s="57"/>
      <c r="AB22" s="59">
        <v>45.13</v>
      </c>
      <c r="AC22" s="60">
        <f t="shared" si="1"/>
        <v>-45.13</v>
      </c>
      <c r="AD22" s="94"/>
      <c r="AE22" s="94"/>
      <c r="AF22" s="61"/>
      <c r="AG22" s="61"/>
      <c r="AH22" s="57"/>
      <c r="AI22" s="57">
        <v>0</v>
      </c>
      <c r="AJ22" s="60">
        <f t="shared" si="2"/>
        <v>-45.13</v>
      </c>
      <c r="AK22" s="62">
        <f t="shared" si="17"/>
        <v>0</v>
      </c>
      <c r="AL22" s="60">
        <f t="shared" si="3"/>
        <v>-45.13</v>
      </c>
      <c r="AM22" s="63">
        <f t="shared" si="18"/>
        <v>-4.5130000000000008</v>
      </c>
      <c r="AN22" s="62" t="e">
        <f>#REF!*0.02</f>
        <v>#REF!</v>
      </c>
      <c r="AO22" s="60" t="e">
        <f t="shared" si="4"/>
        <v>#REF!</v>
      </c>
      <c r="AP22" s="81"/>
      <c r="AQ22" s="75"/>
      <c r="AR22" s="80">
        <f t="shared" si="19"/>
        <v>45.13</v>
      </c>
      <c r="AS22" s="64"/>
      <c r="AT22" s="64" t="s">
        <v>78</v>
      </c>
      <c r="AU22" s="28" t="str">
        <f t="shared" si="20"/>
        <v>si</v>
      </c>
      <c r="AV22" s="111" t="s">
        <v>133</v>
      </c>
      <c r="AW22" s="110" t="s">
        <v>134</v>
      </c>
      <c r="AX22" s="59">
        <v>45.13</v>
      </c>
      <c r="AY22" s="57">
        <v>0</v>
      </c>
      <c r="AZ22" s="28"/>
      <c r="BA22" s="28"/>
      <c r="BB22" s="28"/>
    </row>
    <row r="23" spans="1:54">
      <c r="A23" s="111" t="s">
        <v>135</v>
      </c>
      <c r="B23" s="110" t="s">
        <v>136</v>
      </c>
      <c r="C23" s="125">
        <v>1166.76</v>
      </c>
      <c r="D23" s="139">
        <f t="shared" si="5"/>
        <v>2218.69</v>
      </c>
      <c r="E23" s="139"/>
      <c r="F23" s="139"/>
      <c r="G23" s="139">
        <f t="shared" si="6"/>
        <v>1166.76</v>
      </c>
      <c r="H23" s="139">
        <f t="shared" si="7"/>
        <v>-45.13</v>
      </c>
      <c r="I23" s="139">
        <f t="shared" si="8"/>
        <v>23.3352</v>
      </c>
      <c r="J23" s="139">
        <f t="shared" si="9"/>
        <v>87.506999999999991</v>
      </c>
      <c r="K23" s="139">
        <f t="shared" si="10"/>
        <v>1232.4721999999999</v>
      </c>
      <c r="L23" s="139">
        <f t="shared" si="11"/>
        <v>197.19555199999999</v>
      </c>
      <c r="M23" s="139">
        <f t="shared" si="12"/>
        <v>1429.6677519999998</v>
      </c>
      <c r="N23"/>
      <c r="O23" s="139">
        <f t="shared" si="13"/>
        <v>2218.69</v>
      </c>
      <c r="P23" s="139">
        <f t="shared" si="14"/>
        <v>354.99040000000002</v>
      </c>
      <c r="Q23" s="139">
        <f t="shared" si="15"/>
        <v>2573.6804000000002</v>
      </c>
      <c r="S23" t="str">
        <f t="shared" si="16"/>
        <v>SI</v>
      </c>
      <c r="T23" s="55" t="s">
        <v>34</v>
      </c>
      <c r="U23" s="64" t="s">
        <v>45</v>
      </c>
      <c r="V23" s="56" t="s">
        <v>57</v>
      </c>
      <c r="W23" s="79">
        <v>40610</v>
      </c>
      <c r="X23" s="55" t="s">
        <v>39</v>
      </c>
      <c r="Y23" s="83">
        <v>2218.69</v>
      </c>
      <c r="Z23" s="57"/>
      <c r="AA23" s="57"/>
      <c r="AB23" s="59">
        <v>45.13</v>
      </c>
      <c r="AC23" s="60">
        <f t="shared" si="1"/>
        <v>2173.56</v>
      </c>
      <c r="AD23" s="94"/>
      <c r="AE23" s="94"/>
      <c r="AF23" s="61"/>
      <c r="AG23" s="61"/>
      <c r="AH23" s="57"/>
      <c r="AI23" s="57">
        <v>490</v>
      </c>
      <c r="AJ23" s="60">
        <f t="shared" si="2"/>
        <v>1683.56</v>
      </c>
      <c r="AK23" s="62">
        <f t="shared" si="17"/>
        <v>0</v>
      </c>
      <c r="AL23" s="60">
        <f t="shared" si="3"/>
        <v>1683.56</v>
      </c>
      <c r="AM23" s="63">
        <f t="shared" si="18"/>
        <v>217.35599999999999</v>
      </c>
      <c r="AN23" s="62" t="e">
        <f>#REF!*0.02</f>
        <v>#REF!</v>
      </c>
      <c r="AO23" s="60" t="e">
        <f t="shared" si="4"/>
        <v>#REF!</v>
      </c>
      <c r="AP23" s="81"/>
      <c r="AQ23" s="75"/>
      <c r="AR23" s="80">
        <f t="shared" si="19"/>
        <v>-1683.56</v>
      </c>
      <c r="AS23" s="64"/>
      <c r="AT23" s="64" t="s">
        <v>79</v>
      </c>
      <c r="AU23" s="28" t="str">
        <f t="shared" si="20"/>
        <v>si</v>
      </c>
      <c r="AV23" s="111" t="s">
        <v>135</v>
      </c>
      <c r="AW23" s="110" t="s">
        <v>136</v>
      </c>
      <c r="AX23" s="59">
        <v>45.13</v>
      </c>
      <c r="AY23" s="57">
        <v>490</v>
      </c>
      <c r="AZ23" s="28"/>
      <c r="BA23" s="28"/>
      <c r="BB23" s="28"/>
    </row>
    <row r="24" spans="1:54">
      <c r="A24" s="111" t="s">
        <v>137</v>
      </c>
      <c r="B24" s="110" t="s">
        <v>138</v>
      </c>
      <c r="C24" s="125">
        <v>1026.76</v>
      </c>
      <c r="D24" s="139">
        <f t="shared" si="5"/>
        <v>11981.11</v>
      </c>
      <c r="E24" s="139"/>
      <c r="F24" s="139"/>
      <c r="G24" s="139">
        <f t="shared" si="6"/>
        <v>1026.76</v>
      </c>
      <c r="H24" s="139">
        <f t="shared" si="7"/>
        <v>-45.13</v>
      </c>
      <c r="I24" s="139">
        <f t="shared" si="8"/>
        <v>20.5352</v>
      </c>
      <c r="J24" s="139">
        <f t="shared" si="9"/>
        <v>77.006999999999991</v>
      </c>
      <c r="K24" s="139">
        <f t="shared" si="10"/>
        <v>1079.1722</v>
      </c>
      <c r="L24" s="139">
        <f t="shared" si="11"/>
        <v>172.667552</v>
      </c>
      <c r="M24" s="139">
        <f t="shared" si="12"/>
        <v>1251.8397519999999</v>
      </c>
      <c r="N24"/>
      <c r="O24" s="139">
        <f t="shared" si="13"/>
        <v>11981.11</v>
      </c>
      <c r="P24" s="139">
        <f t="shared" si="14"/>
        <v>1916.9776000000002</v>
      </c>
      <c r="Q24" s="139">
        <f t="shared" si="15"/>
        <v>13898.087600000001</v>
      </c>
      <c r="S24" t="str">
        <f t="shared" si="16"/>
        <v>SI</v>
      </c>
      <c r="T24" s="55" t="s">
        <v>36</v>
      </c>
      <c r="U24" s="64" t="s">
        <v>37</v>
      </c>
      <c r="V24" s="56" t="s">
        <v>62</v>
      </c>
      <c r="W24" s="79">
        <v>41842</v>
      </c>
      <c r="X24" s="55" t="s">
        <v>40</v>
      </c>
      <c r="Y24" s="90">
        <v>11981.11</v>
      </c>
      <c r="Z24" s="58"/>
      <c r="AA24" s="58"/>
      <c r="AB24" s="59">
        <v>45.13</v>
      </c>
      <c r="AC24" s="60">
        <f t="shared" si="1"/>
        <v>11935.980000000001</v>
      </c>
      <c r="AD24" s="94"/>
      <c r="AE24" s="94"/>
      <c r="AF24" s="61"/>
      <c r="AG24" s="61"/>
      <c r="AH24" s="57"/>
      <c r="AI24" s="57">
        <v>0</v>
      </c>
      <c r="AJ24" s="60">
        <f t="shared" si="2"/>
        <v>11935.980000000001</v>
      </c>
      <c r="AK24" s="62">
        <f t="shared" si="17"/>
        <v>1193.5980000000002</v>
      </c>
      <c r="AL24" s="60">
        <f t="shared" si="3"/>
        <v>10742.382000000001</v>
      </c>
      <c r="AM24" s="63">
        <f t="shared" si="18"/>
        <v>0</v>
      </c>
      <c r="AN24" s="62" t="e">
        <f>#REF!*0.02</f>
        <v>#REF!</v>
      </c>
      <c r="AO24" s="60" t="e">
        <f t="shared" si="4"/>
        <v>#REF!</v>
      </c>
      <c r="AP24" s="81"/>
      <c r="AQ24" s="75"/>
      <c r="AR24" s="80">
        <f t="shared" si="19"/>
        <v>-10742.382000000001</v>
      </c>
      <c r="AS24" s="64"/>
      <c r="AT24" s="64" t="s">
        <v>80</v>
      </c>
      <c r="AU24" s="28" t="str">
        <f t="shared" si="20"/>
        <v>si</v>
      </c>
      <c r="AV24" s="111" t="s">
        <v>137</v>
      </c>
      <c r="AW24" s="110" t="s">
        <v>138</v>
      </c>
      <c r="AX24" s="59">
        <v>45.13</v>
      </c>
      <c r="AY24" s="57">
        <v>0</v>
      </c>
      <c r="AZ24" s="28"/>
      <c r="BA24" s="28"/>
      <c r="BB24" s="28"/>
    </row>
    <row r="25" spans="1:54">
      <c r="A25" s="111" t="s">
        <v>139</v>
      </c>
      <c r="B25" s="110" t="s">
        <v>219</v>
      </c>
      <c r="C25" s="125">
        <v>1026.76</v>
      </c>
      <c r="D25" s="139">
        <f t="shared" si="5"/>
        <v>0</v>
      </c>
      <c r="E25" s="139"/>
      <c r="F25" s="139"/>
      <c r="G25" s="139">
        <f t="shared" si="6"/>
        <v>1026.76</v>
      </c>
      <c r="H25" s="139">
        <f t="shared" si="7"/>
        <v>-45.13</v>
      </c>
      <c r="I25" s="139">
        <f t="shared" si="8"/>
        <v>20.5352</v>
      </c>
      <c r="J25" s="139">
        <f t="shared" si="9"/>
        <v>77.006999999999991</v>
      </c>
      <c r="K25" s="139">
        <f t="shared" si="10"/>
        <v>1079.1722</v>
      </c>
      <c r="L25" s="139">
        <f t="shared" si="11"/>
        <v>172.667552</v>
      </c>
      <c r="M25" s="139">
        <f t="shared" si="12"/>
        <v>1251.8397519999999</v>
      </c>
      <c r="N25"/>
      <c r="O25" s="139">
        <f t="shared" si="13"/>
        <v>0</v>
      </c>
      <c r="P25" s="139">
        <f t="shared" si="14"/>
        <v>0</v>
      </c>
      <c r="Q25" s="139">
        <f t="shared" si="15"/>
        <v>0</v>
      </c>
      <c r="S25" t="str">
        <f t="shared" si="16"/>
        <v>SI</v>
      </c>
      <c r="T25" s="55" t="s">
        <v>36</v>
      </c>
      <c r="U25" s="64" t="s">
        <v>50</v>
      </c>
      <c r="V25" s="56" t="s">
        <v>60</v>
      </c>
      <c r="W25" s="79">
        <v>41768</v>
      </c>
      <c r="X25" s="55" t="s">
        <v>40</v>
      </c>
      <c r="Y25" s="92"/>
      <c r="Z25" s="58"/>
      <c r="AA25" s="58"/>
      <c r="AB25" s="59">
        <v>45.13</v>
      </c>
      <c r="AC25" s="60">
        <f t="shared" si="1"/>
        <v>-45.13</v>
      </c>
      <c r="AD25" s="94"/>
      <c r="AE25" s="94"/>
      <c r="AF25" s="61"/>
      <c r="AG25" s="61"/>
      <c r="AH25" s="57"/>
      <c r="AI25" s="57">
        <v>0</v>
      </c>
      <c r="AJ25" s="60">
        <f t="shared" si="2"/>
        <v>-45.13</v>
      </c>
      <c r="AK25" s="62">
        <f t="shared" si="17"/>
        <v>0</v>
      </c>
      <c r="AL25" s="60">
        <f t="shared" si="3"/>
        <v>-45.13</v>
      </c>
      <c r="AM25" s="63">
        <f t="shared" si="18"/>
        <v>-4.5130000000000008</v>
      </c>
      <c r="AN25" s="62" t="e">
        <f>#REF!*0.02</f>
        <v>#REF!</v>
      </c>
      <c r="AO25" s="60" t="e">
        <f t="shared" si="4"/>
        <v>#REF!</v>
      </c>
      <c r="AP25" s="81"/>
      <c r="AQ25" s="75"/>
      <c r="AR25" s="80">
        <f t="shared" si="19"/>
        <v>45.13</v>
      </c>
      <c r="AS25" s="64"/>
      <c r="AT25" s="64" t="s">
        <v>81</v>
      </c>
      <c r="AU25" s="28" t="str">
        <f t="shared" si="20"/>
        <v>no</v>
      </c>
      <c r="AV25" s="111" t="s">
        <v>139</v>
      </c>
      <c r="AW25" s="110" t="s">
        <v>140</v>
      </c>
      <c r="AX25" s="59">
        <v>45.13</v>
      </c>
      <c r="AY25" s="57">
        <v>0</v>
      </c>
      <c r="AZ25" s="28"/>
      <c r="BA25" s="28"/>
      <c r="BB25" s="28"/>
    </row>
    <row r="26" spans="1:54">
      <c r="A26" s="111" t="s">
        <v>141</v>
      </c>
      <c r="B26" s="110" t="s">
        <v>142</v>
      </c>
      <c r="C26" s="125">
        <v>1026.76</v>
      </c>
      <c r="D26" s="139">
        <f t="shared" si="5"/>
        <v>6695.31</v>
      </c>
      <c r="E26" s="139"/>
      <c r="F26" s="139"/>
      <c r="G26" s="139">
        <f t="shared" si="6"/>
        <v>1026.76</v>
      </c>
      <c r="H26" s="139">
        <f t="shared" si="7"/>
        <v>-45.13</v>
      </c>
      <c r="I26" s="139">
        <f t="shared" si="8"/>
        <v>20.5352</v>
      </c>
      <c r="J26" s="139">
        <f t="shared" si="9"/>
        <v>77.006999999999991</v>
      </c>
      <c r="K26" s="139">
        <f t="shared" si="10"/>
        <v>1079.1722</v>
      </c>
      <c r="L26" s="139">
        <f t="shared" si="11"/>
        <v>172.667552</v>
      </c>
      <c r="M26" s="139">
        <f t="shared" si="12"/>
        <v>1251.8397519999999</v>
      </c>
      <c r="N26"/>
      <c r="O26" s="139">
        <f t="shared" si="13"/>
        <v>6695.31</v>
      </c>
      <c r="P26" s="139">
        <f t="shared" si="14"/>
        <v>1071.2496000000001</v>
      </c>
      <c r="Q26" s="139">
        <f t="shared" si="15"/>
        <v>7766.5596000000005</v>
      </c>
      <c r="S26" t="str">
        <f t="shared" si="16"/>
        <v>SI</v>
      </c>
      <c r="T26" s="64" t="s">
        <v>36</v>
      </c>
      <c r="U26" s="64" t="s">
        <v>93</v>
      </c>
      <c r="V26" s="68" t="s">
        <v>61</v>
      </c>
      <c r="W26" s="79">
        <v>41957</v>
      </c>
      <c r="X26" s="64" t="s">
        <v>40</v>
      </c>
      <c r="Y26" s="90">
        <v>6695.31</v>
      </c>
      <c r="Z26" s="65"/>
      <c r="AA26" s="65"/>
      <c r="AB26" s="59">
        <v>45.13</v>
      </c>
      <c r="AC26" s="60">
        <f t="shared" si="1"/>
        <v>6650.18</v>
      </c>
      <c r="AD26" s="94"/>
      <c r="AE26" s="94"/>
      <c r="AF26" s="61"/>
      <c r="AG26" s="61"/>
      <c r="AH26" s="57"/>
      <c r="AI26" s="57">
        <v>0</v>
      </c>
      <c r="AJ26" s="60">
        <f t="shared" si="2"/>
        <v>6650.18</v>
      </c>
      <c r="AK26" s="62">
        <f t="shared" si="17"/>
        <v>665.01800000000003</v>
      </c>
      <c r="AL26" s="60">
        <f t="shared" si="3"/>
        <v>5985.1620000000003</v>
      </c>
      <c r="AM26" s="63">
        <f t="shared" si="18"/>
        <v>0</v>
      </c>
      <c r="AN26" s="62" t="e">
        <f>#REF!*0.02</f>
        <v>#REF!</v>
      </c>
      <c r="AO26" s="60" t="e">
        <f t="shared" si="4"/>
        <v>#REF!</v>
      </c>
      <c r="AP26" s="81"/>
      <c r="AQ26" s="75"/>
      <c r="AR26" s="80">
        <f t="shared" si="19"/>
        <v>-5985.1620000000003</v>
      </c>
      <c r="AS26" s="64"/>
      <c r="AT26" s="64" t="s">
        <v>82</v>
      </c>
      <c r="AU26" s="28" t="str">
        <f t="shared" si="20"/>
        <v>si</v>
      </c>
      <c r="AV26" s="111" t="s">
        <v>141</v>
      </c>
      <c r="AW26" s="110" t="s">
        <v>142</v>
      </c>
      <c r="AX26" s="59">
        <v>45.13</v>
      </c>
      <c r="AY26" s="57">
        <v>0</v>
      </c>
      <c r="AZ26" s="28"/>
      <c r="BA26" s="28"/>
      <c r="BB26" s="28"/>
    </row>
    <row r="27" spans="1:54">
      <c r="A27" s="111" t="s">
        <v>143</v>
      </c>
      <c r="B27" s="110" t="s">
        <v>144</v>
      </c>
      <c r="C27" s="125">
        <v>4666.76</v>
      </c>
      <c r="D27" s="139">
        <f t="shared" si="5"/>
        <v>3021.58</v>
      </c>
      <c r="E27" s="139"/>
      <c r="F27" s="139"/>
      <c r="G27" s="139">
        <f t="shared" si="6"/>
        <v>4666.76</v>
      </c>
      <c r="H27" s="139">
        <f t="shared" si="7"/>
        <v>-45.13</v>
      </c>
      <c r="I27" s="139">
        <f t="shared" si="8"/>
        <v>93.3352</v>
      </c>
      <c r="J27" s="139">
        <f t="shared" si="9"/>
        <v>350.00700000000001</v>
      </c>
      <c r="K27" s="139">
        <f t="shared" si="10"/>
        <v>5064.9722000000002</v>
      </c>
      <c r="L27" s="139">
        <f t="shared" si="11"/>
        <v>810.39555200000007</v>
      </c>
      <c r="M27" s="139">
        <f t="shared" si="12"/>
        <v>5875.3677520000001</v>
      </c>
      <c r="N27"/>
      <c r="O27" s="139">
        <f t="shared" si="13"/>
        <v>3021.58</v>
      </c>
      <c r="P27" s="139">
        <f t="shared" si="14"/>
        <v>483.45280000000002</v>
      </c>
      <c r="Q27" s="139">
        <f t="shared" si="15"/>
        <v>3505.0328</v>
      </c>
      <c r="S27" t="str">
        <f t="shared" si="16"/>
        <v>SI</v>
      </c>
      <c r="T27" s="64" t="s">
        <v>36</v>
      </c>
      <c r="U27" s="64" t="s">
        <v>110</v>
      </c>
      <c r="V27" s="68"/>
      <c r="W27" s="79">
        <v>41906</v>
      </c>
      <c r="X27" s="64" t="s">
        <v>41</v>
      </c>
      <c r="Y27" s="83">
        <v>3021.58</v>
      </c>
      <c r="Z27" s="65"/>
      <c r="AA27" s="65"/>
      <c r="AB27" s="59">
        <v>45.13</v>
      </c>
      <c r="AC27" s="60">
        <f t="shared" si="1"/>
        <v>2976.45</v>
      </c>
      <c r="AD27" s="94"/>
      <c r="AE27" s="94"/>
      <c r="AF27" s="61"/>
      <c r="AG27" s="61"/>
      <c r="AH27" s="57"/>
      <c r="AI27" s="57">
        <v>350</v>
      </c>
      <c r="AJ27" s="60">
        <f t="shared" si="2"/>
        <v>2626.45</v>
      </c>
      <c r="AK27" s="62"/>
      <c r="AL27" s="60">
        <f>+AJ27-AK27</f>
        <v>2626.45</v>
      </c>
      <c r="AM27" s="63">
        <f>IF(AC27&lt;2250,AC27*0.1,0)</f>
        <v>0</v>
      </c>
      <c r="AN27" s="62"/>
      <c r="AO27" s="60"/>
      <c r="AP27" s="81"/>
      <c r="AQ27" s="75"/>
      <c r="AR27" s="80"/>
      <c r="AS27" s="64"/>
      <c r="AT27" s="64"/>
      <c r="AU27" s="28" t="str">
        <f t="shared" si="20"/>
        <v>si</v>
      </c>
      <c r="AV27" s="111" t="s">
        <v>143</v>
      </c>
      <c r="AW27" s="110" t="s">
        <v>144</v>
      </c>
      <c r="AX27" s="59">
        <v>45.13</v>
      </c>
      <c r="AY27" s="57">
        <v>350</v>
      </c>
      <c r="AZ27" s="28"/>
      <c r="BA27" s="28"/>
      <c r="BB27" s="28"/>
    </row>
    <row r="28" spans="1:54">
      <c r="A28" s="111" t="s">
        <v>145</v>
      </c>
      <c r="B28" s="110" t="s">
        <v>146</v>
      </c>
      <c r="C28" s="125">
        <v>1166.76</v>
      </c>
      <c r="D28" s="139">
        <f t="shared" si="5"/>
        <v>860.33</v>
      </c>
      <c r="E28" s="139"/>
      <c r="F28" s="139"/>
      <c r="G28" s="139">
        <f t="shared" si="6"/>
        <v>1166.76</v>
      </c>
      <c r="H28" s="139">
        <f t="shared" si="7"/>
        <v>-45.13</v>
      </c>
      <c r="I28" s="139">
        <f t="shared" si="8"/>
        <v>23.3352</v>
      </c>
      <c r="J28" s="139">
        <f t="shared" si="9"/>
        <v>87.506999999999991</v>
      </c>
      <c r="K28" s="139">
        <f t="shared" si="10"/>
        <v>1232.4721999999999</v>
      </c>
      <c r="L28" s="139">
        <f t="shared" si="11"/>
        <v>197.19555199999999</v>
      </c>
      <c r="M28" s="139">
        <f t="shared" si="12"/>
        <v>1429.6677519999998</v>
      </c>
      <c r="N28"/>
      <c r="O28" s="139">
        <f t="shared" si="13"/>
        <v>860.33</v>
      </c>
      <c r="P28" s="139">
        <f t="shared" si="14"/>
        <v>137.65280000000001</v>
      </c>
      <c r="Q28" s="139">
        <f t="shared" si="15"/>
        <v>997.9828</v>
      </c>
      <c r="S28" t="str">
        <f t="shared" si="16"/>
        <v>SI</v>
      </c>
      <c r="T28" s="55" t="s">
        <v>34</v>
      </c>
      <c r="U28" s="64" t="s">
        <v>178</v>
      </c>
      <c r="V28" s="56">
        <v>21</v>
      </c>
      <c r="W28" s="79">
        <v>39332</v>
      </c>
      <c r="X28" s="55" t="s">
        <v>39</v>
      </c>
      <c r="Y28" s="91">
        <v>860.33</v>
      </c>
      <c r="Z28" s="57"/>
      <c r="AA28" s="57"/>
      <c r="AB28" s="59">
        <v>45.13</v>
      </c>
      <c r="AC28" s="60">
        <f t="shared" si="1"/>
        <v>815.2</v>
      </c>
      <c r="AD28" s="94"/>
      <c r="AE28" s="94"/>
      <c r="AF28" s="61"/>
      <c r="AG28" s="61"/>
      <c r="AH28" s="57"/>
      <c r="AI28" s="57">
        <v>83.6</v>
      </c>
      <c r="AJ28" s="60">
        <f t="shared" si="2"/>
        <v>731.6</v>
      </c>
      <c r="AK28" s="62">
        <f t="shared" si="17"/>
        <v>0</v>
      </c>
      <c r="AL28" s="60">
        <f>+AJ28-AK28</f>
        <v>731.6</v>
      </c>
      <c r="AM28" s="63">
        <f t="shared" si="18"/>
        <v>81.52000000000001</v>
      </c>
      <c r="AN28" s="62" t="e">
        <f>#REF!*0.02</f>
        <v>#REF!</v>
      </c>
      <c r="AO28" s="60" t="e">
        <f t="shared" si="4"/>
        <v>#REF!</v>
      </c>
      <c r="AP28" s="81"/>
      <c r="AQ28" s="75"/>
      <c r="AR28" s="80">
        <f>+AP28+AQ28-AL28</f>
        <v>-731.6</v>
      </c>
      <c r="AS28" s="64"/>
      <c r="AT28" s="64" t="s">
        <v>83</v>
      </c>
      <c r="AU28" s="28" t="str">
        <f t="shared" si="20"/>
        <v>si</v>
      </c>
      <c r="AV28" s="111" t="s">
        <v>145</v>
      </c>
      <c r="AW28" s="110" t="s">
        <v>146</v>
      </c>
      <c r="AX28" s="59">
        <v>45.13</v>
      </c>
      <c r="AY28" s="57">
        <v>83.6</v>
      </c>
      <c r="AZ28" s="28"/>
      <c r="BA28" s="28"/>
      <c r="BB28" s="28"/>
    </row>
    <row r="29" spans="1:54">
      <c r="A29" s="111" t="s">
        <v>147</v>
      </c>
      <c r="B29" s="110" t="s">
        <v>148</v>
      </c>
      <c r="C29" s="125">
        <v>1026.76</v>
      </c>
      <c r="D29" s="139">
        <f t="shared" si="5"/>
        <v>0</v>
      </c>
      <c r="E29" s="139"/>
      <c r="F29" s="139"/>
      <c r="G29" s="139">
        <f t="shared" si="6"/>
        <v>1026.76</v>
      </c>
      <c r="H29" s="139">
        <f t="shared" si="7"/>
        <v>-45.13</v>
      </c>
      <c r="I29" s="139">
        <f t="shared" si="8"/>
        <v>20.5352</v>
      </c>
      <c r="J29" s="139">
        <f t="shared" si="9"/>
        <v>77.006999999999991</v>
      </c>
      <c r="K29" s="139">
        <f t="shared" si="10"/>
        <v>1079.1722</v>
      </c>
      <c r="L29" s="139">
        <f t="shared" si="11"/>
        <v>172.667552</v>
      </c>
      <c r="M29" s="139">
        <f t="shared" si="12"/>
        <v>1251.8397519999999</v>
      </c>
      <c r="N29"/>
      <c r="O29" s="139">
        <f t="shared" si="13"/>
        <v>0</v>
      </c>
      <c r="P29" s="139">
        <f t="shared" si="14"/>
        <v>0</v>
      </c>
      <c r="Q29" s="139">
        <f t="shared" si="15"/>
        <v>0</v>
      </c>
      <c r="S29" t="str">
        <f t="shared" si="16"/>
        <v>SI</v>
      </c>
      <c r="T29" s="64" t="s">
        <v>36</v>
      </c>
      <c r="U29" s="64" t="s">
        <v>98</v>
      </c>
      <c r="V29" s="68" t="s">
        <v>64</v>
      </c>
      <c r="W29" s="79">
        <v>41680</v>
      </c>
      <c r="X29" s="64" t="s">
        <v>40</v>
      </c>
      <c r="Y29" s="92"/>
      <c r="Z29" s="65"/>
      <c r="AA29" s="65"/>
      <c r="AB29" s="59">
        <v>45.13</v>
      </c>
      <c r="AC29" s="60">
        <f t="shared" si="1"/>
        <v>-45.13</v>
      </c>
      <c r="AD29" s="94"/>
      <c r="AE29" s="94"/>
      <c r="AF29" s="61"/>
      <c r="AG29" s="61"/>
      <c r="AH29" s="57"/>
      <c r="AI29" s="57">
        <v>0</v>
      </c>
      <c r="AJ29" s="60">
        <f>+AC29-SUM(AD29:AI29)</f>
        <v>-45.13</v>
      </c>
      <c r="AK29" s="62">
        <f t="shared" si="17"/>
        <v>0</v>
      </c>
      <c r="AL29" s="60">
        <f>+AJ29-AK29</f>
        <v>-45.13</v>
      </c>
      <c r="AM29" s="63">
        <f t="shared" si="18"/>
        <v>-4.5130000000000008</v>
      </c>
      <c r="AN29" s="62" t="e">
        <f>#REF!*0.02</f>
        <v>#REF!</v>
      </c>
      <c r="AO29" s="60" t="e">
        <f>+AC29+AM29+AN29</f>
        <v>#REF!</v>
      </c>
      <c r="AP29" s="81"/>
      <c r="AQ29" s="75"/>
      <c r="AR29" s="80">
        <f t="shared" si="19"/>
        <v>45.13</v>
      </c>
      <c r="AS29" s="64"/>
      <c r="AT29" s="64" t="s">
        <v>84</v>
      </c>
      <c r="AU29" s="28" t="str">
        <f t="shared" si="20"/>
        <v>si</v>
      </c>
      <c r="AV29" s="111" t="s">
        <v>147</v>
      </c>
      <c r="AW29" s="110" t="s">
        <v>148</v>
      </c>
      <c r="AX29" s="59">
        <v>45.13</v>
      </c>
      <c r="AY29" s="57">
        <v>0</v>
      </c>
      <c r="AZ29" s="28"/>
      <c r="BA29" s="28"/>
      <c r="BB29" s="28"/>
    </row>
    <row r="30" spans="1:54">
      <c r="A30" s="111" t="s">
        <v>149</v>
      </c>
      <c r="B30" s="110" t="s">
        <v>150</v>
      </c>
      <c r="C30" s="125">
        <v>1026.76</v>
      </c>
      <c r="D30" s="139">
        <f t="shared" si="5"/>
        <v>573.46</v>
      </c>
      <c r="E30" s="139"/>
      <c r="F30" s="139"/>
      <c r="G30" s="139">
        <f t="shared" si="6"/>
        <v>1026.76</v>
      </c>
      <c r="H30" s="139">
        <f t="shared" si="7"/>
        <v>-45.13</v>
      </c>
      <c r="I30" s="139">
        <f t="shared" si="8"/>
        <v>20.5352</v>
      </c>
      <c r="J30" s="139">
        <f t="shared" si="9"/>
        <v>77.006999999999991</v>
      </c>
      <c r="K30" s="139">
        <f t="shared" si="10"/>
        <v>1079.1722</v>
      </c>
      <c r="L30" s="139">
        <f t="shared" si="11"/>
        <v>172.667552</v>
      </c>
      <c r="M30" s="139">
        <f t="shared" si="12"/>
        <v>1251.8397519999999</v>
      </c>
      <c r="N30"/>
      <c r="O30" s="139">
        <f t="shared" si="13"/>
        <v>573.46</v>
      </c>
      <c r="P30" s="139">
        <f t="shared" si="14"/>
        <v>91.753600000000006</v>
      </c>
      <c r="Q30" s="139">
        <f t="shared" si="15"/>
        <v>665.21360000000004</v>
      </c>
      <c r="S30" t="str">
        <f t="shared" si="16"/>
        <v>SI</v>
      </c>
      <c r="T30" s="64" t="s">
        <v>36</v>
      </c>
      <c r="U30" s="64" t="s">
        <v>51</v>
      </c>
      <c r="V30" s="68" t="s">
        <v>63</v>
      </c>
      <c r="W30" s="79">
        <v>41944</v>
      </c>
      <c r="X30" s="64" t="s">
        <v>40</v>
      </c>
      <c r="Y30" s="90">
        <v>573.46</v>
      </c>
      <c r="Z30" s="65"/>
      <c r="AA30" s="65"/>
      <c r="AB30" s="59">
        <v>45.13</v>
      </c>
      <c r="AC30" s="60">
        <f t="shared" si="1"/>
        <v>528.33000000000004</v>
      </c>
      <c r="AD30" s="94"/>
      <c r="AE30" s="94"/>
      <c r="AF30" s="61"/>
      <c r="AG30" s="61"/>
      <c r="AH30" s="57"/>
      <c r="AI30" s="57">
        <v>0</v>
      </c>
      <c r="AJ30" s="60">
        <f>+AC30-SUM(AD30:AI30)</f>
        <v>528.33000000000004</v>
      </c>
      <c r="AK30" s="62">
        <f t="shared" si="17"/>
        <v>0</v>
      </c>
      <c r="AL30" s="60">
        <f>+AJ30-AK30</f>
        <v>528.33000000000004</v>
      </c>
      <c r="AM30" s="63">
        <f t="shared" si="18"/>
        <v>52.833000000000006</v>
      </c>
      <c r="AN30" s="62" t="e">
        <f>#REF!*0.02</f>
        <v>#REF!</v>
      </c>
      <c r="AO30" s="60" t="e">
        <f>+AC30+AM30+AN30</f>
        <v>#REF!</v>
      </c>
      <c r="AP30" s="81"/>
      <c r="AQ30" s="75"/>
      <c r="AR30" s="80">
        <f t="shared" si="19"/>
        <v>-528.33000000000004</v>
      </c>
      <c r="AS30" s="64"/>
      <c r="AT30" s="64" t="s">
        <v>85</v>
      </c>
      <c r="AU30" s="28" t="str">
        <f t="shared" si="20"/>
        <v>si</v>
      </c>
      <c r="AV30" s="111" t="s">
        <v>149</v>
      </c>
      <c r="AW30" s="110" t="s">
        <v>150</v>
      </c>
      <c r="AX30" s="59">
        <v>45.13</v>
      </c>
      <c r="AY30" s="57">
        <v>0</v>
      </c>
      <c r="AZ30" s="28"/>
      <c r="BA30" s="28"/>
      <c r="BB30" s="28"/>
    </row>
    <row r="31" spans="1:54">
      <c r="A31" s="111" t="s">
        <v>151</v>
      </c>
      <c r="B31" s="110" t="s">
        <v>152</v>
      </c>
      <c r="C31" s="125">
        <v>1166.76</v>
      </c>
      <c r="D31" s="139">
        <f t="shared" si="5"/>
        <v>1486.58</v>
      </c>
      <c r="E31" s="139"/>
      <c r="F31" s="139"/>
      <c r="G31" s="139">
        <f t="shared" si="6"/>
        <v>1166.76</v>
      </c>
      <c r="H31" s="139">
        <f t="shared" si="7"/>
        <v>-45.13</v>
      </c>
      <c r="I31" s="139">
        <f t="shared" si="8"/>
        <v>23.3352</v>
      </c>
      <c r="J31" s="139">
        <f t="shared" si="9"/>
        <v>87.506999999999991</v>
      </c>
      <c r="K31" s="139">
        <f t="shared" si="10"/>
        <v>1232.4721999999999</v>
      </c>
      <c r="L31" s="139">
        <f t="shared" si="11"/>
        <v>197.19555199999999</v>
      </c>
      <c r="M31" s="139">
        <f t="shared" si="12"/>
        <v>1429.6677519999998</v>
      </c>
      <c r="N31"/>
      <c r="O31" s="139">
        <f t="shared" si="13"/>
        <v>1486.58</v>
      </c>
      <c r="P31" s="139">
        <f t="shared" si="14"/>
        <v>237.8528</v>
      </c>
      <c r="Q31" s="139">
        <f t="shared" si="15"/>
        <v>1724.4328</v>
      </c>
      <c r="S31" t="str">
        <f t="shared" si="16"/>
        <v>SI</v>
      </c>
      <c r="T31" s="55" t="s">
        <v>34</v>
      </c>
      <c r="U31" s="64" t="s">
        <v>43</v>
      </c>
      <c r="V31" s="56" t="s">
        <v>65</v>
      </c>
      <c r="W31" s="79">
        <v>40362</v>
      </c>
      <c r="X31" s="55" t="s">
        <v>39</v>
      </c>
      <c r="Y31" s="91">
        <v>1486.58</v>
      </c>
      <c r="Z31" s="57"/>
      <c r="AA31" s="57"/>
      <c r="AB31" s="59">
        <v>45.13</v>
      </c>
      <c r="AC31" s="60">
        <f t="shared" si="1"/>
        <v>1441.4499999999998</v>
      </c>
      <c r="AD31" s="94"/>
      <c r="AE31" s="94"/>
      <c r="AF31" s="61"/>
      <c r="AG31" s="61"/>
      <c r="AH31" s="57"/>
      <c r="AI31" s="57">
        <v>0</v>
      </c>
      <c r="AJ31" s="60">
        <f t="shared" si="2"/>
        <v>1441.4499999999998</v>
      </c>
      <c r="AK31" s="62">
        <f t="shared" si="17"/>
        <v>0</v>
      </c>
      <c r="AL31" s="60">
        <f t="shared" si="3"/>
        <v>1441.4499999999998</v>
      </c>
      <c r="AM31" s="63">
        <f t="shared" si="18"/>
        <v>144.14499999999998</v>
      </c>
      <c r="AN31" s="62" t="e">
        <f>#REF!*0.02</f>
        <v>#REF!</v>
      </c>
      <c r="AO31" s="60" t="e">
        <f t="shared" si="4"/>
        <v>#REF!</v>
      </c>
      <c r="AP31" s="81"/>
      <c r="AQ31" s="75"/>
      <c r="AR31" s="80">
        <f t="shared" si="19"/>
        <v>-1441.4499999999998</v>
      </c>
      <c r="AS31" s="64"/>
      <c r="AT31" s="64" t="s">
        <v>86</v>
      </c>
      <c r="AU31" s="28" t="str">
        <f t="shared" si="20"/>
        <v>si</v>
      </c>
      <c r="AV31" s="111" t="s">
        <v>151</v>
      </c>
      <c r="AW31" s="110" t="s">
        <v>152</v>
      </c>
      <c r="AX31" s="59">
        <v>45.13</v>
      </c>
      <c r="AY31" s="57">
        <v>0</v>
      </c>
      <c r="AZ31" s="28"/>
      <c r="BA31" s="28"/>
      <c r="BB31" s="28"/>
    </row>
    <row r="32" spans="1:54">
      <c r="A32" s="111" t="s">
        <v>153</v>
      </c>
      <c r="B32" s="110" t="s">
        <v>154</v>
      </c>
      <c r="C32" s="125">
        <v>1026.76</v>
      </c>
      <c r="D32" s="139">
        <f t="shared" si="5"/>
        <v>0</v>
      </c>
      <c r="E32" s="139"/>
      <c r="F32" s="139"/>
      <c r="G32" s="139">
        <f t="shared" si="6"/>
        <v>1026.76</v>
      </c>
      <c r="H32" s="139">
        <f t="shared" si="7"/>
        <v>-45.13</v>
      </c>
      <c r="I32" s="139">
        <f t="shared" si="8"/>
        <v>20.5352</v>
      </c>
      <c r="J32" s="139">
        <f t="shared" si="9"/>
        <v>77.006999999999991</v>
      </c>
      <c r="K32" s="139">
        <f t="shared" si="10"/>
        <v>1079.1722</v>
      </c>
      <c r="L32" s="139">
        <f t="shared" si="11"/>
        <v>172.667552</v>
      </c>
      <c r="M32" s="139">
        <f t="shared" si="12"/>
        <v>1251.8397519999999</v>
      </c>
      <c r="N32"/>
      <c r="O32" s="139">
        <f t="shared" si="13"/>
        <v>0</v>
      </c>
      <c r="P32" s="139">
        <f t="shared" si="14"/>
        <v>0</v>
      </c>
      <c r="Q32" s="139">
        <f t="shared" si="15"/>
        <v>0</v>
      </c>
      <c r="S32" t="str">
        <f t="shared" si="16"/>
        <v>SI</v>
      </c>
      <c r="T32" s="64" t="s">
        <v>36</v>
      </c>
      <c r="U32" s="64" t="s">
        <v>107</v>
      </c>
      <c r="V32" s="68"/>
      <c r="W32" s="79">
        <v>42557</v>
      </c>
      <c r="X32" s="64" t="s">
        <v>40</v>
      </c>
      <c r="Y32" s="91"/>
      <c r="Z32" s="65"/>
      <c r="AA32" s="65"/>
      <c r="AB32" s="59">
        <v>45.13</v>
      </c>
      <c r="AC32" s="60">
        <f t="shared" si="1"/>
        <v>-45.13</v>
      </c>
      <c r="AD32" s="94"/>
      <c r="AE32" s="94"/>
      <c r="AF32" s="61"/>
      <c r="AG32" s="61"/>
      <c r="AH32" s="57"/>
      <c r="AI32" s="57"/>
      <c r="AJ32" s="60">
        <f>+AC32-SUM(AD32:AI32)</f>
        <v>-45.13</v>
      </c>
      <c r="AK32" s="62">
        <f>IF(AC32&gt;2250,AC32*0.1,0)</f>
        <v>0</v>
      </c>
      <c r="AL32" s="60">
        <f t="shared" ref="AL32:AL43" si="21">+AJ32-AK32</f>
        <v>-45.13</v>
      </c>
      <c r="AM32" s="63">
        <f>IF(AC32&lt;2250,AC32*0.1,0)</f>
        <v>-4.5130000000000008</v>
      </c>
      <c r="AN32" s="62" t="e">
        <f>#REF!*0.02</f>
        <v>#REF!</v>
      </c>
      <c r="AO32" s="60" t="e">
        <f t="shared" ref="AO32:AO37" si="22">+AC32+AM32+AN32</f>
        <v>#REF!</v>
      </c>
      <c r="AP32" s="81"/>
      <c r="AQ32" s="81"/>
      <c r="AR32" s="80"/>
      <c r="AS32" s="64" t="s">
        <v>105</v>
      </c>
      <c r="AT32" s="66">
        <v>405715097</v>
      </c>
      <c r="AU32" s="28" t="str">
        <f t="shared" si="20"/>
        <v>si</v>
      </c>
      <c r="AV32" s="111" t="s">
        <v>153</v>
      </c>
      <c r="AW32" s="110" t="s">
        <v>154</v>
      </c>
      <c r="AX32" s="59">
        <v>45.13</v>
      </c>
      <c r="AY32" s="57"/>
      <c r="AZ32" s="28"/>
      <c r="BA32" s="28"/>
      <c r="BB32" s="28"/>
    </row>
    <row r="33" spans="1:54">
      <c r="A33" s="111" t="s">
        <v>155</v>
      </c>
      <c r="B33" s="110" t="s">
        <v>156</v>
      </c>
      <c r="C33" s="125">
        <v>4666.76</v>
      </c>
      <c r="D33" s="139">
        <f t="shared" si="5"/>
        <v>2886.17</v>
      </c>
      <c r="E33" s="139"/>
      <c r="F33" s="139"/>
      <c r="G33" s="139">
        <f t="shared" si="6"/>
        <v>4666.76</v>
      </c>
      <c r="H33" s="139">
        <f t="shared" si="7"/>
        <v>-45.13</v>
      </c>
      <c r="I33" s="139">
        <f t="shared" si="8"/>
        <v>93.3352</v>
      </c>
      <c r="J33" s="139">
        <f t="shared" si="9"/>
        <v>350.00700000000001</v>
      </c>
      <c r="K33" s="139">
        <f t="shared" si="10"/>
        <v>5064.9722000000002</v>
      </c>
      <c r="L33" s="139">
        <f t="shared" si="11"/>
        <v>810.39555200000007</v>
      </c>
      <c r="M33" s="139">
        <f t="shared" si="12"/>
        <v>5875.3677520000001</v>
      </c>
      <c r="N33"/>
      <c r="O33" s="139">
        <f t="shared" si="13"/>
        <v>2886.17</v>
      </c>
      <c r="P33" s="139">
        <f t="shared" si="14"/>
        <v>461.78720000000004</v>
      </c>
      <c r="Q33" s="139">
        <f t="shared" si="15"/>
        <v>3347.9572000000003</v>
      </c>
      <c r="S33" t="str">
        <f t="shared" si="16"/>
        <v>SI</v>
      </c>
      <c r="T33" s="64" t="s">
        <v>35</v>
      </c>
      <c r="U33" s="64" t="s">
        <v>100</v>
      </c>
      <c r="V33" s="68"/>
      <c r="W33" s="79">
        <v>42478</v>
      </c>
      <c r="X33" s="55" t="s">
        <v>41</v>
      </c>
      <c r="Y33" s="91">
        <v>2886.17</v>
      </c>
      <c r="Z33" s="65"/>
      <c r="AA33" s="65"/>
      <c r="AB33" s="59">
        <v>45.13</v>
      </c>
      <c r="AC33" s="60">
        <f t="shared" si="1"/>
        <v>2841.04</v>
      </c>
      <c r="AD33" s="94"/>
      <c r="AE33" s="94"/>
      <c r="AF33" s="61"/>
      <c r="AG33" s="61"/>
      <c r="AH33" s="57"/>
      <c r="AI33" s="57">
        <v>403</v>
      </c>
      <c r="AJ33" s="60">
        <f t="shared" ref="AJ33:AJ43" si="23">+AC33-SUM(AD33:AI33)</f>
        <v>2438.04</v>
      </c>
      <c r="AK33" s="62">
        <f t="shared" si="17"/>
        <v>284.10399999999998</v>
      </c>
      <c r="AL33" s="60">
        <f t="shared" si="21"/>
        <v>2153.9360000000001</v>
      </c>
      <c r="AM33" s="63">
        <f t="shared" si="18"/>
        <v>0</v>
      </c>
      <c r="AN33" s="62" t="e">
        <f>#REF!*0.02</f>
        <v>#REF!</v>
      </c>
      <c r="AO33" s="60" t="e">
        <f t="shared" si="22"/>
        <v>#REF!</v>
      </c>
      <c r="AP33" s="81"/>
      <c r="AQ33" s="75"/>
      <c r="AR33" s="80">
        <f t="shared" si="19"/>
        <v>-2153.9360000000001</v>
      </c>
      <c r="AS33" s="74"/>
      <c r="AT33" s="64" t="s">
        <v>101</v>
      </c>
      <c r="AU33" s="28" t="str">
        <f t="shared" si="20"/>
        <v>si</v>
      </c>
      <c r="AV33" s="111" t="s">
        <v>155</v>
      </c>
      <c r="AW33" s="110" t="s">
        <v>156</v>
      </c>
      <c r="AX33" s="59">
        <v>45.13</v>
      </c>
      <c r="AY33" s="57">
        <v>403</v>
      </c>
      <c r="AZ33" s="28"/>
      <c r="BA33" s="28"/>
      <c r="BB33" s="28"/>
    </row>
    <row r="34" spans="1:54">
      <c r="A34" s="111" t="s">
        <v>157</v>
      </c>
      <c r="B34" s="110" t="s">
        <v>158</v>
      </c>
      <c r="C34" s="125">
        <v>1026.76</v>
      </c>
      <c r="D34" s="139">
        <f t="shared" si="5"/>
        <v>2944.52</v>
      </c>
      <c r="E34" s="139"/>
      <c r="F34" s="139"/>
      <c r="G34" s="139">
        <f t="shared" si="6"/>
        <v>1026.76</v>
      </c>
      <c r="H34" s="139">
        <f t="shared" si="7"/>
        <v>-45.13</v>
      </c>
      <c r="I34" s="139">
        <f t="shared" si="8"/>
        <v>20.5352</v>
      </c>
      <c r="J34" s="139">
        <f t="shared" si="9"/>
        <v>77.006999999999991</v>
      </c>
      <c r="K34" s="139">
        <f t="shared" si="10"/>
        <v>1079.1722</v>
      </c>
      <c r="L34" s="139">
        <f t="shared" si="11"/>
        <v>172.667552</v>
      </c>
      <c r="M34" s="139">
        <f t="shared" si="12"/>
        <v>1251.8397519999999</v>
      </c>
      <c r="N34"/>
      <c r="O34" s="139">
        <f t="shared" si="13"/>
        <v>2944.52</v>
      </c>
      <c r="P34" s="139">
        <f t="shared" si="14"/>
        <v>471.1232</v>
      </c>
      <c r="Q34" s="139">
        <f t="shared" si="15"/>
        <v>3415.6432</v>
      </c>
      <c r="S34" t="str">
        <f t="shared" si="16"/>
        <v>SI</v>
      </c>
      <c r="T34" s="64" t="s">
        <v>36</v>
      </c>
      <c r="U34" s="64" t="s">
        <v>96</v>
      </c>
      <c r="V34" s="68"/>
      <c r="W34" s="79">
        <v>42430</v>
      </c>
      <c r="X34" s="64" t="s">
        <v>40</v>
      </c>
      <c r="Y34" s="92">
        <v>2944.52</v>
      </c>
      <c r="Z34" s="65"/>
      <c r="AA34" s="65"/>
      <c r="AB34" s="59">
        <v>45.13</v>
      </c>
      <c r="AC34" s="60">
        <f t="shared" si="1"/>
        <v>2899.39</v>
      </c>
      <c r="AD34" s="94"/>
      <c r="AE34" s="94"/>
      <c r="AF34" s="61"/>
      <c r="AG34" s="61"/>
      <c r="AH34" s="57"/>
      <c r="AI34" s="57">
        <v>0</v>
      </c>
      <c r="AJ34" s="60">
        <f t="shared" si="23"/>
        <v>2899.39</v>
      </c>
      <c r="AK34" s="62">
        <f t="shared" si="17"/>
        <v>289.93900000000002</v>
      </c>
      <c r="AL34" s="60">
        <f t="shared" si="21"/>
        <v>2609.451</v>
      </c>
      <c r="AM34" s="63">
        <f t="shared" si="18"/>
        <v>0</v>
      </c>
      <c r="AN34" s="62" t="e">
        <f>#REF!*0.02</f>
        <v>#REF!</v>
      </c>
      <c r="AO34" s="60" t="e">
        <f t="shared" si="22"/>
        <v>#REF!</v>
      </c>
      <c r="AP34" s="81"/>
      <c r="AQ34" s="75"/>
      <c r="AR34" s="80">
        <f t="shared" si="19"/>
        <v>-2609.451</v>
      </c>
      <c r="AS34" s="64"/>
      <c r="AT34" s="67"/>
      <c r="AU34" s="28" t="str">
        <f t="shared" si="20"/>
        <v>si</v>
      </c>
      <c r="AV34" s="111" t="s">
        <v>157</v>
      </c>
      <c r="AW34" s="110" t="s">
        <v>158</v>
      </c>
      <c r="AX34" s="59">
        <v>45.13</v>
      </c>
      <c r="AY34" s="57">
        <v>0</v>
      </c>
      <c r="AZ34" s="28"/>
    </row>
    <row r="35" spans="1:54">
      <c r="A35" s="111" t="s">
        <v>159</v>
      </c>
      <c r="B35" s="110" t="s">
        <v>160</v>
      </c>
      <c r="C35" s="125">
        <v>1026.76</v>
      </c>
      <c r="D35" s="139">
        <f t="shared" si="5"/>
        <v>0</v>
      </c>
      <c r="E35" s="139"/>
      <c r="F35" s="139"/>
      <c r="G35" s="139">
        <f t="shared" si="6"/>
        <v>1026.76</v>
      </c>
      <c r="H35" s="139">
        <f t="shared" si="7"/>
        <v>-45.13</v>
      </c>
      <c r="I35" s="139">
        <f t="shared" si="8"/>
        <v>20.5352</v>
      </c>
      <c r="J35" s="139">
        <f t="shared" si="9"/>
        <v>77.006999999999991</v>
      </c>
      <c r="K35" s="139">
        <f t="shared" si="10"/>
        <v>1079.1722</v>
      </c>
      <c r="L35" s="139">
        <f t="shared" si="11"/>
        <v>172.667552</v>
      </c>
      <c r="M35" s="139">
        <f t="shared" si="12"/>
        <v>1251.8397519999999</v>
      </c>
      <c r="N35"/>
      <c r="O35" s="139">
        <f t="shared" si="13"/>
        <v>0</v>
      </c>
      <c r="P35" s="139">
        <f t="shared" si="14"/>
        <v>0</v>
      </c>
      <c r="Q35" s="139">
        <f t="shared" si="15"/>
        <v>0</v>
      </c>
      <c r="S35" t="str">
        <f t="shared" si="16"/>
        <v>SI</v>
      </c>
      <c r="T35" s="64" t="s">
        <v>36</v>
      </c>
      <c r="U35" s="64" t="s">
        <v>109</v>
      </c>
      <c r="V35" s="68"/>
      <c r="W35" s="79">
        <v>42570</v>
      </c>
      <c r="X35" s="64" t="s">
        <v>40</v>
      </c>
      <c r="Y35" s="92"/>
      <c r="Z35" s="65"/>
      <c r="AA35" s="65"/>
      <c r="AB35" s="59">
        <v>45.13</v>
      </c>
      <c r="AC35" s="60">
        <f t="shared" si="1"/>
        <v>-45.13</v>
      </c>
      <c r="AD35" s="94"/>
      <c r="AE35" s="94"/>
      <c r="AF35" s="61"/>
      <c r="AG35" s="61"/>
      <c r="AH35" s="57"/>
      <c r="AI35" s="57">
        <v>385.41</v>
      </c>
      <c r="AJ35" s="60">
        <f t="shared" si="23"/>
        <v>-430.54</v>
      </c>
      <c r="AK35" s="62">
        <f>IF(AC35&gt;2250,AC35*0.1,0)</f>
        <v>0</v>
      </c>
      <c r="AL35" s="60">
        <f t="shared" si="21"/>
        <v>-430.54</v>
      </c>
      <c r="AM35" s="63">
        <f t="shared" si="18"/>
        <v>-4.5130000000000008</v>
      </c>
      <c r="AN35" s="62" t="e">
        <f>#REF!*0.02</f>
        <v>#REF!</v>
      </c>
      <c r="AO35" s="60" t="e">
        <f t="shared" si="22"/>
        <v>#REF!</v>
      </c>
      <c r="AP35" s="81"/>
      <c r="AQ35" s="75"/>
      <c r="AR35" s="80"/>
      <c r="AS35" s="64"/>
      <c r="AT35" s="67"/>
      <c r="AU35" s="28" t="str">
        <f t="shared" si="20"/>
        <v>si</v>
      </c>
      <c r="AV35" s="111" t="s">
        <v>159</v>
      </c>
      <c r="AW35" s="110" t="s">
        <v>160</v>
      </c>
      <c r="AX35" s="59">
        <v>45.13</v>
      </c>
      <c r="AY35" s="57">
        <v>385.41</v>
      </c>
      <c r="AZ35" s="28"/>
    </row>
    <row r="36" spans="1:54">
      <c r="A36" s="111" t="s">
        <v>161</v>
      </c>
      <c r="B36" s="110" t="s">
        <v>162</v>
      </c>
      <c r="C36" s="125">
        <v>1026.76</v>
      </c>
      <c r="D36" s="139">
        <f t="shared" si="5"/>
        <v>0</v>
      </c>
      <c r="E36" s="139"/>
      <c r="F36" s="139"/>
      <c r="G36" s="139">
        <f t="shared" si="6"/>
        <v>1026.76</v>
      </c>
      <c r="H36" s="139">
        <f t="shared" si="7"/>
        <v>-45.13</v>
      </c>
      <c r="I36" s="139">
        <f t="shared" si="8"/>
        <v>20.5352</v>
      </c>
      <c r="J36" s="139">
        <f t="shared" si="9"/>
        <v>77.006999999999991</v>
      </c>
      <c r="K36" s="139">
        <f t="shared" si="10"/>
        <v>1079.1722</v>
      </c>
      <c r="L36" s="139">
        <f t="shared" si="11"/>
        <v>172.667552</v>
      </c>
      <c r="M36" s="139">
        <f t="shared" si="12"/>
        <v>1251.8397519999999</v>
      </c>
      <c r="N36"/>
      <c r="O36" s="139">
        <f t="shared" si="13"/>
        <v>0</v>
      </c>
      <c r="P36" s="139">
        <f t="shared" si="14"/>
        <v>0</v>
      </c>
      <c r="Q36" s="139">
        <f t="shared" si="15"/>
        <v>0</v>
      </c>
      <c r="S36" t="str">
        <f t="shared" si="16"/>
        <v>SI</v>
      </c>
      <c r="T36" s="55" t="s">
        <v>36</v>
      </c>
      <c r="U36" s="64" t="s">
        <v>179</v>
      </c>
      <c r="V36" s="56" t="s">
        <v>66</v>
      </c>
      <c r="W36" s="79">
        <v>41592</v>
      </c>
      <c r="X36" s="55" t="s">
        <v>40</v>
      </c>
      <c r="Y36" s="91"/>
      <c r="Z36" s="58"/>
      <c r="AA36" s="58"/>
      <c r="AB36" s="59">
        <v>45.13</v>
      </c>
      <c r="AC36" s="60">
        <f>SUM(Y36:AA36)-AB36</f>
        <v>-45.13</v>
      </c>
      <c r="AD36" s="94"/>
      <c r="AE36" s="94"/>
      <c r="AF36" s="61"/>
      <c r="AG36" s="61"/>
      <c r="AH36" s="57"/>
      <c r="AI36" s="57">
        <v>0</v>
      </c>
      <c r="AJ36" s="60">
        <f>+AC36-SUM(AD36:AI36)</f>
        <v>-45.13</v>
      </c>
      <c r="AK36" s="62">
        <f>IF(AC36&gt;2250,AC36*0.1,0)</f>
        <v>0</v>
      </c>
      <c r="AL36" s="60">
        <f t="shared" si="21"/>
        <v>-45.13</v>
      </c>
      <c r="AM36" s="63">
        <f>IF(AC36&lt;2250,AC36*0.1,0)</f>
        <v>-4.5130000000000008</v>
      </c>
      <c r="AN36" s="62" t="e">
        <f>#REF!*0.02</f>
        <v>#REF!</v>
      </c>
      <c r="AO36" s="60" t="e">
        <f t="shared" si="22"/>
        <v>#REF!</v>
      </c>
      <c r="AP36" s="81"/>
      <c r="AQ36" s="75"/>
      <c r="AR36" s="80">
        <f>+AP36+AQ36-AL36</f>
        <v>45.13</v>
      </c>
      <c r="AS36" s="64"/>
      <c r="AT36" s="64" t="s">
        <v>87</v>
      </c>
      <c r="AU36" s="28" t="str">
        <f>IF(U36=AW36,"si","no")</f>
        <v>si</v>
      </c>
      <c r="AV36" s="111" t="s">
        <v>161</v>
      </c>
      <c r="AW36" s="110" t="s">
        <v>162</v>
      </c>
      <c r="AX36" s="59">
        <v>45.13</v>
      </c>
      <c r="AY36" s="57">
        <v>0</v>
      </c>
      <c r="AZ36" s="28"/>
      <c r="BA36" s="28"/>
      <c r="BB36" s="28"/>
    </row>
    <row r="37" spans="1:54">
      <c r="A37" s="111" t="s">
        <v>163</v>
      </c>
      <c r="B37" s="110" t="s">
        <v>164</v>
      </c>
      <c r="C37" s="125">
        <v>1026.76</v>
      </c>
      <c r="D37" s="139">
        <f t="shared" si="5"/>
        <v>219.59</v>
      </c>
      <c r="E37" s="139"/>
      <c r="F37" s="139"/>
      <c r="G37" s="139">
        <f t="shared" si="6"/>
        <v>1026.76</v>
      </c>
      <c r="H37" s="139">
        <f t="shared" si="7"/>
        <v>-45.13</v>
      </c>
      <c r="I37" s="139">
        <f t="shared" si="8"/>
        <v>20.5352</v>
      </c>
      <c r="J37" s="139">
        <f t="shared" si="9"/>
        <v>77.006999999999991</v>
      </c>
      <c r="K37" s="139">
        <f t="shared" si="10"/>
        <v>1079.1722</v>
      </c>
      <c r="L37" s="139">
        <f t="shared" si="11"/>
        <v>172.667552</v>
      </c>
      <c r="M37" s="139">
        <f t="shared" si="12"/>
        <v>1251.8397519999999</v>
      </c>
      <c r="N37"/>
      <c r="O37" s="139">
        <f t="shared" si="13"/>
        <v>219.59</v>
      </c>
      <c r="P37" s="139">
        <f t="shared" si="14"/>
        <v>35.134399999999999</v>
      </c>
      <c r="Q37" s="139">
        <f t="shared" si="15"/>
        <v>254.7244</v>
      </c>
      <c r="S37" t="str">
        <f t="shared" si="16"/>
        <v>SI</v>
      </c>
      <c r="T37" s="55" t="s">
        <v>35</v>
      </c>
      <c r="U37" s="64" t="s">
        <v>180</v>
      </c>
      <c r="V37" s="56" t="s">
        <v>67</v>
      </c>
      <c r="W37" s="79">
        <v>42030</v>
      </c>
      <c r="X37" s="55" t="s">
        <v>40</v>
      </c>
      <c r="Y37" s="91">
        <v>219.59</v>
      </c>
      <c r="Z37" s="57"/>
      <c r="AA37" s="57"/>
      <c r="AB37" s="59">
        <v>45.13</v>
      </c>
      <c r="AC37" s="60">
        <f>SUM(Y37:AA37)-AB37</f>
        <v>174.46</v>
      </c>
      <c r="AD37" s="94"/>
      <c r="AE37" s="94"/>
      <c r="AF37" s="61"/>
      <c r="AG37" s="61"/>
      <c r="AH37" s="57"/>
      <c r="AI37" s="57">
        <v>0</v>
      </c>
      <c r="AJ37" s="60">
        <f>+AC37-SUM(AD37:AI37)</f>
        <v>174.46</v>
      </c>
      <c r="AK37" s="62">
        <f>IF(AC37&gt;2250,AC37*0.1,0)</f>
        <v>0</v>
      </c>
      <c r="AL37" s="60">
        <f t="shared" si="21"/>
        <v>174.46</v>
      </c>
      <c r="AM37" s="63">
        <f>IF(AC37&lt;2250,AC37*0.1,0)</f>
        <v>17.446000000000002</v>
      </c>
      <c r="AN37" s="62" t="e">
        <f>#REF!*0.02</f>
        <v>#REF!</v>
      </c>
      <c r="AO37" s="60" t="e">
        <f t="shared" si="22"/>
        <v>#REF!</v>
      </c>
      <c r="AP37" s="81"/>
      <c r="AQ37" s="76"/>
      <c r="AR37" s="80">
        <f>+AP37+AQ37-AL37</f>
        <v>-174.46</v>
      </c>
      <c r="AS37" s="64"/>
      <c r="AT37" s="64" t="s">
        <v>88</v>
      </c>
      <c r="AU37" s="28" t="str">
        <f>IF(U37=AW37,"si","no")</f>
        <v>si</v>
      </c>
      <c r="AV37" s="111" t="s">
        <v>163</v>
      </c>
      <c r="AW37" s="110" t="s">
        <v>164</v>
      </c>
      <c r="AX37" s="59">
        <v>45.13</v>
      </c>
      <c r="AY37" s="57">
        <v>0</v>
      </c>
      <c r="AZ37" s="28"/>
      <c r="BA37" s="28"/>
      <c r="BB37" s="28"/>
    </row>
    <row r="38" spans="1:54">
      <c r="A38" s="111" t="s">
        <v>165</v>
      </c>
      <c r="B38" s="110" t="s">
        <v>166</v>
      </c>
      <c r="C38" s="125">
        <v>1026.76</v>
      </c>
      <c r="D38" s="139">
        <f t="shared" si="5"/>
        <v>5586.52</v>
      </c>
      <c r="E38" s="139"/>
      <c r="F38" s="139"/>
      <c r="G38" s="139">
        <f t="shared" si="6"/>
        <v>1026.76</v>
      </c>
      <c r="H38" s="139">
        <f t="shared" si="7"/>
        <v>-45.13</v>
      </c>
      <c r="I38" s="139">
        <f t="shared" si="8"/>
        <v>20.5352</v>
      </c>
      <c r="J38" s="139">
        <f t="shared" si="9"/>
        <v>77.006999999999991</v>
      </c>
      <c r="K38" s="139">
        <f t="shared" si="10"/>
        <v>1079.1722</v>
      </c>
      <c r="L38" s="139">
        <f t="shared" si="11"/>
        <v>172.667552</v>
      </c>
      <c r="M38" s="139">
        <f t="shared" si="12"/>
        <v>1251.8397519999999</v>
      </c>
      <c r="N38"/>
      <c r="O38" s="139">
        <f t="shared" si="13"/>
        <v>5586.52</v>
      </c>
      <c r="P38" s="139">
        <f t="shared" si="14"/>
        <v>893.84320000000014</v>
      </c>
      <c r="Q38" s="139">
        <f t="shared" si="15"/>
        <v>6480.3632000000007</v>
      </c>
      <c r="S38" t="str">
        <f t="shared" si="16"/>
        <v>SI</v>
      </c>
      <c r="T38" s="55" t="s">
        <v>36</v>
      </c>
      <c r="U38" s="64" t="s">
        <v>111</v>
      </c>
      <c r="V38" s="56"/>
      <c r="W38" s="79">
        <v>42597</v>
      </c>
      <c r="X38" s="55" t="s">
        <v>40</v>
      </c>
      <c r="Y38" s="91">
        <v>5586.52</v>
      </c>
      <c r="Z38" s="57"/>
      <c r="AA38" s="57"/>
      <c r="AB38" s="59">
        <v>45.13</v>
      </c>
      <c r="AC38" s="60">
        <f>SUM(Y38:AA38)-AB38</f>
        <v>5541.39</v>
      </c>
      <c r="AD38" s="94"/>
      <c r="AE38" s="94"/>
      <c r="AF38" s="61"/>
      <c r="AG38" s="61"/>
      <c r="AH38" s="57"/>
      <c r="AI38" s="57"/>
      <c r="AJ38" s="60">
        <f>+AC38-SUM(AD38:AI38)</f>
        <v>5541.39</v>
      </c>
      <c r="AK38" s="62">
        <f>IF(AC38&gt;2250,AC38*0.1,0)</f>
        <v>554.13900000000001</v>
      </c>
      <c r="AL38" s="60">
        <f t="shared" si="21"/>
        <v>4987.2510000000002</v>
      </c>
      <c r="AM38" s="63"/>
      <c r="AN38" s="62"/>
      <c r="AO38" s="60"/>
      <c r="AP38" s="81"/>
      <c r="AQ38" s="76"/>
      <c r="AR38" s="80"/>
      <c r="AS38" s="64"/>
      <c r="AT38" s="66">
        <v>1148534756</v>
      </c>
      <c r="AU38" s="28" t="str">
        <f>IF(U38=AW38,"si","no")</f>
        <v>si</v>
      </c>
      <c r="AV38" s="111" t="s">
        <v>165</v>
      </c>
      <c r="AW38" s="110" t="s">
        <v>166</v>
      </c>
      <c r="AX38" s="59">
        <v>45.13</v>
      </c>
      <c r="AY38" s="57"/>
      <c r="AZ38" s="28"/>
      <c r="BA38" s="28"/>
      <c r="BB38" s="28"/>
    </row>
    <row r="39" spans="1:54">
      <c r="A39" s="111" t="s">
        <v>167</v>
      </c>
      <c r="B39" s="110" t="s">
        <v>168</v>
      </c>
      <c r="C39" s="125">
        <v>194.45</v>
      </c>
      <c r="D39" s="139">
        <f t="shared" si="5"/>
        <v>0</v>
      </c>
      <c r="E39" s="139"/>
      <c r="F39" s="139"/>
      <c r="G39" s="139">
        <f t="shared" si="6"/>
        <v>194.45</v>
      </c>
      <c r="H39" s="139">
        <f t="shared" si="7"/>
        <v>0</v>
      </c>
      <c r="I39" s="139">
        <f t="shared" si="8"/>
        <v>3.8889999999999998</v>
      </c>
      <c r="J39" s="139">
        <f t="shared" si="9"/>
        <v>14.583749999999998</v>
      </c>
      <c r="K39" s="139">
        <f t="shared" si="10"/>
        <v>212.92275000000001</v>
      </c>
      <c r="L39" s="139">
        <f t="shared" si="11"/>
        <v>34.067640000000004</v>
      </c>
      <c r="M39" s="139">
        <f t="shared" si="12"/>
        <v>246.99039000000002</v>
      </c>
      <c r="N39"/>
      <c r="O39" s="139">
        <f t="shared" si="13"/>
        <v>0</v>
      </c>
      <c r="P39" s="139">
        <f t="shared" si="14"/>
        <v>0</v>
      </c>
      <c r="Q39" s="139">
        <f t="shared" si="15"/>
        <v>0</v>
      </c>
      <c r="S39" t="str">
        <f t="shared" si="16"/>
        <v>SI</v>
      </c>
      <c r="T39" s="95" t="s">
        <v>34</v>
      </c>
      <c r="U39" s="95" t="s">
        <v>114</v>
      </c>
      <c r="V39" s="96"/>
      <c r="W39" s="97">
        <v>42618</v>
      </c>
      <c r="X39" s="95" t="s">
        <v>39</v>
      </c>
      <c r="Y39" s="98"/>
      <c r="Z39" s="99"/>
      <c r="AA39" s="99"/>
      <c r="AB39" s="100"/>
      <c r="AC39" s="60">
        <f>SUM(Y39:AA39)-AB39</f>
        <v>0</v>
      </c>
      <c r="AD39" s="101"/>
      <c r="AE39" s="101"/>
      <c r="AF39" s="102"/>
      <c r="AG39" s="102"/>
      <c r="AH39" s="99"/>
      <c r="AI39" s="99"/>
      <c r="AJ39" s="60">
        <f>+AC39-SUM(AD39:AI39)</f>
        <v>0</v>
      </c>
      <c r="AK39" s="62">
        <f>IF(AC39&gt;2250,AC39*0.1,0)</f>
        <v>0</v>
      </c>
      <c r="AL39" s="60">
        <f t="shared" si="21"/>
        <v>0</v>
      </c>
      <c r="AM39" s="63"/>
      <c r="AN39" s="62"/>
      <c r="AO39" s="60"/>
      <c r="AP39" s="81"/>
      <c r="AQ39" s="75"/>
      <c r="AR39" s="80"/>
      <c r="AS39" s="95" t="s">
        <v>115</v>
      </c>
      <c r="AT39" s="95" t="s">
        <v>116</v>
      </c>
      <c r="AU39" s="28" t="str">
        <f>IF(U39=AW39,"si","no")</f>
        <v>si</v>
      </c>
      <c r="AV39" s="111" t="s">
        <v>167</v>
      </c>
      <c r="AW39" s="110" t="s">
        <v>168</v>
      </c>
      <c r="AX39" s="100"/>
      <c r="AY39" s="99"/>
      <c r="AZ39" s="28"/>
      <c r="BA39" s="28"/>
      <c r="BB39" s="28"/>
    </row>
    <row r="40" spans="1:54">
      <c r="A40" s="111" t="s">
        <v>169</v>
      </c>
      <c r="B40" s="110" t="s">
        <v>170</v>
      </c>
      <c r="C40" s="125">
        <v>1026.76</v>
      </c>
      <c r="D40" s="139">
        <f t="shared" si="5"/>
        <v>2447.4699999999998</v>
      </c>
      <c r="E40" s="139"/>
      <c r="F40" s="139"/>
      <c r="G40" s="139">
        <f t="shared" si="6"/>
        <v>1026.76</v>
      </c>
      <c r="H40" s="139">
        <f t="shared" si="7"/>
        <v>-45.13</v>
      </c>
      <c r="I40" s="139">
        <f t="shared" si="8"/>
        <v>20.5352</v>
      </c>
      <c r="J40" s="139">
        <f t="shared" si="9"/>
        <v>77.006999999999991</v>
      </c>
      <c r="K40" s="139">
        <f t="shared" si="10"/>
        <v>1079.1722</v>
      </c>
      <c r="L40" s="139">
        <f t="shared" si="11"/>
        <v>172.667552</v>
      </c>
      <c r="M40" s="139">
        <f t="shared" si="12"/>
        <v>1251.8397519999999</v>
      </c>
      <c r="N40"/>
      <c r="O40" s="139">
        <f t="shared" si="13"/>
        <v>2447.4699999999998</v>
      </c>
      <c r="P40" s="139">
        <f t="shared" si="14"/>
        <v>391.59519999999998</v>
      </c>
      <c r="Q40" s="139">
        <f t="shared" si="15"/>
        <v>2839.0652</v>
      </c>
      <c r="S40" t="str">
        <f t="shared" si="16"/>
        <v>SI</v>
      </c>
      <c r="T40" s="55" t="s">
        <v>35</v>
      </c>
      <c r="U40" s="64" t="s">
        <v>181</v>
      </c>
      <c r="V40" s="56" t="s">
        <v>68</v>
      </c>
      <c r="W40" s="79">
        <v>41435</v>
      </c>
      <c r="X40" s="55" t="s">
        <v>40</v>
      </c>
      <c r="Y40" s="82">
        <v>2447.4699999999998</v>
      </c>
      <c r="Z40" s="57"/>
      <c r="AA40" s="57"/>
      <c r="AB40" s="59">
        <v>45.13</v>
      </c>
      <c r="AC40" s="60">
        <f t="shared" si="1"/>
        <v>2402.3399999999997</v>
      </c>
      <c r="AD40" s="94"/>
      <c r="AE40" s="94"/>
      <c r="AF40" s="61"/>
      <c r="AG40" s="61"/>
      <c r="AH40" s="57"/>
      <c r="AI40" s="57">
        <v>577.35</v>
      </c>
      <c r="AJ40" s="60">
        <f t="shared" si="23"/>
        <v>1824.9899999999998</v>
      </c>
      <c r="AK40" s="62">
        <f t="shared" si="17"/>
        <v>240.23399999999998</v>
      </c>
      <c r="AL40" s="60">
        <f t="shared" si="21"/>
        <v>1584.7559999999999</v>
      </c>
      <c r="AM40" s="63">
        <f t="shared" si="18"/>
        <v>0</v>
      </c>
      <c r="AN40" s="62" t="e">
        <f>#REF!*0.02</f>
        <v>#REF!</v>
      </c>
      <c r="AO40" s="60" t="e">
        <f>+AC40+AM40+AN40</f>
        <v>#REF!</v>
      </c>
      <c r="AP40" s="81"/>
      <c r="AQ40" s="76"/>
      <c r="AR40" s="80">
        <f t="shared" si="19"/>
        <v>-1584.7559999999999</v>
      </c>
      <c r="AS40" s="64"/>
      <c r="AT40" s="64" t="s">
        <v>89</v>
      </c>
      <c r="AU40" s="28" t="str">
        <f t="shared" si="20"/>
        <v>si</v>
      </c>
      <c r="AV40" s="111" t="s">
        <v>169</v>
      </c>
      <c r="AW40" s="110" t="s">
        <v>170</v>
      </c>
      <c r="AX40" s="59">
        <v>45.13</v>
      </c>
      <c r="AY40" s="57">
        <v>577.35</v>
      </c>
      <c r="AZ40" s="28"/>
      <c r="BA40" s="28"/>
    </row>
    <row r="41" spans="1:54">
      <c r="A41" s="111" t="s">
        <v>171</v>
      </c>
      <c r="B41" s="110" t="s">
        <v>172</v>
      </c>
      <c r="C41" s="125">
        <v>1026.76</v>
      </c>
      <c r="D41" s="139">
        <f t="shared" si="5"/>
        <v>0</v>
      </c>
      <c r="E41" s="139"/>
      <c r="F41" s="139"/>
      <c r="G41" s="139">
        <f t="shared" si="6"/>
        <v>1026.76</v>
      </c>
      <c r="H41" s="139">
        <f t="shared" si="7"/>
        <v>-45.13</v>
      </c>
      <c r="I41" s="139">
        <f t="shared" si="8"/>
        <v>20.5352</v>
      </c>
      <c r="J41" s="139">
        <f t="shared" si="9"/>
        <v>77.006999999999991</v>
      </c>
      <c r="K41" s="139">
        <f t="shared" si="10"/>
        <v>1079.1722</v>
      </c>
      <c r="L41" s="139">
        <f t="shared" si="11"/>
        <v>172.667552</v>
      </c>
      <c r="M41" s="139">
        <f t="shared" si="12"/>
        <v>1251.8397519999999</v>
      </c>
      <c r="N41"/>
      <c r="O41" s="139">
        <f t="shared" si="13"/>
        <v>0</v>
      </c>
      <c r="P41" s="139">
        <f t="shared" si="14"/>
        <v>0</v>
      </c>
      <c r="Q41" s="139">
        <f t="shared" si="15"/>
        <v>0</v>
      </c>
      <c r="S41" t="str">
        <f t="shared" si="16"/>
        <v>SI</v>
      </c>
      <c r="T41" s="64" t="s">
        <v>36</v>
      </c>
      <c r="U41" s="64" t="s">
        <v>182</v>
      </c>
      <c r="V41" s="68" t="s">
        <v>69</v>
      </c>
      <c r="W41" s="79">
        <v>41848</v>
      </c>
      <c r="X41" s="64" t="s">
        <v>40</v>
      </c>
      <c r="Y41" s="90"/>
      <c r="Z41" s="65"/>
      <c r="AA41" s="65"/>
      <c r="AB41" s="59">
        <v>45.13</v>
      </c>
      <c r="AC41" s="60">
        <f t="shared" si="1"/>
        <v>-45.13</v>
      </c>
      <c r="AD41" s="94"/>
      <c r="AE41" s="94"/>
      <c r="AF41" s="61"/>
      <c r="AG41" s="61"/>
      <c r="AH41" s="57"/>
      <c r="AI41" s="57">
        <v>613.69000000000005</v>
      </c>
      <c r="AJ41" s="60">
        <f>+AC41-SUM(AD41:AI41)</f>
        <v>-658.82</v>
      </c>
      <c r="AK41" s="62">
        <f t="shared" si="17"/>
        <v>0</v>
      </c>
      <c r="AL41" s="70">
        <f t="shared" si="21"/>
        <v>-658.82</v>
      </c>
      <c r="AM41" s="63">
        <f t="shared" si="18"/>
        <v>-4.5130000000000008</v>
      </c>
      <c r="AN41" s="62" t="e">
        <f>#REF!*0.02</f>
        <v>#REF!</v>
      </c>
      <c r="AO41" s="60" t="e">
        <f>+AC41+AM41+AN41</f>
        <v>#REF!</v>
      </c>
      <c r="AP41" s="81"/>
      <c r="AQ41" s="75"/>
      <c r="AR41" s="80">
        <f>+AP41+AQ41-AL41</f>
        <v>658.82</v>
      </c>
      <c r="AS41" s="64"/>
      <c r="AT41" s="64"/>
      <c r="AU41" s="28" t="str">
        <f t="shared" si="20"/>
        <v>si</v>
      </c>
      <c r="AV41" s="111" t="s">
        <v>171</v>
      </c>
      <c r="AW41" s="110" t="s">
        <v>172</v>
      </c>
      <c r="AX41" s="59">
        <v>45.13</v>
      </c>
      <c r="AY41" s="57">
        <v>613.69000000000005</v>
      </c>
    </row>
    <row r="42" spans="1:54">
      <c r="A42" s="111" t="s">
        <v>173</v>
      </c>
      <c r="B42" s="110" t="s">
        <v>174</v>
      </c>
      <c r="C42" s="125">
        <v>1026.76</v>
      </c>
      <c r="D42" s="139">
        <f t="shared" si="5"/>
        <v>0</v>
      </c>
      <c r="F42" s="140"/>
      <c r="G42" s="139">
        <f t="shared" si="6"/>
        <v>1026.76</v>
      </c>
      <c r="H42" s="139">
        <f t="shared" si="7"/>
        <v>-45.13</v>
      </c>
      <c r="I42" s="139">
        <f t="shared" si="8"/>
        <v>20.5352</v>
      </c>
      <c r="J42" s="139">
        <f t="shared" si="9"/>
        <v>77.006999999999991</v>
      </c>
      <c r="K42" s="139">
        <f t="shared" si="10"/>
        <v>1079.1722</v>
      </c>
      <c r="L42" s="139">
        <f t="shared" si="11"/>
        <v>172.667552</v>
      </c>
      <c r="M42" s="139">
        <f t="shared" si="12"/>
        <v>1251.8397519999999</v>
      </c>
      <c r="N42"/>
      <c r="O42" s="139">
        <f>+D42</f>
        <v>0</v>
      </c>
      <c r="P42" s="139">
        <f>+O42*0.16</f>
        <v>0</v>
      </c>
      <c r="Q42" s="139">
        <f t="shared" si="15"/>
        <v>0</v>
      </c>
      <c r="S42" t="str">
        <f t="shared" si="16"/>
        <v>SI</v>
      </c>
      <c r="T42" s="72" t="s">
        <v>36</v>
      </c>
      <c r="U42" s="72" t="s">
        <v>99</v>
      </c>
      <c r="V42" s="73"/>
      <c r="W42" s="79">
        <v>42496</v>
      </c>
      <c r="X42" s="64" t="s">
        <v>108</v>
      </c>
      <c r="Y42" s="83"/>
      <c r="Z42" s="65"/>
      <c r="AA42" s="65"/>
      <c r="AB42" s="59">
        <v>45.13</v>
      </c>
      <c r="AC42" s="60">
        <f t="shared" si="1"/>
        <v>-45.13</v>
      </c>
      <c r="AD42" s="94"/>
      <c r="AE42" s="94"/>
      <c r="AF42" s="61"/>
      <c r="AG42" s="61"/>
      <c r="AH42" s="57"/>
      <c r="AI42" s="57">
        <v>0</v>
      </c>
      <c r="AJ42" s="60">
        <f>+AC42-SUM(AD42:AI42)</f>
        <v>-45.13</v>
      </c>
      <c r="AK42" s="62">
        <f>IF(AC42&gt;2250,AC42*0.1,0)</f>
        <v>0</v>
      </c>
      <c r="AL42" s="70">
        <f t="shared" si="21"/>
        <v>-45.13</v>
      </c>
      <c r="AM42" s="63">
        <f t="shared" si="18"/>
        <v>-4.5130000000000008</v>
      </c>
      <c r="AN42" s="62" t="e">
        <f>#REF!*0.02</f>
        <v>#REF!</v>
      </c>
      <c r="AO42" s="60" t="e">
        <f>+AC42+AM42+AN42</f>
        <v>#REF!</v>
      </c>
      <c r="AP42" s="81"/>
      <c r="AQ42" s="81"/>
      <c r="AR42" s="80">
        <f>+AP42+AQ42-AL42</f>
        <v>45.13</v>
      </c>
      <c r="AS42" s="71"/>
      <c r="AT42" s="66">
        <v>1129582916</v>
      </c>
      <c r="AU42" s="28" t="str">
        <f t="shared" si="20"/>
        <v>si</v>
      </c>
      <c r="AV42" s="111" t="s">
        <v>173</v>
      </c>
      <c r="AW42" s="110" t="s">
        <v>174</v>
      </c>
      <c r="AX42" s="59">
        <v>45.13</v>
      </c>
      <c r="AY42" s="57">
        <v>0</v>
      </c>
    </row>
    <row r="43" spans="1:54">
      <c r="A43" s="111" t="s">
        <v>175</v>
      </c>
      <c r="B43" s="110" t="s">
        <v>176</v>
      </c>
      <c r="C43" s="125">
        <v>1026.76</v>
      </c>
      <c r="D43" s="139">
        <f t="shared" si="5"/>
        <v>10459.370000000001</v>
      </c>
      <c r="E43" s="141"/>
      <c r="G43" s="139">
        <f t="shared" si="6"/>
        <v>1026.76</v>
      </c>
      <c r="H43" s="139">
        <f t="shared" si="7"/>
        <v>-45.13</v>
      </c>
      <c r="I43" s="139">
        <f t="shared" si="8"/>
        <v>20.5352</v>
      </c>
      <c r="J43" s="139">
        <f t="shared" si="9"/>
        <v>77.006999999999991</v>
      </c>
      <c r="K43" s="139">
        <f t="shared" si="10"/>
        <v>1079.1722</v>
      </c>
      <c r="L43" s="139">
        <f t="shared" si="11"/>
        <v>172.667552</v>
      </c>
      <c r="M43" s="139">
        <f t="shared" si="12"/>
        <v>1251.8397519999999</v>
      </c>
      <c r="N43" s="141"/>
      <c r="O43" s="139">
        <f>+D43</f>
        <v>10459.370000000001</v>
      </c>
      <c r="P43" s="139">
        <f t="shared" si="14"/>
        <v>1673.4992000000002</v>
      </c>
      <c r="Q43" s="139">
        <f>+O43+P43</f>
        <v>12132.869200000001</v>
      </c>
      <c r="S43" t="str">
        <f t="shared" si="16"/>
        <v>SI</v>
      </c>
      <c r="T43" s="55" t="s">
        <v>36</v>
      </c>
      <c r="U43" s="64" t="s">
        <v>52</v>
      </c>
      <c r="V43" s="56" t="s">
        <v>70</v>
      </c>
      <c r="W43" s="79">
        <v>42215</v>
      </c>
      <c r="X43" s="55" t="s">
        <v>40</v>
      </c>
      <c r="Y43" s="92">
        <f>9459.37+1000</f>
        <v>10459.370000000001</v>
      </c>
      <c r="Z43" s="58"/>
      <c r="AA43" s="58"/>
      <c r="AB43" s="59">
        <v>45.13</v>
      </c>
      <c r="AC43" s="60">
        <f t="shared" si="1"/>
        <v>10414.240000000002</v>
      </c>
      <c r="AD43" s="94"/>
      <c r="AE43" s="94"/>
      <c r="AF43" s="61"/>
      <c r="AG43" s="61"/>
      <c r="AH43" s="57"/>
      <c r="AI43" s="57">
        <v>0</v>
      </c>
      <c r="AJ43" s="60">
        <f t="shared" si="23"/>
        <v>10414.240000000002</v>
      </c>
      <c r="AK43" s="62">
        <f t="shared" si="17"/>
        <v>1041.4240000000002</v>
      </c>
      <c r="AL43" s="60">
        <f t="shared" si="21"/>
        <v>9372.8160000000007</v>
      </c>
      <c r="AM43" s="63">
        <f t="shared" si="18"/>
        <v>0</v>
      </c>
      <c r="AN43" s="62" t="e">
        <f>#REF!*0.02</f>
        <v>#REF!</v>
      </c>
      <c r="AO43" s="60" t="e">
        <f>+AC43+AM43+AN43</f>
        <v>#REF!</v>
      </c>
      <c r="AP43" s="81"/>
      <c r="AQ43" s="75"/>
      <c r="AR43" s="80">
        <f t="shared" si="19"/>
        <v>-9372.8160000000007</v>
      </c>
      <c r="AS43" s="74"/>
      <c r="AT43" s="64" t="s">
        <v>90</v>
      </c>
      <c r="AU43" s="28" t="str">
        <f t="shared" si="20"/>
        <v>si</v>
      </c>
      <c r="AV43" s="111" t="s">
        <v>175</v>
      </c>
      <c r="AW43" s="110" t="s">
        <v>176</v>
      </c>
      <c r="AX43" s="59">
        <v>45.13</v>
      </c>
      <c r="AY43" s="57">
        <v>0</v>
      </c>
      <c r="AZ43" s="28"/>
    </row>
    <row r="44" spans="1:54">
      <c r="A44" s="111"/>
      <c r="B44" s="110"/>
      <c r="C44" s="125"/>
      <c r="D44" s="141"/>
      <c r="E44" s="141"/>
      <c r="G44" s="139"/>
      <c r="H44" s="139"/>
      <c r="I44" s="139"/>
      <c r="J44" s="139"/>
      <c r="K44" s="139"/>
      <c r="L44" s="139"/>
      <c r="M44" s="139"/>
      <c r="N44" s="141"/>
      <c r="O44" s="141"/>
      <c r="P44" s="141"/>
      <c r="Q44" s="141"/>
      <c r="T44" s="149"/>
      <c r="U44" s="150"/>
      <c r="V44" s="151"/>
      <c r="W44" s="152"/>
      <c r="X44" s="149"/>
      <c r="Y44" s="153"/>
      <c r="Z44" s="154"/>
      <c r="AA44" s="154"/>
      <c r="AB44" s="155"/>
      <c r="AC44" s="42"/>
      <c r="AD44" s="156"/>
      <c r="AE44" s="94"/>
      <c r="AF44" s="157"/>
      <c r="AG44" s="157"/>
      <c r="AH44" s="158"/>
      <c r="AI44" s="158"/>
      <c r="AJ44" s="42"/>
      <c r="AK44" s="159"/>
      <c r="AL44" s="42"/>
      <c r="AM44" s="160"/>
      <c r="AN44" s="159"/>
      <c r="AO44" s="42"/>
      <c r="AP44" s="161"/>
      <c r="AQ44" s="162"/>
      <c r="AR44" s="163"/>
      <c r="AS44" s="164"/>
      <c r="AT44" s="150"/>
      <c r="AU44" s="28"/>
      <c r="AV44" s="111"/>
      <c r="AW44" s="110"/>
      <c r="AX44" s="155"/>
      <c r="AY44" s="158"/>
      <c r="AZ44" s="28"/>
    </row>
    <row r="45" spans="1:54" ht="15.75" thickBot="1">
      <c r="A45" s="128" t="s">
        <v>206</v>
      </c>
      <c r="B45" s="119"/>
      <c r="C45" s="119" t="s">
        <v>207</v>
      </c>
      <c r="D45" s="142">
        <f>SUM(D13:D43)</f>
        <v>63842.400000000001</v>
      </c>
      <c r="E45" s="140"/>
      <c r="F45" s="141"/>
      <c r="G45" s="142">
        <f>SUM(G13:G43)</f>
        <v>42033.73</v>
      </c>
      <c r="H45" s="142">
        <f t="shared" ref="H45:M45" si="24">SUM(H13:H43)</f>
        <v>-1308.7700000000007</v>
      </c>
      <c r="I45" s="142">
        <f t="shared" si="24"/>
        <v>840.67460000000017</v>
      </c>
      <c r="J45" s="142">
        <f t="shared" si="24"/>
        <v>3152.5297500000006</v>
      </c>
      <c r="K45" s="142">
        <f t="shared" si="24"/>
        <v>44718.164350000014</v>
      </c>
      <c r="L45" s="142">
        <f t="shared" si="24"/>
        <v>7154.9062959999992</v>
      </c>
      <c r="M45" s="142">
        <f t="shared" si="24"/>
        <v>51873.070646</v>
      </c>
      <c r="N45"/>
      <c r="O45" s="142">
        <f>SUM(O14:O43)</f>
        <v>63842.400000000001</v>
      </c>
      <c r="P45" s="142">
        <f>SUM(P14:P43)</f>
        <v>10214.784</v>
      </c>
      <c r="Q45" s="142">
        <f>SUM(Q14:Q43)</f>
        <v>74057.184000000008</v>
      </c>
      <c r="R45" s="141"/>
      <c r="T45" s="45"/>
      <c r="U45" s="45"/>
      <c r="V45" s="46"/>
      <c r="W45" s="46"/>
      <c r="X45" s="45"/>
      <c r="Y45" s="47"/>
      <c r="Z45" s="48"/>
      <c r="AA45" s="48"/>
      <c r="AB45" s="49"/>
      <c r="AC45" s="50"/>
      <c r="AD45" s="51"/>
      <c r="AE45" s="94"/>
      <c r="AF45" s="52"/>
      <c r="AG45" s="52"/>
      <c r="AH45" s="47"/>
      <c r="AI45" s="47"/>
      <c r="AJ45" s="50"/>
      <c r="AK45" s="53"/>
      <c r="AL45" s="50"/>
      <c r="AM45" s="54"/>
      <c r="AN45" s="53"/>
      <c r="AO45" s="50"/>
      <c r="AP45" s="28"/>
      <c r="AQ45" s="28"/>
      <c r="AR45" s="29">
        <f t="shared" si="19"/>
        <v>0</v>
      </c>
      <c r="AS45" s="28"/>
      <c r="AT45" s="28"/>
      <c r="AU45" s="28"/>
      <c r="AV45" s="28"/>
      <c r="AW45" s="28"/>
      <c r="AX45" s="28"/>
      <c r="AY45" s="28"/>
      <c r="AZ45" s="28"/>
    </row>
    <row r="46" spans="1:54" ht="15.75" thickTop="1">
      <c r="A46" s="109"/>
      <c r="B46" s="109"/>
      <c r="C46" s="130">
        <v>42033.73</v>
      </c>
      <c r="F46" s="140"/>
      <c r="G46"/>
      <c r="H46"/>
      <c r="I46"/>
      <c r="J46"/>
      <c r="K46"/>
      <c r="L46"/>
      <c r="M46"/>
      <c r="N46"/>
      <c r="O46"/>
      <c r="P46"/>
      <c r="Q46"/>
      <c r="T46" s="33"/>
      <c r="U46" s="21"/>
      <c r="V46" s="31"/>
      <c r="W46" s="31"/>
      <c r="X46" s="21"/>
      <c r="Y46" s="2"/>
      <c r="Z46" s="2"/>
      <c r="AA46" s="2"/>
      <c r="AB46" s="22"/>
      <c r="AC46" s="23"/>
      <c r="AD46" s="24"/>
      <c r="AE46" s="94"/>
      <c r="AF46" s="25"/>
      <c r="AG46" s="25"/>
      <c r="AH46" s="2"/>
      <c r="AI46" s="2"/>
      <c r="AJ46" s="23"/>
      <c r="AK46" s="26"/>
      <c r="AL46" s="23"/>
      <c r="AM46" s="27"/>
      <c r="AN46" s="26"/>
      <c r="AO46" s="23"/>
      <c r="AP46" s="28"/>
      <c r="AQ46" s="28"/>
      <c r="AR46" s="29">
        <f t="shared" si="19"/>
        <v>0</v>
      </c>
      <c r="AS46" s="28"/>
      <c r="AT46" s="28"/>
      <c r="AU46" s="28"/>
      <c r="AX46" s="28"/>
      <c r="AY46" s="28"/>
      <c r="AZ46" s="28"/>
    </row>
    <row r="47" spans="1:54">
      <c r="G47"/>
      <c r="H47"/>
      <c r="I47"/>
      <c r="J47"/>
      <c r="K47"/>
      <c r="L47"/>
      <c r="M47" s="139"/>
      <c r="N47"/>
      <c r="O47"/>
      <c r="P47"/>
      <c r="Q47"/>
      <c r="T47" s="33"/>
      <c r="U47" s="21"/>
      <c r="V47" s="31"/>
      <c r="W47" s="31"/>
      <c r="X47" s="21"/>
      <c r="Y47" s="2"/>
      <c r="Z47" s="2"/>
      <c r="AA47" s="2"/>
      <c r="AB47" s="22"/>
      <c r="AC47" s="23"/>
      <c r="AD47" s="24"/>
      <c r="AE47" s="94"/>
      <c r="AF47" s="25"/>
      <c r="AG47" s="25"/>
      <c r="AH47" s="26"/>
      <c r="AI47" s="26"/>
      <c r="AJ47" s="23"/>
      <c r="AK47" s="26"/>
      <c r="AL47" s="23"/>
      <c r="AM47" s="27"/>
      <c r="AN47" s="26"/>
      <c r="AO47" s="23"/>
      <c r="AP47" s="28"/>
      <c r="AQ47" s="28"/>
      <c r="AR47" s="29">
        <f t="shared" si="19"/>
        <v>0</v>
      </c>
      <c r="AS47" s="28"/>
      <c r="AT47" s="28"/>
      <c r="AU47" s="28"/>
      <c r="AV47" s="28"/>
      <c r="AW47" s="28"/>
      <c r="AX47" s="28"/>
      <c r="AY47" s="28"/>
      <c r="AZ47" s="28"/>
    </row>
    <row r="48" spans="1:54">
      <c r="A48" s="127"/>
      <c r="B48" s="119"/>
      <c r="C48" s="119" t="s">
        <v>208</v>
      </c>
      <c r="D48" s="143"/>
      <c r="E48" s="143"/>
      <c r="G48"/>
      <c r="H48"/>
      <c r="I48"/>
      <c r="J48"/>
      <c r="K48"/>
      <c r="L48"/>
      <c r="M48" s="144"/>
      <c r="N48"/>
      <c r="O48"/>
      <c r="P48"/>
      <c r="Q48"/>
      <c r="T48" s="33"/>
      <c r="U48" s="34"/>
      <c r="V48" s="34"/>
      <c r="W48" s="34"/>
      <c r="X48" s="34"/>
      <c r="Y48" s="35"/>
      <c r="Z48" s="35"/>
      <c r="AA48" s="35"/>
      <c r="AB48" s="35"/>
      <c r="AC48" s="36"/>
      <c r="AD48" s="35"/>
      <c r="AE48" s="35"/>
      <c r="AF48" s="26"/>
      <c r="AG48" s="26"/>
      <c r="AH48" s="26"/>
      <c r="AI48" s="26"/>
      <c r="AJ48" s="37"/>
      <c r="AK48" s="26"/>
      <c r="AL48" s="36"/>
      <c r="AM48" s="26"/>
      <c r="AN48" s="26"/>
      <c r="AO48" s="36"/>
      <c r="AP48" s="28"/>
      <c r="AQ48" s="28"/>
      <c r="AR48" s="29">
        <f t="shared" si="19"/>
        <v>0</v>
      </c>
      <c r="AS48" s="28"/>
      <c r="AT48" s="28"/>
      <c r="AU48" s="28"/>
      <c r="AV48" s="28"/>
      <c r="AW48" s="28"/>
      <c r="AX48" s="28"/>
      <c r="AY48" s="28"/>
      <c r="AZ48" s="28"/>
    </row>
    <row r="49" spans="1:49" ht="15.75" thickBot="1">
      <c r="A49" s="128" t="s">
        <v>209</v>
      </c>
      <c r="B49" s="110" t="s">
        <v>184</v>
      </c>
      <c r="C49" s="130">
        <v>42033.73</v>
      </c>
      <c r="F49" s="143"/>
      <c r="G49"/>
      <c r="H49"/>
      <c r="I49"/>
      <c r="J49"/>
      <c r="K49"/>
      <c r="L49"/>
      <c r="M49"/>
      <c r="N49"/>
      <c r="O49"/>
      <c r="P49"/>
      <c r="Q49"/>
      <c r="U49" s="38" t="s">
        <v>1</v>
      </c>
      <c r="V49" s="38"/>
      <c r="W49" s="38"/>
      <c r="X49" s="38"/>
      <c r="Y49" s="39">
        <f>SUM(Y14:Y43)</f>
        <v>63842.400000000001</v>
      </c>
      <c r="Z49" s="39">
        <f>SUM(Z14:Z39)</f>
        <v>0</v>
      </c>
      <c r="AA49" s="39">
        <f>SUM(AA14:AA39)</f>
        <v>0</v>
      </c>
      <c r="AB49" s="39"/>
      <c r="AC49" s="39">
        <f>SUM(AC14:AC43)</f>
        <v>62533.630000000005</v>
      </c>
      <c r="AD49" s="39">
        <f>SUM(AD14:AD39)</f>
        <v>0</v>
      </c>
      <c r="AE49" s="39"/>
      <c r="AF49" s="39">
        <f>SUM(AF14:AF39)</f>
        <v>0</v>
      </c>
      <c r="AG49" s="39">
        <f>SUM(AG14:AG39)</f>
        <v>0</v>
      </c>
      <c r="AH49" s="39">
        <f>SUM(AH14:AH39)</f>
        <v>0</v>
      </c>
      <c r="AI49" s="39">
        <f>SUM(AI14:AI43)</f>
        <v>3936.3399999999997</v>
      </c>
      <c r="AJ49" s="39">
        <f>SUM(AJ14:AJ43)</f>
        <v>58597.290000000008</v>
      </c>
      <c r="AK49" s="39">
        <f>SUBTOTAL(9,AK5:AK48)</f>
        <v>5396.2660000000005</v>
      </c>
      <c r="AL49" s="39">
        <f>SUM(AL14:AL43)</f>
        <v>53201.024000000005</v>
      </c>
      <c r="AM49" s="39">
        <f>SUM(AM14:AM39)</f>
        <v>568.47799999999995</v>
      </c>
      <c r="AN49" s="39" t="e">
        <f>SUM(AN14:AN39)</f>
        <v>#REF!</v>
      </c>
      <c r="AO49" s="39" t="e">
        <f>SUBTOTAL(9,AO5:AO48)</f>
        <v>#REF!</v>
      </c>
      <c r="AP49" s="28"/>
      <c r="AQ49" s="28"/>
      <c r="AR49" s="29"/>
      <c r="AT49" s="28"/>
      <c r="AU49" s="28"/>
      <c r="AV49" s="28"/>
      <c r="AW49" s="28"/>
    </row>
    <row r="50" spans="1:49" ht="15.75" thickTop="1">
      <c r="AO50" s="16" t="e">
        <f>AO49*0.16</f>
        <v>#REF!</v>
      </c>
      <c r="AP50" s="28"/>
      <c r="AQ50" s="28"/>
      <c r="AR50" s="29">
        <f t="shared" si="19"/>
        <v>0</v>
      </c>
      <c r="AT50" s="28"/>
      <c r="AU50" s="28"/>
    </row>
    <row r="51" spans="1:49">
      <c r="A51" s="109"/>
      <c r="B51" s="109"/>
      <c r="C51" s="110" t="s">
        <v>184</v>
      </c>
      <c r="T51" s="190" t="s">
        <v>12</v>
      </c>
      <c r="U51" s="190"/>
      <c r="AK51" s="4">
        <f>+AK49-AK50</f>
        <v>5396.2660000000005</v>
      </c>
      <c r="AO51" s="16" t="e">
        <f>+AO49+AO50</f>
        <v>#REF!</v>
      </c>
      <c r="AP51" s="28"/>
      <c r="AQ51" s="28"/>
      <c r="AR51" s="29">
        <f t="shared" si="19"/>
        <v>0</v>
      </c>
      <c r="AS51" s="4">
        <v>112981.14</v>
      </c>
      <c r="AU51" s="28"/>
    </row>
    <row r="52" spans="1:49">
      <c r="A52" s="111" t="s">
        <v>184</v>
      </c>
      <c r="B52" s="110" t="s">
        <v>184</v>
      </c>
      <c r="C52" s="129"/>
      <c r="AU52" s="28"/>
    </row>
    <row r="53" spans="1:49">
      <c r="T53" s="33"/>
      <c r="U53" s="31"/>
      <c r="V53" s="31"/>
      <c r="W53" s="31"/>
      <c r="X53" s="31"/>
      <c r="Y53" s="3"/>
      <c r="Z53" s="3"/>
      <c r="AA53" s="3"/>
      <c r="AB53" s="3"/>
      <c r="AC53" s="23">
        <f>SUM(Y53:AB53)</f>
        <v>0</v>
      </c>
      <c r="AD53" s="24"/>
      <c r="AE53" s="24"/>
      <c r="AF53" s="25"/>
      <c r="AG53" s="25"/>
      <c r="AH53" s="25"/>
      <c r="AI53" s="25"/>
      <c r="AJ53" s="23">
        <f>+AC53-AD53</f>
        <v>0</v>
      </c>
      <c r="AK53" s="26">
        <f>+AJ53*0.05</f>
        <v>0</v>
      </c>
      <c r="AL53" s="23">
        <f>+AJ53-AF53-AI53</f>
        <v>0</v>
      </c>
      <c r="AM53" s="27">
        <f>IF(AJ53&lt;3000,AJ53*0.1,0)</f>
        <v>0</v>
      </c>
      <c r="AN53" s="26">
        <v>0</v>
      </c>
      <c r="AO53" s="23">
        <f>+AJ53+AM53+AN53</f>
        <v>0</v>
      </c>
      <c r="AP53" s="28"/>
      <c r="AQ53" s="28"/>
      <c r="AR53" s="29">
        <f t="shared" si="19"/>
        <v>0</v>
      </c>
      <c r="AU53" s="28"/>
    </row>
    <row r="54" spans="1:49">
      <c r="AO54" s="16" t="e">
        <f>SUM(AO41:AO53)</f>
        <v>#REF!</v>
      </c>
      <c r="AP54" s="28"/>
      <c r="AQ54" s="28"/>
      <c r="AR54" s="29">
        <f t="shared" si="19"/>
        <v>0</v>
      </c>
      <c r="AU54" s="28"/>
    </row>
    <row r="55" spans="1:49">
      <c r="U55" s="40" t="s">
        <v>2</v>
      </c>
      <c r="V55" s="40"/>
      <c r="W55" s="40"/>
      <c r="AO55" s="16" t="e">
        <f>+AO54*0.16</f>
        <v>#REF!</v>
      </c>
      <c r="AP55" s="28"/>
      <c r="AQ55" s="28"/>
      <c r="AR55" s="29">
        <f t="shared" si="19"/>
        <v>0</v>
      </c>
      <c r="AU55" s="28"/>
    </row>
    <row r="56" spans="1:49">
      <c r="U56" s="40"/>
      <c r="V56" s="40"/>
      <c r="W56" s="40"/>
      <c r="AO56" s="16" t="e">
        <f>+AO54+AO55</f>
        <v>#REF!</v>
      </c>
      <c r="AP56" s="32"/>
      <c r="AQ56" s="32"/>
      <c r="AR56" s="29">
        <f t="shared" si="19"/>
        <v>0</v>
      </c>
      <c r="AU56" s="28"/>
    </row>
    <row r="57" spans="1:49">
      <c r="U57" s="40"/>
      <c r="V57" s="40"/>
      <c r="W57" s="40"/>
      <c r="AP57" s="28"/>
      <c r="AQ57" s="28"/>
      <c r="AR57" s="28"/>
    </row>
    <row r="58" spans="1:49">
      <c r="U58" s="40" t="s">
        <v>3</v>
      </c>
      <c r="V58" s="40"/>
      <c r="W58" s="40"/>
      <c r="AO58" s="16" t="e">
        <f>+AO51+AO56</f>
        <v>#REF!</v>
      </c>
      <c r="AP58" s="28"/>
      <c r="AQ58" s="28"/>
      <c r="AR58" s="28"/>
    </row>
    <row r="59" spans="1:49">
      <c r="U59" s="28"/>
      <c r="AP59" s="28"/>
      <c r="AQ59" s="28"/>
      <c r="AR59" s="28"/>
    </row>
    <row r="60" spans="1:49">
      <c r="U60" s="28"/>
      <c r="AP60" s="28"/>
      <c r="AQ60" s="28"/>
      <c r="AR60" s="28"/>
    </row>
    <row r="61" spans="1:49">
      <c r="U61" s="28"/>
      <c r="AP61" s="28"/>
      <c r="AQ61" s="28"/>
      <c r="AR61" s="28"/>
    </row>
    <row r="62" spans="1:49">
      <c r="U62" s="28"/>
      <c r="AP62" s="28"/>
      <c r="AQ62" s="28"/>
      <c r="AR62" s="28"/>
    </row>
    <row r="63" spans="1:49">
      <c r="AP63" s="28"/>
      <c r="AQ63" s="28"/>
      <c r="AR63" s="28"/>
    </row>
    <row r="64" spans="1:49">
      <c r="AP64" s="28"/>
      <c r="AQ64" s="28"/>
      <c r="AR64" s="28"/>
    </row>
    <row r="65" spans="20:44">
      <c r="T65" s="30" t="s">
        <v>22</v>
      </c>
      <c r="U65" s="4"/>
      <c r="AP65" s="28"/>
      <c r="AQ65" s="28"/>
      <c r="AR65" s="28"/>
    </row>
    <row r="66" spans="20:44">
      <c r="T66" s="30" t="s">
        <v>23</v>
      </c>
      <c r="U66" s="4"/>
      <c r="AP66" s="28"/>
      <c r="AQ66" s="28"/>
      <c r="AR66" s="28"/>
    </row>
    <row r="67" spans="20:44">
      <c r="T67" s="30" t="s">
        <v>24</v>
      </c>
      <c r="U67" s="4"/>
      <c r="AP67" s="28"/>
      <c r="AQ67" s="28"/>
      <c r="AR67" s="28"/>
    </row>
    <row r="68" spans="20:44">
      <c r="T68" s="30" t="s">
        <v>25</v>
      </c>
      <c r="U68" s="4"/>
      <c r="AP68" s="28"/>
      <c r="AQ68" s="28"/>
      <c r="AR68" s="28"/>
    </row>
    <row r="69" spans="20:44">
      <c r="T69" s="30" t="s">
        <v>26</v>
      </c>
      <c r="U69" s="4"/>
      <c r="AP69" s="28"/>
      <c r="AQ69" s="28"/>
      <c r="AR69" s="28"/>
    </row>
    <row r="70" spans="20:44">
      <c r="T70" s="30" t="s">
        <v>27</v>
      </c>
      <c r="U70" s="4"/>
      <c r="AP70" s="28"/>
      <c r="AQ70" s="28"/>
      <c r="AR70" s="28"/>
    </row>
    <row r="71" spans="20:44">
      <c r="AP71" s="28"/>
      <c r="AQ71" s="28"/>
      <c r="AR71" s="28"/>
    </row>
    <row r="72" spans="20:44">
      <c r="AP72" s="28"/>
      <c r="AQ72" s="28"/>
      <c r="AR72" s="28"/>
    </row>
    <row r="73" spans="20:44">
      <c r="AP73" s="28"/>
      <c r="AQ73" s="28"/>
      <c r="AR73" s="28"/>
    </row>
    <row r="74" spans="20:44">
      <c r="AP74" s="28"/>
      <c r="AQ74" s="28"/>
      <c r="AR74" s="28"/>
    </row>
    <row r="75" spans="20:44">
      <c r="AP75" s="32"/>
      <c r="AQ75" s="32"/>
      <c r="AR75" s="32"/>
    </row>
    <row r="76" spans="20:44">
      <c r="AP76" s="28"/>
      <c r="AQ76" s="28"/>
      <c r="AR76" s="28"/>
    </row>
    <row r="77" spans="20:44">
      <c r="AP77" s="28"/>
      <c r="AQ77" s="28"/>
      <c r="AR77" s="28"/>
    </row>
    <row r="78" spans="20:44">
      <c r="AP78" s="28"/>
      <c r="AQ78" s="28"/>
      <c r="AR78" s="28"/>
    </row>
    <row r="79" spans="20:44">
      <c r="AP79" s="28"/>
      <c r="AQ79" s="28"/>
      <c r="AR79" s="28"/>
    </row>
    <row r="80" spans="20:44">
      <c r="AP80" s="28"/>
      <c r="AQ80" s="28"/>
      <c r="AR80" s="28"/>
    </row>
    <row r="81" spans="42:44">
      <c r="AP81" s="28"/>
      <c r="AQ81" s="28"/>
      <c r="AR81" s="28"/>
    </row>
    <row r="82" spans="42:44">
      <c r="AP82" s="28"/>
      <c r="AQ82" s="28"/>
      <c r="AR82" s="28"/>
    </row>
    <row r="83" spans="42:44">
      <c r="AP83" s="28"/>
      <c r="AQ83" s="28"/>
      <c r="AR83" s="28"/>
    </row>
    <row r="84" spans="42:44">
      <c r="AP84" s="28"/>
      <c r="AQ84" s="28"/>
      <c r="AR84" s="28"/>
    </row>
    <row r="85" spans="42:44">
      <c r="AP85" s="32"/>
      <c r="AQ85" s="32"/>
      <c r="AR85" s="32"/>
    </row>
    <row r="86" spans="42:44">
      <c r="AP86" s="28"/>
      <c r="AQ86" s="28"/>
      <c r="AR86" s="28"/>
    </row>
    <row r="87" spans="42:44">
      <c r="AP87" s="28"/>
      <c r="AQ87" s="28"/>
      <c r="AR87" s="28"/>
    </row>
    <row r="88" spans="42:44">
      <c r="AP88" s="28"/>
      <c r="AQ88" s="28"/>
      <c r="AR88" s="28"/>
    </row>
    <row r="89" spans="42:44">
      <c r="AP89" s="28"/>
      <c r="AQ89" s="28"/>
      <c r="AR89" s="28"/>
    </row>
    <row r="90" spans="42:44">
      <c r="AP90" s="28"/>
      <c r="AQ90" s="28"/>
      <c r="AR90" s="28"/>
    </row>
    <row r="91" spans="42:44">
      <c r="AP91" s="28"/>
      <c r="AQ91" s="28"/>
      <c r="AR91" s="28"/>
    </row>
    <row r="92" spans="42:44">
      <c r="AP92" s="28"/>
      <c r="AQ92" s="28"/>
      <c r="AR92" s="28"/>
    </row>
    <row r="93" spans="42:44">
      <c r="AP93" s="28"/>
      <c r="AQ93" s="28"/>
      <c r="AR93" s="28"/>
    </row>
    <row r="94" spans="42:44">
      <c r="AP94" s="28"/>
      <c r="AQ94" s="28"/>
      <c r="AR94" s="28"/>
    </row>
    <row r="95" spans="42:44">
      <c r="AP95" s="28"/>
      <c r="AQ95" s="28"/>
      <c r="AR95" s="28"/>
    </row>
    <row r="96" spans="42:44">
      <c r="AP96" s="28"/>
      <c r="AQ96" s="28"/>
      <c r="AR96" s="28"/>
    </row>
    <row r="97" spans="42:44">
      <c r="AP97" s="28"/>
      <c r="AQ97" s="28"/>
      <c r="AR97" s="28"/>
    </row>
    <row r="98" spans="42:44">
      <c r="AP98" s="28"/>
      <c r="AQ98" s="28"/>
      <c r="AR98" s="28"/>
    </row>
    <row r="99" spans="42:44">
      <c r="AP99" s="28"/>
      <c r="AQ99" s="28"/>
      <c r="AR99" s="28"/>
    </row>
    <row r="100" spans="42:44">
      <c r="AP100" s="28"/>
      <c r="AQ100" s="28"/>
      <c r="AR100" s="28"/>
    </row>
    <row r="101" spans="42:44">
      <c r="AP101" s="28"/>
      <c r="AQ101" s="28"/>
      <c r="AR101" s="28"/>
    </row>
    <row r="102" spans="42:44">
      <c r="AP102" s="28"/>
      <c r="AQ102" s="28"/>
      <c r="AR102" s="28"/>
    </row>
    <row r="103" spans="42:44" ht="15.75" thickBot="1">
      <c r="AP103" s="39">
        <f>SUM(AP14:AP102)</f>
        <v>0</v>
      </c>
      <c r="AQ103" s="39">
        <f>SUM(AQ14:AQ102)</f>
        <v>0</v>
      </c>
      <c r="AR103" s="41"/>
    </row>
    <row r="104" spans="42:44" ht="15.75" thickTop="1">
      <c r="AP104" s="16"/>
      <c r="AQ104" s="16"/>
      <c r="AR104" s="16"/>
    </row>
    <row r="105" spans="42:44">
      <c r="AP105" s="16"/>
      <c r="AQ105" s="16"/>
      <c r="AR105" s="16"/>
    </row>
    <row r="106" spans="42:44">
      <c r="AP106" s="23" t="e">
        <f>+AI106+#REF!+AO106</f>
        <v>#REF!</v>
      </c>
      <c r="AQ106" s="23" t="e">
        <f>+AJ106+AO106+AP106</f>
        <v>#REF!</v>
      </c>
      <c r="AR106" s="42"/>
    </row>
    <row r="107" spans="42:44">
      <c r="AP107" s="23" t="e">
        <f>+AI107+#REF!+AO107</f>
        <v>#REF!</v>
      </c>
      <c r="AQ107" s="23" t="e">
        <f>+AJ107+AO107+AP107</f>
        <v>#REF!</v>
      </c>
      <c r="AR107" s="42"/>
    </row>
  </sheetData>
  <autoFilter ref="S13:Y43"/>
  <mergeCells count="25">
    <mergeCell ref="G7:M7"/>
    <mergeCell ref="AG5:AG6"/>
    <mergeCell ref="AH5:AH6"/>
    <mergeCell ref="AI5:AI6"/>
    <mergeCell ref="AJ5:AJ6"/>
    <mergeCell ref="Z5:Z6"/>
    <mergeCell ref="AA5:AA6"/>
    <mergeCell ref="AB5:AB6"/>
    <mergeCell ref="AC5:AC6"/>
    <mergeCell ref="AD5:AD6"/>
    <mergeCell ref="O7:Q7"/>
    <mergeCell ref="T5:T6"/>
    <mergeCell ref="U5:U6"/>
    <mergeCell ref="V5:V6"/>
    <mergeCell ref="X5:X6"/>
    <mergeCell ref="AP5:AQ5"/>
    <mergeCell ref="AS5:AS6"/>
    <mergeCell ref="AT5:AT6"/>
    <mergeCell ref="T51:U51"/>
    <mergeCell ref="AK5:AK6"/>
    <mergeCell ref="AL5:AL6"/>
    <mergeCell ref="AM5:AM6"/>
    <mergeCell ref="AN5:AN6"/>
    <mergeCell ref="AO5:AO6"/>
    <mergeCell ref="AF5:A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1"/>
  <sheetViews>
    <sheetView topLeftCell="A7" workbookViewId="0">
      <selection activeCell="B43" sqref="B43"/>
    </sheetView>
  </sheetViews>
  <sheetFormatPr baseColWidth="10" defaultRowHeight="12.75"/>
  <cols>
    <col min="2" max="2" width="29.42578125" customWidth="1"/>
    <col min="12" max="12" width="13.28515625" customWidth="1"/>
  </cols>
  <sheetData>
    <row r="1" spans="1:16" ht="15">
      <c r="A1" s="112" t="s">
        <v>183</v>
      </c>
      <c r="B1" s="198" t="s">
        <v>184</v>
      </c>
      <c r="C1" s="199"/>
      <c r="D1" s="199"/>
      <c r="E1" s="109"/>
      <c r="F1" s="109"/>
      <c r="G1" s="109"/>
      <c r="H1" s="109"/>
      <c r="I1" s="109"/>
      <c r="J1" s="109"/>
      <c r="K1" s="109"/>
      <c r="L1" s="109"/>
      <c r="M1" s="109"/>
    </row>
    <row r="2" spans="1:16" ht="18">
      <c r="A2" s="113" t="s">
        <v>185</v>
      </c>
      <c r="B2" s="200" t="s">
        <v>186</v>
      </c>
      <c r="C2" s="201"/>
      <c r="D2" s="201"/>
      <c r="E2" s="109"/>
      <c r="F2" s="109"/>
      <c r="G2" s="109"/>
      <c r="H2" s="109"/>
      <c r="I2" s="109"/>
      <c r="J2" s="109"/>
      <c r="K2" s="109"/>
      <c r="L2" s="109"/>
      <c r="M2" s="109"/>
    </row>
    <row r="3" spans="1:16" ht="15.75">
      <c r="A3" s="109"/>
      <c r="B3" s="202" t="s">
        <v>187</v>
      </c>
      <c r="C3" s="199"/>
      <c r="D3" s="199"/>
      <c r="E3" s="109"/>
      <c r="F3" s="109"/>
      <c r="G3" s="109"/>
      <c r="H3" s="109"/>
      <c r="I3" s="109"/>
      <c r="J3" s="109"/>
      <c r="K3" s="109"/>
      <c r="L3" s="109"/>
      <c r="M3" s="109"/>
    </row>
    <row r="4" spans="1:16" ht="15">
      <c r="A4" s="109"/>
      <c r="B4" s="203" t="s">
        <v>188</v>
      </c>
      <c r="C4" s="199"/>
      <c r="D4" s="199"/>
      <c r="E4" s="109"/>
      <c r="F4" s="109"/>
      <c r="G4" s="109"/>
      <c r="H4" s="109"/>
      <c r="I4" s="109"/>
      <c r="J4" s="109"/>
      <c r="K4" s="109"/>
      <c r="L4" s="109"/>
      <c r="M4" s="109"/>
    </row>
    <row r="5" spans="1:16" ht="15">
      <c r="A5" s="109"/>
      <c r="B5" s="118" t="s">
        <v>189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6" ht="15">
      <c r="A6" s="109"/>
      <c r="B6" s="118" t="s">
        <v>190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8" spans="1:16" s="134" customFormat="1" ht="34.5" thickBot="1">
      <c r="A8" s="179" t="s">
        <v>191</v>
      </c>
      <c r="B8" s="180" t="s">
        <v>192</v>
      </c>
      <c r="C8" s="180" t="s">
        <v>193</v>
      </c>
      <c r="D8" s="180" t="s">
        <v>194</v>
      </c>
      <c r="E8" s="181" t="s">
        <v>195</v>
      </c>
      <c r="F8" s="180" t="s">
        <v>196</v>
      </c>
      <c r="G8" s="180" t="s">
        <v>197</v>
      </c>
      <c r="H8" s="180" t="s">
        <v>198</v>
      </c>
      <c r="I8" s="180" t="s">
        <v>199</v>
      </c>
      <c r="J8" s="180" t="s">
        <v>200</v>
      </c>
      <c r="K8" s="180" t="s">
        <v>201</v>
      </c>
      <c r="L8" s="181" t="s">
        <v>202</v>
      </c>
      <c r="M8" s="182" t="s">
        <v>203</v>
      </c>
    </row>
    <row r="9" spans="1:16" ht="15.75" thickTop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1" spans="1:16" ht="15">
      <c r="A11" s="124" t="s">
        <v>204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3" spans="1:16" ht="15">
      <c r="A13" s="123" t="s">
        <v>205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1:16">
      <c r="A14" s="111" t="s">
        <v>117</v>
      </c>
      <c r="B14" s="110" t="s">
        <v>118</v>
      </c>
      <c r="C14" s="125">
        <v>880.08</v>
      </c>
      <c r="D14" s="125">
        <v>146.68</v>
      </c>
      <c r="E14" s="125">
        <v>1026.76</v>
      </c>
      <c r="F14" s="126">
        <v>-18.41</v>
      </c>
      <c r="G14" s="125">
        <v>0</v>
      </c>
      <c r="H14" s="125">
        <v>25.55</v>
      </c>
      <c r="I14" s="125">
        <v>0</v>
      </c>
      <c r="J14" s="125">
        <v>45.13</v>
      </c>
      <c r="K14" s="125">
        <v>0.09</v>
      </c>
      <c r="L14" s="125">
        <v>52.36</v>
      </c>
      <c r="M14" s="125">
        <v>974.4</v>
      </c>
      <c r="N14" t="str">
        <f>IF(P14=B14,"SI","NO")</f>
        <v>SI</v>
      </c>
      <c r="O14" s="111" t="s">
        <v>117</v>
      </c>
      <c r="P14" s="110" t="s">
        <v>118</v>
      </c>
    </row>
    <row r="15" spans="1:16">
      <c r="A15" s="111" t="s">
        <v>119</v>
      </c>
      <c r="B15" s="110" t="s">
        <v>120</v>
      </c>
      <c r="C15" s="125">
        <v>880.08</v>
      </c>
      <c r="D15" s="125">
        <v>146.68</v>
      </c>
      <c r="E15" s="125">
        <v>1026.76</v>
      </c>
      <c r="F15" s="126">
        <v>-18.41</v>
      </c>
      <c r="G15" s="125">
        <v>0</v>
      </c>
      <c r="H15" s="125">
        <v>25.48</v>
      </c>
      <c r="I15" s="125">
        <v>0</v>
      </c>
      <c r="J15" s="125">
        <v>45.13</v>
      </c>
      <c r="K15" s="126">
        <v>-0.04</v>
      </c>
      <c r="L15" s="125">
        <v>52.16</v>
      </c>
      <c r="M15" s="125">
        <v>974.6</v>
      </c>
      <c r="N15" t="str">
        <f t="shared" ref="N15:N43" si="0">IF(P15=B15,"SI","NO")</f>
        <v>SI</v>
      </c>
      <c r="O15" s="111" t="s">
        <v>119</v>
      </c>
      <c r="P15" s="110" t="s">
        <v>120</v>
      </c>
    </row>
    <row r="16" spans="1:16">
      <c r="A16" s="111" t="s">
        <v>121</v>
      </c>
      <c r="B16" s="110" t="s">
        <v>122</v>
      </c>
      <c r="C16" s="125">
        <v>880.08</v>
      </c>
      <c r="D16" s="125">
        <v>146.68</v>
      </c>
      <c r="E16" s="125">
        <v>1026.76</v>
      </c>
      <c r="F16" s="126">
        <v>-18.41</v>
      </c>
      <c r="G16" s="125">
        <v>0</v>
      </c>
      <c r="H16" s="125">
        <v>25.53</v>
      </c>
      <c r="I16" s="125">
        <v>500</v>
      </c>
      <c r="J16" s="125">
        <v>45.13</v>
      </c>
      <c r="K16" s="126">
        <v>-0.09</v>
      </c>
      <c r="L16" s="125">
        <v>552.16</v>
      </c>
      <c r="M16" s="125">
        <v>474.6</v>
      </c>
      <c r="N16" t="str">
        <f t="shared" si="0"/>
        <v>SI</v>
      </c>
      <c r="O16" s="111" t="s">
        <v>121</v>
      </c>
      <c r="P16" s="110" t="s">
        <v>122</v>
      </c>
    </row>
    <row r="17" spans="1:16">
      <c r="A17" s="111" t="s">
        <v>123</v>
      </c>
      <c r="B17" s="110" t="s">
        <v>124</v>
      </c>
      <c r="C17" s="125">
        <v>1500</v>
      </c>
      <c r="D17" s="125">
        <v>250</v>
      </c>
      <c r="E17" s="125">
        <v>1750</v>
      </c>
      <c r="F17" s="125">
        <v>0</v>
      </c>
      <c r="G17" s="125">
        <v>144.21</v>
      </c>
      <c r="H17" s="125">
        <v>44.9</v>
      </c>
      <c r="I17" s="125">
        <v>0</v>
      </c>
      <c r="J17" s="125">
        <v>45.13</v>
      </c>
      <c r="K17" s="126">
        <v>-0.04</v>
      </c>
      <c r="L17" s="125">
        <v>234.2</v>
      </c>
      <c r="M17" s="125">
        <v>1515.8</v>
      </c>
      <c r="N17" t="str">
        <f t="shared" si="0"/>
        <v>SI</v>
      </c>
      <c r="O17" s="111" t="s">
        <v>123</v>
      </c>
      <c r="P17" s="110" t="s">
        <v>124</v>
      </c>
    </row>
    <row r="18" spans="1:16">
      <c r="A18" s="111" t="s">
        <v>125</v>
      </c>
      <c r="B18" s="110" t="s">
        <v>126</v>
      </c>
      <c r="C18" s="125">
        <v>880.08</v>
      </c>
      <c r="D18" s="125">
        <v>146.68</v>
      </c>
      <c r="E18" s="125">
        <v>1026.76</v>
      </c>
      <c r="F18" s="126">
        <v>-18.41</v>
      </c>
      <c r="G18" s="125">
        <v>0</v>
      </c>
      <c r="H18" s="125">
        <v>25.48</v>
      </c>
      <c r="I18" s="125">
        <v>533.29</v>
      </c>
      <c r="J18" s="125">
        <v>45.13</v>
      </c>
      <c r="K18" s="125">
        <v>7.0000000000000007E-2</v>
      </c>
      <c r="L18" s="125">
        <v>585.55999999999995</v>
      </c>
      <c r="M18" s="125">
        <v>441.2</v>
      </c>
      <c r="N18" t="str">
        <f t="shared" si="0"/>
        <v>SI</v>
      </c>
      <c r="O18" s="111" t="s">
        <v>125</v>
      </c>
      <c r="P18" s="110" t="s">
        <v>126</v>
      </c>
    </row>
    <row r="19" spans="1:16">
      <c r="A19" s="111" t="s">
        <v>127</v>
      </c>
      <c r="B19" s="110" t="s">
        <v>128</v>
      </c>
      <c r="C19" s="125">
        <v>880.08</v>
      </c>
      <c r="D19" s="125">
        <v>146.68</v>
      </c>
      <c r="E19" s="125">
        <v>1026.76</v>
      </c>
      <c r="F19" s="126">
        <v>-18.41</v>
      </c>
      <c r="G19" s="125">
        <v>0</v>
      </c>
      <c r="H19" s="125">
        <v>25.55</v>
      </c>
      <c r="I19" s="125">
        <v>0</v>
      </c>
      <c r="J19" s="125">
        <v>45.13</v>
      </c>
      <c r="K19" s="126">
        <v>-0.11</v>
      </c>
      <c r="L19" s="125">
        <v>52.16</v>
      </c>
      <c r="M19" s="125">
        <v>974.6</v>
      </c>
      <c r="N19" t="str">
        <f t="shared" si="0"/>
        <v>SI</v>
      </c>
      <c r="O19" s="111" t="s">
        <v>127</v>
      </c>
      <c r="P19" s="110" t="s">
        <v>128</v>
      </c>
    </row>
    <row r="20" spans="1:16">
      <c r="A20" s="111" t="s">
        <v>129</v>
      </c>
      <c r="B20" s="110" t="s">
        <v>130</v>
      </c>
      <c r="C20" s="125">
        <v>880.08</v>
      </c>
      <c r="D20" s="125">
        <v>146.68</v>
      </c>
      <c r="E20" s="125">
        <v>1026.76</v>
      </c>
      <c r="F20" s="126">
        <v>-18.41</v>
      </c>
      <c r="G20" s="125">
        <v>0</v>
      </c>
      <c r="H20" s="125">
        <v>25.53</v>
      </c>
      <c r="I20" s="125">
        <v>0</v>
      </c>
      <c r="J20" s="125">
        <v>45.13</v>
      </c>
      <c r="K20" s="126">
        <v>-0.09</v>
      </c>
      <c r="L20" s="125">
        <v>52.16</v>
      </c>
      <c r="M20" s="125">
        <v>974.6</v>
      </c>
      <c r="N20" t="str">
        <f t="shared" si="0"/>
        <v>SI</v>
      </c>
      <c r="O20" s="111" t="s">
        <v>129</v>
      </c>
      <c r="P20" s="110" t="s">
        <v>130</v>
      </c>
    </row>
    <row r="21" spans="1:16">
      <c r="A21" s="111" t="s">
        <v>131</v>
      </c>
      <c r="B21" s="110" t="s">
        <v>132</v>
      </c>
      <c r="C21" s="125">
        <v>4000.08</v>
      </c>
      <c r="D21" s="125">
        <v>666.68</v>
      </c>
      <c r="E21" s="125">
        <v>4666.76</v>
      </c>
      <c r="F21" s="125">
        <v>0</v>
      </c>
      <c r="G21" s="125">
        <v>741.43</v>
      </c>
      <c r="H21" s="125">
        <v>129.94</v>
      </c>
      <c r="I21" s="125">
        <v>0</v>
      </c>
      <c r="J21" s="125">
        <v>45.13</v>
      </c>
      <c r="K21" s="125">
        <v>0.06</v>
      </c>
      <c r="L21" s="125">
        <v>916.56</v>
      </c>
      <c r="M21" s="125">
        <v>3750.2</v>
      </c>
      <c r="N21" t="str">
        <f t="shared" si="0"/>
        <v>SI</v>
      </c>
      <c r="O21" s="111" t="s">
        <v>131</v>
      </c>
      <c r="P21" s="110" t="s">
        <v>132</v>
      </c>
    </row>
    <row r="22" spans="1:16">
      <c r="A22" s="111" t="s">
        <v>133</v>
      </c>
      <c r="B22" s="110" t="s">
        <v>134</v>
      </c>
      <c r="C22" s="125">
        <v>880.08</v>
      </c>
      <c r="D22" s="125">
        <v>146.68</v>
      </c>
      <c r="E22" s="125">
        <v>1026.76</v>
      </c>
      <c r="F22" s="126">
        <v>-18.41</v>
      </c>
      <c r="G22" s="125">
        <v>0</v>
      </c>
      <c r="H22" s="125">
        <v>25.58</v>
      </c>
      <c r="I22" s="125">
        <v>0</v>
      </c>
      <c r="J22" s="125">
        <v>45.13</v>
      </c>
      <c r="K22" s="125">
        <v>0.06</v>
      </c>
      <c r="L22" s="125">
        <v>52.36</v>
      </c>
      <c r="M22" s="125">
        <v>974.4</v>
      </c>
      <c r="N22" t="str">
        <f t="shared" si="0"/>
        <v>SI</v>
      </c>
      <c r="O22" s="111" t="s">
        <v>133</v>
      </c>
      <c r="P22" s="110" t="s">
        <v>134</v>
      </c>
    </row>
    <row r="23" spans="1:16">
      <c r="A23" s="111" t="s">
        <v>135</v>
      </c>
      <c r="B23" s="110" t="s">
        <v>136</v>
      </c>
      <c r="C23" s="125">
        <v>1000.08</v>
      </c>
      <c r="D23" s="125">
        <v>166.68</v>
      </c>
      <c r="E23" s="125">
        <v>1166.76</v>
      </c>
      <c r="F23" s="125">
        <v>0</v>
      </c>
      <c r="G23" s="125">
        <v>3.59</v>
      </c>
      <c r="H23" s="125">
        <v>29.11</v>
      </c>
      <c r="I23" s="125">
        <v>490</v>
      </c>
      <c r="J23" s="125">
        <v>45.13</v>
      </c>
      <c r="K23" s="126">
        <v>-7.0000000000000007E-2</v>
      </c>
      <c r="L23" s="125">
        <v>567.76</v>
      </c>
      <c r="M23" s="125">
        <v>599</v>
      </c>
      <c r="N23" t="str">
        <f t="shared" si="0"/>
        <v>SI</v>
      </c>
      <c r="O23" s="111" t="s">
        <v>135</v>
      </c>
      <c r="P23" s="110" t="s">
        <v>136</v>
      </c>
    </row>
    <row r="24" spans="1:16">
      <c r="A24" s="111" t="s">
        <v>137</v>
      </c>
      <c r="B24" s="110" t="s">
        <v>138</v>
      </c>
      <c r="C24" s="125">
        <v>880.08</v>
      </c>
      <c r="D24" s="125">
        <v>146.68</v>
      </c>
      <c r="E24" s="125">
        <v>1026.76</v>
      </c>
      <c r="F24" s="126">
        <v>-18.41</v>
      </c>
      <c r="G24" s="125">
        <v>0</v>
      </c>
      <c r="H24" s="125">
        <v>25.55</v>
      </c>
      <c r="I24" s="125">
        <v>0</v>
      </c>
      <c r="J24" s="125">
        <v>45.13</v>
      </c>
      <c r="K24" s="125">
        <v>0.09</v>
      </c>
      <c r="L24" s="125">
        <v>52.36</v>
      </c>
      <c r="M24" s="125">
        <v>974.4</v>
      </c>
      <c r="N24" t="str">
        <f t="shared" si="0"/>
        <v>SI</v>
      </c>
      <c r="O24" s="111" t="s">
        <v>137</v>
      </c>
      <c r="P24" s="110" t="s">
        <v>138</v>
      </c>
    </row>
    <row r="25" spans="1:16">
      <c r="A25" s="111" t="s">
        <v>139</v>
      </c>
      <c r="B25" s="110" t="s">
        <v>140</v>
      </c>
      <c r="C25" s="125">
        <v>880.08</v>
      </c>
      <c r="D25" s="125">
        <v>146.68</v>
      </c>
      <c r="E25" s="125">
        <v>1026.76</v>
      </c>
      <c r="F25" s="126">
        <v>-18.41</v>
      </c>
      <c r="G25" s="125">
        <v>0</v>
      </c>
      <c r="H25" s="125">
        <v>25.55</v>
      </c>
      <c r="I25" s="125">
        <v>0</v>
      </c>
      <c r="J25" s="125">
        <v>45.13</v>
      </c>
      <c r="K25" s="125">
        <v>0.09</v>
      </c>
      <c r="L25" s="125">
        <v>52.36</v>
      </c>
      <c r="M25" s="125">
        <v>974.4</v>
      </c>
      <c r="N25" t="str">
        <f t="shared" si="0"/>
        <v>SI</v>
      </c>
      <c r="O25" s="111" t="s">
        <v>139</v>
      </c>
      <c r="P25" s="110" t="s">
        <v>140</v>
      </c>
    </row>
    <row r="26" spans="1:16">
      <c r="A26" s="111" t="s">
        <v>141</v>
      </c>
      <c r="B26" s="110" t="s">
        <v>142</v>
      </c>
      <c r="C26" s="125">
        <v>880.08</v>
      </c>
      <c r="D26" s="125">
        <v>146.68</v>
      </c>
      <c r="E26" s="125">
        <v>1026.76</v>
      </c>
      <c r="F26" s="126">
        <v>-18.41</v>
      </c>
      <c r="G26" s="125">
        <v>0</v>
      </c>
      <c r="H26" s="125">
        <v>25.53</v>
      </c>
      <c r="I26" s="125">
        <v>0</v>
      </c>
      <c r="J26" s="125">
        <v>45.13</v>
      </c>
      <c r="K26" s="126">
        <v>-0.09</v>
      </c>
      <c r="L26" s="125">
        <v>52.16</v>
      </c>
      <c r="M26" s="125">
        <v>974.6</v>
      </c>
      <c r="N26" t="str">
        <f t="shared" si="0"/>
        <v>SI</v>
      </c>
      <c r="O26" s="111" t="s">
        <v>141</v>
      </c>
      <c r="P26" s="110" t="s">
        <v>142</v>
      </c>
    </row>
    <row r="27" spans="1:16">
      <c r="A27" s="111" t="s">
        <v>143</v>
      </c>
      <c r="B27" s="110" t="s">
        <v>144</v>
      </c>
      <c r="C27" s="125">
        <v>4000.08</v>
      </c>
      <c r="D27" s="125">
        <v>666.68</v>
      </c>
      <c r="E27" s="125">
        <v>4666.76</v>
      </c>
      <c r="F27" s="125">
        <v>0</v>
      </c>
      <c r="G27" s="125">
        <v>741.43</v>
      </c>
      <c r="H27" s="125">
        <v>129.22</v>
      </c>
      <c r="I27" s="125">
        <v>350</v>
      </c>
      <c r="J27" s="125">
        <v>45.13</v>
      </c>
      <c r="K27" s="125">
        <v>0.18</v>
      </c>
      <c r="L27" s="125">
        <v>1265.96</v>
      </c>
      <c r="M27" s="125">
        <v>3400.8</v>
      </c>
      <c r="N27" t="str">
        <f t="shared" si="0"/>
        <v>SI</v>
      </c>
      <c r="O27" s="111" t="s">
        <v>143</v>
      </c>
      <c r="P27" s="110" t="s">
        <v>144</v>
      </c>
    </row>
    <row r="28" spans="1:16">
      <c r="A28" s="111" t="s">
        <v>145</v>
      </c>
      <c r="B28" s="110" t="s">
        <v>146</v>
      </c>
      <c r="C28" s="125">
        <v>1000.08</v>
      </c>
      <c r="D28" s="125">
        <v>166.68</v>
      </c>
      <c r="E28" s="125">
        <v>1166.76</v>
      </c>
      <c r="F28" s="125">
        <v>0</v>
      </c>
      <c r="G28" s="125">
        <v>3.59</v>
      </c>
      <c r="H28" s="125">
        <v>29.11</v>
      </c>
      <c r="I28" s="125">
        <v>83.6</v>
      </c>
      <c r="J28" s="125">
        <v>45.13</v>
      </c>
      <c r="K28" s="125">
        <v>0.13</v>
      </c>
      <c r="L28" s="125">
        <v>161.56</v>
      </c>
      <c r="M28" s="125">
        <v>1005.2</v>
      </c>
      <c r="N28" t="str">
        <f t="shared" si="0"/>
        <v>SI</v>
      </c>
      <c r="O28" s="111" t="s">
        <v>145</v>
      </c>
      <c r="P28" s="110" t="s">
        <v>146</v>
      </c>
    </row>
    <row r="29" spans="1:16">
      <c r="A29" s="111" t="s">
        <v>147</v>
      </c>
      <c r="B29" s="110" t="s">
        <v>148</v>
      </c>
      <c r="C29" s="125">
        <v>880.08</v>
      </c>
      <c r="D29" s="125">
        <v>146.68</v>
      </c>
      <c r="E29" s="125">
        <v>1026.76</v>
      </c>
      <c r="F29" s="126">
        <v>-18.41</v>
      </c>
      <c r="G29" s="125">
        <v>0</v>
      </c>
      <c r="H29" s="125">
        <v>25.55</v>
      </c>
      <c r="I29" s="125">
        <v>0</v>
      </c>
      <c r="J29" s="125">
        <v>45.13</v>
      </c>
      <c r="K29" s="126">
        <v>-0.11</v>
      </c>
      <c r="L29" s="125">
        <v>52.16</v>
      </c>
      <c r="M29" s="125">
        <v>974.6</v>
      </c>
      <c r="N29" t="str">
        <f t="shared" si="0"/>
        <v>SI</v>
      </c>
      <c r="O29" s="111" t="s">
        <v>147</v>
      </c>
      <c r="P29" s="110" t="s">
        <v>148</v>
      </c>
    </row>
    <row r="30" spans="1:16">
      <c r="A30" s="111" t="s">
        <v>149</v>
      </c>
      <c r="B30" s="110" t="s">
        <v>150</v>
      </c>
      <c r="C30" s="125">
        <v>880.08</v>
      </c>
      <c r="D30" s="125">
        <v>146.68</v>
      </c>
      <c r="E30" s="125">
        <v>1026.76</v>
      </c>
      <c r="F30" s="126">
        <v>-18.41</v>
      </c>
      <c r="G30" s="125">
        <v>0</v>
      </c>
      <c r="H30" s="125">
        <v>25.53</v>
      </c>
      <c r="I30" s="125">
        <v>0</v>
      </c>
      <c r="J30" s="125">
        <v>45.13</v>
      </c>
      <c r="K30" s="126">
        <v>-0.09</v>
      </c>
      <c r="L30" s="125">
        <v>52.16</v>
      </c>
      <c r="M30" s="125">
        <v>974.6</v>
      </c>
      <c r="N30" t="str">
        <f t="shared" si="0"/>
        <v>SI</v>
      </c>
      <c r="O30" s="111" t="s">
        <v>149</v>
      </c>
      <c r="P30" s="110" t="s">
        <v>150</v>
      </c>
    </row>
    <row r="31" spans="1:16">
      <c r="A31" s="111" t="s">
        <v>151</v>
      </c>
      <c r="B31" s="110" t="s">
        <v>152</v>
      </c>
      <c r="C31" s="125">
        <v>1000.08</v>
      </c>
      <c r="D31" s="125">
        <v>166.68</v>
      </c>
      <c r="E31" s="125">
        <v>1166.76</v>
      </c>
      <c r="F31" s="125">
        <v>0</v>
      </c>
      <c r="G31" s="125">
        <v>3.59</v>
      </c>
      <c r="H31" s="125">
        <v>29</v>
      </c>
      <c r="I31" s="125">
        <v>0</v>
      </c>
      <c r="J31" s="125">
        <v>45.13</v>
      </c>
      <c r="K31" s="125">
        <v>0.04</v>
      </c>
      <c r="L31" s="125">
        <v>77.760000000000005</v>
      </c>
      <c r="M31" s="125">
        <v>1089</v>
      </c>
      <c r="N31" t="str">
        <f t="shared" si="0"/>
        <v>SI</v>
      </c>
      <c r="O31" s="111" t="s">
        <v>151</v>
      </c>
      <c r="P31" s="110" t="s">
        <v>152</v>
      </c>
    </row>
    <row r="32" spans="1:16">
      <c r="A32" s="111" t="s">
        <v>153</v>
      </c>
      <c r="B32" s="110" t="s">
        <v>154</v>
      </c>
      <c r="C32" s="125">
        <v>880.08</v>
      </c>
      <c r="D32" s="125">
        <v>146.68</v>
      </c>
      <c r="E32" s="125">
        <v>1026.76</v>
      </c>
      <c r="F32" s="126">
        <v>-18.41</v>
      </c>
      <c r="G32" s="125">
        <v>0</v>
      </c>
      <c r="H32" s="125">
        <v>25.48</v>
      </c>
      <c r="I32" s="125">
        <v>0</v>
      </c>
      <c r="J32" s="125">
        <v>45.13</v>
      </c>
      <c r="K32" s="126">
        <v>-0.04</v>
      </c>
      <c r="L32" s="125">
        <v>52.16</v>
      </c>
      <c r="M32" s="125">
        <v>974.6</v>
      </c>
      <c r="N32" t="str">
        <f t="shared" si="0"/>
        <v>SI</v>
      </c>
      <c r="O32" s="111" t="s">
        <v>153</v>
      </c>
      <c r="P32" s="110" t="s">
        <v>154</v>
      </c>
    </row>
    <row r="33" spans="1:16">
      <c r="A33" s="111" t="s">
        <v>155</v>
      </c>
      <c r="B33" s="110" t="s">
        <v>156</v>
      </c>
      <c r="C33" s="125">
        <v>4000.08</v>
      </c>
      <c r="D33" s="125">
        <v>666.68</v>
      </c>
      <c r="E33" s="125">
        <v>4666.76</v>
      </c>
      <c r="F33" s="125">
        <v>0</v>
      </c>
      <c r="G33" s="125">
        <v>741.43</v>
      </c>
      <c r="H33" s="125">
        <v>129.22</v>
      </c>
      <c r="I33" s="125">
        <v>403</v>
      </c>
      <c r="J33" s="125">
        <v>45.13</v>
      </c>
      <c r="K33" s="125">
        <v>0.18</v>
      </c>
      <c r="L33" s="125">
        <v>1318.96</v>
      </c>
      <c r="M33" s="125">
        <v>3347.8</v>
      </c>
      <c r="N33" t="str">
        <f t="shared" si="0"/>
        <v>SI</v>
      </c>
      <c r="O33" s="111" t="s">
        <v>155</v>
      </c>
      <c r="P33" s="110" t="s">
        <v>156</v>
      </c>
    </row>
    <row r="34" spans="1:16">
      <c r="A34" s="111" t="s">
        <v>157</v>
      </c>
      <c r="B34" s="110" t="s">
        <v>158</v>
      </c>
      <c r="C34" s="125">
        <v>880.08</v>
      </c>
      <c r="D34" s="125">
        <v>146.68</v>
      </c>
      <c r="E34" s="125">
        <v>1026.76</v>
      </c>
      <c r="F34" s="126">
        <v>-18.41</v>
      </c>
      <c r="G34" s="125">
        <v>0</v>
      </c>
      <c r="H34" s="125">
        <v>25.48</v>
      </c>
      <c r="I34" s="125">
        <v>0</v>
      </c>
      <c r="J34" s="125">
        <v>45.13</v>
      </c>
      <c r="K34" s="126">
        <v>-0.04</v>
      </c>
      <c r="L34" s="125">
        <v>52.16</v>
      </c>
      <c r="M34" s="125">
        <v>974.6</v>
      </c>
      <c r="N34" t="str">
        <f t="shared" si="0"/>
        <v>SI</v>
      </c>
      <c r="O34" s="111" t="s">
        <v>157</v>
      </c>
      <c r="P34" s="110" t="s">
        <v>158</v>
      </c>
    </row>
    <row r="35" spans="1:16">
      <c r="A35" s="111" t="s">
        <v>159</v>
      </c>
      <c r="B35" s="110" t="s">
        <v>160</v>
      </c>
      <c r="C35" s="125">
        <v>880.08</v>
      </c>
      <c r="D35" s="125">
        <v>146.68</v>
      </c>
      <c r="E35" s="125">
        <v>1026.76</v>
      </c>
      <c r="F35" s="126">
        <v>-18.41</v>
      </c>
      <c r="G35" s="125">
        <v>0</v>
      </c>
      <c r="H35" s="125">
        <v>25.48</v>
      </c>
      <c r="I35" s="125">
        <v>385.41</v>
      </c>
      <c r="J35" s="125">
        <v>45.13</v>
      </c>
      <c r="K35" s="126">
        <v>-0.05</v>
      </c>
      <c r="L35" s="125">
        <v>437.56</v>
      </c>
      <c r="M35" s="125">
        <v>589.20000000000005</v>
      </c>
      <c r="N35" t="str">
        <f t="shared" si="0"/>
        <v>SI</v>
      </c>
      <c r="O35" s="111" t="s">
        <v>159</v>
      </c>
      <c r="P35" s="110" t="s">
        <v>160</v>
      </c>
    </row>
    <row r="36" spans="1:16">
      <c r="A36" s="111" t="s">
        <v>161</v>
      </c>
      <c r="B36" s="110" t="s">
        <v>162</v>
      </c>
      <c r="C36" s="125">
        <v>880.08</v>
      </c>
      <c r="D36" s="125">
        <v>146.68</v>
      </c>
      <c r="E36" s="125">
        <v>1026.76</v>
      </c>
      <c r="F36" s="126">
        <v>-18.41</v>
      </c>
      <c r="G36" s="125">
        <v>0</v>
      </c>
      <c r="H36" s="125">
        <v>25.48</v>
      </c>
      <c r="I36" s="125">
        <v>0</v>
      </c>
      <c r="J36" s="125">
        <v>45.13</v>
      </c>
      <c r="K36" s="126">
        <v>-0.04</v>
      </c>
      <c r="L36" s="125">
        <v>52.16</v>
      </c>
      <c r="M36" s="125">
        <v>974.6</v>
      </c>
      <c r="N36" t="str">
        <f t="shared" si="0"/>
        <v>SI</v>
      </c>
      <c r="O36" s="111" t="s">
        <v>161</v>
      </c>
      <c r="P36" s="110" t="s">
        <v>162</v>
      </c>
    </row>
    <row r="37" spans="1:16">
      <c r="A37" s="111" t="s">
        <v>163</v>
      </c>
      <c r="B37" s="110" t="s">
        <v>164</v>
      </c>
      <c r="C37" s="125">
        <v>880.08</v>
      </c>
      <c r="D37" s="125">
        <v>146.68</v>
      </c>
      <c r="E37" s="125">
        <v>1026.76</v>
      </c>
      <c r="F37" s="126">
        <v>-18.41</v>
      </c>
      <c r="G37" s="125">
        <v>0</v>
      </c>
      <c r="H37" s="125">
        <v>25.53</v>
      </c>
      <c r="I37" s="125">
        <v>0</v>
      </c>
      <c r="J37" s="125">
        <v>45.13</v>
      </c>
      <c r="K37" s="126">
        <v>-0.09</v>
      </c>
      <c r="L37" s="125">
        <v>52.16</v>
      </c>
      <c r="M37" s="125">
        <v>974.6</v>
      </c>
      <c r="N37" t="str">
        <f t="shared" si="0"/>
        <v>SI</v>
      </c>
      <c r="O37" s="111" t="s">
        <v>163</v>
      </c>
      <c r="P37" s="110" t="s">
        <v>164</v>
      </c>
    </row>
    <row r="38" spans="1:16">
      <c r="A38" s="111" t="s">
        <v>165</v>
      </c>
      <c r="B38" s="110" t="s">
        <v>166</v>
      </c>
      <c r="C38" s="125">
        <v>880.08</v>
      </c>
      <c r="D38" s="125">
        <v>146.68</v>
      </c>
      <c r="E38" s="125">
        <v>1026.76</v>
      </c>
      <c r="F38" s="126">
        <v>-18.41</v>
      </c>
      <c r="G38" s="125">
        <v>0</v>
      </c>
      <c r="H38" s="125">
        <v>25.48</v>
      </c>
      <c r="I38" s="125">
        <v>0</v>
      </c>
      <c r="J38" s="125">
        <v>45.13</v>
      </c>
      <c r="K38" s="126">
        <v>-0.04</v>
      </c>
      <c r="L38" s="125">
        <v>52.16</v>
      </c>
      <c r="M38" s="125">
        <v>974.6</v>
      </c>
      <c r="N38" t="str">
        <f t="shared" si="0"/>
        <v>SI</v>
      </c>
      <c r="O38" s="111" t="s">
        <v>165</v>
      </c>
      <c r="P38" s="110" t="s">
        <v>166</v>
      </c>
    </row>
    <row r="39" spans="1:16">
      <c r="A39" s="111" t="s">
        <v>167</v>
      </c>
      <c r="B39" s="110" t="s">
        <v>168</v>
      </c>
      <c r="C39" s="125">
        <v>166.67</v>
      </c>
      <c r="D39" s="125">
        <v>27.78</v>
      </c>
      <c r="E39" s="125">
        <v>194.45</v>
      </c>
      <c r="F39" s="126">
        <v>-86.4</v>
      </c>
      <c r="G39" s="125">
        <v>0</v>
      </c>
      <c r="H39" s="125">
        <v>8.2799999999999994</v>
      </c>
      <c r="I39" s="125">
        <v>0</v>
      </c>
      <c r="J39" s="125">
        <v>0</v>
      </c>
      <c r="K39" s="126">
        <v>-0.03</v>
      </c>
      <c r="L39" s="125">
        <v>-78.150000000000006</v>
      </c>
      <c r="M39" s="125">
        <v>272.60000000000002</v>
      </c>
      <c r="N39" t="str">
        <f t="shared" si="0"/>
        <v>SI</v>
      </c>
      <c r="O39" s="111" t="s">
        <v>167</v>
      </c>
      <c r="P39" s="110" t="s">
        <v>168</v>
      </c>
    </row>
    <row r="40" spans="1:16">
      <c r="A40" s="111" t="s">
        <v>169</v>
      </c>
      <c r="B40" s="110" t="s">
        <v>170</v>
      </c>
      <c r="C40" s="125">
        <v>880.08</v>
      </c>
      <c r="D40" s="125">
        <v>146.68</v>
      </c>
      <c r="E40" s="125">
        <v>1026.76</v>
      </c>
      <c r="F40" s="126">
        <v>-18.41</v>
      </c>
      <c r="G40" s="125">
        <v>0</v>
      </c>
      <c r="H40" s="125">
        <v>25.58</v>
      </c>
      <c r="I40" s="125">
        <v>577.35</v>
      </c>
      <c r="J40" s="125">
        <v>45.13</v>
      </c>
      <c r="K40" s="126">
        <v>-0.09</v>
      </c>
      <c r="L40" s="125">
        <v>629.55999999999995</v>
      </c>
      <c r="M40" s="125">
        <v>397.2</v>
      </c>
      <c r="N40" t="str">
        <f t="shared" si="0"/>
        <v>SI</v>
      </c>
      <c r="O40" s="111" t="s">
        <v>169</v>
      </c>
      <c r="P40" s="110" t="s">
        <v>170</v>
      </c>
    </row>
    <row r="41" spans="1:16">
      <c r="A41" s="111" t="s">
        <v>171</v>
      </c>
      <c r="B41" s="110" t="s">
        <v>172</v>
      </c>
      <c r="C41" s="125">
        <v>880.08</v>
      </c>
      <c r="D41" s="125">
        <v>146.68</v>
      </c>
      <c r="E41" s="125">
        <v>1026.76</v>
      </c>
      <c r="F41" s="126">
        <v>-18.41</v>
      </c>
      <c r="G41" s="125">
        <v>0</v>
      </c>
      <c r="H41" s="125">
        <v>25.55</v>
      </c>
      <c r="I41" s="125">
        <v>613.69000000000005</v>
      </c>
      <c r="J41" s="125">
        <v>45.13</v>
      </c>
      <c r="K41" s="125">
        <v>0</v>
      </c>
      <c r="L41" s="125">
        <v>665.96</v>
      </c>
      <c r="M41" s="125">
        <v>360.8</v>
      </c>
      <c r="N41" t="str">
        <f t="shared" si="0"/>
        <v>SI</v>
      </c>
      <c r="O41" s="111" t="s">
        <v>171</v>
      </c>
      <c r="P41" s="110" t="s">
        <v>172</v>
      </c>
    </row>
    <row r="42" spans="1:16">
      <c r="A42" s="111" t="s">
        <v>173</v>
      </c>
      <c r="B42" s="110" t="s">
        <v>174</v>
      </c>
      <c r="C42" s="125">
        <v>880.08</v>
      </c>
      <c r="D42" s="125">
        <v>146.68</v>
      </c>
      <c r="E42" s="125">
        <v>1026.76</v>
      </c>
      <c r="F42" s="126">
        <v>-18.41</v>
      </c>
      <c r="G42" s="125">
        <v>0</v>
      </c>
      <c r="H42" s="125">
        <v>25.48</v>
      </c>
      <c r="I42" s="125">
        <v>0</v>
      </c>
      <c r="J42" s="125">
        <v>45.13</v>
      </c>
      <c r="K42" s="126">
        <v>-0.04</v>
      </c>
      <c r="L42" s="125">
        <v>52.16</v>
      </c>
      <c r="M42" s="125">
        <v>974.6</v>
      </c>
      <c r="N42" t="str">
        <f t="shared" si="0"/>
        <v>SI</v>
      </c>
      <c r="O42" s="111" t="s">
        <v>173</v>
      </c>
      <c r="P42" s="110" t="s">
        <v>174</v>
      </c>
    </row>
    <row r="43" spans="1:16">
      <c r="A43" s="111" t="s">
        <v>175</v>
      </c>
      <c r="B43" s="110" t="s">
        <v>176</v>
      </c>
      <c r="C43" s="125">
        <v>880.08</v>
      </c>
      <c r="D43" s="125">
        <v>146.68</v>
      </c>
      <c r="E43" s="125">
        <v>1026.76</v>
      </c>
      <c r="F43" s="126">
        <v>-18.41</v>
      </c>
      <c r="G43" s="125">
        <v>0</v>
      </c>
      <c r="H43" s="125">
        <v>25.53</v>
      </c>
      <c r="I43" s="125">
        <v>0</v>
      </c>
      <c r="J43" s="125">
        <v>45.13</v>
      </c>
      <c r="K43" s="126">
        <v>-0.09</v>
      </c>
      <c r="L43" s="125">
        <v>52.16</v>
      </c>
      <c r="M43" s="125">
        <v>974.6</v>
      </c>
      <c r="N43" t="str">
        <f t="shared" si="0"/>
        <v>SI</v>
      </c>
      <c r="O43" s="111" t="s">
        <v>175</v>
      </c>
      <c r="P43" s="110" t="s">
        <v>176</v>
      </c>
    </row>
    <row r="44" spans="1:16">
      <c r="A44" s="128" t="s">
        <v>206</v>
      </c>
      <c r="B44" s="119"/>
      <c r="C44" s="119" t="s">
        <v>207</v>
      </c>
      <c r="D44" s="119" t="s">
        <v>207</v>
      </c>
      <c r="E44" s="119" t="s">
        <v>207</v>
      </c>
      <c r="F44" s="119" t="s">
        <v>207</v>
      </c>
      <c r="G44" s="119" t="s">
        <v>207</v>
      </c>
      <c r="H44" s="119" t="s">
        <v>207</v>
      </c>
      <c r="I44" s="119" t="s">
        <v>207</v>
      </c>
      <c r="J44" s="119" t="s">
        <v>207</v>
      </c>
      <c r="K44" s="119" t="s">
        <v>207</v>
      </c>
      <c r="L44" s="119" t="s">
        <v>207</v>
      </c>
      <c r="M44" s="119" t="s">
        <v>207</v>
      </c>
    </row>
    <row r="45" spans="1:16" ht="15">
      <c r="A45" s="109"/>
      <c r="B45" s="109"/>
      <c r="C45" s="130">
        <v>36028.910000000003</v>
      </c>
      <c r="D45" s="130">
        <v>6004.82</v>
      </c>
      <c r="E45" s="130">
        <v>42033.73</v>
      </c>
      <c r="F45" s="131">
        <v>-491.42</v>
      </c>
      <c r="G45" s="130">
        <v>2379.27</v>
      </c>
      <c r="H45" s="130">
        <v>1090.26</v>
      </c>
      <c r="I45" s="130">
        <v>3936.34</v>
      </c>
      <c r="J45" s="130">
        <v>1308.77</v>
      </c>
      <c r="K45" s="131">
        <v>-0.28999999999999998</v>
      </c>
      <c r="L45" s="130">
        <v>8222.93</v>
      </c>
      <c r="M45" s="130">
        <v>33810.800000000003</v>
      </c>
    </row>
    <row r="47" spans="1:16">
      <c r="A47" s="127"/>
      <c r="B47" s="119"/>
      <c r="C47" s="119" t="s">
        <v>208</v>
      </c>
      <c r="D47" s="119" t="s">
        <v>208</v>
      </c>
      <c r="E47" s="119" t="s">
        <v>208</v>
      </c>
      <c r="F47" s="119" t="s">
        <v>208</v>
      </c>
      <c r="G47" s="119" t="s">
        <v>208</v>
      </c>
      <c r="H47" s="119" t="s">
        <v>208</v>
      </c>
      <c r="I47" s="119" t="s">
        <v>208</v>
      </c>
      <c r="J47" s="119" t="s">
        <v>208</v>
      </c>
      <c r="K47" s="119" t="s">
        <v>208</v>
      </c>
      <c r="L47" s="119" t="s">
        <v>208</v>
      </c>
      <c r="M47" s="119" t="s">
        <v>208</v>
      </c>
    </row>
    <row r="48" spans="1:16">
      <c r="A48" s="128" t="s">
        <v>209</v>
      </c>
      <c r="B48" s="110" t="s">
        <v>184</v>
      </c>
      <c r="C48" s="130">
        <v>36028.910000000003</v>
      </c>
      <c r="D48" s="130">
        <v>6004.82</v>
      </c>
      <c r="E48" s="130">
        <v>42033.73</v>
      </c>
      <c r="F48" s="131">
        <v>-491.42</v>
      </c>
      <c r="G48" s="130">
        <v>2379.27</v>
      </c>
      <c r="H48" s="130">
        <v>1090.26</v>
      </c>
      <c r="I48" s="130">
        <v>3936.34</v>
      </c>
      <c r="J48" s="130">
        <v>1308.77</v>
      </c>
      <c r="K48" s="131">
        <v>-0.28999999999999998</v>
      </c>
      <c r="L48" s="130">
        <v>8222.93</v>
      </c>
      <c r="M48" s="130">
        <v>33810.800000000003</v>
      </c>
    </row>
    <row r="50" spans="1:13" ht="15">
      <c r="A50" s="109"/>
      <c r="B50" s="109"/>
      <c r="C50" s="110" t="s">
        <v>184</v>
      </c>
      <c r="D50" s="110" t="s">
        <v>184</v>
      </c>
      <c r="E50" s="110" t="s">
        <v>184</v>
      </c>
      <c r="F50" s="110" t="s">
        <v>184</v>
      </c>
      <c r="G50" s="110" t="s">
        <v>184</v>
      </c>
      <c r="H50" s="110" t="s">
        <v>184</v>
      </c>
      <c r="I50" s="110" t="s">
        <v>184</v>
      </c>
      <c r="J50" s="110" t="s">
        <v>184</v>
      </c>
      <c r="K50" s="110" t="s">
        <v>184</v>
      </c>
      <c r="L50" s="110" t="s">
        <v>184</v>
      </c>
      <c r="M50" s="110" t="s">
        <v>184</v>
      </c>
    </row>
    <row r="51" spans="1:13">
      <c r="A51" s="111" t="s">
        <v>184</v>
      </c>
      <c r="B51" s="110" t="s">
        <v>184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7"/>
  <sheetViews>
    <sheetView topLeftCell="A7" workbookViewId="0">
      <selection activeCell="C42" sqref="C42"/>
    </sheetView>
  </sheetViews>
  <sheetFormatPr baseColWidth="10" defaultRowHeight="12.75"/>
  <cols>
    <col min="2" max="2" width="26.5703125" customWidth="1"/>
    <col min="10" max="10" width="14.28515625" customWidth="1"/>
  </cols>
  <sheetData>
    <row r="1" spans="1:15">
      <c r="A1" s="165" t="s">
        <v>183</v>
      </c>
      <c r="B1" s="204" t="s">
        <v>184</v>
      </c>
      <c r="C1" s="205"/>
      <c r="D1" s="205"/>
      <c r="E1" s="133"/>
      <c r="F1" s="133"/>
      <c r="G1" s="133"/>
      <c r="H1" s="133"/>
      <c r="I1" s="133"/>
      <c r="J1" s="133"/>
      <c r="K1" s="133"/>
    </row>
    <row r="2" spans="1:15" ht="18">
      <c r="A2" s="166" t="s">
        <v>185</v>
      </c>
      <c r="B2" s="167" t="s">
        <v>220</v>
      </c>
      <c r="C2" s="134"/>
      <c r="D2" s="134"/>
      <c r="E2" s="133"/>
      <c r="F2" s="133"/>
      <c r="G2" s="133"/>
      <c r="H2" s="133"/>
      <c r="I2" s="133"/>
      <c r="J2" s="133"/>
      <c r="K2" s="133"/>
    </row>
    <row r="3" spans="1:15" ht="15">
      <c r="A3" s="168"/>
      <c r="B3" s="206" t="s">
        <v>187</v>
      </c>
      <c r="C3" s="206"/>
      <c r="D3" s="206"/>
      <c r="E3" s="133"/>
      <c r="F3" s="133"/>
      <c r="G3" s="133"/>
      <c r="H3" s="133"/>
      <c r="I3" s="133"/>
      <c r="J3" s="133"/>
      <c r="K3" s="133"/>
    </row>
    <row r="4" spans="1:15">
      <c r="A4" s="168"/>
      <c r="B4" s="207" t="str">
        <f>+INGENIERIA!B4</f>
        <v>Periodo 36 al 36 Semanal del 31/08/2016 al 06/09/2016</v>
      </c>
      <c r="C4" s="205"/>
      <c r="D4" s="205"/>
      <c r="E4" s="133"/>
      <c r="F4" s="133"/>
      <c r="G4" s="133"/>
      <c r="H4" s="133"/>
      <c r="I4" s="133"/>
      <c r="J4" s="133"/>
      <c r="K4" s="133"/>
    </row>
    <row r="5" spans="1:15">
      <c r="A5" s="168"/>
      <c r="B5" s="169"/>
      <c r="C5" s="133"/>
      <c r="D5" s="133"/>
      <c r="E5" s="133"/>
      <c r="F5" s="133"/>
      <c r="G5" s="133"/>
      <c r="H5" s="133"/>
      <c r="I5" s="133"/>
      <c r="J5" s="133"/>
      <c r="K5" s="133"/>
    </row>
    <row r="8" spans="1:15">
      <c r="F8" t="s">
        <v>221</v>
      </c>
    </row>
    <row r="9" spans="1:15" s="134" customFormat="1" ht="34.5" thickBot="1">
      <c r="A9" s="170" t="s">
        <v>191</v>
      </c>
      <c r="B9" s="171" t="s">
        <v>192</v>
      </c>
      <c r="C9" s="171" t="s">
        <v>222</v>
      </c>
      <c r="D9" s="171" t="s">
        <v>222</v>
      </c>
      <c r="E9" s="172" t="s">
        <v>195</v>
      </c>
      <c r="F9" s="172" t="s">
        <v>223</v>
      </c>
      <c r="G9" s="171" t="s">
        <v>224</v>
      </c>
      <c r="H9" s="171" t="s">
        <v>199</v>
      </c>
      <c r="I9" s="171" t="s">
        <v>201</v>
      </c>
      <c r="J9" s="172" t="s">
        <v>202</v>
      </c>
      <c r="K9" s="173" t="s">
        <v>203</v>
      </c>
    </row>
    <row r="10" spans="1:15" ht="13.5" thickTop="1">
      <c r="A10" s="174" t="s">
        <v>204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5">
      <c r="A11" s="168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5">
      <c r="A12" s="175" t="s">
        <v>205</v>
      </c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5">
      <c r="A13" s="111" t="s">
        <v>117</v>
      </c>
      <c r="B13" s="110" t="s">
        <v>118</v>
      </c>
      <c r="C13" s="139">
        <f>+Hoja1!D14</f>
        <v>0</v>
      </c>
      <c r="D13" s="139">
        <v>0</v>
      </c>
      <c r="E13" s="139">
        <f>SUM(C13:D13)</f>
        <v>0</v>
      </c>
      <c r="F13" s="139">
        <f>+Hoja1!AH14</f>
        <v>0</v>
      </c>
      <c r="G13" s="139">
        <f>+E13*0.1</f>
        <v>0</v>
      </c>
      <c r="H13" s="139">
        <v>0</v>
      </c>
      <c r="I13" s="139">
        <v>0</v>
      </c>
      <c r="J13" s="139">
        <f>SUM(F13:I13)</f>
        <v>0</v>
      </c>
      <c r="K13" s="139">
        <f>+E13-J13</f>
        <v>0</v>
      </c>
      <c r="M13" t="str">
        <f>IF(O13=B13,"SI","NO")</f>
        <v>SI</v>
      </c>
      <c r="N13" s="111" t="s">
        <v>117</v>
      </c>
      <c r="O13" s="110" t="s">
        <v>118</v>
      </c>
    </row>
    <row r="14" spans="1:15">
      <c r="A14" s="111" t="s">
        <v>119</v>
      </c>
      <c r="B14" s="110" t="s">
        <v>120</v>
      </c>
      <c r="C14" s="139">
        <f>+Hoja1!D15</f>
        <v>647.94000000000005</v>
      </c>
      <c r="D14" s="139">
        <v>0</v>
      </c>
      <c r="E14" s="139">
        <f t="shared" ref="E14:E41" si="0">SUM(C14:D14)</f>
        <v>647.94000000000005</v>
      </c>
      <c r="F14" s="139">
        <f>+Hoja1!AH15</f>
        <v>0</v>
      </c>
      <c r="G14" s="139">
        <f t="shared" ref="G14:G41" si="1">+E14*0.1</f>
        <v>64.794000000000011</v>
      </c>
      <c r="H14" s="139">
        <v>0</v>
      </c>
      <c r="I14" s="139">
        <v>0</v>
      </c>
      <c r="J14" s="139">
        <f t="shared" ref="J14:J41" si="2">SUM(F14:I14)</f>
        <v>64.794000000000011</v>
      </c>
      <c r="K14" s="139">
        <f t="shared" ref="K14:K41" si="3">+E14-J14</f>
        <v>583.14600000000007</v>
      </c>
      <c r="M14" t="str">
        <f t="shared" ref="M14:M42" si="4">IF(O14=B14,"SI","NO")</f>
        <v>SI</v>
      </c>
      <c r="N14" s="111" t="s">
        <v>119</v>
      </c>
      <c r="O14" s="110" t="s">
        <v>120</v>
      </c>
    </row>
    <row r="15" spans="1:15">
      <c r="A15" s="111" t="s">
        <v>121</v>
      </c>
      <c r="B15" s="110" t="s">
        <v>122</v>
      </c>
      <c r="C15" s="139">
        <f>+Hoja1!D16</f>
        <v>3000</v>
      </c>
      <c r="D15" s="139">
        <v>0</v>
      </c>
      <c r="E15" s="139">
        <f t="shared" si="0"/>
        <v>3000</v>
      </c>
      <c r="F15" s="139">
        <f>+Hoja1!AH16</f>
        <v>0</v>
      </c>
      <c r="G15" s="139">
        <f t="shared" si="1"/>
        <v>300</v>
      </c>
      <c r="H15" s="139">
        <v>0</v>
      </c>
      <c r="I15" s="139">
        <v>0</v>
      </c>
      <c r="J15" s="139">
        <f t="shared" si="2"/>
        <v>300</v>
      </c>
      <c r="K15" s="139">
        <f t="shared" si="3"/>
        <v>2700</v>
      </c>
      <c r="M15" t="str">
        <f t="shared" si="4"/>
        <v>SI</v>
      </c>
      <c r="N15" s="111" t="s">
        <v>121</v>
      </c>
      <c r="O15" s="110" t="s">
        <v>122</v>
      </c>
    </row>
    <row r="16" spans="1:15">
      <c r="A16" s="111" t="s">
        <v>123</v>
      </c>
      <c r="B16" s="110" t="s">
        <v>124</v>
      </c>
      <c r="C16" s="139">
        <f>+Hoja1!D17</f>
        <v>0</v>
      </c>
      <c r="D16" s="139">
        <v>0</v>
      </c>
      <c r="E16" s="139">
        <f t="shared" si="0"/>
        <v>0</v>
      </c>
      <c r="F16" s="139">
        <f>+Hoja1!AH17</f>
        <v>0</v>
      </c>
      <c r="G16" s="139">
        <f t="shared" si="1"/>
        <v>0</v>
      </c>
      <c r="H16" s="139">
        <v>0</v>
      </c>
      <c r="I16" s="139">
        <v>0</v>
      </c>
      <c r="J16" s="139">
        <f t="shared" si="2"/>
        <v>0</v>
      </c>
      <c r="K16" s="139">
        <f t="shared" si="3"/>
        <v>0</v>
      </c>
      <c r="M16" t="str">
        <f t="shared" si="4"/>
        <v>SI</v>
      </c>
      <c r="N16" s="111" t="s">
        <v>123</v>
      </c>
      <c r="O16" s="110" t="s">
        <v>124</v>
      </c>
    </row>
    <row r="17" spans="1:15">
      <c r="A17" s="111" t="s">
        <v>125</v>
      </c>
      <c r="B17" s="110" t="s">
        <v>126</v>
      </c>
      <c r="C17" s="139">
        <f>+Hoja1!D18</f>
        <v>4859.8999999999996</v>
      </c>
      <c r="D17" s="139">
        <v>0</v>
      </c>
      <c r="E17" s="139">
        <f t="shared" si="0"/>
        <v>4859.8999999999996</v>
      </c>
      <c r="F17" s="139">
        <f>+Hoja1!AH18</f>
        <v>0</v>
      </c>
      <c r="G17" s="139">
        <f t="shared" si="1"/>
        <v>485.99</v>
      </c>
      <c r="H17" s="139">
        <v>0</v>
      </c>
      <c r="I17" s="139">
        <v>0</v>
      </c>
      <c r="J17" s="139">
        <f t="shared" si="2"/>
        <v>485.99</v>
      </c>
      <c r="K17" s="139">
        <f t="shared" si="3"/>
        <v>4373.91</v>
      </c>
      <c r="M17" t="str">
        <f t="shared" si="4"/>
        <v>SI</v>
      </c>
      <c r="N17" s="111" t="s">
        <v>125</v>
      </c>
      <c r="O17" s="110" t="s">
        <v>126</v>
      </c>
    </row>
    <row r="18" spans="1:15">
      <c r="A18" s="111" t="s">
        <v>127</v>
      </c>
      <c r="B18" s="110" t="s">
        <v>128</v>
      </c>
      <c r="C18" s="139">
        <f>+Hoja1!D19</f>
        <v>0</v>
      </c>
      <c r="D18" s="139">
        <v>0</v>
      </c>
      <c r="E18" s="139">
        <f t="shared" si="0"/>
        <v>0</v>
      </c>
      <c r="F18" s="139">
        <f>+Hoja1!AH19</f>
        <v>0</v>
      </c>
      <c r="G18" s="139">
        <f t="shared" si="1"/>
        <v>0</v>
      </c>
      <c r="H18" s="139">
        <v>0</v>
      </c>
      <c r="I18" s="139">
        <v>0</v>
      </c>
      <c r="J18" s="139">
        <f t="shared" si="2"/>
        <v>0</v>
      </c>
      <c r="K18" s="139">
        <f t="shared" si="3"/>
        <v>0</v>
      </c>
      <c r="M18" t="str">
        <f t="shared" si="4"/>
        <v>SI</v>
      </c>
      <c r="N18" s="111" t="s">
        <v>127</v>
      </c>
      <c r="O18" s="110" t="s">
        <v>128</v>
      </c>
    </row>
    <row r="19" spans="1:15">
      <c r="A19" s="111" t="s">
        <v>129</v>
      </c>
      <c r="B19" s="110" t="s">
        <v>130</v>
      </c>
      <c r="C19" s="139">
        <f>+Hoja1!D20</f>
        <v>3553.59</v>
      </c>
      <c r="D19" s="139">
        <v>0</v>
      </c>
      <c r="E19" s="139">
        <f t="shared" si="0"/>
        <v>3553.59</v>
      </c>
      <c r="F19" s="139">
        <f>+Hoja1!AH20</f>
        <v>0</v>
      </c>
      <c r="G19" s="139">
        <f t="shared" si="1"/>
        <v>355.35900000000004</v>
      </c>
      <c r="H19" s="139">
        <v>0</v>
      </c>
      <c r="I19" s="139">
        <v>0</v>
      </c>
      <c r="J19" s="139">
        <f t="shared" si="2"/>
        <v>355.35900000000004</v>
      </c>
      <c r="K19" s="139">
        <f t="shared" si="3"/>
        <v>3198.2310000000002</v>
      </c>
      <c r="M19" t="str">
        <f t="shared" si="4"/>
        <v>SI</v>
      </c>
      <c r="N19" s="111" t="s">
        <v>129</v>
      </c>
      <c r="O19" s="110" t="s">
        <v>130</v>
      </c>
    </row>
    <row r="20" spans="1:15">
      <c r="A20" s="111" t="s">
        <v>131</v>
      </c>
      <c r="B20" s="110" t="s">
        <v>132</v>
      </c>
      <c r="C20" s="139">
        <f>+Hoja1!D21</f>
        <v>400.27</v>
      </c>
      <c r="D20" s="139">
        <v>0</v>
      </c>
      <c r="E20" s="139">
        <f t="shared" si="0"/>
        <v>400.27</v>
      </c>
      <c r="F20" s="139">
        <f>+Hoja1!AH21</f>
        <v>0</v>
      </c>
      <c r="G20" s="139">
        <f t="shared" si="1"/>
        <v>40.027000000000001</v>
      </c>
      <c r="H20" s="139">
        <v>0</v>
      </c>
      <c r="I20" s="139">
        <v>0</v>
      </c>
      <c r="J20" s="139">
        <f t="shared" si="2"/>
        <v>40.027000000000001</v>
      </c>
      <c r="K20" s="139">
        <f t="shared" si="3"/>
        <v>360.24299999999999</v>
      </c>
      <c r="M20" t="str">
        <f t="shared" si="4"/>
        <v>SI</v>
      </c>
      <c r="N20" s="111" t="s">
        <v>131</v>
      </c>
      <c r="O20" s="110" t="s">
        <v>132</v>
      </c>
    </row>
    <row r="21" spans="1:15">
      <c r="A21" s="111" t="s">
        <v>133</v>
      </c>
      <c r="B21" s="110" t="s">
        <v>134</v>
      </c>
      <c r="C21" s="139">
        <f>+Hoja1!D22</f>
        <v>0</v>
      </c>
      <c r="D21" s="139">
        <v>0</v>
      </c>
      <c r="E21" s="139">
        <f t="shared" si="0"/>
        <v>0</v>
      </c>
      <c r="F21" s="139">
        <f>+Hoja1!AH22</f>
        <v>0</v>
      </c>
      <c r="G21" s="139">
        <f t="shared" si="1"/>
        <v>0</v>
      </c>
      <c r="H21" s="139">
        <v>0</v>
      </c>
      <c r="I21" s="139">
        <v>0</v>
      </c>
      <c r="J21" s="139">
        <f t="shared" si="2"/>
        <v>0</v>
      </c>
      <c r="K21" s="139">
        <f t="shared" si="3"/>
        <v>0</v>
      </c>
      <c r="M21" t="str">
        <f t="shared" si="4"/>
        <v>SI</v>
      </c>
      <c r="N21" s="111" t="s">
        <v>133</v>
      </c>
      <c r="O21" s="110" t="s">
        <v>134</v>
      </c>
    </row>
    <row r="22" spans="1:15">
      <c r="A22" s="111" t="s">
        <v>135</v>
      </c>
      <c r="B22" s="110" t="s">
        <v>136</v>
      </c>
      <c r="C22" s="139">
        <f>+Hoja1!D23</f>
        <v>2218.69</v>
      </c>
      <c r="D22" s="139">
        <v>0</v>
      </c>
      <c r="E22" s="139">
        <f t="shared" si="0"/>
        <v>2218.69</v>
      </c>
      <c r="F22" s="139">
        <f>+Hoja1!AH23</f>
        <v>0</v>
      </c>
      <c r="G22" s="139">
        <f t="shared" si="1"/>
        <v>221.86900000000003</v>
      </c>
      <c r="H22" s="139">
        <v>0</v>
      </c>
      <c r="I22" s="139">
        <v>0</v>
      </c>
      <c r="J22" s="139">
        <f t="shared" si="2"/>
        <v>221.86900000000003</v>
      </c>
      <c r="K22" s="139">
        <f t="shared" si="3"/>
        <v>1996.8209999999999</v>
      </c>
      <c r="M22" t="str">
        <f t="shared" si="4"/>
        <v>SI</v>
      </c>
      <c r="N22" s="111" t="s">
        <v>135</v>
      </c>
      <c r="O22" s="110" t="s">
        <v>136</v>
      </c>
    </row>
    <row r="23" spans="1:15">
      <c r="A23" s="111" t="s">
        <v>137</v>
      </c>
      <c r="B23" s="110" t="s">
        <v>138</v>
      </c>
      <c r="C23" s="139">
        <f>+Hoja1!D24</f>
        <v>11981.11</v>
      </c>
      <c r="D23" s="139">
        <v>0</v>
      </c>
      <c r="E23" s="139">
        <f t="shared" si="0"/>
        <v>11981.11</v>
      </c>
      <c r="F23" s="139">
        <f>+Hoja1!AH24</f>
        <v>0</v>
      </c>
      <c r="G23" s="139">
        <f t="shared" si="1"/>
        <v>1198.1110000000001</v>
      </c>
      <c r="H23" s="139">
        <v>0</v>
      </c>
      <c r="I23" s="139">
        <v>0</v>
      </c>
      <c r="J23" s="139">
        <f t="shared" si="2"/>
        <v>1198.1110000000001</v>
      </c>
      <c r="K23" s="139">
        <f t="shared" si="3"/>
        <v>10782.999</v>
      </c>
      <c r="M23" t="str">
        <f t="shared" si="4"/>
        <v>SI</v>
      </c>
      <c r="N23" s="111" t="s">
        <v>137</v>
      </c>
      <c r="O23" s="110" t="s">
        <v>138</v>
      </c>
    </row>
    <row r="24" spans="1:15">
      <c r="A24" s="111" t="s">
        <v>139</v>
      </c>
      <c r="B24" s="110" t="s">
        <v>140</v>
      </c>
      <c r="C24" s="139">
        <f>+Hoja1!D25</f>
        <v>0</v>
      </c>
      <c r="D24" s="139">
        <v>0</v>
      </c>
      <c r="E24" s="139">
        <f t="shared" si="0"/>
        <v>0</v>
      </c>
      <c r="F24" s="139">
        <f>+Hoja1!AH25</f>
        <v>0</v>
      </c>
      <c r="G24" s="139">
        <f t="shared" si="1"/>
        <v>0</v>
      </c>
      <c r="H24" s="139">
        <v>0</v>
      </c>
      <c r="I24" s="139">
        <v>0</v>
      </c>
      <c r="J24" s="139">
        <f t="shared" si="2"/>
        <v>0</v>
      </c>
      <c r="K24" s="139">
        <f t="shared" si="3"/>
        <v>0</v>
      </c>
      <c r="M24" t="str">
        <f t="shared" si="4"/>
        <v>SI</v>
      </c>
      <c r="N24" s="111" t="s">
        <v>139</v>
      </c>
      <c r="O24" s="110" t="s">
        <v>140</v>
      </c>
    </row>
    <row r="25" spans="1:15">
      <c r="A25" s="111" t="s">
        <v>141</v>
      </c>
      <c r="B25" s="110" t="s">
        <v>142</v>
      </c>
      <c r="C25" s="139">
        <f>+Hoja1!D26</f>
        <v>6695.31</v>
      </c>
      <c r="D25" s="139">
        <v>0</v>
      </c>
      <c r="E25" s="139">
        <f t="shared" si="0"/>
        <v>6695.31</v>
      </c>
      <c r="F25" s="139">
        <f>+Hoja1!AH26</f>
        <v>0</v>
      </c>
      <c r="G25" s="139">
        <f t="shared" si="1"/>
        <v>669.53100000000006</v>
      </c>
      <c r="H25" s="139">
        <v>0</v>
      </c>
      <c r="I25" s="139">
        <v>0</v>
      </c>
      <c r="J25" s="139">
        <f t="shared" si="2"/>
        <v>669.53100000000006</v>
      </c>
      <c r="K25" s="139">
        <f t="shared" si="3"/>
        <v>6025.7790000000005</v>
      </c>
      <c r="M25" t="str">
        <f t="shared" si="4"/>
        <v>SI</v>
      </c>
      <c r="N25" s="111" t="s">
        <v>141</v>
      </c>
      <c r="O25" s="110" t="s">
        <v>142</v>
      </c>
    </row>
    <row r="26" spans="1:15">
      <c r="A26" s="111" t="s">
        <v>143</v>
      </c>
      <c r="B26" s="110" t="s">
        <v>144</v>
      </c>
      <c r="C26" s="139">
        <f>+Hoja1!D27</f>
        <v>3021.58</v>
      </c>
      <c r="D26" s="139">
        <v>0</v>
      </c>
      <c r="E26" s="139">
        <f t="shared" si="0"/>
        <v>3021.58</v>
      </c>
      <c r="F26" s="139">
        <f>+Hoja1!AH27</f>
        <v>0</v>
      </c>
      <c r="G26" s="139">
        <f t="shared" si="1"/>
        <v>302.15800000000002</v>
      </c>
      <c r="H26" s="139">
        <v>0</v>
      </c>
      <c r="I26" s="139">
        <v>0</v>
      </c>
      <c r="J26" s="139">
        <f t="shared" si="2"/>
        <v>302.15800000000002</v>
      </c>
      <c r="K26" s="139">
        <f t="shared" si="3"/>
        <v>2719.422</v>
      </c>
      <c r="M26" t="str">
        <f t="shared" si="4"/>
        <v>SI</v>
      </c>
      <c r="N26" s="111" t="s">
        <v>143</v>
      </c>
      <c r="O26" s="110" t="s">
        <v>144</v>
      </c>
    </row>
    <row r="27" spans="1:15">
      <c r="A27" s="111" t="s">
        <v>145</v>
      </c>
      <c r="B27" s="110" t="s">
        <v>146</v>
      </c>
      <c r="C27" s="139">
        <f>+Hoja1!D28</f>
        <v>860.33</v>
      </c>
      <c r="D27" s="139">
        <v>0</v>
      </c>
      <c r="E27" s="139">
        <f t="shared" si="0"/>
        <v>860.33</v>
      </c>
      <c r="F27" s="139">
        <f>+Hoja1!AH28</f>
        <v>0</v>
      </c>
      <c r="G27" s="139">
        <f t="shared" si="1"/>
        <v>86.033000000000015</v>
      </c>
      <c r="H27" s="139">
        <v>0</v>
      </c>
      <c r="I27" s="139">
        <v>0</v>
      </c>
      <c r="J27" s="139">
        <f t="shared" si="2"/>
        <v>86.033000000000015</v>
      </c>
      <c r="K27" s="139">
        <f t="shared" si="3"/>
        <v>774.29700000000003</v>
      </c>
      <c r="M27" t="str">
        <f t="shared" si="4"/>
        <v>SI</v>
      </c>
      <c r="N27" s="111" t="s">
        <v>145</v>
      </c>
      <c r="O27" s="110" t="s">
        <v>146</v>
      </c>
    </row>
    <row r="28" spans="1:15">
      <c r="A28" s="111" t="s">
        <v>147</v>
      </c>
      <c r="B28" s="110" t="s">
        <v>148</v>
      </c>
      <c r="C28" s="139">
        <f>+Hoja1!D29</f>
        <v>0</v>
      </c>
      <c r="D28" s="139">
        <v>0</v>
      </c>
      <c r="E28" s="139">
        <f t="shared" si="0"/>
        <v>0</v>
      </c>
      <c r="F28" s="139">
        <f>+Hoja1!AH29</f>
        <v>0</v>
      </c>
      <c r="G28" s="139">
        <f t="shared" si="1"/>
        <v>0</v>
      </c>
      <c r="H28" s="139">
        <v>0</v>
      </c>
      <c r="I28" s="139">
        <v>0</v>
      </c>
      <c r="J28" s="139">
        <f t="shared" si="2"/>
        <v>0</v>
      </c>
      <c r="K28" s="139">
        <f t="shared" si="3"/>
        <v>0</v>
      </c>
      <c r="M28" t="str">
        <f t="shared" si="4"/>
        <v>SI</v>
      </c>
      <c r="N28" s="111" t="s">
        <v>147</v>
      </c>
      <c r="O28" s="110" t="s">
        <v>148</v>
      </c>
    </row>
    <row r="29" spans="1:15">
      <c r="A29" s="111" t="s">
        <v>149</v>
      </c>
      <c r="B29" s="110" t="s">
        <v>150</v>
      </c>
      <c r="C29" s="139">
        <f>+Hoja1!D30</f>
        <v>573.46</v>
      </c>
      <c r="D29" s="139">
        <v>0</v>
      </c>
      <c r="E29" s="139">
        <f t="shared" si="0"/>
        <v>573.46</v>
      </c>
      <c r="F29" s="139">
        <f>+Hoja1!AH30</f>
        <v>0</v>
      </c>
      <c r="G29" s="139">
        <f t="shared" si="1"/>
        <v>57.346000000000004</v>
      </c>
      <c r="H29" s="139">
        <v>0</v>
      </c>
      <c r="I29" s="139">
        <v>0</v>
      </c>
      <c r="J29" s="139">
        <f t="shared" si="2"/>
        <v>57.346000000000004</v>
      </c>
      <c r="K29" s="139">
        <f t="shared" si="3"/>
        <v>516.11400000000003</v>
      </c>
      <c r="M29" t="str">
        <f t="shared" si="4"/>
        <v>SI</v>
      </c>
      <c r="N29" s="111" t="s">
        <v>149</v>
      </c>
      <c r="O29" s="110" t="s">
        <v>150</v>
      </c>
    </row>
    <row r="30" spans="1:15">
      <c r="A30" s="111" t="s">
        <v>151</v>
      </c>
      <c r="B30" s="110" t="s">
        <v>152</v>
      </c>
      <c r="C30" s="139">
        <f>+Hoja1!D31</f>
        <v>1486.58</v>
      </c>
      <c r="D30" s="139">
        <v>0</v>
      </c>
      <c r="E30" s="139">
        <f t="shared" si="0"/>
        <v>1486.58</v>
      </c>
      <c r="F30" s="139">
        <f>+Hoja1!AH31</f>
        <v>0</v>
      </c>
      <c r="G30" s="139">
        <f t="shared" si="1"/>
        <v>148.65799999999999</v>
      </c>
      <c r="H30" s="139">
        <v>0</v>
      </c>
      <c r="I30" s="139">
        <v>0</v>
      </c>
      <c r="J30" s="139">
        <f t="shared" si="2"/>
        <v>148.65799999999999</v>
      </c>
      <c r="K30" s="139">
        <f t="shared" si="3"/>
        <v>1337.922</v>
      </c>
      <c r="M30" t="str">
        <f t="shared" si="4"/>
        <v>SI</v>
      </c>
      <c r="N30" s="111" t="s">
        <v>151</v>
      </c>
      <c r="O30" s="110" t="s">
        <v>152</v>
      </c>
    </row>
    <row r="31" spans="1:15">
      <c r="A31" s="111" t="s">
        <v>153</v>
      </c>
      <c r="B31" s="110" t="s">
        <v>154</v>
      </c>
      <c r="C31" s="139">
        <f>+Hoja1!D32</f>
        <v>0</v>
      </c>
      <c r="D31" s="139">
        <v>0</v>
      </c>
      <c r="E31" s="139">
        <f t="shared" si="0"/>
        <v>0</v>
      </c>
      <c r="F31" s="139">
        <f>+Hoja1!AH32</f>
        <v>0</v>
      </c>
      <c r="G31" s="139">
        <f t="shared" si="1"/>
        <v>0</v>
      </c>
      <c r="H31" s="139">
        <v>0</v>
      </c>
      <c r="I31" s="139">
        <v>0</v>
      </c>
      <c r="J31" s="139">
        <f t="shared" si="2"/>
        <v>0</v>
      </c>
      <c r="K31" s="139">
        <f t="shared" si="3"/>
        <v>0</v>
      </c>
      <c r="M31" t="str">
        <f t="shared" si="4"/>
        <v>SI</v>
      </c>
      <c r="N31" s="111" t="s">
        <v>153</v>
      </c>
      <c r="O31" s="110" t="s">
        <v>154</v>
      </c>
    </row>
    <row r="32" spans="1:15">
      <c r="A32" s="111" t="s">
        <v>155</v>
      </c>
      <c r="B32" s="110" t="s">
        <v>156</v>
      </c>
      <c r="C32" s="139">
        <f>+Hoja1!D33</f>
        <v>2886.17</v>
      </c>
      <c r="D32" s="139">
        <v>0</v>
      </c>
      <c r="E32" s="139">
        <f t="shared" si="0"/>
        <v>2886.17</v>
      </c>
      <c r="F32" s="139">
        <f>+Hoja1!AH33</f>
        <v>0</v>
      </c>
      <c r="G32" s="139">
        <f t="shared" si="1"/>
        <v>288.61700000000002</v>
      </c>
      <c r="H32" s="139">
        <v>0</v>
      </c>
      <c r="I32" s="139">
        <v>0</v>
      </c>
      <c r="J32" s="139">
        <f t="shared" si="2"/>
        <v>288.61700000000002</v>
      </c>
      <c r="K32" s="139">
        <f t="shared" si="3"/>
        <v>2597.5529999999999</v>
      </c>
      <c r="M32" t="str">
        <f t="shared" si="4"/>
        <v>SI</v>
      </c>
      <c r="N32" s="111" t="s">
        <v>155</v>
      </c>
      <c r="O32" s="110" t="s">
        <v>156</v>
      </c>
    </row>
    <row r="33" spans="1:15">
      <c r="A33" s="111" t="s">
        <v>157</v>
      </c>
      <c r="B33" s="110" t="s">
        <v>158</v>
      </c>
      <c r="C33" s="139">
        <f>+Hoja1!D34</f>
        <v>2944.52</v>
      </c>
      <c r="D33" s="139">
        <v>0</v>
      </c>
      <c r="E33" s="139">
        <f t="shared" si="0"/>
        <v>2944.52</v>
      </c>
      <c r="F33" s="139">
        <f>+Hoja1!AH34</f>
        <v>0</v>
      </c>
      <c r="G33" s="139">
        <f t="shared" si="1"/>
        <v>294.452</v>
      </c>
      <c r="H33" s="139">
        <v>0</v>
      </c>
      <c r="I33" s="139">
        <v>0</v>
      </c>
      <c r="J33" s="139">
        <f t="shared" si="2"/>
        <v>294.452</v>
      </c>
      <c r="K33" s="139">
        <f t="shared" si="3"/>
        <v>2650.0680000000002</v>
      </c>
      <c r="M33" t="str">
        <f t="shared" si="4"/>
        <v>SI</v>
      </c>
      <c r="N33" s="111" t="s">
        <v>157</v>
      </c>
      <c r="O33" s="110" t="s">
        <v>158</v>
      </c>
    </row>
    <row r="34" spans="1:15">
      <c r="A34" s="111" t="s">
        <v>159</v>
      </c>
      <c r="B34" s="110" t="s">
        <v>160</v>
      </c>
      <c r="C34" s="139">
        <f>+Hoja1!D35</f>
        <v>0</v>
      </c>
      <c r="D34" s="139">
        <v>0</v>
      </c>
      <c r="E34" s="139">
        <f t="shared" si="0"/>
        <v>0</v>
      </c>
      <c r="F34" s="139">
        <f>+Hoja1!AH35</f>
        <v>0</v>
      </c>
      <c r="G34" s="139">
        <f t="shared" si="1"/>
        <v>0</v>
      </c>
      <c r="H34" s="139">
        <v>0</v>
      </c>
      <c r="I34" s="139">
        <v>0</v>
      </c>
      <c r="J34" s="139">
        <f t="shared" si="2"/>
        <v>0</v>
      </c>
      <c r="K34" s="139">
        <f t="shared" si="3"/>
        <v>0</v>
      </c>
      <c r="M34" t="str">
        <f t="shared" si="4"/>
        <v>SI</v>
      </c>
      <c r="N34" s="111" t="s">
        <v>159</v>
      </c>
      <c r="O34" s="110" t="s">
        <v>160</v>
      </c>
    </row>
    <row r="35" spans="1:15">
      <c r="A35" s="111" t="s">
        <v>161</v>
      </c>
      <c r="B35" s="110" t="s">
        <v>162</v>
      </c>
      <c r="C35" s="139">
        <f>+Hoja1!D36</f>
        <v>0</v>
      </c>
      <c r="D35" s="139">
        <v>0</v>
      </c>
      <c r="E35" s="139">
        <f t="shared" si="0"/>
        <v>0</v>
      </c>
      <c r="F35" s="139">
        <f>+Hoja1!AH36</f>
        <v>0</v>
      </c>
      <c r="G35" s="139">
        <f t="shared" si="1"/>
        <v>0</v>
      </c>
      <c r="H35" s="139">
        <v>0</v>
      </c>
      <c r="I35" s="139">
        <v>0</v>
      </c>
      <c r="J35" s="139">
        <f t="shared" si="2"/>
        <v>0</v>
      </c>
      <c r="K35" s="139">
        <f t="shared" si="3"/>
        <v>0</v>
      </c>
      <c r="M35" t="str">
        <f t="shared" si="4"/>
        <v>SI</v>
      </c>
      <c r="N35" s="111" t="s">
        <v>161</v>
      </c>
      <c r="O35" s="110" t="s">
        <v>162</v>
      </c>
    </row>
    <row r="36" spans="1:15">
      <c r="A36" s="111" t="s">
        <v>163</v>
      </c>
      <c r="B36" s="110" t="s">
        <v>164</v>
      </c>
      <c r="C36" s="139">
        <f>+Hoja1!D37</f>
        <v>219.59</v>
      </c>
      <c r="D36" s="139">
        <v>0</v>
      </c>
      <c r="E36" s="139">
        <f t="shared" si="0"/>
        <v>219.59</v>
      </c>
      <c r="F36" s="139">
        <f>+Hoja1!AH37</f>
        <v>0</v>
      </c>
      <c r="G36" s="139">
        <f t="shared" si="1"/>
        <v>21.959000000000003</v>
      </c>
      <c r="H36" s="139">
        <v>0</v>
      </c>
      <c r="I36" s="139">
        <v>0</v>
      </c>
      <c r="J36" s="139">
        <f t="shared" si="2"/>
        <v>21.959000000000003</v>
      </c>
      <c r="K36" s="139">
        <f t="shared" si="3"/>
        <v>197.631</v>
      </c>
      <c r="M36" t="str">
        <f t="shared" si="4"/>
        <v>SI</v>
      </c>
      <c r="N36" s="111" t="s">
        <v>163</v>
      </c>
      <c r="O36" s="110" t="s">
        <v>164</v>
      </c>
    </row>
    <row r="37" spans="1:15">
      <c r="A37" s="111" t="s">
        <v>165</v>
      </c>
      <c r="B37" s="110" t="s">
        <v>166</v>
      </c>
      <c r="C37" s="139">
        <f>+Hoja1!D38</f>
        <v>5586.52</v>
      </c>
      <c r="D37" s="139">
        <v>0</v>
      </c>
      <c r="E37" s="139">
        <f t="shared" si="0"/>
        <v>5586.52</v>
      </c>
      <c r="F37" s="139">
        <f>+Hoja1!AH38</f>
        <v>0</v>
      </c>
      <c r="G37" s="139">
        <f t="shared" si="1"/>
        <v>558.65200000000004</v>
      </c>
      <c r="H37" s="139">
        <v>0</v>
      </c>
      <c r="I37" s="139">
        <v>0</v>
      </c>
      <c r="J37" s="139">
        <f t="shared" si="2"/>
        <v>558.65200000000004</v>
      </c>
      <c r="K37" s="139">
        <f t="shared" si="3"/>
        <v>5027.8680000000004</v>
      </c>
      <c r="M37" t="str">
        <f t="shared" si="4"/>
        <v>SI</v>
      </c>
      <c r="N37" s="111" t="s">
        <v>165</v>
      </c>
      <c r="O37" s="110" t="s">
        <v>166</v>
      </c>
    </row>
    <row r="38" spans="1:15">
      <c r="A38" s="111" t="s">
        <v>167</v>
      </c>
      <c r="B38" s="110" t="s">
        <v>168</v>
      </c>
      <c r="C38" s="139">
        <f>+Hoja1!D39</f>
        <v>0</v>
      </c>
      <c r="D38" s="139">
        <v>0</v>
      </c>
      <c r="E38" s="139">
        <f t="shared" si="0"/>
        <v>0</v>
      </c>
      <c r="F38" s="139">
        <f>+Hoja1!AH39</f>
        <v>0</v>
      </c>
      <c r="G38" s="139">
        <f t="shared" si="1"/>
        <v>0</v>
      </c>
      <c r="H38" s="139">
        <v>0</v>
      </c>
      <c r="I38" s="139">
        <v>0</v>
      </c>
      <c r="J38" s="139">
        <f t="shared" si="2"/>
        <v>0</v>
      </c>
      <c r="K38" s="139">
        <f t="shared" si="3"/>
        <v>0</v>
      </c>
      <c r="M38" t="str">
        <f t="shared" si="4"/>
        <v>SI</v>
      </c>
      <c r="N38" s="111" t="s">
        <v>167</v>
      </c>
      <c r="O38" s="110" t="s">
        <v>168</v>
      </c>
    </row>
    <row r="39" spans="1:15">
      <c r="A39" s="111" t="s">
        <v>169</v>
      </c>
      <c r="B39" s="110" t="s">
        <v>170</v>
      </c>
      <c r="C39" s="139">
        <f>+Hoja1!D40</f>
        <v>2447.4699999999998</v>
      </c>
      <c r="D39" s="139">
        <v>0</v>
      </c>
      <c r="E39" s="139">
        <f t="shared" si="0"/>
        <v>2447.4699999999998</v>
      </c>
      <c r="F39" s="139">
        <f>+Hoja1!AH40</f>
        <v>0</v>
      </c>
      <c r="G39" s="139">
        <f t="shared" si="1"/>
        <v>244.74699999999999</v>
      </c>
      <c r="H39" s="139">
        <v>0</v>
      </c>
      <c r="I39" s="139">
        <v>0</v>
      </c>
      <c r="J39" s="139">
        <f t="shared" si="2"/>
        <v>244.74699999999999</v>
      </c>
      <c r="K39" s="139">
        <f t="shared" si="3"/>
        <v>2202.723</v>
      </c>
      <c r="M39" t="str">
        <f t="shared" si="4"/>
        <v>SI</v>
      </c>
      <c r="N39" s="111" t="s">
        <v>169</v>
      </c>
      <c r="O39" s="110" t="s">
        <v>170</v>
      </c>
    </row>
    <row r="40" spans="1:15">
      <c r="A40" s="111" t="s">
        <v>171</v>
      </c>
      <c r="B40" s="110" t="s">
        <v>172</v>
      </c>
      <c r="C40" s="139">
        <f>+Hoja1!D41</f>
        <v>0</v>
      </c>
      <c r="D40" s="139">
        <v>0</v>
      </c>
      <c r="E40" s="139">
        <f t="shared" si="0"/>
        <v>0</v>
      </c>
      <c r="F40" s="139">
        <f>+Hoja1!AH41</f>
        <v>0</v>
      </c>
      <c r="G40" s="139">
        <f t="shared" si="1"/>
        <v>0</v>
      </c>
      <c r="H40" s="139">
        <v>0</v>
      </c>
      <c r="I40" s="139">
        <v>0</v>
      </c>
      <c r="J40" s="139">
        <f t="shared" si="2"/>
        <v>0</v>
      </c>
      <c r="K40" s="139">
        <f t="shared" si="3"/>
        <v>0</v>
      </c>
      <c r="M40" t="str">
        <f t="shared" si="4"/>
        <v>SI</v>
      </c>
      <c r="N40" s="111" t="s">
        <v>171</v>
      </c>
      <c r="O40" s="110" t="s">
        <v>172</v>
      </c>
    </row>
    <row r="41" spans="1:15">
      <c r="A41" s="111" t="s">
        <v>173</v>
      </c>
      <c r="B41" s="110" t="s">
        <v>174</v>
      </c>
      <c r="C41" s="139">
        <f>+Hoja1!D42</f>
        <v>0</v>
      </c>
      <c r="D41" s="139">
        <v>0</v>
      </c>
      <c r="E41" s="139">
        <f t="shared" si="0"/>
        <v>0</v>
      </c>
      <c r="F41" s="139">
        <f>+Hoja1!AH42</f>
        <v>0</v>
      </c>
      <c r="G41" s="139">
        <f t="shared" si="1"/>
        <v>0</v>
      </c>
      <c r="H41" s="139">
        <v>0</v>
      </c>
      <c r="I41" s="139">
        <v>0</v>
      </c>
      <c r="J41" s="139">
        <f t="shared" si="2"/>
        <v>0</v>
      </c>
      <c r="K41" s="139">
        <f t="shared" si="3"/>
        <v>0</v>
      </c>
      <c r="M41" t="str">
        <f t="shared" si="4"/>
        <v>SI</v>
      </c>
      <c r="N41" s="111" t="s">
        <v>173</v>
      </c>
      <c r="O41" s="110" t="s">
        <v>174</v>
      </c>
    </row>
    <row r="42" spans="1:15">
      <c r="A42" s="111" t="s">
        <v>175</v>
      </c>
      <c r="B42" s="110" t="s">
        <v>176</v>
      </c>
      <c r="C42" s="139">
        <f>+Hoja1!D43</f>
        <v>10459.370000000001</v>
      </c>
      <c r="D42" s="139">
        <v>0</v>
      </c>
      <c r="E42" s="139">
        <f>SUM(C42:D42)</f>
        <v>10459.370000000001</v>
      </c>
      <c r="F42" s="139">
        <f>+Hoja1!AH43</f>
        <v>0</v>
      </c>
      <c r="G42" s="139">
        <f>+E42*0.1</f>
        <v>1045.9370000000001</v>
      </c>
      <c r="H42" s="139">
        <v>0</v>
      </c>
      <c r="I42" s="139">
        <v>0</v>
      </c>
      <c r="J42" s="139">
        <f>SUM(F42:I42)</f>
        <v>1045.9370000000001</v>
      </c>
      <c r="K42" s="139">
        <f>+E42-J42</f>
        <v>9413.4330000000009</v>
      </c>
      <c r="M42" t="str">
        <f t="shared" si="4"/>
        <v>SI</v>
      </c>
      <c r="N42" s="111" t="s">
        <v>175</v>
      </c>
      <c r="O42" s="110" t="s">
        <v>176</v>
      </c>
    </row>
    <row r="43" spans="1:15">
      <c r="A43" s="168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5">
      <c r="A44" s="176"/>
      <c r="B44" s="141"/>
      <c r="C44" s="141" t="s">
        <v>208</v>
      </c>
      <c r="D44" s="141" t="s">
        <v>208</v>
      </c>
      <c r="E44" s="141" t="s">
        <v>208</v>
      </c>
      <c r="F44" s="141" t="s">
        <v>208</v>
      </c>
      <c r="G44" s="141" t="s">
        <v>208</v>
      </c>
      <c r="H44" s="141" t="s">
        <v>208</v>
      </c>
      <c r="I44" s="141" t="s">
        <v>208</v>
      </c>
      <c r="J44" s="141" t="s">
        <v>208</v>
      </c>
      <c r="K44" s="141" t="s">
        <v>208</v>
      </c>
    </row>
    <row r="45" spans="1:15">
      <c r="A45" s="177" t="s">
        <v>209</v>
      </c>
      <c r="B45" s="133" t="s">
        <v>184</v>
      </c>
      <c r="C45" s="140">
        <f>SUM(C13:C44)</f>
        <v>63842.400000000001</v>
      </c>
      <c r="D45" s="140">
        <f t="shared" ref="D45:K45" si="5">SUM(D13:D44)</f>
        <v>0</v>
      </c>
      <c r="E45" s="140">
        <f t="shared" si="5"/>
        <v>63842.400000000001</v>
      </c>
      <c r="F45" s="140">
        <f t="shared" si="5"/>
        <v>0</v>
      </c>
      <c r="G45" s="140">
        <f t="shared" si="5"/>
        <v>6384.2400000000007</v>
      </c>
      <c r="H45" s="140">
        <f t="shared" si="5"/>
        <v>0</v>
      </c>
      <c r="I45" s="140">
        <f t="shared" si="5"/>
        <v>0</v>
      </c>
      <c r="J45" s="140">
        <f t="shared" si="5"/>
        <v>6384.2400000000007</v>
      </c>
      <c r="K45" s="140">
        <f t="shared" si="5"/>
        <v>57458.16</v>
      </c>
    </row>
    <row r="46" spans="1:15">
      <c r="A46" s="168"/>
      <c r="B46" s="133"/>
      <c r="C46" s="133">
        <v>0</v>
      </c>
      <c r="D46" s="133"/>
      <c r="E46" s="133"/>
      <c r="F46" s="133"/>
      <c r="G46" s="133"/>
      <c r="H46" s="133"/>
      <c r="I46" s="133"/>
      <c r="J46" s="133"/>
      <c r="K46" s="133"/>
    </row>
    <row r="47" spans="1:15">
      <c r="K47" s="178"/>
    </row>
  </sheetData>
  <mergeCells count="3">
    <mergeCell ref="B1:D1"/>
    <mergeCell ref="B3:D3"/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99"/>
  <sheetViews>
    <sheetView zoomScale="90" zoomScaleNormal="90" workbookViewId="0">
      <pane xSplit="2" ySplit="6" topLeftCell="AB7" activePane="bottomRight" state="frozen"/>
      <selection pane="topRight" activeCell="C1" sqref="C1"/>
      <selection pane="bottomLeft" activeCell="A7" sqref="A7"/>
      <selection pane="bottomRight" sqref="A1:AI65536"/>
    </sheetView>
  </sheetViews>
  <sheetFormatPr baseColWidth="10" defaultColWidth="11.5703125" defaultRowHeight="15"/>
  <cols>
    <col min="1" max="1" width="28.7109375" style="30" customWidth="1"/>
    <col min="2" max="2" width="43.85546875" style="30" customWidth="1"/>
    <col min="3" max="3" width="8.85546875" style="30" customWidth="1"/>
    <col min="4" max="4" width="21.140625" style="30" bestFit="1" customWidth="1"/>
    <col min="5" max="5" width="28.5703125" style="30" bestFit="1" customWidth="1"/>
    <col min="6" max="7" width="18.42578125" style="4" customWidth="1"/>
    <col min="8" max="9" width="13.5703125" style="4" customWidth="1"/>
    <col min="10" max="10" width="17" style="16" customWidth="1"/>
    <col min="11" max="16" width="13.5703125" style="4" customWidth="1"/>
    <col min="17" max="17" width="16.7109375" style="16" customWidth="1"/>
    <col min="18" max="18" width="16.7109375" style="4" customWidth="1"/>
    <col min="19" max="19" width="15.42578125" style="16" customWidth="1"/>
    <col min="20" max="21" width="13.5703125" style="4" hidden="1" customWidth="1"/>
    <col min="22" max="22" width="15.42578125" style="16" hidden="1" customWidth="1"/>
    <col min="23" max="23" width="23.140625" style="30" hidden="1" customWidth="1"/>
    <col min="24" max="24" width="17.85546875" style="30" hidden="1" customWidth="1"/>
    <col min="25" max="25" width="22.5703125" style="30" hidden="1" customWidth="1"/>
    <col min="26" max="26" width="50.85546875" style="30" bestFit="1" customWidth="1"/>
    <col min="27" max="27" width="28.42578125" style="30" customWidth="1"/>
    <col min="28" max="29" width="11.5703125" style="30"/>
    <col min="30" max="30" width="29" style="30" bestFit="1" customWidth="1"/>
    <col min="31" max="16384" width="11.5703125" style="30"/>
  </cols>
  <sheetData>
    <row r="1" spans="1:42" s="9" customFormat="1">
      <c r="A1" s="5" t="s">
        <v>4</v>
      </c>
      <c r="B1" s="5"/>
      <c r="C1" s="5"/>
      <c r="D1" s="5"/>
      <c r="E1" s="6"/>
      <c r="F1" s="7"/>
      <c r="G1" s="7"/>
      <c r="H1" s="7"/>
      <c r="I1" s="7"/>
      <c r="J1" s="8"/>
      <c r="K1" s="7"/>
      <c r="L1" s="7"/>
      <c r="M1" s="7"/>
      <c r="N1" s="7"/>
      <c r="O1" s="7"/>
      <c r="P1" s="7"/>
      <c r="Q1" s="8"/>
      <c r="R1" s="7"/>
      <c r="S1" s="8"/>
      <c r="T1" s="7"/>
      <c r="U1" s="7"/>
      <c r="V1" s="8"/>
      <c r="Z1" s="10"/>
    </row>
    <row r="2" spans="1:42" s="9" customFormat="1">
      <c r="A2" s="11" t="s">
        <v>31</v>
      </c>
      <c r="B2" s="11"/>
      <c r="C2" s="11"/>
      <c r="D2" s="11"/>
      <c r="E2" s="12"/>
      <c r="F2" s="7"/>
      <c r="G2" s="7"/>
      <c r="H2" s="7"/>
      <c r="I2" s="7"/>
      <c r="J2" s="8"/>
      <c r="K2" s="7" t="s">
        <v>29</v>
      </c>
      <c r="L2" s="7"/>
      <c r="M2" s="7"/>
      <c r="N2" s="7"/>
      <c r="O2" s="7"/>
      <c r="P2" s="7"/>
      <c r="Q2" s="8"/>
      <c r="R2" s="7"/>
      <c r="S2" s="8"/>
      <c r="T2" s="7"/>
      <c r="U2" s="7"/>
      <c r="V2" s="8"/>
      <c r="Z2" s="10"/>
    </row>
    <row r="3" spans="1:42" s="9" customFormat="1">
      <c r="A3" s="13" t="s">
        <v>112</v>
      </c>
      <c r="B3" s="13"/>
      <c r="C3" s="13"/>
      <c r="D3" s="13"/>
      <c r="E3" s="14"/>
      <c r="F3" s="7"/>
      <c r="G3" s="7"/>
      <c r="H3" s="7"/>
      <c r="I3" s="7"/>
      <c r="J3" s="8"/>
      <c r="K3" s="7"/>
      <c r="L3" s="7"/>
      <c r="M3" s="7"/>
      <c r="N3" s="7"/>
      <c r="O3" s="7"/>
      <c r="P3" s="7"/>
      <c r="Q3" s="8"/>
      <c r="R3" s="7"/>
      <c r="S3" s="8"/>
      <c r="T3" s="7"/>
      <c r="U3" s="7"/>
      <c r="V3" s="8"/>
      <c r="Z3" s="10"/>
    </row>
    <row r="4" spans="1:42" s="15" customFormat="1">
      <c r="A4" s="15" t="s">
        <v>113</v>
      </c>
      <c r="F4" s="4"/>
      <c r="G4" s="4"/>
      <c r="H4" s="4"/>
      <c r="I4" s="4"/>
      <c r="J4" s="16"/>
      <c r="K4" s="4"/>
      <c r="L4" s="4"/>
      <c r="M4" s="4"/>
      <c r="N4" s="4"/>
      <c r="O4" s="4"/>
      <c r="P4" s="4"/>
      <c r="Q4" s="16"/>
      <c r="R4" s="4"/>
      <c r="S4" s="16"/>
      <c r="T4" s="4"/>
      <c r="U4" s="4"/>
      <c r="V4" s="16"/>
    </row>
    <row r="5" spans="1:42" s="15" customFormat="1" ht="15" customHeight="1">
      <c r="A5" s="196" t="s">
        <v>17</v>
      </c>
      <c r="B5" s="196" t="s">
        <v>18</v>
      </c>
      <c r="C5" s="196" t="s">
        <v>19</v>
      </c>
      <c r="D5" s="77"/>
      <c r="E5" s="196" t="s">
        <v>0</v>
      </c>
      <c r="F5" s="17"/>
      <c r="G5" s="191" t="s">
        <v>13</v>
      </c>
      <c r="H5" s="191" t="s">
        <v>14</v>
      </c>
      <c r="I5" s="191" t="s">
        <v>95</v>
      </c>
      <c r="J5" s="191" t="s">
        <v>15</v>
      </c>
      <c r="K5" s="191" t="s">
        <v>16</v>
      </c>
      <c r="L5" s="88"/>
      <c r="M5" s="191" t="s">
        <v>9</v>
      </c>
      <c r="N5" s="191" t="s">
        <v>21</v>
      </c>
      <c r="O5" s="191" t="s">
        <v>20</v>
      </c>
      <c r="P5" s="191" t="s">
        <v>11</v>
      </c>
      <c r="Q5" s="191" t="s">
        <v>28</v>
      </c>
      <c r="R5" s="191" t="s">
        <v>6</v>
      </c>
      <c r="S5" s="191" t="s">
        <v>10</v>
      </c>
      <c r="T5" s="191" t="s">
        <v>5</v>
      </c>
      <c r="U5" s="191" t="s">
        <v>7</v>
      </c>
      <c r="V5" s="191" t="s">
        <v>8</v>
      </c>
      <c r="W5" s="186" t="s">
        <v>103</v>
      </c>
      <c r="X5" s="187"/>
      <c r="Y5" s="18"/>
      <c r="Z5" s="188" t="s">
        <v>42</v>
      </c>
      <c r="AA5" s="189" t="s">
        <v>71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s="15" customFormat="1">
      <c r="A6" s="197"/>
      <c r="B6" s="197"/>
      <c r="C6" s="197"/>
      <c r="D6" s="78" t="s">
        <v>102</v>
      </c>
      <c r="E6" s="197"/>
      <c r="F6" s="43" t="s">
        <v>94</v>
      </c>
      <c r="G6" s="192"/>
      <c r="H6" s="192"/>
      <c r="I6" s="192"/>
      <c r="J6" s="192"/>
      <c r="K6" s="192"/>
      <c r="L6" s="89" t="s">
        <v>106</v>
      </c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44" t="s">
        <v>30</v>
      </c>
      <c r="X6" s="44" t="s">
        <v>32</v>
      </c>
      <c r="Y6" s="20" t="s">
        <v>91</v>
      </c>
      <c r="Z6" s="188"/>
      <c r="AA6" s="18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s="28" customFormat="1">
      <c r="A7" s="55" t="s">
        <v>36</v>
      </c>
      <c r="B7" s="64" t="s">
        <v>48</v>
      </c>
      <c r="C7" s="56" t="s">
        <v>54</v>
      </c>
      <c r="D7" s="79">
        <v>41575</v>
      </c>
      <c r="E7" s="55" t="s">
        <v>40</v>
      </c>
      <c r="F7" s="90"/>
      <c r="G7" s="58"/>
      <c r="H7" s="58"/>
      <c r="I7" s="59">
        <v>45.13</v>
      </c>
      <c r="J7" s="60">
        <f t="shared" ref="J7:J20" si="0">SUM(F7:H7)-I7</f>
        <v>-45.13</v>
      </c>
      <c r="K7" s="94"/>
      <c r="L7" s="94"/>
      <c r="M7" s="61"/>
      <c r="N7" s="61"/>
      <c r="O7" s="57"/>
      <c r="P7" s="57">
        <v>0</v>
      </c>
      <c r="Q7" s="60">
        <f t="shared" ref="Q7:Q24" si="1">+J7-SUM(K7:P7)</f>
        <v>-45.13</v>
      </c>
      <c r="R7" s="62">
        <f>IF(J7&gt;2250,J7*0.1,0)</f>
        <v>0</v>
      </c>
      <c r="S7" s="60">
        <f t="shared" ref="S7:S24" si="2">+Q7-R7</f>
        <v>-45.13</v>
      </c>
      <c r="T7" s="63">
        <f>IF(J7&lt;2250,J7*0.1,0)</f>
        <v>-4.5130000000000008</v>
      </c>
      <c r="U7" s="62" t="e">
        <f>#REF!*0.02</f>
        <v>#REF!</v>
      </c>
      <c r="V7" s="60" t="e">
        <f t="shared" ref="V7:V24" si="3">+J7+T7+U7</f>
        <v>#REF!</v>
      </c>
      <c r="W7" s="81"/>
      <c r="X7" s="75"/>
      <c r="Y7" s="80">
        <f>+W7+X7-S7</f>
        <v>45.13</v>
      </c>
      <c r="Z7" s="74" t="s">
        <v>105</v>
      </c>
      <c r="AA7" s="64" t="s">
        <v>72</v>
      </c>
      <c r="AB7" s="28" t="str">
        <f>IF(B7=AD7,"si","no")</f>
        <v>si</v>
      </c>
      <c r="AC7" s="108" t="s">
        <v>117</v>
      </c>
      <c r="AD7" s="107" t="s">
        <v>118</v>
      </c>
      <c r="AE7" s="59">
        <v>45.13</v>
      </c>
      <c r="AF7" s="57">
        <v>0</v>
      </c>
    </row>
    <row r="8" spans="1:42" s="28" customFormat="1">
      <c r="A8" s="55" t="s">
        <v>36</v>
      </c>
      <c r="B8" s="64" t="s">
        <v>97</v>
      </c>
      <c r="C8" s="56" t="s">
        <v>55</v>
      </c>
      <c r="D8" s="79">
        <v>42310</v>
      </c>
      <c r="E8" s="55" t="s">
        <v>40</v>
      </c>
      <c r="F8" s="82">
        <v>647.94000000000005</v>
      </c>
      <c r="G8" s="57"/>
      <c r="H8" s="57"/>
      <c r="I8" s="59">
        <v>45.13</v>
      </c>
      <c r="J8" s="60">
        <f t="shared" si="0"/>
        <v>602.81000000000006</v>
      </c>
      <c r="K8" s="94"/>
      <c r="L8" s="94"/>
      <c r="M8" s="61"/>
      <c r="N8" s="61"/>
      <c r="O8" s="57"/>
      <c r="P8" s="57">
        <v>0</v>
      </c>
      <c r="Q8" s="60">
        <f t="shared" si="1"/>
        <v>602.81000000000006</v>
      </c>
      <c r="R8" s="62">
        <f t="shared" ref="R8:R36" si="4">IF(J8&gt;2250,J8*0.1,0)</f>
        <v>0</v>
      </c>
      <c r="S8" s="60">
        <f t="shared" si="2"/>
        <v>602.81000000000006</v>
      </c>
      <c r="T8" s="63">
        <f t="shared" ref="T8:T36" si="5">IF(J8&lt;2250,J8*0.1,0)</f>
        <v>60.281000000000006</v>
      </c>
      <c r="U8" s="62" t="e">
        <f>#REF!*0.02</f>
        <v>#REF!</v>
      </c>
      <c r="V8" s="60" t="e">
        <f t="shared" si="3"/>
        <v>#REF!</v>
      </c>
      <c r="W8" s="81"/>
      <c r="X8" s="75"/>
      <c r="Y8" s="80">
        <f t="shared" ref="Y8:Y48" si="6">+W8+X8-S8</f>
        <v>-602.81000000000006</v>
      </c>
      <c r="Z8" s="64"/>
      <c r="AA8" s="64" t="s">
        <v>73</v>
      </c>
      <c r="AB8" s="28" t="str">
        <f t="shared" ref="AB8:AB36" si="7">IF(B8=AD8,"si","no")</f>
        <v>si</v>
      </c>
      <c r="AC8" s="108" t="s">
        <v>119</v>
      </c>
      <c r="AD8" s="107" t="s">
        <v>120</v>
      </c>
      <c r="AE8" s="59">
        <v>45.13</v>
      </c>
      <c r="AF8" s="57">
        <v>0</v>
      </c>
    </row>
    <row r="9" spans="1:42" s="28" customFormat="1">
      <c r="A9" s="55" t="s">
        <v>36</v>
      </c>
      <c r="B9" s="64" t="s">
        <v>47</v>
      </c>
      <c r="C9" s="56" t="s">
        <v>53</v>
      </c>
      <c r="D9" s="79">
        <v>42215</v>
      </c>
      <c r="E9" s="55" t="s">
        <v>40</v>
      </c>
      <c r="F9" s="90">
        <v>3000</v>
      </c>
      <c r="G9" s="57"/>
      <c r="H9" s="57"/>
      <c r="I9" s="59">
        <v>45.13</v>
      </c>
      <c r="J9" s="60">
        <f t="shared" si="0"/>
        <v>2954.87</v>
      </c>
      <c r="K9" s="94"/>
      <c r="L9" s="94"/>
      <c r="M9" s="61"/>
      <c r="N9" s="61"/>
      <c r="O9" s="57"/>
      <c r="P9" s="57">
        <v>500</v>
      </c>
      <c r="Q9" s="60">
        <f t="shared" si="1"/>
        <v>2454.87</v>
      </c>
      <c r="R9" s="62">
        <f t="shared" si="4"/>
        <v>295.48700000000002</v>
      </c>
      <c r="S9" s="60">
        <f t="shared" si="2"/>
        <v>2159.3829999999998</v>
      </c>
      <c r="T9" s="63">
        <f t="shared" si="5"/>
        <v>0</v>
      </c>
      <c r="U9" s="62" t="e">
        <f>#REF!*0.02</f>
        <v>#REF!</v>
      </c>
      <c r="V9" s="60" t="e">
        <f t="shared" si="3"/>
        <v>#REF!</v>
      </c>
      <c r="W9" s="81"/>
      <c r="X9" s="75"/>
      <c r="Y9" s="80">
        <f t="shared" si="6"/>
        <v>-2159.3829999999998</v>
      </c>
      <c r="Z9" s="64"/>
      <c r="AA9" s="64" t="s">
        <v>74</v>
      </c>
      <c r="AB9" s="28" t="str">
        <f t="shared" si="7"/>
        <v>si</v>
      </c>
      <c r="AC9" s="108" t="s">
        <v>121</v>
      </c>
      <c r="AD9" s="107" t="s">
        <v>122</v>
      </c>
      <c r="AE9" s="59">
        <v>45.13</v>
      </c>
      <c r="AF9" s="57">
        <v>500</v>
      </c>
    </row>
    <row r="10" spans="1:42" s="28" customFormat="1">
      <c r="A10" s="55" t="s">
        <v>33</v>
      </c>
      <c r="B10" s="64" t="s">
        <v>177</v>
      </c>
      <c r="C10" s="56" t="s">
        <v>56</v>
      </c>
      <c r="D10" s="79">
        <v>40147</v>
      </c>
      <c r="E10" s="55" t="s">
        <v>38</v>
      </c>
      <c r="F10" s="82"/>
      <c r="G10" s="58"/>
      <c r="H10" s="58"/>
      <c r="I10" s="59">
        <v>45.13</v>
      </c>
      <c r="J10" s="60">
        <f t="shared" si="0"/>
        <v>-45.13</v>
      </c>
      <c r="K10" s="94"/>
      <c r="L10" s="94"/>
      <c r="M10" s="61"/>
      <c r="N10" s="61"/>
      <c r="O10" s="57"/>
      <c r="P10" s="57">
        <v>0</v>
      </c>
      <c r="Q10" s="60">
        <f t="shared" si="1"/>
        <v>-45.13</v>
      </c>
      <c r="R10" s="62">
        <f t="shared" si="4"/>
        <v>0</v>
      </c>
      <c r="S10" s="60">
        <f t="shared" si="2"/>
        <v>-45.13</v>
      </c>
      <c r="T10" s="63">
        <f t="shared" si="5"/>
        <v>-4.5130000000000008</v>
      </c>
      <c r="U10" s="62" t="e">
        <f>#REF!*0.02</f>
        <v>#REF!</v>
      </c>
      <c r="V10" s="60" t="e">
        <f t="shared" si="3"/>
        <v>#REF!</v>
      </c>
      <c r="W10" s="81"/>
      <c r="X10" s="75"/>
      <c r="Y10" s="80">
        <f t="shared" si="6"/>
        <v>45.13</v>
      </c>
      <c r="Z10" s="64"/>
      <c r="AA10" s="64" t="s">
        <v>75</v>
      </c>
      <c r="AB10" s="28" t="str">
        <f t="shared" si="7"/>
        <v>si</v>
      </c>
      <c r="AC10" s="108" t="s">
        <v>123</v>
      </c>
      <c r="AD10" s="107" t="s">
        <v>124</v>
      </c>
      <c r="AE10" s="59">
        <v>45.13</v>
      </c>
      <c r="AF10" s="57">
        <v>0</v>
      </c>
    </row>
    <row r="11" spans="1:42" s="87" customFormat="1">
      <c r="A11" s="55" t="s">
        <v>35</v>
      </c>
      <c r="B11" s="64" t="s">
        <v>104</v>
      </c>
      <c r="C11" s="56"/>
      <c r="D11" s="79">
        <v>42548</v>
      </c>
      <c r="E11" s="55" t="s">
        <v>40</v>
      </c>
      <c r="F11" s="82">
        <f>3859.9+1000</f>
        <v>4859.8999999999996</v>
      </c>
      <c r="G11" s="58"/>
      <c r="H11" s="58"/>
      <c r="I11" s="59">
        <v>45.13</v>
      </c>
      <c r="J11" s="60">
        <f t="shared" si="0"/>
        <v>4814.7699999999995</v>
      </c>
      <c r="K11" s="94"/>
      <c r="L11" s="94"/>
      <c r="M11" s="61"/>
      <c r="N11" s="61"/>
      <c r="O11" s="57"/>
      <c r="P11" s="57">
        <v>533.29</v>
      </c>
      <c r="Q11" s="60">
        <f t="shared" si="1"/>
        <v>4281.4799999999996</v>
      </c>
      <c r="R11" s="62">
        <f t="shared" si="4"/>
        <v>481.47699999999998</v>
      </c>
      <c r="S11" s="60">
        <f>+Q11-R11</f>
        <v>3800.0029999999997</v>
      </c>
      <c r="T11" s="63">
        <f>IF(J11&lt;2250,J11*0.1,0)</f>
        <v>0</v>
      </c>
      <c r="U11" s="62" t="e">
        <f>#REF!*0.02</f>
        <v>#REF!</v>
      </c>
      <c r="V11" s="60" t="e">
        <f>+J11+T11+U11</f>
        <v>#REF!</v>
      </c>
      <c r="W11" s="84"/>
      <c r="X11" s="85"/>
      <c r="Y11" s="86"/>
      <c r="Z11" s="64"/>
      <c r="AA11" s="66">
        <v>1167172540</v>
      </c>
      <c r="AB11" s="28" t="str">
        <f t="shared" si="7"/>
        <v>si</v>
      </c>
      <c r="AC11" s="108" t="s">
        <v>125</v>
      </c>
      <c r="AD11" s="107" t="s">
        <v>126</v>
      </c>
      <c r="AE11" s="59">
        <v>45.13</v>
      </c>
      <c r="AF11" s="57">
        <v>533.29</v>
      </c>
    </row>
    <row r="12" spans="1:42" s="28" customFormat="1">
      <c r="A12" s="55" t="s">
        <v>35</v>
      </c>
      <c r="B12" s="64" t="s">
        <v>44</v>
      </c>
      <c r="C12" s="56" t="s">
        <v>58</v>
      </c>
      <c r="D12" s="79">
        <v>41842</v>
      </c>
      <c r="E12" s="55" t="s">
        <v>40</v>
      </c>
      <c r="F12" s="93"/>
      <c r="G12" s="57"/>
      <c r="H12" s="57"/>
      <c r="I12" s="59">
        <v>45.13</v>
      </c>
      <c r="J12" s="60">
        <f t="shared" si="0"/>
        <v>-45.13</v>
      </c>
      <c r="K12" s="94"/>
      <c r="L12" s="94"/>
      <c r="M12" s="61"/>
      <c r="N12" s="61"/>
      <c r="O12" s="57"/>
      <c r="P12" s="57">
        <v>0</v>
      </c>
      <c r="Q12" s="60">
        <f t="shared" si="1"/>
        <v>-45.13</v>
      </c>
      <c r="R12" s="62">
        <f t="shared" si="4"/>
        <v>0</v>
      </c>
      <c r="S12" s="60">
        <f t="shared" si="2"/>
        <v>-45.13</v>
      </c>
      <c r="T12" s="63">
        <f t="shared" si="5"/>
        <v>-4.5130000000000008</v>
      </c>
      <c r="U12" s="62" t="e">
        <f>#REF!*0.02</f>
        <v>#REF!</v>
      </c>
      <c r="V12" s="60" t="e">
        <f t="shared" si="3"/>
        <v>#REF!</v>
      </c>
      <c r="W12" s="81"/>
      <c r="X12" s="81"/>
      <c r="Y12" s="80">
        <f t="shared" si="6"/>
        <v>45.13</v>
      </c>
      <c r="Z12" s="64"/>
      <c r="AA12" s="64" t="s">
        <v>76</v>
      </c>
      <c r="AB12" s="28" t="str">
        <f t="shared" si="7"/>
        <v>si</v>
      </c>
      <c r="AC12" s="108" t="s">
        <v>127</v>
      </c>
      <c r="AD12" s="107" t="s">
        <v>128</v>
      </c>
      <c r="AE12" s="59">
        <v>45.13</v>
      </c>
      <c r="AF12" s="57">
        <v>0</v>
      </c>
    </row>
    <row r="13" spans="1:42" s="28" customFormat="1">
      <c r="A13" s="55" t="s">
        <v>35</v>
      </c>
      <c r="B13" s="64" t="s">
        <v>92</v>
      </c>
      <c r="C13" s="68"/>
      <c r="D13" s="79">
        <v>42167</v>
      </c>
      <c r="E13" s="64" t="s">
        <v>40</v>
      </c>
      <c r="F13" s="83">
        <v>3553.59</v>
      </c>
      <c r="G13" s="57"/>
      <c r="H13" s="57"/>
      <c r="I13" s="59">
        <v>45.13</v>
      </c>
      <c r="J13" s="60">
        <f t="shared" si="0"/>
        <v>3508.46</v>
      </c>
      <c r="K13" s="94"/>
      <c r="L13" s="94"/>
      <c r="M13" s="61"/>
      <c r="N13" s="61"/>
      <c r="O13" s="57"/>
      <c r="P13" s="57">
        <v>0</v>
      </c>
      <c r="Q13" s="60">
        <f t="shared" si="1"/>
        <v>3508.46</v>
      </c>
      <c r="R13" s="62">
        <f t="shared" si="4"/>
        <v>350.846</v>
      </c>
      <c r="S13" s="60">
        <f t="shared" si="2"/>
        <v>3157.614</v>
      </c>
      <c r="T13" s="63">
        <f t="shared" si="5"/>
        <v>0</v>
      </c>
      <c r="U13" s="62" t="e">
        <f>#REF!*0.02</f>
        <v>#REF!</v>
      </c>
      <c r="V13" s="60" t="e">
        <f t="shared" si="3"/>
        <v>#REF!</v>
      </c>
      <c r="W13" s="81"/>
      <c r="X13" s="75"/>
      <c r="Y13" s="80">
        <f t="shared" si="6"/>
        <v>-3157.614</v>
      </c>
      <c r="Z13" s="64"/>
      <c r="AA13" s="66">
        <v>1449517286</v>
      </c>
      <c r="AB13" s="28" t="str">
        <f t="shared" si="7"/>
        <v>si</v>
      </c>
      <c r="AC13" s="108" t="s">
        <v>129</v>
      </c>
      <c r="AD13" s="107" t="s">
        <v>130</v>
      </c>
      <c r="AE13" s="59">
        <v>45.13</v>
      </c>
      <c r="AF13" s="57">
        <v>0</v>
      </c>
    </row>
    <row r="14" spans="1:42" s="28" customFormat="1">
      <c r="A14" s="55" t="s">
        <v>36</v>
      </c>
      <c r="B14" s="64" t="s">
        <v>46</v>
      </c>
      <c r="C14" s="68">
        <v>5</v>
      </c>
      <c r="D14" s="79">
        <v>40310</v>
      </c>
      <c r="E14" s="64" t="s">
        <v>41</v>
      </c>
      <c r="F14" s="91">
        <v>400.27</v>
      </c>
      <c r="G14" s="69"/>
      <c r="H14" s="58"/>
      <c r="I14" s="59">
        <v>45.13</v>
      </c>
      <c r="J14" s="60">
        <f t="shared" si="0"/>
        <v>355.14</v>
      </c>
      <c r="K14" s="94"/>
      <c r="L14" s="94"/>
      <c r="M14" s="61"/>
      <c r="N14" s="61"/>
      <c r="O14" s="57"/>
      <c r="P14" s="57">
        <v>0</v>
      </c>
      <c r="Q14" s="60">
        <f t="shared" si="1"/>
        <v>355.14</v>
      </c>
      <c r="R14" s="62">
        <f t="shared" si="4"/>
        <v>0</v>
      </c>
      <c r="S14" s="60">
        <f t="shared" si="2"/>
        <v>355.14</v>
      </c>
      <c r="T14" s="63">
        <f t="shared" si="5"/>
        <v>35.514000000000003</v>
      </c>
      <c r="U14" s="62" t="e">
        <f>#REF!*0.02</f>
        <v>#REF!</v>
      </c>
      <c r="V14" s="60" t="e">
        <f t="shared" si="3"/>
        <v>#REF!</v>
      </c>
      <c r="W14" s="81"/>
      <c r="X14" s="75"/>
      <c r="Y14" s="80">
        <f t="shared" si="6"/>
        <v>-355.14</v>
      </c>
      <c r="Z14" s="64"/>
      <c r="AA14" s="64" t="s">
        <v>77</v>
      </c>
      <c r="AB14" s="28" t="str">
        <f t="shared" si="7"/>
        <v>si</v>
      </c>
      <c r="AC14" s="108" t="s">
        <v>131</v>
      </c>
      <c r="AD14" s="107" t="s">
        <v>132</v>
      </c>
      <c r="AE14" s="59">
        <v>45.13</v>
      </c>
      <c r="AF14" s="57">
        <v>0</v>
      </c>
    </row>
    <row r="15" spans="1:42" s="28" customFormat="1">
      <c r="A15" s="55" t="s">
        <v>36</v>
      </c>
      <c r="B15" s="64" t="s">
        <v>49</v>
      </c>
      <c r="C15" s="56" t="s">
        <v>59</v>
      </c>
      <c r="D15" s="79">
        <v>41311</v>
      </c>
      <c r="E15" s="55" t="s">
        <v>40</v>
      </c>
      <c r="F15" s="1"/>
      <c r="G15" s="57"/>
      <c r="H15" s="57"/>
      <c r="I15" s="59">
        <v>45.13</v>
      </c>
      <c r="J15" s="60">
        <f t="shared" si="0"/>
        <v>-45.13</v>
      </c>
      <c r="K15" s="94"/>
      <c r="L15" s="94"/>
      <c r="M15" s="61"/>
      <c r="N15" s="61"/>
      <c r="O15" s="57"/>
      <c r="P15" s="57">
        <v>0</v>
      </c>
      <c r="Q15" s="60">
        <f t="shared" si="1"/>
        <v>-45.13</v>
      </c>
      <c r="R15" s="62">
        <f t="shared" si="4"/>
        <v>0</v>
      </c>
      <c r="S15" s="60">
        <f t="shared" si="2"/>
        <v>-45.13</v>
      </c>
      <c r="T15" s="63">
        <f t="shared" si="5"/>
        <v>-4.5130000000000008</v>
      </c>
      <c r="U15" s="62" t="e">
        <f>#REF!*0.02</f>
        <v>#REF!</v>
      </c>
      <c r="V15" s="60" t="e">
        <f t="shared" si="3"/>
        <v>#REF!</v>
      </c>
      <c r="W15" s="81"/>
      <c r="X15" s="75"/>
      <c r="Y15" s="80">
        <f t="shared" si="6"/>
        <v>45.13</v>
      </c>
      <c r="Z15" s="64"/>
      <c r="AA15" s="64" t="s">
        <v>78</v>
      </c>
      <c r="AB15" s="28" t="str">
        <f t="shared" si="7"/>
        <v>si</v>
      </c>
      <c r="AC15" s="108" t="s">
        <v>133</v>
      </c>
      <c r="AD15" s="107" t="s">
        <v>134</v>
      </c>
      <c r="AE15" s="59">
        <v>45.13</v>
      </c>
      <c r="AF15" s="57">
        <v>0</v>
      </c>
    </row>
    <row r="16" spans="1:42" s="28" customFormat="1">
      <c r="A16" s="55" t="s">
        <v>34</v>
      </c>
      <c r="B16" s="64" t="s">
        <v>45</v>
      </c>
      <c r="C16" s="56" t="s">
        <v>57</v>
      </c>
      <c r="D16" s="79">
        <v>40610</v>
      </c>
      <c r="E16" s="55" t="s">
        <v>39</v>
      </c>
      <c r="F16" s="83">
        <v>2218.69</v>
      </c>
      <c r="G16" s="57"/>
      <c r="H16" s="57"/>
      <c r="I16" s="59">
        <v>45.13</v>
      </c>
      <c r="J16" s="60">
        <f t="shared" si="0"/>
        <v>2173.56</v>
      </c>
      <c r="K16" s="94"/>
      <c r="L16" s="94"/>
      <c r="M16" s="61"/>
      <c r="N16" s="61"/>
      <c r="O16" s="57"/>
      <c r="P16" s="57">
        <v>490</v>
      </c>
      <c r="Q16" s="60">
        <f t="shared" si="1"/>
        <v>1683.56</v>
      </c>
      <c r="R16" s="62">
        <f t="shared" si="4"/>
        <v>0</v>
      </c>
      <c r="S16" s="60">
        <f t="shared" si="2"/>
        <v>1683.56</v>
      </c>
      <c r="T16" s="63">
        <f t="shared" si="5"/>
        <v>217.35599999999999</v>
      </c>
      <c r="U16" s="62" t="e">
        <f>#REF!*0.02</f>
        <v>#REF!</v>
      </c>
      <c r="V16" s="60" t="e">
        <f t="shared" si="3"/>
        <v>#REF!</v>
      </c>
      <c r="W16" s="81"/>
      <c r="X16" s="75"/>
      <c r="Y16" s="80">
        <f t="shared" si="6"/>
        <v>-1683.56</v>
      </c>
      <c r="Z16" s="64"/>
      <c r="AA16" s="64" t="s">
        <v>79</v>
      </c>
      <c r="AB16" s="28" t="str">
        <f t="shared" si="7"/>
        <v>si</v>
      </c>
      <c r="AC16" s="108" t="s">
        <v>135</v>
      </c>
      <c r="AD16" s="107" t="s">
        <v>136</v>
      </c>
      <c r="AE16" s="59">
        <v>45.13</v>
      </c>
      <c r="AF16" s="57">
        <v>490</v>
      </c>
    </row>
    <row r="17" spans="1:32" s="28" customFormat="1">
      <c r="A17" s="55" t="s">
        <v>36</v>
      </c>
      <c r="B17" s="64" t="s">
        <v>37</v>
      </c>
      <c r="C17" s="56" t="s">
        <v>62</v>
      </c>
      <c r="D17" s="79">
        <v>41842</v>
      </c>
      <c r="E17" s="55" t="s">
        <v>40</v>
      </c>
      <c r="F17" s="90">
        <v>11981.11</v>
      </c>
      <c r="G17" s="58"/>
      <c r="H17" s="58"/>
      <c r="I17" s="59">
        <v>45.13</v>
      </c>
      <c r="J17" s="60">
        <f t="shared" si="0"/>
        <v>11935.980000000001</v>
      </c>
      <c r="K17" s="94"/>
      <c r="L17" s="94"/>
      <c r="M17" s="61"/>
      <c r="N17" s="61"/>
      <c r="O17" s="57"/>
      <c r="P17" s="57">
        <v>0</v>
      </c>
      <c r="Q17" s="60">
        <f t="shared" si="1"/>
        <v>11935.980000000001</v>
      </c>
      <c r="R17" s="62">
        <f t="shared" si="4"/>
        <v>1193.5980000000002</v>
      </c>
      <c r="S17" s="60">
        <f t="shared" si="2"/>
        <v>10742.382000000001</v>
      </c>
      <c r="T17" s="63">
        <f t="shared" si="5"/>
        <v>0</v>
      </c>
      <c r="U17" s="62" t="e">
        <f>#REF!*0.02</f>
        <v>#REF!</v>
      </c>
      <c r="V17" s="60" t="e">
        <f t="shared" si="3"/>
        <v>#REF!</v>
      </c>
      <c r="W17" s="81"/>
      <c r="X17" s="75"/>
      <c r="Y17" s="80">
        <f t="shared" si="6"/>
        <v>-10742.382000000001</v>
      </c>
      <c r="Z17" s="64"/>
      <c r="AA17" s="64" t="s">
        <v>80</v>
      </c>
      <c r="AB17" s="28" t="str">
        <f t="shared" si="7"/>
        <v>si</v>
      </c>
      <c r="AC17" s="108" t="s">
        <v>137</v>
      </c>
      <c r="AD17" s="107" t="s">
        <v>138</v>
      </c>
      <c r="AE17" s="59">
        <v>45.13</v>
      </c>
      <c r="AF17" s="57">
        <v>0</v>
      </c>
    </row>
    <row r="18" spans="1:32" s="28" customFormat="1">
      <c r="A18" s="55" t="s">
        <v>36</v>
      </c>
      <c r="B18" s="64" t="s">
        <v>50</v>
      </c>
      <c r="C18" s="56" t="s">
        <v>60</v>
      </c>
      <c r="D18" s="79">
        <v>41768</v>
      </c>
      <c r="E18" s="55" t="s">
        <v>40</v>
      </c>
      <c r="F18" s="92"/>
      <c r="G18" s="58"/>
      <c r="H18" s="58"/>
      <c r="I18" s="59">
        <v>45.13</v>
      </c>
      <c r="J18" s="60">
        <f t="shared" si="0"/>
        <v>-45.13</v>
      </c>
      <c r="K18" s="94"/>
      <c r="L18" s="94"/>
      <c r="M18" s="61"/>
      <c r="N18" s="61"/>
      <c r="O18" s="57"/>
      <c r="P18" s="57">
        <v>0</v>
      </c>
      <c r="Q18" s="60">
        <f t="shared" si="1"/>
        <v>-45.13</v>
      </c>
      <c r="R18" s="62">
        <f t="shared" si="4"/>
        <v>0</v>
      </c>
      <c r="S18" s="60">
        <f t="shared" si="2"/>
        <v>-45.13</v>
      </c>
      <c r="T18" s="63">
        <f t="shared" si="5"/>
        <v>-4.5130000000000008</v>
      </c>
      <c r="U18" s="62" t="e">
        <f>#REF!*0.02</f>
        <v>#REF!</v>
      </c>
      <c r="V18" s="60" t="e">
        <f t="shared" si="3"/>
        <v>#REF!</v>
      </c>
      <c r="W18" s="81"/>
      <c r="X18" s="75"/>
      <c r="Y18" s="80">
        <f t="shared" si="6"/>
        <v>45.13</v>
      </c>
      <c r="Z18" s="64"/>
      <c r="AA18" s="64" t="s">
        <v>81</v>
      </c>
      <c r="AB18" s="28" t="str">
        <f t="shared" si="7"/>
        <v>no</v>
      </c>
      <c r="AC18" s="108" t="s">
        <v>139</v>
      </c>
      <c r="AD18" s="107" t="s">
        <v>140</v>
      </c>
      <c r="AE18" s="59">
        <v>45.13</v>
      </c>
      <c r="AF18" s="57">
        <v>0</v>
      </c>
    </row>
    <row r="19" spans="1:32" s="28" customFormat="1">
      <c r="A19" s="64" t="s">
        <v>36</v>
      </c>
      <c r="B19" s="64" t="s">
        <v>93</v>
      </c>
      <c r="C19" s="68" t="s">
        <v>61</v>
      </c>
      <c r="D19" s="79">
        <v>41957</v>
      </c>
      <c r="E19" s="64" t="s">
        <v>40</v>
      </c>
      <c r="F19" s="90">
        <v>6695.31</v>
      </c>
      <c r="G19" s="65"/>
      <c r="H19" s="65"/>
      <c r="I19" s="59">
        <v>45.13</v>
      </c>
      <c r="J19" s="60">
        <f t="shared" si="0"/>
        <v>6650.18</v>
      </c>
      <c r="K19" s="94"/>
      <c r="L19" s="94"/>
      <c r="M19" s="61"/>
      <c r="N19" s="61"/>
      <c r="O19" s="57"/>
      <c r="P19" s="57">
        <v>0</v>
      </c>
      <c r="Q19" s="60">
        <f t="shared" si="1"/>
        <v>6650.18</v>
      </c>
      <c r="R19" s="62">
        <f t="shared" si="4"/>
        <v>665.01800000000003</v>
      </c>
      <c r="S19" s="60">
        <f t="shared" si="2"/>
        <v>5985.1620000000003</v>
      </c>
      <c r="T19" s="63">
        <f t="shared" si="5"/>
        <v>0</v>
      </c>
      <c r="U19" s="62" t="e">
        <f>#REF!*0.02</f>
        <v>#REF!</v>
      </c>
      <c r="V19" s="60" t="e">
        <f t="shared" si="3"/>
        <v>#REF!</v>
      </c>
      <c r="W19" s="81"/>
      <c r="X19" s="75"/>
      <c r="Y19" s="80">
        <f t="shared" si="6"/>
        <v>-5985.1620000000003</v>
      </c>
      <c r="Z19" s="64"/>
      <c r="AA19" s="64" t="s">
        <v>82</v>
      </c>
      <c r="AB19" s="28" t="str">
        <f t="shared" si="7"/>
        <v>si</v>
      </c>
      <c r="AC19" s="108" t="s">
        <v>141</v>
      </c>
      <c r="AD19" s="107" t="s">
        <v>142</v>
      </c>
      <c r="AE19" s="59">
        <v>45.13</v>
      </c>
      <c r="AF19" s="57">
        <v>0</v>
      </c>
    </row>
    <row r="20" spans="1:32" s="28" customFormat="1">
      <c r="A20" s="64" t="s">
        <v>36</v>
      </c>
      <c r="B20" s="64" t="s">
        <v>110</v>
      </c>
      <c r="C20" s="68"/>
      <c r="D20" s="79">
        <v>41906</v>
      </c>
      <c r="E20" s="64" t="s">
        <v>41</v>
      </c>
      <c r="F20" s="83">
        <v>3021.58</v>
      </c>
      <c r="G20" s="65"/>
      <c r="H20" s="65"/>
      <c r="I20" s="59">
        <v>45.13</v>
      </c>
      <c r="J20" s="60">
        <f t="shared" si="0"/>
        <v>2976.45</v>
      </c>
      <c r="K20" s="94"/>
      <c r="L20" s="94"/>
      <c r="M20" s="61"/>
      <c r="N20" s="61"/>
      <c r="O20" s="57"/>
      <c r="P20" s="57">
        <v>350</v>
      </c>
      <c r="Q20" s="60">
        <f t="shared" si="1"/>
        <v>2626.45</v>
      </c>
      <c r="R20" s="62"/>
      <c r="S20" s="60">
        <f>+Q20-R20</f>
        <v>2626.45</v>
      </c>
      <c r="T20" s="63">
        <f>IF(J20&lt;2250,J20*0.1,0)</f>
        <v>0</v>
      </c>
      <c r="U20" s="62"/>
      <c r="V20" s="60"/>
      <c r="W20" s="81"/>
      <c r="X20" s="75"/>
      <c r="Y20" s="80"/>
      <c r="Z20" s="64"/>
      <c r="AA20" s="64"/>
      <c r="AB20" s="28" t="str">
        <f t="shared" si="7"/>
        <v>si</v>
      </c>
      <c r="AC20" s="108" t="s">
        <v>143</v>
      </c>
      <c r="AD20" s="107" t="s">
        <v>144</v>
      </c>
      <c r="AE20" s="59">
        <v>45.13</v>
      </c>
      <c r="AF20" s="57">
        <v>350</v>
      </c>
    </row>
    <row r="21" spans="1:32" s="28" customFormat="1">
      <c r="A21" s="55" t="s">
        <v>34</v>
      </c>
      <c r="B21" s="64" t="s">
        <v>178</v>
      </c>
      <c r="C21" s="56">
        <v>21</v>
      </c>
      <c r="D21" s="79">
        <v>39332</v>
      </c>
      <c r="E21" s="55" t="s">
        <v>39</v>
      </c>
      <c r="F21" s="91">
        <v>860.33</v>
      </c>
      <c r="G21" s="57"/>
      <c r="H21" s="57"/>
      <c r="I21" s="59">
        <v>45.13</v>
      </c>
      <c r="J21" s="60">
        <f t="shared" ref="J21:J36" si="8">SUM(F21:H21)-I21</f>
        <v>815.2</v>
      </c>
      <c r="K21" s="94"/>
      <c r="L21" s="94"/>
      <c r="M21" s="61"/>
      <c r="N21" s="61"/>
      <c r="O21" s="57"/>
      <c r="P21" s="57">
        <v>83.6</v>
      </c>
      <c r="Q21" s="60">
        <f t="shared" si="1"/>
        <v>731.6</v>
      </c>
      <c r="R21" s="62">
        <f t="shared" si="4"/>
        <v>0</v>
      </c>
      <c r="S21" s="60">
        <f>+Q21-R21</f>
        <v>731.6</v>
      </c>
      <c r="T21" s="63">
        <f t="shared" si="5"/>
        <v>81.52000000000001</v>
      </c>
      <c r="U21" s="62" t="e">
        <f>#REF!*0.02</f>
        <v>#REF!</v>
      </c>
      <c r="V21" s="60" t="e">
        <f t="shared" si="3"/>
        <v>#REF!</v>
      </c>
      <c r="W21" s="81"/>
      <c r="X21" s="75"/>
      <c r="Y21" s="80">
        <f>+W21+X21-S21</f>
        <v>-731.6</v>
      </c>
      <c r="Z21" s="64"/>
      <c r="AA21" s="64" t="s">
        <v>83</v>
      </c>
      <c r="AB21" s="28" t="str">
        <f t="shared" si="7"/>
        <v>si</v>
      </c>
      <c r="AC21" s="108" t="s">
        <v>145</v>
      </c>
      <c r="AD21" s="107" t="s">
        <v>146</v>
      </c>
      <c r="AE21" s="59">
        <v>45.13</v>
      </c>
      <c r="AF21" s="57">
        <v>83.6</v>
      </c>
    </row>
    <row r="22" spans="1:32" s="28" customFormat="1">
      <c r="A22" s="64" t="s">
        <v>36</v>
      </c>
      <c r="B22" s="64" t="s">
        <v>98</v>
      </c>
      <c r="C22" s="68" t="s">
        <v>64</v>
      </c>
      <c r="D22" s="79">
        <v>41680</v>
      </c>
      <c r="E22" s="64" t="s">
        <v>40</v>
      </c>
      <c r="F22" s="92"/>
      <c r="G22" s="65"/>
      <c r="H22" s="65"/>
      <c r="I22" s="59">
        <v>45.13</v>
      </c>
      <c r="J22" s="60">
        <f t="shared" si="8"/>
        <v>-45.13</v>
      </c>
      <c r="K22" s="94"/>
      <c r="L22" s="94"/>
      <c r="M22" s="61"/>
      <c r="N22" s="61"/>
      <c r="O22" s="57"/>
      <c r="P22" s="57">
        <v>0</v>
      </c>
      <c r="Q22" s="60">
        <f>+J22-SUM(K22:P22)</f>
        <v>-45.13</v>
      </c>
      <c r="R22" s="62">
        <f t="shared" si="4"/>
        <v>0</v>
      </c>
      <c r="S22" s="60">
        <f>+Q22-R22</f>
        <v>-45.13</v>
      </c>
      <c r="T22" s="63">
        <f t="shared" si="5"/>
        <v>-4.5130000000000008</v>
      </c>
      <c r="U22" s="62" t="e">
        <f>#REF!*0.02</f>
        <v>#REF!</v>
      </c>
      <c r="V22" s="60" t="e">
        <f>+J22+T22+U22</f>
        <v>#REF!</v>
      </c>
      <c r="W22" s="81"/>
      <c r="X22" s="75"/>
      <c r="Y22" s="80">
        <f t="shared" si="6"/>
        <v>45.13</v>
      </c>
      <c r="Z22" s="64"/>
      <c r="AA22" s="64" t="s">
        <v>84</v>
      </c>
      <c r="AB22" s="28" t="str">
        <f t="shared" si="7"/>
        <v>si</v>
      </c>
      <c r="AC22" s="108" t="s">
        <v>147</v>
      </c>
      <c r="AD22" s="107" t="s">
        <v>148</v>
      </c>
      <c r="AE22" s="59">
        <v>45.13</v>
      </c>
      <c r="AF22" s="57">
        <v>0</v>
      </c>
    </row>
    <row r="23" spans="1:32" s="28" customFormat="1">
      <c r="A23" s="64" t="s">
        <v>36</v>
      </c>
      <c r="B23" s="64" t="s">
        <v>51</v>
      </c>
      <c r="C23" s="68" t="s">
        <v>63</v>
      </c>
      <c r="D23" s="79">
        <v>41944</v>
      </c>
      <c r="E23" s="64" t="s">
        <v>40</v>
      </c>
      <c r="F23" s="90">
        <v>573.46</v>
      </c>
      <c r="G23" s="65"/>
      <c r="H23" s="65"/>
      <c r="I23" s="59">
        <v>45.13</v>
      </c>
      <c r="J23" s="60">
        <f t="shared" si="8"/>
        <v>528.33000000000004</v>
      </c>
      <c r="K23" s="94"/>
      <c r="L23" s="94"/>
      <c r="M23" s="61"/>
      <c r="N23" s="61"/>
      <c r="O23" s="57"/>
      <c r="P23" s="57">
        <v>0</v>
      </c>
      <c r="Q23" s="60">
        <f>+J23-SUM(K23:P23)</f>
        <v>528.33000000000004</v>
      </c>
      <c r="R23" s="62">
        <f t="shared" si="4"/>
        <v>0</v>
      </c>
      <c r="S23" s="60">
        <f>+Q23-R23</f>
        <v>528.33000000000004</v>
      </c>
      <c r="T23" s="63">
        <f t="shared" si="5"/>
        <v>52.833000000000006</v>
      </c>
      <c r="U23" s="62" t="e">
        <f>#REF!*0.02</f>
        <v>#REF!</v>
      </c>
      <c r="V23" s="60" t="e">
        <f>+J23+T23+U23</f>
        <v>#REF!</v>
      </c>
      <c r="W23" s="81"/>
      <c r="X23" s="75"/>
      <c r="Y23" s="80">
        <f t="shared" si="6"/>
        <v>-528.33000000000004</v>
      </c>
      <c r="Z23" s="64"/>
      <c r="AA23" s="64" t="s">
        <v>85</v>
      </c>
      <c r="AB23" s="28" t="str">
        <f t="shared" si="7"/>
        <v>si</v>
      </c>
      <c r="AC23" s="108" t="s">
        <v>149</v>
      </c>
      <c r="AD23" s="107" t="s">
        <v>150</v>
      </c>
      <c r="AE23" s="59">
        <v>45.13</v>
      </c>
      <c r="AF23" s="57">
        <v>0</v>
      </c>
    </row>
    <row r="24" spans="1:32" s="28" customFormat="1">
      <c r="A24" s="55" t="s">
        <v>34</v>
      </c>
      <c r="B24" s="64" t="s">
        <v>43</v>
      </c>
      <c r="C24" s="56" t="s">
        <v>65</v>
      </c>
      <c r="D24" s="79">
        <v>40362</v>
      </c>
      <c r="E24" s="55" t="s">
        <v>39</v>
      </c>
      <c r="F24" s="91">
        <v>1486.58</v>
      </c>
      <c r="G24" s="57"/>
      <c r="H24" s="57"/>
      <c r="I24" s="59">
        <v>45.13</v>
      </c>
      <c r="J24" s="60">
        <f t="shared" si="8"/>
        <v>1441.4499999999998</v>
      </c>
      <c r="K24" s="94"/>
      <c r="L24" s="94"/>
      <c r="M24" s="61"/>
      <c r="N24" s="61"/>
      <c r="O24" s="57"/>
      <c r="P24" s="57">
        <v>0</v>
      </c>
      <c r="Q24" s="60">
        <f t="shared" si="1"/>
        <v>1441.4499999999998</v>
      </c>
      <c r="R24" s="62">
        <f t="shared" si="4"/>
        <v>0</v>
      </c>
      <c r="S24" s="60">
        <f t="shared" si="2"/>
        <v>1441.4499999999998</v>
      </c>
      <c r="T24" s="63">
        <f t="shared" si="5"/>
        <v>144.14499999999998</v>
      </c>
      <c r="U24" s="62" t="e">
        <f>#REF!*0.02</f>
        <v>#REF!</v>
      </c>
      <c r="V24" s="60" t="e">
        <f t="shared" si="3"/>
        <v>#REF!</v>
      </c>
      <c r="W24" s="81"/>
      <c r="X24" s="75"/>
      <c r="Y24" s="80">
        <f t="shared" si="6"/>
        <v>-1441.4499999999998</v>
      </c>
      <c r="Z24" s="64"/>
      <c r="AA24" s="64" t="s">
        <v>86</v>
      </c>
      <c r="AB24" s="28" t="str">
        <f t="shared" si="7"/>
        <v>si</v>
      </c>
      <c r="AC24" s="108" t="s">
        <v>151</v>
      </c>
      <c r="AD24" s="107" t="s">
        <v>152</v>
      </c>
      <c r="AE24" s="59">
        <v>45.13</v>
      </c>
      <c r="AF24" s="57">
        <v>0</v>
      </c>
    </row>
    <row r="25" spans="1:32" s="28" customFormat="1">
      <c r="A25" s="64" t="s">
        <v>36</v>
      </c>
      <c r="B25" s="64" t="s">
        <v>107</v>
      </c>
      <c r="C25" s="68"/>
      <c r="D25" s="79">
        <v>42557</v>
      </c>
      <c r="E25" s="64" t="s">
        <v>40</v>
      </c>
      <c r="F25" s="91"/>
      <c r="G25" s="65"/>
      <c r="H25" s="65"/>
      <c r="I25" s="59">
        <v>45.13</v>
      </c>
      <c r="J25" s="60">
        <f t="shared" si="8"/>
        <v>-45.13</v>
      </c>
      <c r="K25" s="94"/>
      <c r="L25" s="94"/>
      <c r="M25" s="61"/>
      <c r="N25" s="61"/>
      <c r="O25" s="57"/>
      <c r="P25" s="57"/>
      <c r="Q25" s="60">
        <f>+J25-SUM(K25:P25)</f>
        <v>-45.13</v>
      </c>
      <c r="R25" s="62">
        <f>IF(J25&gt;2250,J25*0.1,0)</f>
        <v>0</v>
      </c>
      <c r="S25" s="60">
        <f>+Q25-R25</f>
        <v>-45.13</v>
      </c>
      <c r="T25" s="63">
        <f>IF(J25&lt;2250,J25*0.1,0)</f>
        <v>-4.5130000000000008</v>
      </c>
      <c r="U25" s="62" t="e">
        <f>#REF!*0.02</f>
        <v>#REF!</v>
      </c>
      <c r="V25" s="60" t="e">
        <f>+J25+T25+U25</f>
        <v>#REF!</v>
      </c>
      <c r="W25" s="81"/>
      <c r="X25" s="81"/>
      <c r="Y25" s="80"/>
      <c r="Z25" s="64" t="s">
        <v>105</v>
      </c>
      <c r="AA25" s="66">
        <v>405715097</v>
      </c>
      <c r="AB25" s="28" t="str">
        <f t="shared" si="7"/>
        <v>si</v>
      </c>
      <c r="AC25" s="108" t="s">
        <v>153</v>
      </c>
      <c r="AD25" s="107" t="s">
        <v>154</v>
      </c>
      <c r="AE25" s="59">
        <v>45.13</v>
      </c>
      <c r="AF25" s="57"/>
    </row>
    <row r="26" spans="1:32" s="28" customFormat="1">
      <c r="A26" s="64" t="s">
        <v>35</v>
      </c>
      <c r="B26" s="64" t="s">
        <v>100</v>
      </c>
      <c r="C26" s="68"/>
      <c r="D26" s="79">
        <v>42478</v>
      </c>
      <c r="E26" s="55" t="s">
        <v>41</v>
      </c>
      <c r="F26" s="91">
        <v>2886.17</v>
      </c>
      <c r="G26" s="65"/>
      <c r="H26" s="65"/>
      <c r="I26" s="59">
        <v>45.13</v>
      </c>
      <c r="J26" s="60">
        <f t="shared" si="8"/>
        <v>2841.04</v>
      </c>
      <c r="K26" s="94"/>
      <c r="L26" s="94"/>
      <c r="M26" s="61"/>
      <c r="N26" s="61"/>
      <c r="O26" s="57"/>
      <c r="P26" s="57">
        <v>403</v>
      </c>
      <c r="Q26" s="60">
        <f t="shared" ref="Q26:Q36" si="9">+J26-SUM(K26:P26)</f>
        <v>2438.04</v>
      </c>
      <c r="R26" s="62">
        <f t="shared" si="4"/>
        <v>284.10399999999998</v>
      </c>
      <c r="S26" s="60">
        <f t="shared" ref="S26:S36" si="10">+Q26-R26</f>
        <v>2153.9360000000001</v>
      </c>
      <c r="T26" s="63">
        <f t="shared" si="5"/>
        <v>0</v>
      </c>
      <c r="U26" s="62" t="e">
        <f>#REF!*0.02</f>
        <v>#REF!</v>
      </c>
      <c r="V26" s="60" t="e">
        <f>+J26+T26+U26</f>
        <v>#REF!</v>
      </c>
      <c r="W26" s="81"/>
      <c r="X26" s="75"/>
      <c r="Y26" s="80">
        <f t="shared" si="6"/>
        <v>-2153.9360000000001</v>
      </c>
      <c r="Z26" s="74"/>
      <c r="AA26" s="64" t="s">
        <v>101</v>
      </c>
      <c r="AB26" s="28" t="str">
        <f t="shared" si="7"/>
        <v>si</v>
      </c>
      <c r="AC26" s="108" t="s">
        <v>155</v>
      </c>
      <c r="AD26" s="107" t="s">
        <v>156</v>
      </c>
      <c r="AE26" s="59">
        <v>45.13</v>
      </c>
      <c r="AF26" s="57">
        <v>403</v>
      </c>
    </row>
    <row r="27" spans="1:32" s="28" customFormat="1">
      <c r="A27" s="64" t="s">
        <v>36</v>
      </c>
      <c r="B27" s="64" t="s">
        <v>96</v>
      </c>
      <c r="C27" s="68"/>
      <c r="D27" s="79">
        <v>42430</v>
      </c>
      <c r="E27" s="64" t="s">
        <v>40</v>
      </c>
      <c r="F27" s="92">
        <v>2944.52</v>
      </c>
      <c r="G27" s="65"/>
      <c r="H27" s="65"/>
      <c r="I27" s="59">
        <v>45.13</v>
      </c>
      <c r="J27" s="60">
        <f t="shared" si="8"/>
        <v>2899.39</v>
      </c>
      <c r="K27" s="94"/>
      <c r="L27" s="94"/>
      <c r="M27" s="61"/>
      <c r="N27" s="61"/>
      <c r="O27" s="57"/>
      <c r="P27" s="57">
        <v>0</v>
      </c>
      <c r="Q27" s="60">
        <f t="shared" si="9"/>
        <v>2899.39</v>
      </c>
      <c r="R27" s="62">
        <f t="shared" si="4"/>
        <v>289.93900000000002</v>
      </c>
      <c r="S27" s="60">
        <f t="shared" si="10"/>
        <v>2609.451</v>
      </c>
      <c r="T27" s="63">
        <f t="shared" si="5"/>
        <v>0</v>
      </c>
      <c r="U27" s="62" t="e">
        <f>#REF!*0.02</f>
        <v>#REF!</v>
      </c>
      <c r="V27" s="60" t="e">
        <f t="shared" ref="V27:V36" si="11">+J27+T27+U27</f>
        <v>#REF!</v>
      </c>
      <c r="W27" s="81"/>
      <c r="X27" s="75"/>
      <c r="Y27" s="80">
        <f t="shared" si="6"/>
        <v>-2609.451</v>
      </c>
      <c r="Z27" s="64"/>
      <c r="AA27" s="67"/>
      <c r="AB27" s="28" t="str">
        <f t="shared" si="7"/>
        <v>si</v>
      </c>
      <c r="AC27" s="108" t="s">
        <v>157</v>
      </c>
      <c r="AD27" s="107" t="s">
        <v>158</v>
      </c>
      <c r="AE27" s="59">
        <v>45.13</v>
      </c>
      <c r="AF27" s="57">
        <v>0</v>
      </c>
    </row>
    <row r="28" spans="1:32" s="28" customFormat="1">
      <c r="A28" s="64" t="s">
        <v>36</v>
      </c>
      <c r="B28" s="64" t="s">
        <v>109</v>
      </c>
      <c r="C28" s="68"/>
      <c r="D28" s="79">
        <v>42570</v>
      </c>
      <c r="E28" s="64" t="s">
        <v>40</v>
      </c>
      <c r="F28" s="92"/>
      <c r="G28" s="65"/>
      <c r="H28" s="65"/>
      <c r="I28" s="59">
        <v>45.13</v>
      </c>
      <c r="J28" s="60">
        <f t="shared" si="8"/>
        <v>-45.13</v>
      </c>
      <c r="K28" s="94"/>
      <c r="L28" s="94"/>
      <c r="M28" s="61"/>
      <c r="N28" s="61"/>
      <c r="O28" s="57"/>
      <c r="P28" s="57">
        <v>385.41</v>
      </c>
      <c r="Q28" s="60">
        <f t="shared" si="9"/>
        <v>-430.54</v>
      </c>
      <c r="R28" s="62">
        <f>IF(J28&gt;2250,J28*0.1,0)</f>
        <v>0</v>
      </c>
      <c r="S28" s="60">
        <f>+Q28-R28</f>
        <v>-430.54</v>
      </c>
      <c r="T28" s="63">
        <f t="shared" si="5"/>
        <v>-4.5130000000000008</v>
      </c>
      <c r="U28" s="62" t="e">
        <f>#REF!*0.02</f>
        <v>#REF!</v>
      </c>
      <c r="V28" s="60" t="e">
        <f t="shared" si="11"/>
        <v>#REF!</v>
      </c>
      <c r="W28" s="81"/>
      <c r="X28" s="75"/>
      <c r="Y28" s="80"/>
      <c r="Z28" s="64"/>
      <c r="AA28" s="67"/>
      <c r="AB28" s="28" t="str">
        <f t="shared" si="7"/>
        <v>si</v>
      </c>
      <c r="AC28" s="108" t="s">
        <v>159</v>
      </c>
      <c r="AD28" s="107" t="s">
        <v>160</v>
      </c>
      <c r="AE28" s="59">
        <v>45.13</v>
      </c>
      <c r="AF28" s="57">
        <v>385.41</v>
      </c>
    </row>
    <row r="29" spans="1:32" s="28" customFormat="1">
      <c r="A29" s="95" t="s">
        <v>34</v>
      </c>
      <c r="B29" s="95" t="s">
        <v>114</v>
      </c>
      <c r="C29" s="96"/>
      <c r="D29" s="97">
        <v>42618</v>
      </c>
      <c r="E29" s="95" t="s">
        <v>39</v>
      </c>
      <c r="F29" s="98"/>
      <c r="G29" s="99"/>
      <c r="H29" s="99"/>
      <c r="I29" s="100"/>
      <c r="J29" s="60">
        <f t="shared" si="8"/>
        <v>0</v>
      </c>
      <c r="K29" s="101"/>
      <c r="L29" s="101"/>
      <c r="M29" s="102"/>
      <c r="N29" s="102"/>
      <c r="O29" s="99"/>
      <c r="P29" s="99"/>
      <c r="Q29" s="60">
        <f>+J29-SUM(K29:P29)</f>
        <v>0</v>
      </c>
      <c r="R29" s="62">
        <f>IF(J29&gt;2250,J29*0.1,0)</f>
        <v>0</v>
      </c>
      <c r="S29" s="60">
        <f>+Q29-R29</f>
        <v>0</v>
      </c>
      <c r="T29" s="63"/>
      <c r="U29" s="62"/>
      <c r="V29" s="60"/>
      <c r="W29" s="81"/>
      <c r="X29" s="75"/>
      <c r="Y29" s="80"/>
      <c r="Z29" s="95" t="s">
        <v>115</v>
      </c>
      <c r="AA29" s="95" t="s">
        <v>116</v>
      </c>
      <c r="AB29" s="28" t="str">
        <f t="shared" si="7"/>
        <v>si</v>
      </c>
      <c r="AC29" s="108" t="s">
        <v>167</v>
      </c>
      <c r="AD29" s="107" t="s">
        <v>168</v>
      </c>
      <c r="AE29" s="100"/>
      <c r="AF29" s="99"/>
    </row>
    <row r="30" spans="1:32" s="28" customFormat="1">
      <c r="A30" s="55" t="s">
        <v>36</v>
      </c>
      <c r="B30" s="64" t="s">
        <v>179</v>
      </c>
      <c r="C30" s="56" t="s">
        <v>66</v>
      </c>
      <c r="D30" s="79">
        <v>41592</v>
      </c>
      <c r="E30" s="55" t="s">
        <v>40</v>
      </c>
      <c r="F30" s="91"/>
      <c r="G30" s="58"/>
      <c r="H30" s="58"/>
      <c r="I30" s="59">
        <v>45.13</v>
      </c>
      <c r="J30" s="60">
        <f t="shared" si="8"/>
        <v>-45.13</v>
      </c>
      <c r="K30" s="94"/>
      <c r="L30" s="94"/>
      <c r="M30" s="61"/>
      <c r="N30" s="61"/>
      <c r="O30" s="57"/>
      <c r="P30" s="57">
        <v>0</v>
      </c>
      <c r="Q30" s="60">
        <f t="shared" si="9"/>
        <v>-45.13</v>
      </c>
      <c r="R30" s="62">
        <f t="shared" si="4"/>
        <v>0</v>
      </c>
      <c r="S30" s="60">
        <f t="shared" si="10"/>
        <v>-45.13</v>
      </c>
      <c r="T30" s="63">
        <f t="shared" si="5"/>
        <v>-4.5130000000000008</v>
      </c>
      <c r="U30" s="62" t="e">
        <f>#REF!*0.02</f>
        <v>#REF!</v>
      </c>
      <c r="V30" s="60" t="e">
        <f t="shared" si="11"/>
        <v>#REF!</v>
      </c>
      <c r="W30" s="81"/>
      <c r="X30" s="75"/>
      <c r="Y30" s="80">
        <f t="shared" si="6"/>
        <v>45.13</v>
      </c>
      <c r="Z30" s="64"/>
      <c r="AA30" s="64" t="s">
        <v>87</v>
      </c>
      <c r="AB30" s="28" t="str">
        <f t="shared" si="7"/>
        <v>si</v>
      </c>
      <c r="AC30" s="108" t="s">
        <v>161</v>
      </c>
      <c r="AD30" s="107" t="s">
        <v>162</v>
      </c>
      <c r="AE30" s="59">
        <v>45.13</v>
      </c>
      <c r="AF30" s="57">
        <v>0</v>
      </c>
    </row>
    <row r="31" spans="1:32" s="28" customFormat="1">
      <c r="A31" s="55" t="s">
        <v>35</v>
      </c>
      <c r="B31" s="64" t="s">
        <v>180</v>
      </c>
      <c r="C31" s="56" t="s">
        <v>67</v>
      </c>
      <c r="D31" s="79">
        <v>42030</v>
      </c>
      <c r="E31" s="55" t="s">
        <v>40</v>
      </c>
      <c r="F31" s="91">
        <v>219.59</v>
      </c>
      <c r="G31" s="57"/>
      <c r="H31" s="57"/>
      <c r="I31" s="59">
        <v>45.13</v>
      </c>
      <c r="J31" s="60">
        <f t="shared" si="8"/>
        <v>174.46</v>
      </c>
      <c r="K31" s="94"/>
      <c r="L31" s="94"/>
      <c r="M31" s="61"/>
      <c r="N31" s="61"/>
      <c r="O31" s="57"/>
      <c r="P31" s="57">
        <v>0</v>
      </c>
      <c r="Q31" s="60">
        <f t="shared" si="9"/>
        <v>174.46</v>
      </c>
      <c r="R31" s="62">
        <f t="shared" si="4"/>
        <v>0</v>
      </c>
      <c r="S31" s="60">
        <f t="shared" si="10"/>
        <v>174.46</v>
      </c>
      <c r="T31" s="63">
        <f t="shared" si="5"/>
        <v>17.446000000000002</v>
      </c>
      <c r="U31" s="62" t="e">
        <f>#REF!*0.02</f>
        <v>#REF!</v>
      </c>
      <c r="V31" s="60" t="e">
        <f t="shared" si="11"/>
        <v>#REF!</v>
      </c>
      <c r="W31" s="81"/>
      <c r="X31" s="76"/>
      <c r="Y31" s="80">
        <f t="shared" si="6"/>
        <v>-174.46</v>
      </c>
      <c r="Z31" s="64"/>
      <c r="AA31" s="64" t="s">
        <v>88</v>
      </c>
      <c r="AB31" s="28" t="str">
        <f t="shared" si="7"/>
        <v>si</v>
      </c>
      <c r="AC31" s="108" t="s">
        <v>163</v>
      </c>
      <c r="AD31" s="107" t="s">
        <v>164</v>
      </c>
      <c r="AE31" s="59">
        <v>45.13</v>
      </c>
      <c r="AF31" s="57">
        <v>0</v>
      </c>
    </row>
    <row r="32" spans="1:32" s="28" customFormat="1">
      <c r="A32" s="55" t="s">
        <v>36</v>
      </c>
      <c r="B32" s="64" t="s">
        <v>111</v>
      </c>
      <c r="C32" s="56"/>
      <c r="D32" s="79">
        <v>42597</v>
      </c>
      <c r="E32" s="55" t="s">
        <v>40</v>
      </c>
      <c r="F32" s="91">
        <v>5586.52</v>
      </c>
      <c r="G32" s="57"/>
      <c r="H32" s="57"/>
      <c r="I32" s="59">
        <v>45.13</v>
      </c>
      <c r="J32" s="60">
        <f t="shared" si="8"/>
        <v>5541.39</v>
      </c>
      <c r="K32" s="94"/>
      <c r="L32" s="94"/>
      <c r="M32" s="61"/>
      <c r="N32" s="61"/>
      <c r="O32" s="57"/>
      <c r="P32" s="57"/>
      <c r="Q32" s="60">
        <f>+J32-SUM(K32:P32)</f>
        <v>5541.39</v>
      </c>
      <c r="R32" s="62">
        <f>IF(J32&gt;2250,J32*0.1,0)</f>
        <v>554.13900000000001</v>
      </c>
      <c r="S32" s="60">
        <f>+Q32-R32</f>
        <v>4987.2510000000002</v>
      </c>
      <c r="T32" s="63"/>
      <c r="U32" s="62"/>
      <c r="V32" s="60"/>
      <c r="W32" s="81"/>
      <c r="X32" s="76"/>
      <c r="Y32" s="80"/>
      <c r="Z32" s="64"/>
      <c r="AA32" s="66">
        <v>1148534756</v>
      </c>
      <c r="AB32" s="28" t="str">
        <f t="shared" si="7"/>
        <v>si</v>
      </c>
      <c r="AC32" s="108" t="s">
        <v>165</v>
      </c>
      <c r="AD32" s="107" t="s">
        <v>166</v>
      </c>
      <c r="AE32" s="59">
        <v>45.13</v>
      </c>
      <c r="AF32" s="57"/>
    </row>
    <row r="33" spans="1:42" s="28" customFormat="1">
      <c r="A33" s="55" t="s">
        <v>35</v>
      </c>
      <c r="B33" s="64" t="s">
        <v>181</v>
      </c>
      <c r="C33" s="56" t="s">
        <v>68</v>
      </c>
      <c r="D33" s="79">
        <v>41435</v>
      </c>
      <c r="E33" s="55" t="s">
        <v>40</v>
      </c>
      <c r="F33" s="82">
        <v>2447.4699999999998</v>
      </c>
      <c r="G33" s="57"/>
      <c r="H33" s="57"/>
      <c r="I33" s="59">
        <v>45.13</v>
      </c>
      <c r="J33" s="60">
        <f t="shared" si="8"/>
        <v>2402.3399999999997</v>
      </c>
      <c r="K33" s="94"/>
      <c r="L33" s="94"/>
      <c r="M33" s="61"/>
      <c r="N33" s="61"/>
      <c r="O33" s="57"/>
      <c r="P33" s="57">
        <v>577.35</v>
      </c>
      <c r="Q33" s="60">
        <f t="shared" si="9"/>
        <v>1824.9899999999998</v>
      </c>
      <c r="R33" s="62">
        <f t="shared" si="4"/>
        <v>240.23399999999998</v>
      </c>
      <c r="S33" s="60">
        <f t="shared" si="10"/>
        <v>1584.7559999999999</v>
      </c>
      <c r="T33" s="63">
        <f t="shared" si="5"/>
        <v>0</v>
      </c>
      <c r="U33" s="62" t="e">
        <f>#REF!*0.02</f>
        <v>#REF!</v>
      </c>
      <c r="V33" s="60" t="e">
        <f t="shared" si="11"/>
        <v>#REF!</v>
      </c>
      <c r="W33" s="81"/>
      <c r="X33" s="76"/>
      <c r="Y33" s="80">
        <f t="shared" si="6"/>
        <v>-1584.7559999999999</v>
      </c>
      <c r="Z33" s="64"/>
      <c r="AA33" s="64" t="s">
        <v>89</v>
      </c>
      <c r="AB33" s="28" t="str">
        <f t="shared" si="7"/>
        <v>si</v>
      </c>
      <c r="AC33" s="108" t="s">
        <v>169</v>
      </c>
      <c r="AD33" s="107" t="s">
        <v>170</v>
      </c>
      <c r="AE33" s="59">
        <v>45.13</v>
      </c>
      <c r="AF33" s="57">
        <v>577.35</v>
      </c>
    </row>
    <row r="34" spans="1:42">
      <c r="A34" s="64" t="s">
        <v>36</v>
      </c>
      <c r="B34" s="64" t="s">
        <v>182</v>
      </c>
      <c r="C34" s="68" t="s">
        <v>69</v>
      </c>
      <c r="D34" s="79">
        <v>41848</v>
      </c>
      <c r="E34" s="64" t="s">
        <v>40</v>
      </c>
      <c r="F34" s="90"/>
      <c r="G34" s="65"/>
      <c r="H34" s="65"/>
      <c r="I34" s="59">
        <v>45.13</v>
      </c>
      <c r="J34" s="60">
        <f t="shared" si="8"/>
        <v>-45.13</v>
      </c>
      <c r="K34" s="94"/>
      <c r="L34" s="94"/>
      <c r="M34" s="61"/>
      <c r="N34" s="61"/>
      <c r="O34" s="57"/>
      <c r="P34" s="57">
        <v>613.69000000000005</v>
      </c>
      <c r="Q34" s="60">
        <f>+J34-SUM(K34:P34)</f>
        <v>-658.82</v>
      </c>
      <c r="R34" s="62">
        <f t="shared" si="4"/>
        <v>0</v>
      </c>
      <c r="S34" s="70">
        <f>+Q34-R34</f>
        <v>-658.82</v>
      </c>
      <c r="T34" s="63">
        <f t="shared" si="5"/>
        <v>-4.5130000000000008</v>
      </c>
      <c r="U34" s="62" t="e">
        <f>#REF!*0.02</f>
        <v>#REF!</v>
      </c>
      <c r="V34" s="60" t="e">
        <f>+J34+T34+U34</f>
        <v>#REF!</v>
      </c>
      <c r="W34" s="81"/>
      <c r="X34" s="75"/>
      <c r="Y34" s="80">
        <f>+W34+X34-S34</f>
        <v>658.82</v>
      </c>
      <c r="Z34" s="64"/>
      <c r="AA34" s="64"/>
      <c r="AB34" s="28" t="str">
        <f t="shared" si="7"/>
        <v>si</v>
      </c>
      <c r="AC34" s="108" t="s">
        <v>171</v>
      </c>
      <c r="AD34" s="107" t="s">
        <v>172</v>
      </c>
      <c r="AE34" s="59">
        <v>45.13</v>
      </c>
      <c r="AF34" s="57">
        <v>613.69000000000005</v>
      </c>
    </row>
    <row r="35" spans="1:42">
      <c r="A35" s="72" t="s">
        <v>36</v>
      </c>
      <c r="B35" s="72" t="s">
        <v>99</v>
      </c>
      <c r="C35" s="73"/>
      <c r="D35" s="79">
        <v>42496</v>
      </c>
      <c r="E35" s="64" t="s">
        <v>108</v>
      </c>
      <c r="F35" s="83"/>
      <c r="G35" s="65"/>
      <c r="H35" s="65"/>
      <c r="I35" s="59">
        <v>45.13</v>
      </c>
      <c r="J35" s="60">
        <f t="shared" si="8"/>
        <v>-45.13</v>
      </c>
      <c r="K35" s="94"/>
      <c r="L35" s="94"/>
      <c r="M35" s="61"/>
      <c r="N35" s="61"/>
      <c r="O35" s="57"/>
      <c r="P35" s="57">
        <v>0</v>
      </c>
      <c r="Q35" s="60">
        <f>+J35-SUM(K35:P35)</f>
        <v>-45.13</v>
      </c>
      <c r="R35" s="62">
        <f>IF(J35&gt;2250,J35*0.1,0)</f>
        <v>0</v>
      </c>
      <c r="S35" s="70">
        <f>+Q35-R35</f>
        <v>-45.13</v>
      </c>
      <c r="T35" s="63">
        <f t="shared" si="5"/>
        <v>-4.5130000000000008</v>
      </c>
      <c r="U35" s="62" t="e">
        <f>#REF!*0.02</f>
        <v>#REF!</v>
      </c>
      <c r="V35" s="60" t="e">
        <f>+J35+T35+U35</f>
        <v>#REF!</v>
      </c>
      <c r="W35" s="81"/>
      <c r="X35" s="81"/>
      <c r="Y35" s="80">
        <f>+W35+X35-S35</f>
        <v>45.13</v>
      </c>
      <c r="Z35" s="71"/>
      <c r="AA35" s="66">
        <v>1129582916</v>
      </c>
      <c r="AB35" s="28" t="str">
        <f t="shared" si="7"/>
        <v>si</v>
      </c>
      <c r="AC35" s="108" t="s">
        <v>173</v>
      </c>
      <c r="AD35" s="107" t="s">
        <v>174</v>
      </c>
      <c r="AE35" s="59">
        <v>45.13</v>
      </c>
      <c r="AF35" s="57">
        <v>0</v>
      </c>
    </row>
    <row r="36" spans="1:42">
      <c r="A36" s="55" t="s">
        <v>36</v>
      </c>
      <c r="B36" s="64" t="s">
        <v>52</v>
      </c>
      <c r="C36" s="56" t="s">
        <v>70</v>
      </c>
      <c r="D36" s="79">
        <v>42215</v>
      </c>
      <c r="E36" s="55" t="s">
        <v>40</v>
      </c>
      <c r="F36" s="92">
        <f>9459.37+1000</f>
        <v>10459.370000000001</v>
      </c>
      <c r="G36" s="58"/>
      <c r="H36" s="58"/>
      <c r="I36" s="59">
        <v>45.13</v>
      </c>
      <c r="J36" s="60">
        <f t="shared" si="8"/>
        <v>10414.240000000002</v>
      </c>
      <c r="K36" s="94"/>
      <c r="L36" s="94"/>
      <c r="M36" s="61"/>
      <c r="N36" s="61"/>
      <c r="O36" s="57"/>
      <c r="P36" s="57">
        <v>0</v>
      </c>
      <c r="Q36" s="60">
        <f t="shared" si="9"/>
        <v>10414.240000000002</v>
      </c>
      <c r="R36" s="62">
        <f t="shared" si="4"/>
        <v>1041.4240000000002</v>
      </c>
      <c r="S36" s="60">
        <f t="shared" si="10"/>
        <v>9372.8160000000007</v>
      </c>
      <c r="T36" s="63">
        <f t="shared" si="5"/>
        <v>0</v>
      </c>
      <c r="U36" s="62" t="e">
        <f>#REF!*0.02</f>
        <v>#REF!</v>
      </c>
      <c r="V36" s="60" t="e">
        <f t="shared" si="11"/>
        <v>#REF!</v>
      </c>
      <c r="W36" s="81"/>
      <c r="X36" s="75"/>
      <c r="Y36" s="80">
        <f t="shared" si="6"/>
        <v>-9372.8160000000007</v>
      </c>
      <c r="Z36" s="74"/>
      <c r="AA36" s="64" t="s">
        <v>90</v>
      </c>
      <c r="AB36" s="28" t="str">
        <f t="shared" si="7"/>
        <v>si</v>
      </c>
      <c r="AC36" s="108" t="s">
        <v>175</v>
      </c>
      <c r="AD36" s="107" t="s">
        <v>176</v>
      </c>
      <c r="AE36" s="59">
        <v>45.13</v>
      </c>
      <c r="AF36" s="57">
        <v>0</v>
      </c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>
      <c r="A37" s="45"/>
      <c r="B37" s="45"/>
      <c r="C37" s="46"/>
      <c r="D37" s="46"/>
      <c r="E37" s="45"/>
      <c r="F37" s="47"/>
      <c r="G37" s="48"/>
      <c r="H37" s="48"/>
      <c r="I37" s="49"/>
      <c r="J37" s="50"/>
      <c r="K37" s="51"/>
      <c r="L37" s="94"/>
      <c r="M37" s="52"/>
      <c r="N37" s="52"/>
      <c r="O37" s="47"/>
      <c r="P37" s="47"/>
      <c r="Q37" s="50"/>
      <c r="R37" s="53"/>
      <c r="S37" s="50"/>
      <c r="T37" s="54"/>
      <c r="U37" s="53"/>
      <c r="V37" s="50"/>
      <c r="W37" s="28"/>
      <c r="X37" s="28"/>
      <c r="Y37" s="29">
        <f t="shared" si="6"/>
        <v>0</v>
      </c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>
      <c r="A38" s="33"/>
      <c r="B38" s="21"/>
      <c r="C38" s="31"/>
      <c r="D38" s="31"/>
      <c r="E38" s="21"/>
      <c r="F38" s="2"/>
      <c r="G38" s="2"/>
      <c r="H38" s="2"/>
      <c r="I38" s="22"/>
      <c r="J38" s="23"/>
      <c r="K38" s="24"/>
      <c r="L38" s="94"/>
      <c r="M38" s="25"/>
      <c r="N38" s="25"/>
      <c r="O38" s="2"/>
      <c r="P38" s="2"/>
      <c r="Q38" s="23"/>
      <c r="R38" s="26"/>
      <c r="S38" s="23"/>
      <c r="T38" s="27"/>
      <c r="U38" s="26"/>
      <c r="V38" s="23"/>
      <c r="W38" s="28"/>
      <c r="X38" s="28"/>
      <c r="Y38" s="29">
        <f t="shared" si="6"/>
        <v>0</v>
      </c>
      <c r="Z38" s="28"/>
      <c r="AA38" s="28"/>
      <c r="AB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>
      <c r="A39" s="33"/>
      <c r="B39" s="21"/>
      <c r="C39" s="31"/>
      <c r="D39" s="31"/>
      <c r="E39" s="21"/>
      <c r="F39" s="2"/>
      <c r="G39" s="2"/>
      <c r="H39" s="2"/>
      <c r="I39" s="22"/>
      <c r="J39" s="23"/>
      <c r="K39" s="24"/>
      <c r="L39" s="94"/>
      <c r="M39" s="25"/>
      <c r="N39" s="25"/>
      <c r="O39" s="26"/>
      <c r="P39" s="26"/>
      <c r="Q39" s="23"/>
      <c r="R39" s="26"/>
      <c r="S39" s="23"/>
      <c r="T39" s="27"/>
      <c r="U39" s="26"/>
      <c r="V39" s="23"/>
      <c r="W39" s="28"/>
      <c r="X39" s="28"/>
      <c r="Y39" s="29">
        <f t="shared" si="6"/>
        <v>0</v>
      </c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s="28" customFormat="1">
      <c r="A40" s="33"/>
      <c r="B40" s="34"/>
      <c r="C40" s="34"/>
      <c r="D40" s="34"/>
      <c r="E40" s="34"/>
      <c r="F40" s="35"/>
      <c r="G40" s="35"/>
      <c r="H40" s="35"/>
      <c r="I40" s="35"/>
      <c r="J40" s="36"/>
      <c r="K40" s="35"/>
      <c r="L40" s="35"/>
      <c r="M40" s="26"/>
      <c r="N40" s="26"/>
      <c r="O40" s="26"/>
      <c r="P40" s="26"/>
      <c r="Q40" s="37"/>
      <c r="R40" s="26"/>
      <c r="S40" s="36"/>
      <c r="T40" s="26"/>
      <c r="U40" s="26"/>
      <c r="V40" s="36"/>
      <c r="Y40" s="29">
        <f t="shared" si="6"/>
        <v>0</v>
      </c>
    </row>
    <row r="41" spans="1:42" ht="15.75" thickBot="1">
      <c r="B41" s="38" t="s">
        <v>1</v>
      </c>
      <c r="C41" s="38"/>
      <c r="D41" s="38"/>
      <c r="E41" s="38"/>
      <c r="F41" s="39">
        <f>SUM(F7:F36)</f>
        <v>63842.400000000001</v>
      </c>
      <c r="G41" s="39">
        <f>SUM(G7:G30)</f>
        <v>0</v>
      </c>
      <c r="H41" s="39">
        <f>SUM(H7:H30)</f>
        <v>0</v>
      </c>
      <c r="I41" s="39"/>
      <c r="J41" s="39">
        <f>SUM(J7:J36)</f>
        <v>62533.630000000005</v>
      </c>
      <c r="K41" s="39">
        <f>SUM(K7:K30)</f>
        <v>0</v>
      </c>
      <c r="L41" s="39"/>
      <c r="M41" s="39">
        <f>SUM(M7:M30)</f>
        <v>0</v>
      </c>
      <c r="N41" s="39">
        <f>SUM(N7:N30)</f>
        <v>0</v>
      </c>
      <c r="O41" s="39">
        <f>SUM(O7:O30)</f>
        <v>0</v>
      </c>
      <c r="P41" s="39">
        <f>SUM(P7:P36)</f>
        <v>3936.3399999999997</v>
      </c>
      <c r="Q41" s="39">
        <f>SUM(Q7:Q36)</f>
        <v>58597.290000000008</v>
      </c>
      <c r="R41" s="39">
        <f>SUBTOTAL(9,R5:R40)</f>
        <v>5396.2660000000005</v>
      </c>
      <c r="S41" s="39">
        <f>SUM(S7:S36)</f>
        <v>53201.024000000005</v>
      </c>
      <c r="T41" s="39">
        <f>SUM(T7:T30)</f>
        <v>551.03199999999993</v>
      </c>
      <c r="U41" s="39" t="e">
        <f>SUM(U7:U30)</f>
        <v>#REF!</v>
      </c>
      <c r="V41" s="39" t="e">
        <f>SUBTOTAL(9,V5:V40)</f>
        <v>#REF!</v>
      </c>
      <c r="W41" s="28"/>
      <c r="X41" s="28"/>
      <c r="Y41" s="29"/>
      <c r="AA41" s="28"/>
      <c r="AB41" s="28"/>
      <c r="AC41" s="28"/>
      <c r="AD41" s="28"/>
    </row>
    <row r="42" spans="1:42" ht="15.75" thickTop="1">
      <c r="V42" s="16" t="e">
        <f>V41*0.16</f>
        <v>#REF!</v>
      </c>
      <c r="W42" s="28"/>
      <c r="X42" s="28"/>
      <c r="Y42" s="29">
        <f t="shared" si="6"/>
        <v>0</v>
      </c>
      <c r="AA42" s="28"/>
      <c r="AB42" s="28"/>
    </row>
    <row r="43" spans="1:42">
      <c r="A43" s="190" t="s">
        <v>12</v>
      </c>
      <c r="B43" s="190"/>
      <c r="R43" s="4">
        <f>+R41-R42</f>
        <v>5396.2660000000005</v>
      </c>
      <c r="V43" s="16" t="e">
        <f>+V41+V42</f>
        <v>#REF!</v>
      </c>
      <c r="W43" s="28"/>
      <c r="X43" s="28"/>
      <c r="Y43" s="29">
        <f t="shared" si="6"/>
        <v>0</v>
      </c>
      <c r="Z43" s="4">
        <v>112981.14</v>
      </c>
      <c r="AB43" s="28"/>
    </row>
    <row r="44" spans="1:42">
      <c r="AB44" s="28"/>
    </row>
    <row r="45" spans="1:42">
      <c r="A45" s="33"/>
      <c r="B45" s="31"/>
      <c r="C45" s="31"/>
      <c r="D45" s="31"/>
      <c r="E45" s="31"/>
      <c r="F45" s="3"/>
      <c r="G45" s="3"/>
      <c r="H45" s="3"/>
      <c r="I45" s="3"/>
      <c r="J45" s="23">
        <f>SUM(F45:I45)</f>
        <v>0</v>
      </c>
      <c r="K45" s="24"/>
      <c r="L45" s="24"/>
      <c r="M45" s="25"/>
      <c r="N45" s="25"/>
      <c r="O45" s="25"/>
      <c r="P45" s="25"/>
      <c r="Q45" s="23">
        <f>+J45-K45</f>
        <v>0</v>
      </c>
      <c r="R45" s="26">
        <f>+Q45*0.05</f>
        <v>0</v>
      </c>
      <c r="S45" s="23">
        <f>+Q45-M45-P45</f>
        <v>0</v>
      </c>
      <c r="T45" s="27">
        <f>IF(Q45&lt;3000,Q45*0.1,0)</f>
        <v>0</v>
      </c>
      <c r="U45" s="26">
        <v>0</v>
      </c>
      <c r="V45" s="23">
        <f>+Q45+T45+U45</f>
        <v>0</v>
      </c>
      <c r="W45" s="28"/>
      <c r="X45" s="28"/>
      <c r="Y45" s="29">
        <f t="shared" si="6"/>
        <v>0</v>
      </c>
      <c r="AB45" s="28"/>
    </row>
    <row r="46" spans="1:42">
      <c r="V46" s="16" t="e">
        <f>SUM(V34:V45)</f>
        <v>#REF!</v>
      </c>
      <c r="W46" s="28"/>
      <c r="X46" s="28"/>
      <c r="Y46" s="29">
        <f t="shared" si="6"/>
        <v>0</v>
      </c>
      <c r="AB46" s="28"/>
    </row>
    <row r="47" spans="1:42">
      <c r="B47" s="40" t="s">
        <v>2</v>
      </c>
      <c r="C47" s="40"/>
      <c r="D47" s="40"/>
      <c r="V47" s="16" t="e">
        <f>+V46*0.16</f>
        <v>#REF!</v>
      </c>
      <c r="W47" s="28"/>
      <c r="X47" s="28"/>
      <c r="Y47" s="29">
        <f t="shared" si="6"/>
        <v>0</v>
      </c>
      <c r="AB47" s="28"/>
    </row>
    <row r="48" spans="1:42">
      <c r="B48" s="40"/>
      <c r="C48" s="40"/>
      <c r="D48" s="40"/>
      <c r="V48" s="16" t="e">
        <f>+V46+V47</f>
        <v>#REF!</v>
      </c>
      <c r="W48" s="32"/>
      <c r="X48" s="32"/>
      <c r="Y48" s="29">
        <f t="shared" si="6"/>
        <v>0</v>
      </c>
      <c r="AB48" s="28"/>
    </row>
    <row r="49" spans="1:25">
      <c r="B49" s="40"/>
      <c r="C49" s="40"/>
      <c r="D49" s="40"/>
      <c r="W49" s="28"/>
      <c r="X49" s="28"/>
      <c r="Y49" s="28"/>
    </row>
    <row r="50" spans="1:25">
      <c r="B50" s="40" t="s">
        <v>3</v>
      </c>
      <c r="C50" s="40"/>
      <c r="D50" s="40"/>
      <c r="V50" s="16" t="e">
        <f>+V43+V48</f>
        <v>#REF!</v>
      </c>
      <c r="W50" s="28"/>
      <c r="X50" s="28"/>
      <c r="Y50" s="28"/>
    </row>
    <row r="51" spans="1:25">
      <c r="B51" s="28"/>
      <c r="W51" s="28"/>
      <c r="X51" s="28"/>
      <c r="Y51" s="28"/>
    </row>
    <row r="52" spans="1:25">
      <c r="B52" s="28"/>
      <c r="W52" s="28"/>
      <c r="X52" s="28"/>
      <c r="Y52" s="28"/>
    </row>
    <row r="53" spans="1:25">
      <c r="B53" s="28"/>
      <c r="W53" s="28"/>
      <c r="X53" s="28"/>
      <c r="Y53" s="28"/>
    </row>
    <row r="54" spans="1:25">
      <c r="B54" s="28"/>
      <c r="W54" s="28"/>
      <c r="X54" s="28"/>
      <c r="Y54" s="28"/>
    </row>
    <row r="55" spans="1:25">
      <c r="W55" s="28"/>
      <c r="X55" s="28"/>
      <c r="Y55" s="28"/>
    </row>
    <row r="56" spans="1:25">
      <c r="W56" s="28"/>
      <c r="X56" s="28"/>
      <c r="Y56" s="28"/>
    </row>
    <row r="57" spans="1:25">
      <c r="A57" s="30" t="s">
        <v>22</v>
      </c>
      <c r="B57" s="4"/>
      <c r="W57" s="28"/>
      <c r="X57" s="28"/>
      <c r="Y57" s="28"/>
    </row>
    <row r="58" spans="1:25">
      <c r="A58" s="30" t="s">
        <v>23</v>
      </c>
      <c r="B58" s="4"/>
      <c r="W58" s="28"/>
      <c r="X58" s="28"/>
      <c r="Y58" s="28"/>
    </row>
    <row r="59" spans="1:25">
      <c r="A59" s="30" t="s">
        <v>24</v>
      </c>
      <c r="B59" s="4"/>
      <c r="W59" s="28"/>
      <c r="X59" s="28"/>
      <c r="Y59" s="28"/>
    </row>
    <row r="60" spans="1:25">
      <c r="A60" s="30" t="s">
        <v>25</v>
      </c>
      <c r="B60" s="4"/>
      <c r="W60" s="28"/>
      <c r="X60" s="28"/>
      <c r="Y60" s="28"/>
    </row>
    <row r="61" spans="1:25">
      <c r="A61" s="30" t="s">
        <v>26</v>
      </c>
      <c r="B61" s="4"/>
      <c r="W61" s="28"/>
      <c r="X61" s="28"/>
      <c r="Y61" s="28"/>
    </row>
    <row r="62" spans="1:25">
      <c r="A62" s="30" t="s">
        <v>27</v>
      </c>
      <c r="B62" s="4"/>
      <c r="W62" s="28"/>
      <c r="X62" s="28"/>
      <c r="Y62" s="28"/>
    </row>
    <row r="63" spans="1:25">
      <c r="W63" s="28"/>
      <c r="X63" s="28"/>
      <c r="Y63" s="28"/>
    </row>
    <row r="64" spans="1:25">
      <c r="W64" s="28"/>
      <c r="X64" s="28"/>
      <c r="Y64" s="28"/>
    </row>
    <row r="65" spans="23:25">
      <c r="W65" s="28"/>
      <c r="X65" s="28"/>
      <c r="Y65" s="28"/>
    </row>
    <row r="66" spans="23:25">
      <c r="W66" s="28"/>
      <c r="X66" s="28"/>
      <c r="Y66" s="28"/>
    </row>
    <row r="67" spans="23:25">
      <c r="W67" s="32"/>
      <c r="X67" s="32"/>
      <c r="Y67" s="32"/>
    </row>
    <row r="68" spans="23:25">
      <c r="W68" s="28"/>
      <c r="X68" s="28"/>
      <c r="Y68" s="28"/>
    </row>
    <row r="69" spans="23:25">
      <c r="W69" s="28"/>
      <c r="X69" s="28"/>
      <c r="Y69" s="28"/>
    </row>
    <row r="70" spans="23:25">
      <c r="W70" s="28"/>
      <c r="X70" s="28"/>
      <c r="Y70" s="28"/>
    </row>
    <row r="71" spans="23:25">
      <c r="W71" s="28"/>
      <c r="X71" s="28"/>
      <c r="Y71" s="28"/>
    </row>
    <row r="72" spans="23:25">
      <c r="W72" s="28"/>
      <c r="X72" s="28"/>
      <c r="Y72" s="28"/>
    </row>
    <row r="73" spans="23:25">
      <c r="W73" s="28"/>
      <c r="X73" s="28"/>
      <c r="Y73" s="28"/>
    </row>
    <row r="74" spans="23:25">
      <c r="W74" s="28"/>
      <c r="X74" s="28"/>
      <c r="Y74" s="28"/>
    </row>
    <row r="75" spans="23:25">
      <c r="W75" s="28"/>
      <c r="X75" s="28"/>
      <c r="Y75" s="28"/>
    </row>
    <row r="76" spans="23:25">
      <c r="W76" s="28"/>
      <c r="X76" s="28"/>
      <c r="Y76" s="28"/>
    </row>
    <row r="77" spans="23:25">
      <c r="W77" s="32"/>
      <c r="X77" s="32"/>
      <c r="Y77" s="32"/>
    </row>
    <row r="78" spans="23:25">
      <c r="W78" s="28"/>
      <c r="X78" s="28"/>
      <c r="Y78" s="28"/>
    </row>
    <row r="79" spans="23:25">
      <c r="W79" s="28"/>
      <c r="X79" s="28"/>
      <c r="Y79" s="28"/>
    </row>
    <row r="80" spans="23:25">
      <c r="W80" s="28"/>
      <c r="X80" s="28"/>
      <c r="Y80" s="28"/>
    </row>
    <row r="81" spans="23:25">
      <c r="W81" s="28"/>
      <c r="X81" s="28"/>
      <c r="Y81" s="28"/>
    </row>
    <row r="82" spans="23:25">
      <c r="W82" s="28"/>
      <c r="X82" s="28"/>
      <c r="Y82" s="28"/>
    </row>
    <row r="83" spans="23:25">
      <c r="W83" s="28"/>
      <c r="X83" s="28"/>
      <c r="Y83" s="28"/>
    </row>
    <row r="84" spans="23:25">
      <c r="W84" s="28"/>
      <c r="X84" s="28"/>
      <c r="Y84" s="28"/>
    </row>
    <row r="85" spans="23:25">
      <c r="W85" s="28"/>
      <c r="X85" s="28"/>
      <c r="Y85" s="28"/>
    </row>
    <row r="86" spans="23:25">
      <c r="W86" s="28"/>
      <c r="X86" s="28"/>
      <c r="Y86" s="28"/>
    </row>
    <row r="87" spans="23:25">
      <c r="W87" s="28"/>
      <c r="X87" s="28"/>
      <c r="Y87" s="28"/>
    </row>
    <row r="88" spans="23:25">
      <c r="W88" s="28"/>
      <c r="X88" s="28"/>
      <c r="Y88" s="28"/>
    </row>
    <row r="89" spans="23:25">
      <c r="W89" s="28"/>
      <c r="X89" s="28"/>
      <c r="Y89" s="28"/>
    </row>
    <row r="90" spans="23:25">
      <c r="W90" s="28"/>
      <c r="X90" s="28"/>
      <c r="Y90" s="28"/>
    </row>
    <row r="91" spans="23:25">
      <c r="W91" s="28"/>
      <c r="X91" s="28"/>
      <c r="Y91" s="28"/>
    </row>
    <row r="92" spans="23:25">
      <c r="W92" s="28"/>
      <c r="X92" s="28"/>
      <c r="Y92" s="28"/>
    </row>
    <row r="93" spans="23:25">
      <c r="W93" s="28"/>
      <c r="X93" s="28"/>
      <c r="Y93" s="28"/>
    </row>
    <row r="94" spans="23:25">
      <c r="W94" s="28"/>
      <c r="X94" s="28"/>
      <c r="Y94" s="28"/>
    </row>
    <row r="95" spans="23:25" ht="15.75" thickBot="1">
      <c r="W95" s="39">
        <f>SUM(W7:W94)</f>
        <v>0</v>
      </c>
      <c r="X95" s="39">
        <f>SUM(X7:X94)</f>
        <v>0</v>
      </c>
      <c r="Y95" s="41"/>
    </row>
    <row r="96" spans="23:25" ht="15.75" thickTop="1">
      <c r="W96" s="16"/>
      <c r="X96" s="16"/>
      <c r="Y96" s="16"/>
    </row>
    <row r="97" spans="23:25">
      <c r="W97" s="16"/>
      <c r="X97" s="16"/>
      <c r="Y97" s="16"/>
    </row>
    <row r="98" spans="23:25">
      <c r="W98" s="23" t="e">
        <f>+P98+#REF!+V98</f>
        <v>#REF!</v>
      </c>
      <c r="X98" s="23" t="e">
        <f>+Q98+V98+W98</f>
        <v>#REF!</v>
      </c>
      <c r="Y98" s="42"/>
    </row>
    <row r="99" spans="23:25">
      <c r="W99" s="23" t="e">
        <f>+P99+#REF!+V99</f>
        <v>#REF!</v>
      </c>
      <c r="X99" s="23" t="e">
        <f>+Q99+V99+W99</f>
        <v>#REF!</v>
      </c>
      <c r="Y99" s="42"/>
    </row>
  </sheetData>
  <sheetProtection selectLockedCells="1" selectUnlockedCells="1"/>
  <autoFilter ref="A6:AP48">
    <sortState ref="A8:AW49">
      <sortCondition ref="B6"/>
    </sortState>
  </autoFilter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43:B43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A2"/>
    </sheetView>
  </sheetViews>
  <sheetFormatPr baseColWidth="10" defaultRowHeight="12.75"/>
  <cols>
    <col min="1" max="1" width="33" bestFit="1" customWidth="1"/>
  </cols>
  <sheetData>
    <row r="1" spans="1:7">
      <c r="A1" s="208" t="s">
        <v>225</v>
      </c>
      <c r="B1" s="209" t="s">
        <v>226</v>
      </c>
      <c r="C1" s="209"/>
      <c r="D1" s="210" t="s">
        <v>217</v>
      </c>
      <c r="E1" s="209" t="s">
        <v>227</v>
      </c>
      <c r="F1" s="209"/>
      <c r="G1" s="210" t="s">
        <v>91</v>
      </c>
    </row>
    <row r="2" spans="1:7">
      <c r="A2" s="208"/>
      <c r="B2" s="183" t="s">
        <v>228</v>
      </c>
      <c r="C2" s="183" t="s">
        <v>32</v>
      </c>
      <c r="D2" s="210"/>
      <c r="E2" s="183" t="s">
        <v>228</v>
      </c>
      <c r="F2" s="183" t="s">
        <v>32</v>
      </c>
      <c r="G2" s="210"/>
    </row>
    <row r="3" spans="1:7">
      <c r="A3" s="184" t="str">
        <f>INGENIERIA!B14</f>
        <v>Alfaro Quezada Pablo Francisco</v>
      </c>
      <c r="B3" s="184">
        <f>INGENIERIA!M14</f>
        <v>974.4</v>
      </c>
      <c r="C3" s="184">
        <f>SIND!K13</f>
        <v>0</v>
      </c>
      <c r="D3" s="184">
        <f>B3+C3</f>
        <v>974.4</v>
      </c>
      <c r="E3" s="184"/>
      <c r="F3" s="184"/>
      <c r="G3" s="184">
        <f>E3+F3-D3</f>
        <v>-974.4</v>
      </c>
    </row>
    <row r="4" spans="1:7">
      <c r="A4" s="184" t="str">
        <f>INGENIERIA!B15</f>
        <v>Andrade Rodriguez Miguel Angel</v>
      </c>
      <c r="B4" s="184">
        <f>INGENIERIA!M15</f>
        <v>974.6</v>
      </c>
      <c r="C4" s="184">
        <f>SIND!K14</f>
        <v>583.14600000000007</v>
      </c>
      <c r="D4" s="184">
        <f t="shared" ref="D4:D32" si="0">B4+C4</f>
        <v>1557.7460000000001</v>
      </c>
      <c r="E4" s="184">
        <v>974.6</v>
      </c>
      <c r="F4" s="184">
        <v>583.15</v>
      </c>
      <c r="G4" s="184">
        <f t="shared" ref="G4:G32" si="1">E4+F4-D4</f>
        <v>3.9999999999054126E-3</v>
      </c>
    </row>
    <row r="5" spans="1:7">
      <c r="A5" s="184" t="str">
        <f>INGENIERIA!B16</f>
        <v>Arellano Alvarez Javier</v>
      </c>
      <c r="B5" s="184">
        <f>INGENIERIA!M16</f>
        <v>474.6</v>
      </c>
      <c r="C5" s="184">
        <f>SIND!K15</f>
        <v>2700</v>
      </c>
      <c r="D5" s="184">
        <f t="shared" si="0"/>
        <v>3174.6</v>
      </c>
      <c r="E5" s="184">
        <v>474.6</v>
      </c>
      <c r="F5" s="185">
        <v>2700</v>
      </c>
      <c r="G5" s="184">
        <f t="shared" si="1"/>
        <v>0</v>
      </c>
    </row>
    <row r="6" spans="1:7">
      <c r="A6" s="184" t="str">
        <f>INGENIERIA!B17</f>
        <v>Becerra Jimenez Alejandro Bonifacio</v>
      </c>
      <c r="B6" s="184">
        <f>INGENIERIA!M17</f>
        <v>1515.8</v>
      </c>
      <c r="C6" s="184">
        <f>SIND!K16</f>
        <v>0</v>
      </c>
      <c r="D6" s="184">
        <f t="shared" si="0"/>
        <v>1515.8</v>
      </c>
      <c r="E6" s="185">
        <v>1515.8</v>
      </c>
      <c r="F6" s="184"/>
      <c r="G6" s="184">
        <f t="shared" si="1"/>
        <v>0</v>
      </c>
    </row>
    <row r="7" spans="1:7">
      <c r="A7" s="184" t="str">
        <f>INGENIERIA!B18</f>
        <v>Blanco Amezquita Cecilia</v>
      </c>
      <c r="B7" s="184">
        <f>INGENIERIA!M18</f>
        <v>441.2</v>
      </c>
      <c r="C7" s="184">
        <f>SIND!K17</f>
        <v>4373.91</v>
      </c>
      <c r="D7" s="184">
        <f t="shared" si="0"/>
        <v>4815.1099999999997</v>
      </c>
      <c r="E7" s="184">
        <v>441.2</v>
      </c>
      <c r="F7" s="185">
        <v>4373.91</v>
      </c>
      <c r="G7" s="184">
        <f t="shared" si="1"/>
        <v>0</v>
      </c>
    </row>
    <row r="8" spans="1:7">
      <c r="A8" s="184" t="str">
        <f>INGENIERIA!B19</f>
        <v>Camarena Gamez Guillermo</v>
      </c>
      <c r="B8" s="184">
        <f>INGENIERIA!M19</f>
        <v>974.6</v>
      </c>
      <c r="C8" s="184">
        <f>SIND!K18</f>
        <v>0</v>
      </c>
      <c r="D8" s="184">
        <f t="shared" si="0"/>
        <v>974.6</v>
      </c>
      <c r="E8" s="184">
        <v>974.6</v>
      </c>
      <c r="F8" s="184"/>
      <c r="G8" s="184">
        <f t="shared" si="1"/>
        <v>0</v>
      </c>
    </row>
    <row r="9" spans="1:7">
      <c r="A9" s="184" t="str">
        <f>INGENIERIA!B20</f>
        <v>Carranco Mancera Viridiana</v>
      </c>
      <c r="B9" s="184">
        <f>INGENIERIA!M20</f>
        <v>974.6</v>
      </c>
      <c r="C9" s="184">
        <f>SIND!K19</f>
        <v>3198.2310000000002</v>
      </c>
      <c r="D9" s="184">
        <f t="shared" si="0"/>
        <v>4172.8310000000001</v>
      </c>
      <c r="E9" s="184">
        <v>974.6</v>
      </c>
      <c r="F9" s="185">
        <v>3198.23</v>
      </c>
      <c r="G9" s="184">
        <f t="shared" si="1"/>
        <v>-1.0000000002037268E-3</v>
      </c>
    </row>
    <row r="10" spans="1:7">
      <c r="A10" s="184" t="str">
        <f>INGENIERIA!B21</f>
        <v>Casas Villanueva Mario</v>
      </c>
      <c r="B10" s="184">
        <f>INGENIERIA!M21</f>
        <v>3750.2</v>
      </c>
      <c r="C10" s="184">
        <f>SIND!K20</f>
        <v>360.24299999999999</v>
      </c>
      <c r="D10" s="184">
        <f t="shared" si="0"/>
        <v>4110.4430000000002</v>
      </c>
      <c r="E10" s="185">
        <v>3750.2</v>
      </c>
      <c r="F10" s="184">
        <v>360.24</v>
      </c>
      <c r="G10" s="184">
        <f t="shared" si="1"/>
        <v>-3.0000000006111804E-3</v>
      </c>
    </row>
    <row r="11" spans="1:7">
      <c r="A11" s="184" t="str">
        <f>INGENIERIA!B22</f>
        <v>Castro Romero Lizbeth</v>
      </c>
      <c r="B11" s="184">
        <f>INGENIERIA!M22</f>
        <v>974.4</v>
      </c>
      <c r="C11" s="184">
        <f>SIND!K21</f>
        <v>0</v>
      </c>
      <c r="D11" s="184">
        <f t="shared" si="0"/>
        <v>974.4</v>
      </c>
      <c r="E11" s="184">
        <v>974.4</v>
      </c>
      <c r="F11" s="184"/>
      <c r="G11" s="184">
        <f t="shared" si="1"/>
        <v>0</v>
      </c>
    </row>
    <row r="12" spans="1:7">
      <c r="A12" s="184" t="str">
        <f>INGENIERIA!B23</f>
        <v>Cazares Chaires Erika</v>
      </c>
      <c r="B12" s="184">
        <f>INGENIERIA!M23</f>
        <v>599</v>
      </c>
      <c r="C12" s="184">
        <f>SIND!K22</f>
        <v>1996.8209999999999</v>
      </c>
      <c r="D12" s="184">
        <f t="shared" si="0"/>
        <v>2595.8209999999999</v>
      </c>
      <c r="E12" s="184">
        <v>599</v>
      </c>
      <c r="F12" s="185">
        <v>1996.82</v>
      </c>
      <c r="G12" s="184">
        <f t="shared" si="1"/>
        <v>-1.0000000002037268E-3</v>
      </c>
    </row>
    <row r="13" spans="1:7">
      <c r="A13" s="184" t="str">
        <f>INGENIERIA!B24</f>
        <v>Gomez Torres Rosaura</v>
      </c>
      <c r="B13" s="184">
        <f>INGENIERIA!M24</f>
        <v>974.4</v>
      </c>
      <c r="C13" s="184">
        <f>SIND!K23</f>
        <v>10782.999</v>
      </c>
      <c r="D13" s="184">
        <f t="shared" si="0"/>
        <v>11757.398999999999</v>
      </c>
      <c r="E13" s="184">
        <v>974.4</v>
      </c>
      <c r="F13" s="185">
        <v>10783</v>
      </c>
      <c r="G13" s="184">
        <f t="shared" si="1"/>
        <v>1.0000000002037268E-3</v>
      </c>
    </row>
    <row r="14" spans="1:7">
      <c r="A14" s="184" t="str">
        <f>INGENIERIA!B25</f>
        <v>Gonzalez  Duarte David</v>
      </c>
      <c r="B14" s="184">
        <f>INGENIERIA!M25</f>
        <v>974.4</v>
      </c>
      <c r="C14" s="184">
        <f>SIND!K24</f>
        <v>0</v>
      </c>
      <c r="D14" s="184">
        <f t="shared" si="0"/>
        <v>974.4</v>
      </c>
      <c r="E14" s="184">
        <v>974.4</v>
      </c>
      <c r="F14" s="184"/>
      <c r="G14" s="184">
        <f t="shared" si="1"/>
        <v>0</v>
      </c>
    </row>
    <row r="15" spans="1:7">
      <c r="A15" s="184" t="str">
        <f>INGENIERIA!B26</f>
        <v>Gonzalez Garcia Luis Roberto</v>
      </c>
      <c r="B15" s="184">
        <f>INGENIERIA!M26</f>
        <v>974.6</v>
      </c>
      <c r="C15" s="184">
        <f>SIND!K25</f>
        <v>6025.7790000000005</v>
      </c>
      <c r="D15" s="184">
        <f t="shared" si="0"/>
        <v>7000.3790000000008</v>
      </c>
      <c r="E15" s="184">
        <v>974.6</v>
      </c>
      <c r="F15" s="185">
        <v>6025.78</v>
      </c>
      <c r="G15" s="184">
        <f t="shared" si="1"/>
        <v>9.9999999929423211E-4</v>
      </c>
    </row>
    <row r="16" spans="1:7">
      <c r="A16" s="184" t="str">
        <f>INGENIERIA!B27</f>
        <v>Gutierrez Olvera Marihuri</v>
      </c>
      <c r="B16" s="184">
        <f>INGENIERIA!M27</f>
        <v>3400.8</v>
      </c>
      <c r="C16" s="184">
        <f>SIND!K26</f>
        <v>2719.422</v>
      </c>
      <c r="D16" s="184">
        <f t="shared" si="0"/>
        <v>6120.2219999999998</v>
      </c>
      <c r="E16" s="185">
        <v>3400.8</v>
      </c>
      <c r="F16" s="185">
        <v>2719.42</v>
      </c>
      <c r="G16" s="184">
        <f t="shared" si="1"/>
        <v>-1.9999999994979589E-3</v>
      </c>
    </row>
    <row r="17" spans="1:7">
      <c r="A17" s="184" t="str">
        <f>INGENIERIA!B28</f>
        <v>Guzman Espiller Sergio Luis Alberto</v>
      </c>
      <c r="B17" s="184">
        <f>INGENIERIA!M28</f>
        <v>1005.2</v>
      </c>
      <c r="C17" s="184">
        <f>SIND!K27</f>
        <v>774.29700000000003</v>
      </c>
      <c r="D17" s="184">
        <f t="shared" si="0"/>
        <v>1779.4970000000001</v>
      </c>
      <c r="E17" s="185">
        <v>1005.2</v>
      </c>
      <c r="F17" s="184">
        <v>774.3</v>
      </c>
      <c r="G17" s="184">
        <f t="shared" si="1"/>
        <v>2.9999999999290594E-3</v>
      </c>
    </row>
    <row r="18" spans="1:7">
      <c r="A18" s="184" t="str">
        <f>INGENIERIA!B29</f>
        <v>Hernandez Quintero Maria De La Luz</v>
      </c>
      <c r="B18" s="184">
        <f>INGENIERIA!M29</f>
        <v>974.6</v>
      </c>
      <c r="C18" s="184">
        <f>SIND!K28</f>
        <v>0</v>
      </c>
      <c r="D18" s="184">
        <f t="shared" si="0"/>
        <v>974.6</v>
      </c>
      <c r="E18" s="184">
        <v>974.6</v>
      </c>
      <c r="F18" s="184"/>
      <c r="G18" s="184">
        <f t="shared" si="1"/>
        <v>0</v>
      </c>
    </row>
    <row r="19" spans="1:7">
      <c r="A19" s="184" t="str">
        <f>INGENIERIA!B30</f>
        <v>Herrera Parra Luis Enrique</v>
      </c>
      <c r="B19" s="184">
        <f>INGENIERIA!M30</f>
        <v>974.6</v>
      </c>
      <c r="C19" s="184">
        <f>SIND!K29</f>
        <v>516.11400000000003</v>
      </c>
      <c r="D19" s="184">
        <f t="shared" si="0"/>
        <v>1490.7139999999999</v>
      </c>
      <c r="E19" s="184">
        <v>974.6</v>
      </c>
      <c r="F19" s="184">
        <v>516.11</v>
      </c>
      <c r="G19" s="184">
        <f t="shared" si="1"/>
        <v>-3.9999999999054126E-3</v>
      </c>
    </row>
    <row r="20" spans="1:7">
      <c r="A20" s="184" t="str">
        <f>INGENIERIA!B31</f>
        <v>Leon Cabello Luis Alberto</v>
      </c>
      <c r="B20" s="184">
        <f>INGENIERIA!M31</f>
        <v>1089</v>
      </c>
      <c r="C20" s="184">
        <f>SIND!K30</f>
        <v>1337.922</v>
      </c>
      <c r="D20" s="184">
        <f t="shared" si="0"/>
        <v>2426.922</v>
      </c>
      <c r="E20" s="185">
        <v>1089</v>
      </c>
      <c r="F20" s="185">
        <v>1337.92</v>
      </c>
      <c r="G20" s="184">
        <f t="shared" si="1"/>
        <v>-1.9999999999527063E-3</v>
      </c>
    </row>
    <row r="21" spans="1:7">
      <c r="A21" s="184" t="str">
        <f>INGENIERIA!B32</f>
        <v>Martinez Gomez Kent Martin</v>
      </c>
      <c r="B21" s="184">
        <f>INGENIERIA!M32</f>
        <v>974.6</v>
      </c>
      <c r="C21" s="184">
        <f>SIND!K31</f>
        <v>0</v>
      </c>
      <c r="D21" s="184">
        <f t="shared" si="0"/>
        <v>974.6</v>
      </c>
      <c r="E21" s="184"/>
      <c r="F21" s="184"/>
      <c r="G21" s="184">
        <f t="shared" si="1"/>
        <v>-974.6</v>
      </c>
    </row>
    <row r="22" spans="1:7">
      <c r="A22" s="184" t="str">
        <f>INGENIERIA!B33</f>
        <v>Monzon Marroquin Juan Arcadio</v>
      </c>
      <c r="B22" s="184">
        <f>INGENIERIA!M33</f>
        <v>3347.8</v>
      </c>
      <c r="C22" s="184">
        <f>SIND!K32</f>
        <v>2597.5529999999999</v>
      </c>
      <c r="D22" s="184">
        <f t="shared" si="0"/>
        <v>5945.3530000000001</v>
      </c>
      <c r="E22" s="185">
        <v>3347.8</v>
      </c>
      <c r="F22" s="185">
        <v>2597.5500000000002</v>
      </c>
      <c r="G22" s="184">
        <f t="shared" si="1"/>
        <v>-2.9999999997016857E-3</v>
      </c>
    </row>
    <row r="23" spans="1:7">
      <c r="A23" s="184" t="str">
        <f>INGENIERIA!B34</f>
        <v>Oliveros Maldonado Miguel</v>
      </c>
      <c r="B23" s="184">
        <f>INGENIERIA!M34</f>
        <v>974.6</v>
      </c>
      <c r="C23" s="184">
        <f>SIND!K33</f>
        <v>2650.0680000000002</v>
      </c>
      <c r="D23" s="184">
        <f t="shared" si="0"/>
        <v>3624.6680000000001</v>
      </c>
      <c r="E23" s="184">
        <v>974.6</v>
      </c>
      <c r="F23" s="185">
        <v>2650.07</v>
      </c>
      <c r="G23" s="184">
        <f t="shared" si="1"/>
        <v>1.9999999999527063E-3</v>
      </c>
    </row>
    <row r="24" spans="1:7">
      <c r="A24" s="184" t="str">
        <f>INGENIERIA!B35</f>
        <v>Ortega Sosa Guillermo</v>
      </c>
      <c r="B24" s="184">
        <f>INGENIERIA!M35</f>
        <v>589.20000000000005</v>
      </c>
      <c r="C24" s="184">
        <f>SIND!K34</f>
        <v>0</v>
      </c>
      <c r="D24" s="184">
        <f t="shared" si="0"/>
        <v>589.20000000000005</v>
      </c>
      <c r="E24" s="184">
        <v>589.20000000000005</v>
      </c>
      <c r="F24" s="184"/>
      <c r="G24" s="184">
        <f t="shared" si="1"/>
        <v>0</v>
      </c>
    </row>
    <row r="25" spans="1:7">
      <c r="A25" s="184" t="str">
        <f>INGENIERIA!B36</f>
        <v>Ramirez Latour Victor Manuel Martin</v>
      </c>
      <c r="B25" s="184">
        <f>INGENIERIA!M36</f>
        <v>974.6</v>
      </c>
      <c r="C25" s="184">
        <f>SIND!K35</f>
        <v>0</v>
      </c>
      <c r="D25" s="184">
        <f t="shared" si="0"/>
        <v>974.6</v>
      </c>
      <c r="E25" s="184">
        <v>974.6</v>
      </c>
      <c r="F25" s="184"/>
      <c r="G25" s="184">
        <f t="shared" si="1"/>
        <v>0</v>
      </c>
    </row>
    <row r="26" spans="1:7">
      <c r="A26" s="184" t="str">
        <f>INGENIERIA!B37</f>
        <v>Ramirez Mondragon Ricardo Heriberto</v>
      </c>
      <c r="B26" s="184">
        <f>INGENIERIA!M37</f>
        <v>974.6</v>
      </c>
      <c r="C26" s="184">
        <f>SIND!K36</f>
        <v>197.631</v>
      </c>
      <c r="D26" s="184">
        <f t="shared" si="0"/>
        <v>1172.231</v>
      </c>
      <c r="E26" s="184">
        <v>974.6</v>
      </c>
      <c r="F26" s="184">
        <v>197.63</v>
      </c>
      <c r="G26" s="184">
        <f t="shared" si="1"/>
        <v>-9.9999999997635314E-4</v>
      </c>
    </row>
    <row r="27" spans="1:7">
      <c r="A27" s="184" t="str">
        <f>INGENIERIA!B38</f>
        <v>Rodriguez Medina Cesar</v>
      </c>
      <c r="B27" s="184">
        <f>INGENIERIA!M38</f>
        <v>974.6</v>
      </c>
      <c r="C27" s="184">
        <f>SIND!K37</f>
        <v>5027.8680000000004</v>
      </c>
      <c r="D27" s="184">
        <f t="shared" si="0"/>
        <v>6002.4680000000008</v>
      </c>
      <c r="E27" s="184">
        <v>974.6</v>
      </c>
      <c r="F27" s="185">
        <v>5027.87</v>
      </c>
      <c r="G27" s="184">
        <f t="shared" si="1"/>
        <v>1.9999999994979589E-3</v>
      </c>
    </row>
    <row r="28" spans="1:7">
      <c r="A28" s="184" t="str">
        <f>INGENIERIA!B39</f>
        <v>Tapia Bolaños Nancy</v>
      </c>
      <c r="B28" s="184">
        <f>INGENIERIA!M39</f>
        <v>272.60000000000002</v>
      </c>
      <c r="C28" s="184">
        <f>SIND!K38</f>
        <v>0</v>
      </c>
      <c r="D28" s="184">
        <f t="shared" si="0"/>
        <v>272.60000000000002</v>
      </c>
      <c r="E28" s="184"/>
      <c r="F28" s="184"/>
      <c r="G28" s="184">
        <f t="shared" si="1"/>
        <v>-272.60000000000002</v>
      </c>
    </row>
    <row r="29" spans="1:7">
      <c r="A29" s="184" t="str">
        <f>INGENIERIA!B40</f>
        <v>Tierrafria Escaramusa Israel</v>
      </c>
      <c r="B29" s="184">
        <f>INGENIERIA!M40</f>
        <v>397.2</v>
      </c>
      <c r="C29" s="184">
        <f>SIND!K39</f>
        <v>2202.723</v>
      </c>
      <c r="D29" s="184">
        <f t="shared" si="0"/>
        <v>2599.9229999999998</v>
      </c>
      <c r="E29" s="184">
        <v>397.2</v>
      </c>
      <c r="F29" s="185">
        <v>2202.7199999999998</v>
      </c>
      <c r="G29" s="184">
        <f t="shared" si="1"/>
        <v>-3.0000000001564331E-3</v>
      </c>
    </row>
    <row r="30" spans="1:7">
      <c r="A30" s="184" t="str">
        <f>INGENIERIA!B41</f>
        <v>Vazquez  Villalobos Ma Felisa</v>
      </c>
      <c r="B30" s="184">
        <f>INGENIERIA!M41</f>
        <v>360.8</v>
      </c>
      <c r="C30" s="184">
        <f>SIND!K40</f>
        <v>0</v>
      </c>
      <c r="D30" s="184">
        <f t="shared" si="0"/>
        <v>360.8</v>
      </c>
      <c r="E30" s="184">
        <v>360.8</v>
      </c>
      <c r="F30" s="184"/>
      <c r="G30" s="184">
        <f t="shared" si="1"/>
        <v>0</v>
      </c>
    </row>
    <row r="31" spans="1:7">
      <c r="A31" s="184" t="str">
        <f>INGENIERIA!B42</f>
        <v>Ventura Santamaria Efrain Enrique</v>
      </c>
      <c r="B31" s="184">
        <f>INGENIERIA!M42</f>
        <v>974.6</v>
      </c>
      <c r="C31" s="184">
        <f>SIND!K41</f>
        <v>0</v>
      </c>
      <c r="D31" s="184">
        <f t="shared" si="0"/>
        <v>974.6</v>
      </c>
      <c r="E31" s="184">
        <v>974.6</v>
      </c>
      <c r="F31" s="184"/>
      <c r="G31" s="184">
        <f t="shared" si="1"/>
        <v>0</v>
      </c>
    </row>
    <row r="32" spans="1:7">
      <c r="A32" s="184" t="str">
        <f>INGENIERIA!B43</f>
        <v>Zarate Martinez Ricardo</v>
      </c>
      <c r="B32" s="184">
        <f>INGENIERIA!M43</f>
        <v>974.6</v>
      </c>
      <c r="C32" s="184">
        <f>SIND!K42</f>
        <v>9413.4330000000009</v>
      </c>
      <c r="D32" s="184">
        <f t="shared" si="0"/>
        <v>10388.033000000001</v>
      </c>
      <c r="E32" s="184">
        <v>974.6</v>
      </c>
      <c r="F32" s="185">
        <v>9413.43</v>
      </c>
      <c r="G32" s="184">
        <f t="shared" si="1"/>
        <v>-3.0000000006111804E-3</v>
      </c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2.75"/>
  <cols>
    <col min="1" max="1" width="19.85546875" customWidth="1"/>
    <col min="2" max="2" width="11.5703125" bestFit="1" customWidth="1"/>
  </cols>
  <sheetData>
    <row r="1" spans="1:6" ht="15">
      <c r="A1" s="211" t="s">
        <v>229</v>
      </c>
      <c r="B1" s="211"/>
      <c r="C1" s="212"/>
      <c r="D1" s="213"/>
      <c r="E1" s="213"/>
      <c r="F1" s="214"/>
    </row>
    <row r="2" spans="1:6" ht="15">
      <c r="A2" s="211" t="s">
        <v>240</v>
      </c>
      <c r="B2" s="211"/>
      <c r="C2" s="212"/>
      <c r="D2" s="213"/>
      <c r="E2" s="213"/>
      <c r="F2" s="214"/>
    </row>
    <row r="3" spans="1:6" ht="15">
      <c r="A3" s="211" t="s">
        <v>230</v>
      </c>
      <c r="B3" s="215" t="s">
        <v>241</v>
      </c>
      <c r="C3" s="212"/>
      <c r="D3" s="213"/>
      <c r="E3" s="213"/>
      <c r="F3" s="214"/>
    </row>
    <row r="4" spans="1:6" ht="15">
      <c r="A4" s="212"/>
      <c r="B4" s="212"/>
      <c r="C4" s="212"/>
      <c r="D4" s="213"/>
      <c r="E4" s="213"/>
      <c r="F4" s="214"/>
    </row>
    <row r="5" spans="1:6" ht="15">
      <c r="A5" s="212" t="s">
        <v>231</v>
      </c>
      <c r="B5" s="212" t="s">
        <v>232</v>
      </c>
      <c r="C5" s="212"/>
      <c r="D5" s="213"/>
      <c r="E5" s="213"/>
      <c r="F5" s="214"/>
    </row>
    <row r="6" spans="1:6" ht="15">
      <c r="A6" s="213" t="s">
        <v>233</v>
      </c>
      <c r="B6" s="216">
        <v>28475.87</v>
      </c>
      <c r="C6" s="213"/>
      <c r="D6" s="213"/>
      <c r="E6" s="213"/>
      <c r="F6" s="214"/>
    </row>
    <row r="7" spans="1:6" ht="15">
      <c r="A7" s="213" t="s">
        <v>234</v>
      </c>
      <c r="B7" s="216">
        <v>10460.83</v>
      </c>
      <c r="C7" s="213"/>
      <c r="D7" s="213"/>
      <c r="E7" s="213"/>
      <c r="F7" s="214"/>
    </row>
    <row r="8" spans="1:6" ht="15">
      <c r="A8" s="213" t="s">
        <v>235</v>
      </c>
      <c r="B8" s="216">
        <v>0</v>
      </c>
      <c r="C8" s="213"/>
      <c r="D8" s="213"/>
      <c r="E8" s="213"/>
      <c r="F8" s="214"/>
    </row>
    <row r="9" spans="1:6" ht="15">
      <c r="A9" s="213" t="s">
        <v>236</v>
      </c>
      <c r="B9" s="216">
        <v>1871.12</v>
      </c>
      <c r="C9" s="213"/>
      <c r="D9" s="213"/>
      <c r="E9" s="213"/>
      <c r="F9" s="214"/>
    </row>
    <row r="10" spans="1:6" ht="15">
      <c r="A10" s="213" t="s">
        <v>237</v>
      </c>
      <c r="B10" s="216">
        <v>0</v>
      </c>
      <c r="C10" s="213"/>
      <c r="D10" s="213"/>
      <c r="E10" s="213"/>
      <c r="F10" s="214"/>
    </row>
    <row r="11" spans="1:6" ht="15">
      <c r="A11" s="213" t="s">
        <v>238</v>
      </c>
      <c r="B11" s="216">
        <v>3910.34</v>
      </c>
      <c r="C11" s="213"/>
      <c r="D11" s="213"/>
      <c r="E11" s="213"/>
      <c r="F11" s="214"/>
    </row>
    <row r="12" spans="1:6" ht="15.75" thickBot="1">
      <c r="A12" s="213" t="s">
        <v>239</v>
      </c>
      <c r="B12" s="217">
        <v>0</v>
      </c>
      <c r="C12" s="213"/>
      <c r="D12" s="213"/>
      <c r="E12" s="213"/>
      <c r="F12" s="214"/>
    </row>
    <row r="13" spans="1:6" ht="15">
      <c r="A13" s="213"/>
      <c r="B13" s="218">
        <f>SUM(B6:B12)</f>
        <v>44718.16</v>
      </c>
      <c r="C13" s="213"/>
      <c r="D13" s="213"/>
      <c r="E13" s="213"/>
      <c r="F13" s="214"/>
    </row>
    <row r="14" spans="1:6" ht="15.75" thickBot="1">
      <c r="A14" s="213"/>
      <c r="B14" s="219">
        <f>B13*0.16</f>
        <v>7154.905600000001</v>
      </c>
      <c r="C14" s="213"/>
      <c r="D14" s="213"/>
      <c r="E14" s="213"/>
      <c r="F14" s="214"/>
    </row>
    <row r="15" spans="1:6" ht="15.75" thickTop="1">
      <c r="A15" s="213"/>
      <c r="B15" s="220">
        <f>+B13+B14</f>
        <v>51873.065600000002</v>
      </c>
      <c r="C15" s="213"/>
      <c r="D15" s="213"/>
      <c r="E15" s="213"/>
      <c r="F15" s="214"/>
    </row>
    <row r="16" spans="1:6" ht="15">
      <c r="A16" s="213"/>
      <c r="B16" s="216">
        <v>51873.07</v>
      </c>
      <c r="C16" s="213"/>
      <c r="D16" s="213"/>
      <c r="E16" s="213"/>
      <c r="F16" s="214"/>
    </row>
    <row r="17" spans="1:6" ht="15">
      <c r="A17" s="213"/>
      <c r="B17" s="216">
        <f>B16-B15</f>
        <v>4.3999999979860149E-3</v>
      </c>
      <c r="C17" s="213"/>
      <c r="D17" s="213"/>
      <c r="E17" s="213"/>
      <c r="F17" s="214"/>
    </row>
    <row r="18" spans="1:6" ht="15">
      <c r="A18" s="213"/>
      <c r="B18" s="216"/>
      <c r="C18" s="213"/>
      <c r="D18" s="213"/>
      <c r="E18" s="213"/>
      <c r="F18" s="214"/>
    </row>
    <row r="19" spans="1:6">
      <c r="A19" s="213"/>
      <c r="B19" s="213"/>
      <c r="C19" s="213"/>
      <c r="D19" s="213"/>
      <c r="E19" s="213"/>
      <c r="F19" s="214"/>
    </row>
    <row r="22" spans="1:6" ht="15">
      <c r="A22" s="211" t="s">
        <v>229</v>
      </c>
      <c r="B22" s="211"/>
      <c r="C22" s="212"/>
      <c r="D22" s="213"/>
      <c r="E22" s="213"/>
      <c r="F22" s="214"/>
    </row>
    <row r="23" spans="1:6" ht="15">
      <c r="A23" s="211" t="s">
        <v>240</v>
      </c>
      <c r="B23" s="211"/>
      <c r="C23" s="212"/>
      <c r="D23" s="213"/>
      <c r="E23" s="213"/>
      <c r="F23" s="214"/>
    </row>
    <row r="24" spans="1:6" ht="15">
      <c r="A24" s="211" t="s">
        <v>230</v>
      </c>
      <c r="B24" s="215" t="s">
        <v>241</v>
      </c>
      <c r="C24" s="212"/>
      <c r="D24" s="213"/>
      <c r="E24" s="213"/>
      <c r="F24" s="214"/>
    </row>
    <row r="25" spans="1:6" ht="15">
      <c r="A25" s="212"/>
      <c r="B25" s="212"/>
      <c r="C25" s="212"/>
      <c r="D25" s="213"/>
      <c r="E25" s="213"/>
      <c r="F25" s="214"/>
    </row>
    <row r="26" spans="1:6" ht="15">
      <c r="A26" s="212" t="s">
        <v>231</v>
      </c>
      <c r="B26" s="212" t="s">
        <v>232</v>
      </c>
      <c r="C26" s="212"/>
      <c r="D26" s="213"/>
      <c r="E26" s="213"/>
      <c r="F26" s="214"/>
    </row>
    <row r="27" spans="1:6" ht="15">
      <c r="A27" s="213" t="s">
        <v>233</v>
      </c>
      <c r="B27" s="216">
        <v>45310.080000000002</v>
      </c>
      <c r="C27" s="213"/>
      <c r="D27" s="213"/>
      <c r="E27" s="213"/>
      <c r="F27" s="214"/>
    </row>
    <row r="28" spans="1:6" ht="15">
      <c r="A28" s="213" t="s">
        <v>234</v>
      </c>
      <c r="B28" s="216">
        <v>13966.72</v>
      </c>
      <c r="C28" s="213"/>
      <c r="D28" s="213"/>
      <c r="E28" s="213"/>
      <c r="F28" s="214"/>
    </row>
    <row r="29" spans="1:6" ht="15">
      <c r="A29" s="213" t="s">
        <v>235</v>
      </c>
      <c r="B29" s="216">
        <v>0</v>
      </c>
      <c r="C29" s="213"/>
      <c r="D29" s="213"/>
      <c r="E29" s="213"/>
      <c r="F29" s="214"/>
    </row>
    <row r="30" spans="1:6" ht="15">
      <c r="A30" s="213" t="s">
        <v>236</v>
      </c>
      <c r="B30" s="216">
        <v>0</v>
      </c>
      <c r="C30" s="213"/>
      <c r="D30" s="213"/>
      <c r="E30" s="213"/>
      <c r="F30" s="214"/>
    </row>
    <row r="31" spans="1:6" ht="15">
      <c r="A31" s="213" t="s">
        <v>237</v>
      </c>
      <c r="B31" s="216">
        <v>0</v>
      </c>
      <c r="C31" s="213"/>
      <c r="D31" s="213"/>
      <c r="E31" s="213"/>
      <c r="F31" s="214"/>
    </row>
    <row r="32" spans="1:6" ht="15">
      <c r="A32" s="213" t="s">
        <v>238</v>
      </c>
      <c r="B32" s="216">
        <v>4565.6000000000004</v>
      </c>
      <c r="C32" s="213"/>
      <c r="D32" s="213"/>
      <c r="E32" s="213"/>
      <c r="F32" s="214"/>
    </row>
    <row r="33" spans="1:6" ht="15.75" thickBot="1">
      <c r="A33" s="213" t="s">
        <v>239</v>
      </c>
      <c r="B33" s="217">
        <v>0</v>
      </c>
      <c r="C33" s="213"/>
      <c r="D33" s="213"/>
      <c r="E33" s="213"/>
      <c r="F33" s="214"/>
    </row>
    <row r="34" spans="1:6" ht="15">
      <c r="A34" s="213"/>
      <c r="B34" s="218">
        <f>SUM(B27:B33)</f>
        <v>63842.400000000001</v>
      </c>
      <c r="C34" s="213"/>
      <c r="D34" s="213"/>
      <c r="E34" s="213"/>
      <c r="F34" s="214"/>
    </row>
    <row r="35" spans="1:6" ht="15.75" thickBot="1">
      <c r="A35" s="213"/>
      <c r="B35" s="219">
        <f>B34*0.16</f>
        <v>10214.784</v>
      </c>
      <c r="C35" s="213"/>
      <c r="D35" s="213"/>
      <c r="E35" s="213"/>
      <c r="F35" s="214"/>
    </row>
    <row r="36" spans="1:6" ht="15.75" thickTop="1">
      <c r="A36" s="213"/>
      <c r="B36" s="220">
        <f>+B34+B35</f>
        <v>74057.184000000008</v>
      </c>
      <c r="C36" s="213"/>
      <c r="D36" s="213"/>
      <c r="E36" s="213"/>
      <c r="F36" s="214"/>
    </row>
    <row r="37" spans="1:6" ht="15">
      <c r="A37" s="213"/>
      <c r="B37" s="216">
        <v>74057.179999999993</v>
      </c>
      <c r="C37" s="213"/>
      <c r="D37" s="213"/>
      <c r="E37" s="213"/>
      <c r="F37" s="214"/>
    </row>
    <row r="38" spans="1:6" ht="15">
      <c r="A38" s="213"/>
      <c r="B38" s="216">
        <f>B37-B36</f>
        <v>-4.0000000153668225E-3</v>
      </c>
      <c r="C38" s="213"/>
      <c r="D38" s="213"/>
      <c r="E38" s="213"/>
      <c r="F38" s="214"/>
    </row>
    <row r="39" spans="1:6" ht="15">
      <c r="A39" s="213"/>
      <c r="B39" s="216"/>
      <c r="C39" s="213"/>
      <c r="D39" s="213"/>
      <c r="E39" s="213"/>
      <c r="F39" s="214"/>
    </row>
    <row r="40" spans="1:6">
      <c r="A40" s="213"/>
      <c r="B40" s="213"/>
      <c r="C40" s="213"/>
      <c r="D40" s="213"/>
      <c r="E40" s="213"/>
      <c r="F40" s="2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INGENIERIA</vt:lpstr>
      <vt:lpstr>SIND</vt:lpstr>
      <vt:lpstr>FORMATO NOMINA</vt:lpstr>
      <vt:lpstr>DISPERSIONES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2016-09-26T16:41:18Z</dcterms:modified>
</cp:coreProperties>
</file>