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12240" windowHeight="5190" activeTab="4"/>
  </bookViews>
  <sheets>
    <sheet name="FACTURACIÓN" sheetId="1" r:id="rId1"/>
    <sheet name="INGENIERIA" sheetId="2" r:id="rId2"/>
    <sheet name="SIND" sheetId="3" r:id="rId3"/>
    <sheet name="Hoja1" sheetId="4" r:id="rId4"/>
    <sheet name="POLIZA" sheetId="5" r:id="rId5"/>
  </sheets>
  <definedNames>
    <definedName name="_xlnm._FilterDatabase" localSheetId="0" hidden="1">FACTURACIÓN!$A$10:$BJ$39</definedName>
    <definedName name="_xlnm.Print_Area" localSheetId="3">Hoja1!$G$1:$M$45</definedName>
    <definedName name="_xlnm.Print_Area" localSheetId="1">INGENIERIA!$A$1:$M$43</definedName>
    <definedName name="_xlnm.Print_Area" localSheetId="2">SIND!$A$1:$I$45</definedName>
  </definedNames>
  <calcPr calcId="124519"/>
</workbook>
</file>

<file path=xl/calcChain.xml><?xml version="1.0" encoding="utf-8"?>
<calcChain xmlns="http://schemas.openxmlformats.org/spreadsheetml/2006/main">
  <c r="B34" i="5"/>
  <c r="B35" s="1"/>
  <c r="B13"/>
  <c r="B14" s="1"/>
  <c r="C43" i="2"/>
  <c r="B15" i="5" l="1"/>
  <c r="B17" s="1"/>
  <c r="B36"/>
  <c r="B38" s="1"/>
  <c r="K11" i="2"/>
  <c r="I13"/>
  <c r="I11"/>
  <c r="E11"/>
  <c r="F43"/>
  <c r="G43"/>
  <c r="H43"/>
  <c r="J43"/>
  <c r="D44" i="3"/>
  <c r="G44"/>
  <c r="K19" i="1"/>
  <c r="K18"/>
  <c r="K17"/>
  <c r="K16"/>
  <c r="K15"/>
  <c r="K14"/>
  <c r="K13"/>
  <c r="K12"/>
  <c r="K11"/>
  <c r="AF41"/>
  <c r="AG41"/>
  <c r="AH41"/>
  <c r="AJ41"/>
  <c r="AK41"/>
  <c r="AL41"/>
  <c r="AM41"/>
  <c r="AN41"/>
  <c r="AO41"/>
  <c r="AV41"/>
  <c r="AW41"/>
  <c r="AY41"/>
  <c r="AZ41"/>
  <c r="AE39"/>
  <c r="AE34"/>
  <c r="AE22"/>
  <c r="AE19"/>
  <c r="AE41" s="1"/>
  <c r="L11" i="2" l="1"/>
  <c r="M11" s="1"/>
  <c r="H3" i="4"/>
  <c r="L3"/>
  <c r="F36"/>
  <c r="F37"/>
  <c r="F38"/>
  <c r="F39"/>
  <c r="F32"/>
  <c r="F33"/>
  <c r="F34"/>
  <c r="F35"/>
  <c r="L42"/>
  <c r="L39"/>
  <c r="H39"/>
  <c r="H42" s="1"/>
  <c r="L34"/>
  <c r="L41" s="1"/>
  <c r="L43" s="1"/>
  <c r="H34"/>
  <c r="H41" s="1"/>
  <c r="D19"/>
  <c r="D20"/>
  <c r="D21"/>
  <c r="D22"/>
  <c r="D23"/>
  <c r="D24"/>
  <c r="D25"/>
  <c r="D26"/>
  <c r="D27"/>
  <c r="D28"/>
  <c r="D29"/>
  <c r="D30"/>
  <c r="D31"/>
  <c r="D32"/>
  <c r="D33"/>
  <c r="D34"/>
  <c r="D35"/>
  <c r="D15"/>
  <c r="D16"/>
  <c r="D17"/>
  <c r="D18"/>
  <c r="D8"/>
  <c r="D9"/>
  <c r="D10"/>
  <c r="D11"/>
  <c r="D12"/>
  <c r="D13"/>
  <c r="D14"/>
  <c r="D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7"/>
  <c r="H43" l="1"/>
  <c r="J13" i="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2"/>
  <c r="N12" i="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11"/>
  <c r="AK99"/>
  <c r="AL99" s="1"/>
  <c r="AK98"/>
  <c r="AL98" s="1"/>
  <c r="AL95"/>
  <c r="AK95"/>
  <c r="AM49"/>
  <c r="AM48"/>
  <c r="X47"/>
  <c r="AE47" s="1"/>
  <c r="AM45"/>
  <c r="AF45"/>
  <c r="AM44"/>
  <c r="AJ44"/>
  <c r="AJ45" s="1"/>
  <c r="AM43"/>
  <c r="AM42"/>
  <c r="AD41"/>
  <c r="AC41"/>
  <c r="AB41"/>
  <c r="AA41"/>
  <c r="Z41"/>
  <c r="Y41"/>
  <c r="W41"/>
  <c r="V41"/>
  <c r="U41"/>
  <c r="AM40"/>
  <c r="AI39"/>
  <c r="X39"/>
  <c r="AI38"/>
  <c r="X38"/>
  <c r="AI37"/>
  <c r="X37"/>
  <c r="AI36"/>
  <c r="X36"/>
  <c r="AI35"/>
  <c r="X35"/>
  <c r="AI34"/>
  <c r="X34"/>
  <c r="AI33"/>
  <c r="X33"/>
  <c r="AI32"/>
  <c r="X32"/>
  <c r="AE32" s="1"/>
  <c r="AI31"/>
  <c r="X31"/>
  <c r="AE31" s="1"/>
  <c r="AI30"/>
  <c r="X30"/>
  <c r="AE30" s="1"/>
  <c r="AI29"/>
  <c r="X29"/>
  <c r="AI28"/>
  <c r="X28"/>
  <c r="AI27"/>
  <c r="X27"/>
  <c r="AI26"/>
  <c r="X26"/>
  <c r="AI25"/>
  <c r="X25"/>
  <c r="X24"/>
  <c r="AH24" s="1"/>
  <c r="AI23"/>
  <c r="X23"/>
  <c r="AI22"/>
  <c r="X22"/>
  <c r="AI21"/>
  <c r="X21"/>
  <c r="AI20"/>
  <c r="X20"/>
  <c r="AI19"/>
  <c r="T19"/>
  <c r="T41" s="1"/>
  <c r="AI18"/>
  <c r="X18"/>
  <c r="AE18" s="1"/>
  <c r="AI17"/>
  <c r="X17"/>
  <c r="AE17" s="1"/>
  <c r="AI16"/>
  <c r="X16"/>
  <c r="AE16" s="1"/>
  <c r="AI15"/>
  <c r="X15"/>
  <c r="AE15" s="1"/>
  <c r="AI14"/>
  <c r="X14"/>
  <c r="AI13"/>
  <c r="X13"/>
  <c r="AI12"/>
  <c r="X12"/>
  <c r="AI11"/>
  <c r="X11"/>
  <c r="N11" i="1"/>
  <c r="X19" i="2" l="1"/>
  <c r="X41" s="1"/>
  <c r="AF15"/>
  <c r="AG15" s="1"/>
  <c r="AE11"/>
  <c r="AE12"/>
  <c r="AE13"/>
  <c r="AE14"/>
  <c r="AH15"/>
  <c r="AJ15" s="1"/>
  <c r="AF11"/>
  <c r="AH11"/>
  <c r="AJ11" s="1"/>
  <c r="AF12"/>
  <c r="AH12"/>
  <c r="AJ12" s="1"/>
  <c r="AF13"/>
  <c r="AH13"/>
  <c r="AJ13" s="1"/>
  <c r="AF14"/>
  <c r="AH14"/>
  <c r="AJ14" s="1"/>
  <c r="AH47"/>
  <c r="AF47"/>
  <c r="AJ47"/>
  <c r="AG47"/>
  <c r="AM47" s="1"/>
  <c r="AF16"/>
  <c r="AG16" s="1"/>
  <c r="AM16" s="1"/>
  <c r="AH16"/>
  <c r="AJ16" s="1"/>
  <c r="AF17"/>
  <c r="AG17" s="1"/>
  <c r="AM17" s="1"/>
  <c r="AH17"/>
  <c r="AJ17" s="1"/>
  <c r="AF18"/>
  <c r="AG18" s="1"/>
  <c r="AM18" s="1"/>
  <c r="AH18"/>
  <c r="AJ18" s="1"/>
  <c r="AE20"/>
  <c r="AE21"/>
  <c r="AE22"/>
  <c r="AE23"/>
  <c r="AE24"/>
  <c r="AG24" s="1"/>
  <c r="AE25"/>
  <c r="AE26"/>
  <c r="AE27"/>
  <c r="AE28"/>
  <c r="AE29"/>
  <c r="AF30"/>
  <c r="AG30" s="1"/>
  <c r="AM30" s="1"/>
  <c r="AH30"/>
  <c r="AJ30" s="1"/>
  <c r="AF31"/>
  <c r="AG31" s="1"/>
  <c r="AM31" s="1"/>
  <c r="AH31"/>
  <c r="AJ31" s="1"/>
  <c r="AF32"/>
  <c r="AG32" s="1"/>
  <c r="AH32"/>
  <c r="AJ32" s="1"/>
  <c r="AE33"/>
  <c r="AE34"/>
  <c r="AE35"/>
  <c r="AE36"/>
  <c r="AE37"/>
  <c r="AE38"/>
  <c r="AE39"/>
  <c r="AH19"/>
  <c r="AJ19" s="1"/>
  <c r="AF20"/>
  <c r="AH20"/>
  <c r="AJ20" s="1"/>
  <c r="AF21"/>
  <c r="AH21"/>
  <c r="AJ21" s="1"/>
  <c r="AF22"/>
  <c r="AH22"/>
  <c r="AJ22" s="1"/>
  <c r="AF23"/>
  <c r="AH23"/>
  <c r="AJ23" s="1"/>
  <c r="AF25"/>
  <c r="AH25"/>
  <c r="AJ25" s="1"/>
  <c r="AF26"/>
  <c r="AH26"/>
  <c r="AJ26" s="1"/>
  <c r="AF27"/>
  <c r="AH27"/>
  <c r="AJ27" s="1"/>
  <c r="AF28"/>
  <c r="AH28"/>
  <c r="AJ28" s="1"/>
  <c r="AF29"/>
  <c r="AH29"/>
  <c r="AJ29" s="1"/>
  <c r="AF33"/>
  <c r="AH33"/>
  <c r="AJ33" s="1"/>
  <c r="AF34"/>
  <c r="AH34"/>
  <c r="AJ34" s="1"/>
  <c r="AF35"/>
  <c r="AH35"/>
  <c r="AJ35" s="1"/>
  <c r="AF36"/>
  <c r="AH36"/>
  <c r="AJ36" s="1"/>
  <c r="AJ48" s="1"/>
  <c r="AF37"/>
  <c r="AH37"/>
  <c r="AJ37" s="1"/>
  <c r="AF38"/>
  <c r="AH38"/>
  <c r="AJ38" s="1"/>
  <c r="AF39"/>
  <c r="AH39"/>
  <c r="AJ39" s="1"/>
  <c r="AF19" l="1"/>
  <c r="AF41" s="1"/>
  <c r="AE19"/>
  <c r="AE41" s="1"/>
  <c r="AG39"/>
  <c r="AM39" s="1"/>
  <c r="AG37"/>
  <c r="AM37" s="1"/>
  <c r="AG35"/>
  <c r="AM35" s="1"/>
  <c r="AG33"/>
  <c r="AM33" s="1"/>
  <c r="AG29"/>
  <c r="AG27"/>
  <c r="AM27" s="1"/>
  <c r="AG22"/>
  <c r="AM22" s="1"/>
  <c r="AG20"/>
  <c r="AM20" s="1"/>
  <c r="AG13"/>
  <c r="AM13" s="1"/>
  <c r="AG11"/>
  <c r="AG38"/>
  <c r="AM38" s="1"/>
  <c r="AG36"/>
  <c r="AM36" s="1"/>
  <c r="AG34"/>
  <c r="AM34" s="1"/>
  <c r="AG28"/>
  <c r="AM28" s="1"/>
  <c r="AG26"/>
  <c r="AM26" s="1"/>
  <c r="AG25"/>
  <c r="AM25" s="1"/>
  <c r="AG23"/>
  <c r="AM23" s="1"/>
  <c r="AG21"/>
  <c r="AM21" s="1"/>
  <c r="AJ49"/>
  <c r="AH41"/>
  <c r="AG14"/>
  <c r="AM14" s="1"/>
  <c r="AG12"/>
  <c r="AM12" s="1"/>
  <c r="AG19" l="1"/>
  <c r="AM19" s="1"/>
  <c r="AM11"/>
  <c r="AG41" l="1"/>
  <c r="AM41" s="1"/>
  <c r="N12" i="1" l="1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11"/>
  <c r="K12" i="2"/>
  <c r="K13"/>
  <c r="L13" s="1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E12"/>
  <c r="M12" i="1" s="1"/>
  <c r="P12" s="1"/>
  <c r="E13" i="2"/>
  <c r="M13" i="1" s="1"/>
  <c r="P13" s="1"/>
  <c r="E14" i="2"/>
  <c r="M14" i="1" s="1"/>
  <c r="P14" s="1"/>
  <c r="E15" i="2"/>
  <c r="M15" i="1" s="1"/>
  <c r="E16" i="2"/>
  <c r="M16" i="1" s="1"/>
  <c r="E17" i="2"/>
  <c r="M17" i="1" s="1"/>
  <c r="E18" i="2"/>
  <c r="M18" i="1" s="1"/>
  <c r="E19" i="2"/>
  <c r="M19" i="1" s="1"/>
  <c r="E20" i="2"/>
  <c r="M20" i="1" s="1"/>
  <c r="E21" i="2"/>
  <c r="M21" i="1" s="1"/>
  <c r="E22" i="2"/>
  <c r="M22" i="1" s="1"/>
  <c r="E23" i="2"/>
  <c r="M23" i="1" s="1"/>
  <c r="E25" i="2"/>
  <c r="M25" i="1" s="1"/>
  <c r="E26" i="2"/>
  <c r="M26" i="1" s="1"/>
  <c r="E27" i="2"/>
  <c r="M27" i="1" s="1"/>
  <c r="E28" i="2"/>
  <c r="M28" i="1" s="1"/>
  <c r="E29" i="2"/>
  <c r="M29" i="1" s="1"/>
  <c r="E30" i="2"/>
  <c r="M30" i="1" s="1"/>
  <c r="E31" i="2"/>
  <c r="M31" i="1" s="1"/>
  <c r="E32" i="2"/>
  <c r="M32" i="1" s="1"/>
  <c r="E33" i="2"/>
  <c r="M33" i="1" s="1"/>
  <c r="E34" i="2"/>
  <c r="M34" i="1" s="1"/>
  <c r="E35" i="2"/>
  <c r="M35" i="1" s="1"/>
  <c r="E36" i="2"/>
  <c r="C36" i="1" s="1"/>
  <c r="C43" s="1"/>
  <c r="E37" i="2"/>
  <c r="M37" i="1" s="1"/>
  <c r="E38" i="2"/>
  <c r="M38" i="1" s="1"/>
  <c r="E39" i="2"/>
  <c r="M39" i="1" s="1"/>
  <c r="D24" i="2"/>
  <c r="B4" i="3"/>
  <c r="G4" i="4" s="1"/>
  <c r="K4" s="1"/>
  <c r="B4" i="2"/>
  <c r="I12"/>
  <c r="I14"/>
  <c r="I15"/>
  <c r="L15" s="1"/>
  <c r="I16"/>
  <c r="I17"/>
  <c r="I18"/>
  <c r="I19"/>
  <c r="L19" s="1"/>
  <c r="I20"/>
  <c r="I21"/>
  <c r="I22"/>
  <c r="I23"/>
  <c r="L23" s="1"/>
  <c r="I24"/>
  <c r="I25"/>
  <c r="I26"/>
  <c r="I27"/>
  <c r="I28"/>
  <c r="L28" s="1"/>
  <c r="M28" s="1"/>
  <c r="I29"/>
  <c r="I30"/>
  <c r="I31"/>
  <c r="I32"/>
  <c r="L32" s="1"/>
  <c r="M32" s="1"/>
  <c r="I33"/>
  <c r="I34"/>
  <c r="I35"/>
  <c r="I36"/>
  <c r="L36" s="1"/>
  <c r="I37"/>
  <c r="I38"/>
  <c r="I39"/>
  <c r="C16" i="3"/>
  <c r="C18"/>
  <c r="C20"/>
  <c r="F20" s="1"/>
  <c r="K20" i="1"/>
  <c r="K21"/>
  <c r="C22" i="3" s="1"/>
  <c r="F22" s="1"/>
  <c r="K22" i="1"/>
  <c r="C23" i="3" s="1"/>
  <c r="F23" s="1"/>
  <c r="K23" i="1"/>
  <c r="C24" i="3" s="1"/>
  <c r="F24" s="1"/>
  <c r="K24" i="1"/>
  <c r="C25" i="3" s="1"/>
  <c r="K25" i="1"/>
  <c r="C26" i="3" s="1"/>
  <c r="K26" i="1"/>
  <c r="C27" i="3" s="1"/>
  <c r="K27" i="1"/>
  <c r="K28"/>
  <c r="C29" i="3" s="1"/>
  <c r="K29" i="1"/>
  <c r="K30"/>
  <c r="C31" i="3" s="1"/>
  <c r="K31" i="1"/>
  <c r="K32"/>
  <c r="C33" i="3" s="1"/>
  <c r="K33" i="1"/>
  <c r="C34" i="3" s="1"/>
  <c r="K34" i="1"/>
  <c r="C35" i="3" s="1"/>
  <c r="K35" i="1"/>
  <c r="K36"/>
  <c r="C37" i="3" s="1"/>
  <c r="K37" i="1"/>
  <c r="K38"/>
  <c r="C39" i="3" s="1"/>
  <c r="K39" i="1"/>
  <c r="D43"/>
  <c r="E43"/>
  <c r="F43"/>
  <c r="G43"/>
  <c r="H43"/>
  <c r="C13" i="3"/>
  <c r="C15"/>
  <c r="C17"/>
  <c r="F17" s="1"/>
  <c r="C19"/>
  <c r="C21"/>
  <c r="F21" s="1"/>
  <c r="C28"/>
  <c r="C30"/>
  <c r="C32"/>
  <c r="C36"/>
  <c r="C38"/>
  <c r="C40"/>
  <c r="C12"/>
  <c r="M11" i="1"/>
  <c r="P11" s="1"/>
  <c r="AV99"/>
  <c r="AW99" s="1"/>
  <c r="AV98"/>
  <c r="AW98" s="1"/>
  <c r="AW95"/>
  <c r="AV95"/>
  <c r="AX49"/>
  <c r="AX48"/>
  <c r="AI47"/>
  <c r="AP47" s="1"/>
  <c r="AX45"/>
  <c r="AX44"/>
  <c r="AX43"/>
  <c r="AX42"/>
  <c r="AX40"/>
  <c r="AT39"/>
  <c r="AI39"/>
  <c r="AP39" s="1"/>
  <c r="AT38"/>
  <c r="AI38"/>
  <c r="AP38" s="1"/>
  <c r="AT37"/>
  <c r="AI37"/>
  <c r="AP37" s="1"/>
  <c r="AT36"/>
  <c r="AI36"/>
  <c r="AP36" s="1"/>
  <c r="AT35"/>
  <c r="AI35"/>
  <c r="AP35" s="1"/>
  <c r="AT34"/>
  <c r="AI34"/>
  <c r="AP34" s="1"/>
  <c r="AT33"/>
  <c r="AI33"/>
  <c r="AP33" s="1"/>
  <c r="AT32"/>
  <c r="AI32"/>
  <c r="AP32" s="1"/>
  <c r="AT31"/>
  <c r="AI31"/>
  <c r="AP31" s="1"/>
  <c r="AT30"/>
  <c r="AI30"/>
  <c r="AP30" s="1"/>
  <c r="AT29"/>
  <c r="AI29"/>
  <c r="AP29" s="1"/>
  <c r="AT28"/>
  <c r="AI28"/>
  <c r="AP28" s="1"/>
  <c r="AT27"/>
  <c r="AI27"/>
  <c r="AP27" s="1"/>
  <c r="AT26"/>
  <c r="AI26"/>
  <c r="AP26" s="1"/>
  <c r="AT25"/>
  <c r="AI25"/>
  <c r="AP25" s="1"/>
  <c r="AI24"/>
  <c r="AP24" s="1"/>
  <c r="AR24" s="1"/>
  <c r="AT23"/>
  <c r="AI23"/>
  <c r="AP23" s="1"/>
  <c r="AT22"/>
  <c r="AI22"/>
  <c r="AP22" s="1"/>
  <c r="AT21"/>
  <c r="AI21"/>
  <c r="AP21" s="1"/>
  <c r="AT20"/>
  <c r="AI20"/>
  <c r="AP20" s="1"/>
  <c r="AT19"/>
  <c r="AT18"/>
  <c r="AI18"/>
  <c r="AP18" s="1"/>
  <c r="AT17"/>
  <c r="AI17"/>
  <c r="AP17" s="1"/>
  <c r="AT16"/>
  <c r="AI16"/>
  <c r="AP16" s="1"/>
  <c r="AT15"/>
  <c r="AI15"/>
  <c r="AP15" s="1"/>
  <c r="AT14"/>
  <c r="AI14"/>
  <c r="AP14" s="1"/>
  <c r="AT13"/>
  <c r="AI13"/>
  <c r="AP13" s="1"/>
  <c r="AT12"/>
  <c r="AI12"/>
  <c r="AP12" s="1"/>
  <c r="AT11"/>
  <c r="AT41" s="1"/>
  <c r="AI11"/>
  <c r="L25" i="2" l="1"/>
  <c r="L21"/>
  <c r="L17"/>
  <c r="L38"/>
  <c r="M38" s="1"/>
  <c r="L34"/>
  <c r="M34" s="1"/>
  <c r="L30"/>
  <c r="M30" s="1"/>
  <c r="L26"/>
  <c r="M26" s="1"/>
  <c r="K43" i="1"/>
  <c r="F12" i="3"/>
  <c r="M25" i="2"/>
  <c r="E24"/>
  <c r="D43"/>
  <c r="I43"/>
  <c r="K43"/>
  <c r="M36"/>
  <c r="M36" i="1"/>
  <c r="E43" i="2"/>
  <c r="N43" i="1"/>
  <c r="AP11"/>
  <c r="C14" i="3"/>
  <c r="F14" s="1"/>
  <c r="M23" i="2"/>
  <c r="M21"/>
  <c r="M19"/>
  <c r="M17"/>
  <c r="M15"/>
  <c r="M13"/>
  <c r="L39"/>
  <c r="M39" s="1"/>
  <c r="L37"/>
  <c r="M37" s="1"/>
  <c r="L35"/>
  <c r="M35" s="1"/>
  <c r="L33"/>
  <c r="M33" s="1"/>
  <c r="L31"/>
  <c r="M31" s="1"/>
  <c r="L29"/>
  <c r="M29" s="1"/>
  <c r="L27"/>
  <c r="M27" s="1"/>
  <c r="L24"/>
  <c r="M24" s="1"/>
  <c r="L22"/>
  <c r="M22" s="1"/>
  <c r="L20"/>
  <c r="M20" s="1"/>
  <c r="L18"/>
  <c r="M18" s="1"/>
  <c r="L16"/>
  <c r="M16" s="1"/>
  <c r="L14"/>
  <c r="M14" s="1"/>
  <c r="L12"/>
  <c r="M12" s="1"/>
  <c r="M24" i="1"/>
  <c r="P39"/>
  <c r="O39"/>
  <c r="O37"/>
  <c r="P37"/>
  <c r="P35"/>
  <c r="O35"/>
  <c r="O33"/>
  <c r="P33"/>
  <c r="P31"/>
  <c r="O31"/>
  <c r="O29"/>
  <c r="P29"/>
  <c r="P27"/>
  <c r="O27"/>
  <c r="P23"/>
  <c r="O23"/>
  <c r="P21"/>
  <c r="O21"/>
  <c r="P19"/>
  <c r="O19"/>
  <c r="P17"/>
  <c r="O17"/>
  <c r="P15"/>
  <c r="O15"/>
  <c r="O13"/>
  <c r="P38"/>
  <c r="O38"/>
  <c r="P34"/>
  <c r="O34"/>
  <c r="P32"/>
  <c r="O32"/>
  <c r="P30"/>
  <c r="O30"/>
  <c r="P28"/>
  <c r="O28"/>
  <c r="P26"/>
  <c r="O26"/>
  <c r="P25"/>
  <c r="O25"/>
  <c r="O22"/>
  <c r="P22"/>
  <c r="P20"/>
  <c r="O20"/>
  <c r="O18"/>
  <c r="P18"/>
  <c r="P16"/>
  <c r="O16"/>
  <c r="O14"/>
  <c r="O12"/>
  <c r="O11"/>
  <c r="Q11" s="1"/>
  <c r="AQ31"/>
  <c r="AR31" s="1"/>
  <c r="AX31" s="1"/>
  <c r="AQ17"/>
  <c r="AR17" s="1"/>
  <c r="AX17" s="1"/>
  <c r="AS24"/>
  <c r="AS16"/>
  <c r="AU16" s="1"/>
  <c r="AS18"/>
  <c r="AU18" s="1"/>
  <c r="AS30"/>
  <c r="AU30" s="1"/>
  <c r="AS32"/>
  <c r="AU32" s="1"/>
  <c r="AR47"/>
  <c r="AX47" s="1"/>
  <c r="AS47"/>
  <c r="AU47" s="1"/>
  <c r="AQ47"/>
  <c r="AQ11"/>
  <c r="AS11"/>
  <c r="AQ12"/>
  <c r="AR12" s="1"/>
  <c r="AX12" s="1"/>
  <c r="AS12"/>
  <c r="AU12" s="1"/>
  <c r="AQ13"/>
  <c r="AR13" s="1"/>
  <c r="AX13" s="1"/>
  <c r="AS13"/>
  <c r="AU13" s="1"/>
  <c r="AQ14"/>
  <c r="AR14" s="1"/>
  <c r="AX14" s="1"/>
  <c r="AS14"/>
  <c r="AU14" s="1"/>
  <c r="AQ16"/>
  <c r="AR16" s="1"/>
  <c r="AX16" s="1"/>
  <c r="AS17"/>
  <c r="AU17" s="1"/>
  <c r="AQ18"/>
  <c r="AR18" s="1"/>
  <c r="AX18" s="1"/>
  <c r="AI19"/>
  <c r="AI41" s="1"/>
  <c r="AQ30"/>
  <c r="AR30" s="1"/>
  <c r="AX30" s="1"/>
  <c r="AS31"/>
  <c r="AU31" s="1"/>
  <c r="AQ32"/>
  <c r="AR32" s="1"/>
  <c r="AQ15"/>
  <c r="AR15" s="1"/>
  <c r="AS15"/>
  <c r="AU15" s="1"/>
  <c r="AQ20"/>
  <c r="AR20" s="1"/>
  <c r="AX20" s="1"/>
  <c r="AS20"/>
  <c r="AU20" s="1"/>
  <c r="AQ21"/>
  <c r="AR21" s="1"/>
  <c r="AX21" s="1"/>
  <c r="AS21"/>
  <c r="AU21" s="1"/>
  <c r="AQ22"/>
  <c r="AR22" s="1"/>
  <c r="AX22" s="1"/>
  <c r="AS22"/>
  <c r="AU22" s="1"/>
  <c r="AQ23"/>
  <c r="AR23" s="1"/>
  <c r="AX23" s="1"/>
  <c r="AS23"/>
  <c r="AU23" s="1"/>
  <c r="AQ25"/>
  <c r="AR25" s="1"/>
  <c r="AX25" s="1"/>
  <c r="AS25"/>
  <c r="AU25" s="1"/>
  <c r="AQ26"/>
  <c r="AR26" s="1"/>
  <c r="AX26" s="1"/>
  <c r="AS26"/>
  <c r="AU26" s="1"/>
  <c r="AQ27"/>
  <c r="AR27" s="1"/>
  <c r="AX27" s="1"/>
  <c r="AS27"/>
  <c r="AU27" s="1"/>
  <c r="AQ28"/>
  <c r="AR28" s="1"/>
  <c r="AX28" s="1"/>
  <c r="AS28"/>
  <c r="AU28" s="1"/>
  <c r="AQ29"/>
  <c r="AR29" s="1"/>
  <c r="AS29"/>
  <c r="AU29" s="1"/>
  <c r="AQ33"/>
  <c r="AR33" s="1"/>
  <c r="AX33" s="1"/>
  <c r="AS33"/>
  <c r="AU33" s="1"/>
  <c r="AQ34"/>
  <c r="AR34" s="1"/>
  <c r="AX34" s="1"/>
  <c r="AS34"/>
  <c r="AU34" s="1"/>
  <c r="AQ35"/>
  <c r="AR35" s="1"/>
  <c r="AX35" s="1"/>
  <c r="AS35"/>
  <c r="AU35" s="1"/>
  <c r="AQ36"/>
  <c r="AR36" s="1"/>
  <c r="AX36" s="1"/>
  <c r="AS36"/>
  <c r="AU36" s="1"/>
  <c r="AQ37"/>
  <c r="AR37" s="1"/>
  <c r="AX37" s="1"/>
  <c r="AS37"/>
  <c r="AU37" s="1"/>
  <c r="AU48" s="1"/>
  <c r="AQ38"/>
  <c r="AR38" s="1"/>
  <c r="AX38" s="1"/>
  <c r="AS38"/>
  <c r="AU38" s="1"/>
  <c r="AQ39"/>
  <c r="AR39" s="1"/>
  <c r="AX39" s="1"/>
  <c r="AS39"/>
  <c r="AU39" s="1"/>
  <c r="C44" i="3" l="1"/>
  <c r="M43" i="1"/>
  <c r="O36"/>
  <c r="P36"/>
  <c r="L43" i="2"/>
  <c r="Q25" i="1"/>
  <c r="R25" s="1"/>
  <c r="S25" s="1"/>
  <c r="Q13"/>
  <c r="R13" s="1"/>
  <c r="S13" s="1"/>
  <c r="Q15"/>
  <c r="R15" s="1"/>
  <c r="S15" s="1"/>
  <c r="Q17"/>
  <c r="R17" s="1"/>
  <c r="S17" s="1"/>
  <c r="Q21"/>
  <c r="R21" s="1"/>
  <c r="S21" s="1"/>
  <c r="Q26"/>
  <c r="R26" s="1"/>
  <c r="S26" s="1"/>
  <c r="Q28"/>
  <c r="R28" s="1"/>
  <c r="S28" s="1"/>
  <c r="Q32"/>
  <c r="R32" s="1"/>
  <c r="S32" s="1"/>
  <c r="Q34"/>
  <c r="R34" s="1"/>
  <c r="S34" s="1"/>
  <c r="Q23"/>
  <c r="R23" s="1"/>
  <c r="S23" s="1"/>
  <c r="Q27"/>
  <c r="R27" s="1"/>
  <c r="S27" s="1"/>
  <c r="Q31"/>
  <c r="R31" s="1"/>
  <c r="S31" s="1"/>
  <c r="Q35"/>
  <c r="R35" s="1"/>
  <c r="S35" s="1"/>
  <c r="Q39"/>
  <c r="R39" s="1"/>
  <c r="S39" s="1"/>
  <c r="Q12"/>
  <c r="R12" s="1"/>
  <c r="S12" s="1"/>
  <c r="Q14"/>
  <c r="R14" s="1"/>
  <c r="S14" s="1"/>
  <c r="Q16"/>
  <c r="R16" s="1"/>
  <c r="S16" s="1"/>
  <c r="Q18"/>
  <c r="R18" s="1"/>
  <c r="S18" s="1"/>
  <c r="Q20"/>
  <c r="R20" s="1"/>
  <c r="S20" s="1"/>
  <c r="Q22"/>
  <c r="R22" s="1"/>
  <c r="S22" s="1"/>
  <c r="Q30"/>
  <c r="R30" s="1"/>
  <c r="S30" s="1"/>
  <c r="Q38"/>
  <c r="R38" s="1"/>
  <c r="S38" s="1"/>
  <c r="Q19"/>
  <c r="R19" s="1"/>
  <c r="S19" s="1"/>
  <c r="Q29"/>
  <c r="R29" s="1"/>
  <c r="S29" s="1"/>
  <c r="Q33"/>
  <c r="R33" s="1"/>
  <c r="S33" s="1"/>
  <c r="Q37"/>
  <c r="R37" s="1"/>
  <c r="S37" s="1"/>
  <c r="P24"/>
  <c r="O24"/>
  <c r="M43" i="2"/>
  <c r="R11" i="1"/>
  <c r="AU49"/>
  <c r="AS19"/>
  <c r="AS41" s="1"/>
  <c r="AQ19"/>
  <c r="AQ45" s="1"/>
  <c r="AP19"/>
  <c r="AP41" s="1"/>
  <c r="AU11"/>
  <c r="AU41" s="1"/>
  <c r="AR11"/>
  <c r="E13" i="3"/>
  <c r="U12" i="1" s="1"/>
  <c r="V12" s="1"/>
  <c r="W12" s="1"/>
  <c r="E14" i="3"/>
  <c r="E15"/>
  <c r="U14" i="1" s="1"/>
  <c r="V14" s="1"/>
  <c r="W14" s="1"/>
  <c r="F16" i="3"/>
  <c r="H16" s="1"/>
  <c r="E17"/>
  <c r="U16" i="1" s="1"/>
  <c r="V16" s="1"/>
  <c r="W16" s="1"/>
  <c r="F18" i="3"/>
  <c r="H18" s="1"/>
  <c r="H20"/>
  <c r="E21"/>
  <c r="U20" i="1" s="1"/>
  <c r="V20" s="1"/>
  <c r="W20" s="1"/>
  <c r="H22" i="3"/>
  <c r="E23"/>
  <c r="U22" i="1" s="1"/>
  <c r="V22" s="1"/>
  <c r="W22" s="1"/>
  <c r="H24" i="3"/>
  <c r="E25"/>
  <c r="U24" i="1" s="1"/>
  <c r="V24" s="1"/>
  <c r="W24" s="1"/>
  <c r="F26" i="3"/>
  <c r="H26" s="1"/>
  <c r="F27"/>
  <c r="H27" s="1"/>
  <c r="E28"/>
  <c r="U27" i="1" s="1"/>
  <c r="V27" s="1"/>
  <c r="W27" s="1"/>
  <c r="F29" i="3"/>
  <c r="H29" s="1"/>
  <c r="E30"/>
  <c r="U29" i="1" s="1"/>
  <c r="V29" s="1"/>
  <c r="W29" s="1"/>
  <c r="F31" i="3"/>
  <c r="H31" s="1"/>
  <c r="E32"/>
  <c r="U31" i="1" s="1"/>
  <c r="V31" s="1"/>
  <c r="W31" s="1"/>
  <c r="F33" i="3"/>
  <c r="H33" s="1"/>
  <c r="E34"/>
  <c r="U33" i="1" s="1"/>
  <c r="V33" s="1"/>
  <c r="W33" s="1"/>
  <c r="F35" i="3"/>
  <c r="H35" s="1"/>
  <c r="E36"/>
  <c r="U35" i="1" s="1"/>
  <c r="V35" s="1"/>
  <c r="W35" s="1"/>
  <c r="F37" i="3"/>
  <c r="H37" s="1"/>
  <c r="E38"/>
  <c r="U37" i="1" s="1"/>
  <c r="V37" s="1"/>
  <c r="W37" s="1"/>
  <c r="E39" i="3"/>
  <c r="U38" i="1" s="1"/>
  <c r="V38" s="1"/>
  <c r="W38" s="1"/>
  <c r="E40" i="3"/>
  <c r="U39" i="1" s="1"/>
  <c r="V39" s="1"/>
  <c r="W39" s="1"/>
  <c r="I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Q36" l="1"/>
  <c r="R36" s="1"/>
  <c r="S36" s="1"/>
  <c r="O43"/>
  <c r="J43"/>
  <c r="U13"/>
  <c r="V13" s="1"/>
  <c r="W13" s="1"/>
  <c r="J11"/>
  <c r="I43"/>
  <c r="P43"/>
  <c r="AQ41"/>
  <c r="Q24"/>
  <c r="S11"/>
  <c r="H12" i="3"/>
  <c r="AX11" i="1"/>
  <c r="AU44"/>
  <c r="AU45" s="1"/>
  <c r="AU19"/>
  <c r="AR19"/>
  <c r="AX19" s="1"/>
  <c r="E19" i="3"/>
  <c r="U18" i="1" s="1"/>
  <c r="V18" s="1"/>
  <c r="W18" s="1"/>
  <c r="F38" i="3"/>
  <c r="H38" s="1"/>
  <c r="I38" s="1"/>
  <c r="X37" i="1" s="1"/>
  <c r="F34" i="3"/>
  <c r="H34" s="1"/>
  <c r="I34" s="1"/>
  <c r="X33" i="1" s="1"/>
  <c r="F30" i="3"/>
  <c r="H30" s="1"/>
  <c r="I30" s="1"/>
  <c r="X29" i="1" s="1"/>
  <c r="H23" i="3"/>
  <c r="I23" s="1"/>
  <c r="X22" i="1" s="1"/>
  <c r="F19" i="3"/>
  <c r="F15"/>
  <c r="H15" s="1"/>
  <c r="I15" s="1"/>
  <c r="X14" i="1" s="1"/>
  <c r="F40" i="3"/>
  <c r="H40" s="1"/>
  <c r="I40" s="1"/>
  <c r="X39" i="1" s="1"/>
  <c r="F36" i="3"/>
  <c r="H36" s="1"/>
  <c r="I36" s="1"/>
  <c r="X35" i="1" s="1"/>
  <c r="F32" i="3"/>
  <c r="H32" s="1"/>
  <c r="I32" s="1"/>
  <c r="X31" i="1" s="1"/>
  <c r="F28" i="3"/>
  <c r="H28" s="1"/>
  <c r="I28" s="1"/>
  <c r="X27" i="1" s="1"/>
  <c r="F25" i="3"/>
  <c r="H25" s="1"/>
  <c r="I25" s="1"/>
  <c r="X24" i="1" s="1"/>
  <c r="H21" i="3"/>
  <c r="I21" s="1"/>
  <c r="X20" i="1" s="1"/>
  <c r="H17" i="3"/>
  <c r="I17" s="1"/>
  <c r="X16" i="1" s="1"/>
  <c r="F13" i="3"/>
  <c r="E12"/>
  <c r="E37"/>
  <c r="E35"/>
  <c r="E33"/>
  <c r="E31"/>
  <c r="E29"/>
  <c r="E27"/>
  <c r="E26"/>
  <c r="E24"/>
  <c r="E22"/>
  <c r="E20"/>
  <c r="E18"/>
  <c r="E16"/>
  <c r="F39"/>
  <c r="H39" s="1"/>
  <c r="I39" s="1"/>
  <c r="X38" i="1" s="1"/>
  <c r="H14" i="3"/>
  <c r="I14" s="1"/>
  <c r="X13" i="1" l="1"/>
  <c r="U11"/>
  <c r="E44" i="3"/>
  <c r="H13"/>
  <c r="I13" s="1"/>
  <c r="X12" i="1" s="1"/>
  <c r="F44" i="3"/>
  <c r="AX41" i="1"/>
  <c r="AR41"/>
  <c r="R24"/>
  <c r="Q43"/>
  <c r="I16" i="3"/>
  <c r="U15" i="1"/>
  <c r="V15" s="1"/>
  <c r="W15" s="1"/>
  <c r="I24" i="3"/>
  <c r="U23" i="1"/>
  <c r="V23" s="1"/>
  <c r="W23" s="1"/>
  <c r="I31" i="3"/>
  <c r="U30" i="1"/>
  <c r="V30" s="1"/>
  <c r="W30" s="1"/>
  <c r="I18" i="3"/>
  <c r="U17" i="1"/>
  <c r="V17" s="1"/>
  <c r="W17" s="1"/>
  <c r="I22" i="3"/>
  <c r="U21" i="1"/>
  <c r="V21" s="1"/>
  <c r="W21" s="1"/>
  <c r="I26" i="3"/>
  <c r="U25" i="1"/>
  <c r="V25" s="1"/>
  <c r="W25" s="1"/>
  <c r="I29" i="3"/>
  <c r="U28" i="1"/>
  <c r="V28" s="1"/>
  <c r="W28" s="1"/>
  <c r="I33" i="3"/>
  <c r="U32" i="1"/>
  <c r="V32" s="1"/>
  <c r="W32" s="1"/>
  <c r="I37" i="3"/>
  <c r="U36" i="1"/>
  <c r="V36" s="1"/>
  <c r="W36" s="1"/>
  <c r="I20" i="3"/>
  <c r="U19" i="1"/>
  <c r="V19" s="1"/>
  <c r="W19" s="1"/>
  <c r="I27" i="3"/>
  <c r="U26" i="1"/>
  <c r="V26" s="1"/>
  <c r="W26" s="1"/>
  <c r="I35" i="3"/>
  <c r="U34" i="1"/>
  <c r="V34" s="1"/>
  <c r="W34" s="1"/>
  <c r="I12" i="3"/>
  <c r="H19"/>
  <c r="H44" l="1"/>
  <c r="X11" i="1"/>
  <c r="X34"/>
  <c r="X26"/>
  <c r="X19"/>
  <c r="X36"/>
  <c r="X32"/>
  <c r="X28"/>
  <c r="X25"/>
  <c r="X21"/>
  <c r="X17"/>
  <c r="X30"/>
  <c r="X23"/>
  <c r="X15"/>
  <c r="S24"/>
  <c r="S43" s="1"/>
  <c r="R43"/>
  <c r="V11"/>
  <c r="V43" s="1"/>
  <c r="U43"/>
  <c r="I19" i="3"/>
  <c r="X18" i="1" s="1"/>
  <c r="W11" l="1"/>
  <c r="W43" s="1"/>
  <c r="I44" i="3"/>
  <c r="X43" i="1"/>
</calcChain>
</file>

<file path=xl/sharedStrings.xml><?xml version="1.0" encoding="utf-8"?>
<sst xmlns="http://schemas.openxmlformats.org/spreadsheetml/2006/main" count="920" uniqueCount="247">
  <si>
    <t>CONTPAQ i</t>
  </si>
  <si>
    <t xml:space="preserve">      NÓMINAS</t>
  </si>
  <si>
    <t>05 INGENIERIA FISCAL LABORAL SC</t>
  </si>
  <si>
    <t>Lista de Raya (forma tabular)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</si>
  <si>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</si>
  <si>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</si>
  <si>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</si>
  <si>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</si>
  <si>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</si>
  <si>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</si>
  <si>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</si>
  <si>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</si>
  <si>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</si>
  <si>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</si>
  <si>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</si>
  <si>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</si>
  <si>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</si>
  <si>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</si>
  <si>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</si>
  <si>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</si>
  <si>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</si>
  <si>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</si>
  <si>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</si>
  <si>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</si>
  <si>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</si>
  <si>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</si>
  <si>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</si>
  <si>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</si>
  <si>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</si>
  <si>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</si>
  <si>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</si>
  <si>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</si>
  <si>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</si>
  <si>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</si>
  <si>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</si>
  <si>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</si>
  <si>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</si>
  <si>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</si>
  <si>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</si>
  <si>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</si>
  <si>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</si>
  <si>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</si>
  <si>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</si>
  <si>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GO001</t>
  </si>
  <si>
    <t>Gutierrez Olvera Marihuri</t>
  </si>
  <si>
    <t>00010</t>
  </si>
  <si>
    <t>Guzman Espiller Sergio Luis Alberto</t>
  </si>
  <si>
    <t>Hernandez Aquiles Heriberto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</si>
  <si>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</si>
  <si>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</si>
  <si>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</si>
  <si>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</si>
  <si>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</si>
  <si>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</si>
  <si>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</si>
  <si>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</si>
  <si>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</si>
  <si>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</si>
  <si>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</si>
  <si>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</si>
  <si>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</si>
  <si>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</si>
  <si>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0RL14</t>
  </si>
  <si>
    <t>Ramirez Latour Victor Manuel Martin</t>
  </si>
  <si>
    <t>0RMR2</t>
  </si>
  <si>
    <t>Ramirez Mondragon Ricardo Heriberto</t>
  </si>
  <si>
    <t>0TE10</t>
  </si>
  <si>
    <t>Tierrafria Escaramusa Israel</t>
  </si>
  <si>
    <t>VGA07</t>
  </si>
  <si>
    <t>Valderrabano  Gomez  Alejandro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</si>
  <si>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</si>
  <si>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</si>
  <si>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</si>
  <si>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</si>
  <si>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</si>
  <si>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</si>
  <si>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</si>
  <si>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</si>
  <si>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</si>
  <si>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Prestamo Infonavit</t>
  </si>
  <si>
    <t>Consultores &amp; Asesores Integrales S.C.</t>
  </si>
  <si>
    <t>Servicios Prestados a :  ALECSA CELAYA S DE RL DE CV</t>
  </si>
  <si>
    <t>devuelto a empresa</t>
  </si>
  <si>
    <t>Periodo Semana 32</t>
  </si>
  <si>
    <t>03/08/2016 AL 09/08/2016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</si>
  <si>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</si>
  <si>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</si>
  <si>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</si>
  <si>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</si>
  <si>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</si>
  <si>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</si>
  <si>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</si>
  <si>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</si>
  <si>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</si>
  <si>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</si>
  <si>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</si>
  <si>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</si>
  <si>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</si>
  <si>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</si>
  <si>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</si>
  <si>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</si>
  <si>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</si>
  <si>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</si>
  <si>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</si>
  <si>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</si>
  <si>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</si>
  <si>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</si>
  <si>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</si>
  <si>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CONSULTORES</t>
  </si>
  <si>
    <t>SINDICATO</t>
  </si>
  <si>
    <t>Comisiones</t>
  </si>
  <si>
    <t>FALTAS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</si>
  <si>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</si>
  <si>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</si>
  <si>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</si>
  <si>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</si>
  <si>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</si>
  <si>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</si>
  <si>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</si>
  <si>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</si>
  <si>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</si>
  <si>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</si>
  <si>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</si>
  <si>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</si>
  <si>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</si>
  <si>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</si>
  <si>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</si>
  <si>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</si>
  <si>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</si>
  <si>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</si>
  <si>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</si>
  <si>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</si>
  <si>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</si>
  <si>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</si>
  <si>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</si>
  <si>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</si>
  <si>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</si>
  <si>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</si>
  <si>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</si>
  <si>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</si>
  <si>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</si>
  <si>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</si>
  <si>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</si>
  <si>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</si>
  <si>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</si>
  <si>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</si>
  <si>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</si>
  <si>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</si>
  <si>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</si>
  <si>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</si>
  <si>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</si>
  <si>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</si>
  <si>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</si>
  <si>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</si>
  <si>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</si>
  <si>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</si>
  <si>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</si>
  <si>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</si>
  <si>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</si>
  <si>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</si>
  <si>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</si>
  <si>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</si>
  <si>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</si>
  <si>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</si>
  <si>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INGRESO 06/07/2016 Y TIENE CUENTA BANORTE</t>
  </si>
  <si>
    <t>MONZON MARROQUIN JUAN ARCADIO</t>
  </si>
  <si>
    <t>Ingreso 14/04/16</t>
  </si>
  <si>
    <t>0208632386 BANORTE</t>
  </si>
  <si>
    <t>OLIVEROS MALDONADO MIGUEL</t>
  </si>
  <si>
    <t>ORTEGA SOSA GUILLERMO</t>
  </si>
  <si>
    <t>INGRESO EL 19 DE JULIO</t>
  </si>
  <si>
    <t>RL14</t>
  </si>
  <si>
    <t>2986347665</t>
  </si>
  <si>
    <t>RMR26</t>
  </si>
  <si>
    <t>2885838584</t>
  </si>
  <si>
    <t>TE10</t>
  </si>
  <si>
    <t>2906306063</t>
  </si>
  <si>
    <t>Ingreso 07/04/16</t>
  </si>
  <si>
    <t>VV28</t>
  </si>
  <si>
    <t>VENTURA SANTAMARIA EFRAIN ENRIQUE</t>
  </si>
  <si>
    <t>WEB MASTER</t>
  </si>
  <si>
    <t>ZARATE MARTINEZ RICARDO</t>
  </si>
  <si>
    <t>ZM30</t>
  </si>
  <si>
    <t>1473959848</t>
  </si>
  <si>
    <t>INCAPACIDAD</t>
  </si>
  <si>
    <t>700-070 VENTAS</t>
  </si>
  <si>
    <t>701-070 USADOS</t>
  </si>
  <si>
    <t>703-070 ADMON</t>
  </si>
  <si>
    <t>704-070 REFACC</t>
  </si>
  <si>
    <t>705-001-070 SERV</t>
  </si>
  <si>
    <t>683-001-001 COSTO</t>
  </si>
  <si>
    <t>GONZALEZ  DUARTE DAVID</t>
  </si>
  <si>
    <t>VALDERRABANO  GOMEZ  ALEJANDRO</t>
  </si>
  <si>
    <t>Reg Pat IMSS: Z3422423106</t>
  </si>
  <si>
    <t>2% NOMINA</t>
  </si>
  <si>
    <t>7.5 % COMISIÓN</t>
  </si>
  <si>
    <t>SUBTOTAL</t>
  </si>
  <si>
    <t>IVA</t>
  </si>
  <si>
    <t>TOTAL</t>
  </si>
  <si>
    <t>SUELDO BASE</t>
  </si>
  <si>
    <t>FACTURA</t>
  </si>
  <si>
    <t>COMISÓNES</t>
  </si>
  <si>
    <t>COMIONES</t>
  </si>
  <si>
    <t>APOYO</t>
  </si>
  <si>
    <t>otros</t>
  </si>
  <si>
    <t>GUTIERREZ OLVERA MARIHURI</t>
  </si>
  <si>
    <t>PASO DE QM A CELAYA</t>
  </si>
  <si>
    <t>1499469494</t>
  </si>
  <si>
    <t>BECERRA JIMENEZ ALEJANDRO BONIFACIO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</si>
  <si>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</si>
  <si>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</si>
  <si>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</si>
  <si>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</si>
  <si>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</si>
  <si>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Deduccion general</t>
  </si>
  <si>
    <t>descueno SGV</t>
  </si>
  <si>
    <t>Cuenta</t>
  </si>
  <si>
    <t>Importe</t>
  </si>
  <si>
    <t xml:space="preserve">BANORTE </t>
  </si>
  <si>
    <t>1112995379</t>
  </si>
  <si>
    <t>1129582916</t>
  </si>
  <si>
    <t>1167172540</t>
  </si>
  <si>
    <t>1169179984</t>
  </si>
  <si>
    <t>1170279722</t>
  </si>
  <si>
    <t>1449517286</t>
  </si>
  <si>
    <t>1423506142</t>
  </si>
  <si>
    <t>B A N O R T E</t>
  </si>
  <si>
    <t>2971591843</t>
  </si>
  <si>
    <t>BANCOMER</t>
  </si>
  <si>
    <t>2907255446</t>
  </si>
  <si>
    <t>Lopez Lopez Jose Maria</t>
  </si>
  <si>
    <t>05 INGENIERIA FISCAL LABORAL SC -- CELAYA</t>
  </si>
  <si>
    <t>05 SINDICATO ASOCIACIÓN -- CELAYA</t>
  </si>
  <si>
    <t>Periodo 33 al 33 Semanal del 10/08/2016 al 16/08/2016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</si>
  <si>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</si>
  <si>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</si>
  <si>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</si>
  <si>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</si>
  <si>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</si>
  <si>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</si>
  <si>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</si>
  <si>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</si>
  <si>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</si>
  <si>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</si>
  <si>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</si>
  <si>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33</t>
  </si>
  <si>
    <t>10/08/2016 al 16/08/2016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</si>
</sst>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indexed="12"/>
      <name val="Calibri"/>
      <family val="2"/>
      <scheme val="minor"/>
    </font>
    <font>
      <i/>
      <sz val="8"/>
      <color indexed="5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4" fillId="0" borderId="0"/>
    <xf numFmtId="0" fontId="16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ill="0" applyBorder="0" applyAlignment="0" applyProtection="0"/>
  </cellStyleXfs>
  <cellXfs count="225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43" fontId="14" fillId="0" borderId="0" xfId="3" applyFont="1"/>
    <xf numFmtId="43" fontId="17" fillId="0" borderId="2" xfId="3" applyFont="1" applyBorder="1"/>
    <xf numFmtId="43" fontId="17" fillId="3" borderId="2" xfId="3" applyFont="1" applyFill="1" applyBorder="1"/>
    <xf numFmtId="43" fontId="17" fillId="0" borderId="0" xfId="3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3" applyFont="1" applyFill="1" applyAlignment="1" applyProtection="1">
      <alignment horizontal="center"/>
    </xf>
    <xf numFmtId="43" fontId="19" fillId="0" borderId="0" xfId="3" applyFont="1" applyFill="1" applyAlignment="1" applyProtection="1">
      <alignment horizontal="center"/>
    </xf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43" fontId="19" fillId="0" borderId="0" xfId="3" applyFont="1"/>
    <xf numFmtId="43" fontId="19" fillId="4" borderId="2" xfId="3" applyFont="1" applyFill="1" applyBorder="1" applyAlignment="1">
      <alignment horizontal="center" wrapText="1"/>
    </xf>
    <xf numFmtId="43" fontId="19" fillId="4" borderId="3" xfId="3" applyFont="1" applyFill="1" applyBorder="1" applyAlignment="1">
      <alignment horizontal="center" wrapText="1"/>
    </xf>
    <xf numFmtId="43" fontId="19" fillId="4" borderId="4" xfId="3" applyFont="1" applyFill="1" applyBorder="1" applyAlignment="1">
      <alignment horizontal="center" vertical="center" wrapText="1"/>
    </xf>
    <xf numFmtId="43" fontId="21" fillId="3" borderId="2" xfId="3" applyFont="1" applyFill="1" applyBorder="1"/>
    <xf numFmtId="43" fontId="19" fillId="5" borderId="2" xfId="3" applyFont="1" applyFill="1" applyBorder="1"/>
    <xf numFmtId="43" fontId="17" fillId="6" borderId="2" xfId="3" applyFont="1" applyFill="1" applyBorder="1"/>
    <xf numFmtId="43" fontId="17" fillId="7" borderId="2" xfId="3" applyFont="1" applyFill="1" applyBorder="1" applyAlignment="1">
      <alignment horizontal="center"/>
    </xf>
    <xf numFmtId="43" fontId="17" fillId="0" borderId="2" xfId="3" applyFont="1" applyFill="1" applyBorder="1" applyAlignment="1">
      <alignment horizontal="center"/>
    </xf>
    <xf numFmtId="43" fontId="17" fillId="8" borderId="2" xfId="3" applyFont="1" applyFill="1" applyBorder="1" applyAlignment="1">
      <alignment horizontal="center"/>
    </xf>
    <xf numFmtId="43" fontId="17" fillId="0" borderId="5" xfId="3" applyFont="1" applyFill="1" applyBorder="1"/>
    <xf numFmtId="43" fontId="19" fillId="0" borderId="6" xfId="3" applyFont="1" applyBorder="1"/>
    <xf numFmtId="43" fontId="19" fillId="0" borderId="0" xfId="3" applyFont="1" applyBorder="1"/>
    <xf numFmtId="43" fontId="19" fillId="5" borderId="0" xfId="3" applyFont="1" applyFill="1" applyBorder="1"/>
    <xf numFmtId="43" fontId="19" fillId="4" borderId="5" xfId="3" applyFont="1" applyFill="1" applyBorder="1" applyAlignment="1">
      <alignment horizontal="center" vertical="center" wrapText="1"/>
    </xf>
    <xf numFmtId="43" fontId="17" fillId="0" borderId="7" xfId="3" applyFont="1" applyBorder="1"/>
    <xf numFmtId="43" fontId="21" fillId="3" borderId="7" xfId="3" applyFont="1" applyFill="1" applyBorder="1"/>
    <xf numFmtId="43" fontId="19" fillId="5" borderId="7" xfId="3" applyFont="1" applyFill="1" applyBorder="1"/>
    <xf numFmtId="43" fontId="17" fillId="6" borderId="7" xfId="3" applyFont="1" applyFill="1" applyBorder="1"/>
    <xf numFmtId="43" fontId="17" fillId="7" borderId="7" xfId="3" applyFont="1" applyFill="1" applyBorder="1" applyAlignment="1">
      <alignment horizontal="center"/>
    </xf>
    <xf numFmtId="43" fontId="17" fillId="0" borderId="7" xfId="3" applyFont="1" applyFill="1" applyBorder="1" applyAlignment="1">
      <alignment horizontal="center"/>
    </xf>
    <xf numFmtId="43" fontId="17" fillId="8" borderId="7" xfId="3" applyFont="1" applyFill="1" applyBorder="1" applyAlignment="1">
      <alignment horizontal="center"/>
    </xf>
    <xf numFmtId="43" fontId="17" fillId="0" borderId="8" xfId="3" applyFont="1" applyBorder="1"/>
    <xf numFmtId="43" fontId="17" fillId="3" borderId="8" xfId="3" applyFont="1" applyFill="1" applyBorder="1"/>
    <xf numFmtId="43" fontId="21" fillId="3" borderId="8" xfId="3" applyFont="1" applyFill="1" applyBorder="1"/>
    <xf numFmtId="43" fontId="19" fillId="5" borderId="8" xfId="3" applyFont="1" applyFill="1" applyBorder="1"/>
    <xf numFmtId="43" fontId="17" fillId="6" borderId="8" xfId="3" applyFont="1" applyFill="1" applyBorder="1"/>
    <xf numFmtId="43" fontId="17" fillId="7" borderId="8" xfId="3" applyFont="1" applyFill="1" applyBorder="1" applyAlignment="1">
      <alignment horizontal="center"/>
    </xf>
    <xf numFmtId="43" fontId="17" fillId="0" borderId="8" xfId="3" applyFont="1" applyFill="1" applyBorder="1" applyAlignment="1">
      <alignment horizontal="center"/>
    </xf>
    <xf numFmtId="43" fontId="17" fillId="8" borderId="8" xfId="3" applyFont="1" applyFill="1" applyBorder="1" applyAlignment="1">
      <alignment horizontal="center"/>
    </xf>
    <xf numFmtId="43" fontId="17" fillId="0" borderId="8" xfId="3" applyFont="1" applyFill="1" applyBorder="1"/>
    <xf numFmtId="12" fontId="17" fillId="3" borderId="8" xfId="3" applyNumberFormat="1" applyFont="1" applyFill="1" applyBorder="1"/>
    <xf numFmtId="43" fontId="14" fillId="0" borderId="8" xfId="3" applyBorder="1"/>
    <xf numFmtId="43" fontId="14" fillId="0" borderId="8" xfId="3" applyFill="1" applyBorder="1"/>
    <xf numFmtId="43" fontId="21" fillId="0" borderId="8" xfId="3" applyFont="1" applyFill="1" applyBorder="1"/>
    <xf numFmtId="43" fontId="14" fillId="0" borderId="8" xfId="3" applyFont="1" applyFill="1" applyBorder="1"/>
    <xf numFmtId="43" fontId="14" fillId="0" borderId="8" xfId="3" applyFont="1" applyBorder="1"/>
    <xf numFmtId="43" fontId="19" fillId="4" borderId="0" xfId="3" applyFont="1" applyFill="1" applyBorder="1" applyAlignment="1">
      <alignment horizontal="center" wrapText="1"/>
    </xf>
    <xf numFmtId="43" fontId="19" fillId="4" borderId="0" xfId="3" applyFont="1" applyFill="1" applyBorder="1" applyAlignment="1">
      <alignment horizontal="center" vertical="center" wrapText="1"/>
    </xf>
    <xf numFmtId="43" fontId="14" fillId="0" borderId="0" xfId="3" applyBorder="1"/>
    <xf numFmtId="43" fontId="14" fillId="0" borderId="0" xfId="3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1" fillId="2" borderId="13" xfId="0" applyFont="1" applyFill="1" applyBorder="1" applyAlignment="1">
      <alignment horizontal="center" vertical="center" wrapText="1"/>
    </xf>
    <xf numFmtId="43" fontId="19" fillId="4" borderId="5" xfId="3" applyFont="1" applyFill="1" applyBorder="1" applyAlignment="1">
      <alignment horizontal="center" wrapText="1"/>
    </xf>
    <xf numFmtId="43" fontId="3" fillId="0" borderId="0" xfId="7" applyFont="1"/>
    <xf numFmtId="0" fontId="17" fillId="0" borderId="0" xfId="0" applyFont="1" applyProtection="1"/>
    <xf numFmtId="0" fontId="17" fillId="0" borderId="0" xfId="0" applyFont="1" applyFill="1" applyProtection="1"/>
    <xf numFmtId="0" fontId="19" fillId="0" borderId="0" xfId="0" applyFont="1"/>
    <xf numFmtId="3" fontId="19" fillId="4" borderId="2" xfId="0" applyNumberFormat="1" applyFont="1" applyFill="1" applyBorder="1"/>
    <xf numFmtId="0" fontId="19" fillId="0" borderId="0" xfId="0" applyFont="1" applyFill="1"/>
    <xf numFmtId="3" fontId="19" fillId="4" borderId="5" xfId="0" applyNumberFormat="1" applyFont="1" applyFill="1" applyBorder="1"/>
    <xf numFmtId="0" fontId="17" fillId="0" borderId="8" xfId="0" applyFont="1" applyBorder="1"/>
    <xf numFmtId="0" fontId="17" fillId="0" borderId="8" xfId="0" applyFont="1" applyFill="1" applyBorder="1"/>
    <xf numFmtId="0" fontId="17" fillId="0" borderId="8" xfId="0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left" vertical="center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3" fontId="17" fillId="0" borderId="8" xfId="0" applyNumberFormat="1" applyFont="1" applyFill="1" applyBorder="1"/>
    <xf numFmtId="0" fontId="19" fillId="0" borderId="8" xfId="0" applyFont="1" applyFill="1" applyBorder="1"/>
    <xf numFmtId="0" fontId="17" fillId="0" borderId="0" xfId="0" applyFont="1" applyFill="1"/>
    <xf numFmtId="0" fontId="17" fillId="11" borderId="8" xfId="0" applyFont="1" applyFill="1" applyBorder="1" applyAlignment="1">
      <alignment wrapText="1"/>
    </xf>
    <xf numFmtId="4" fontId="17" fillId="11" borderId="8" xfId="0" applyNumberFormat="1" applyFont="1" applyFill="1" applyBorder="1" applyAlignment="1">
      <alignment wrapText="1"/>
    </xf>
    <xf numFmtId="43" fontId="17" fillId="11" borderId="8" xfId="0" applyNumberFormat="1" applyFont="1" applyFill="1" applyBorder="1"/>
    <xf numFmtId="0" fontId="17" fillId="11" borderId="0" xfId="0" applyFont="1" applyFill="1"/>
    <xf numFmtId="43" fontId="14" fillId="0" borderId="8" xfId="3" applyFont="1" applyFill="1" applyBorder="1" applyAlignment="1">
      <alignment vertical="center"/>
    </xf>
    <xf numFmtId="0" fontId="17" fillId="0" borderId="8" xfId="0" applyFont="1" applyFill="1" applyBorder="1" applyAlignment="1">
      <alignment horizontal="right"/>
    </xf>
    <xf numFmtId="0" fontId="17" fillId="0" borderId="8" xfId="0" applyFont="1" applyFill="1" applyBorder="1" applyAlignment="1">
      <alignment horizontal="left"/>
    </xf>
    <xf numFmtId="14" fontId="17" fillId="0" borderId="8" xfId="0" applyNumberFormat="1" applyFont="1" applyFill="1" applyBorder="1" applyAlignment="1">
      <alignment horizontal="left" vertical="center"/>
    </xf>
    <xf numFmtId="0" fontId="17" fillId="9" borderId="8" xfId="0" applyFont="1" applyFill="1" applyBorder="1"/>
    <xf numFmtId="4" fontId="23" fillId="10" borderId="8" xfId="0" applyNumberFormat="1" applyFont="1" applyFill="1" applyBorder="1" applyAlignment="1">
      <alignment horizontal="right" wrapText="1"/>
    </xf>
    <xf numFmtId="14" fontId="19" fillId="0" borderId="8" xfId="0" applyNumberFormat="1" applyFont="1" applyFill="1" applyBorder="1"/>
    <xf numFmtId="0" fontId="17" fillId="0" borderId="0" xfId="0" applyFont="1"/>
    <xf numFmtId="0" fontId="17" fillId="0" borderId="7" xfId="0" applyFont="1" applyFill="1" applyBorder="1"/>
    <xf numFmtId="0" fontId="17" fillId="0" borderId="7" xfId="0" applyFont="1" applyFill="1" applyBorder="1" applyAlignment="1">
      <alignment horizontal="right"/>
    </xf>
    <xf numFmtId="43" fontId="17" fillId="0" borderId="0" xfId="0" applyNumberFormat="1" applyFont="1" applyFill="1"/>
    <xf numFmtId="0" fontId="17" fillId="0" borderId="2" xfId="0" applyFont="1" applyBorder="1"/>
    <xf numFmtId="0" fontId="22" fillId="0" borderId="0" xfId="0" applyFont="1"/>
    <xf numFmtId="0" fontId="17" fillId="9" borderId="0" xfId="0" applyFont="1" applyFill="1"/>
    <xf numFmtId="3" fontId="19" fillId="4" borderId="0" xfId="0" applyNumberFormat="1" applyFont="1" applyFill="1" applyBorder="1"/>
    <xf numFmtId="0" fontId="19" fillId="12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12" borderId="2" xfId="0" applyFont="1" applyFill="1" applyBorder="1" applyAlignment="1"/>
    <xf numFmtId="0" fontId="19" fillId="0" borderId="9" xfId="0" applyFont="1" applyFill="1" applyBorder="1"/>
    <xf numFmtId="0" fontId="17" fillId="0" borderId="2" xfId="0" applyFont="1" applyFill="1" applyBorder="1"/>
    <xf numFmtId="0" fontId="17" fillId="0" borderId="0" xfId="0" applyFont="1" applyBorder="1"/>
    <xf numFmtId="0" fontId="17" fillId="3" borderId="0" xfId="0" applyFont="1" applyFill="1" applyBorder="1"/>
    <xf numFmtId="0" fontId="17" fillId="0" borderId="9" xfId="0" applyFont="1" applyFill="1" applyBorder="1"/>
    <xf numFmtId="0" fontId="17" fillId="0" borderId="5" xfId="0" applyFont="1" applyBorder="1"/>
    <xf numFmtId="0" fontId="17" fillId="0" borderId="6" xfId="0" applyFont="1" applyBorder="1"/>
    <xf numFmtId="0" fontId="17" fillId="0" borderId="2" xfId="0" applyFont="1" applyBorder="1" applyAlignment="1">
      <alignment horizontal="right"/>
    </xf>
    <xf numFmtId="0" fontId="17" fillId="0" borderId="0" xfId="0" applyFont="1" applyFill="1" applyBorder="1"/>
    <xf numFmtId="0" fontId="17" fillId="0" borderId="5" xfId="0" applyFont="1" applyBorder="1" applyAlignment="1">
      <alignment horizontal="right"/>
    </xf>
    <xf numFmtId="0" fontId="17" fillId="3" borderId="6" xfId="0" applyFont="1" applyFill="1" applyBorder="1"/>
    <xf numFmtId="0" fontId="17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left" vertical="center"/>
    </xf>
    <xf numFmtId="165" fontId="2" fillId="0" borderId="7" xfId="0" applyNumberFormat="1" applyFont="1" applyFill="1" applyBorder="1" applyAlignment="1">
      <alignment horizontal="left" vertical="center"/>
    </xf>
    <xf numFmtId="43" fontId="17" fillId="0" borderId="0" xfId="3" applyFont="1" applyBorder="1"/>
    <xf numFmtId="43" fontId="14" fillId="0" borderId="2" xfId="3" applyFont="1" applyBorder="1"/>
    <xf numFmtId="43" fontId="17" fillId="3" borderId="0" xfId="3" applyFont="1" applyFill="1" applyBorder="1"/>
    <xf numFmtId="43" fontId="17" fillId="0" borderId="0" xfId="3" applyFont="1" applyFill="1" applyBorder="1"/>
    <xf numFmtId="43" fontId="17" fillId="0" borderId="5" xfId="3" applyFont="1" applyBorder="1"/>
    <xf numFmtId="43" fontId="14" fillId="0" borderId="7" xfId="3" applyFont="1" applyBorder="1"/>
    <xf numFmtId="43" fontId="14" fillId="0" borderId="0" xfId="3" applyFont="1" applyBorder="1"/>
    <xf numFmtId="43" fontId="14" fillId="0" borderId="0" xfId="3" applyFont="1" applyFill="1" applyBorder="1"/>
    <xf numFmtId="43" fontId="17" fillId="0" borderId="6" xfId="3" applyFont="1" applyBorder="1"/>
    <xf numFmtId="43" fontId="14" fillId="0" borderId="2" xfId="3" applyFill="1" applyBorder="1"/>
    <xf numFmtId="43" fontId="17" fillId="3" borderId="5" xfId="3" applyFont="1" applyFill="1" applyBorder="1"/>
    <xf numFmtId="43" fontId="17" fillId="0" borderId="7" xfId="3" applyFont="1" applyFill="1" applyBorder="1"/>
    <xf numFmtId="43" fontId="17" fillId="0" borderId="2" xfId="3" applyFont="1" applyFill="1" applyBorder="1"/>
    <xf numFmtId="43" fontId="21" fillId="3" borderId="0" xfId="3" applyFont="1" applyFill="1" applyBorder="1"/>
    <xf numFmtId="43" fontId="21" fillId="3" borderId="5" xfId="3" applyFont="1" applyFill="1" applyBorder="1"/>
    <xf numFmtId="43" fontId="19" fillId="0" borderId="2" xfId="3" applyFont="1" applyBorder="1"/>
    <xf numFmtId="43" fontId="19" fillId="0" borderId="0" xfId="3" applyFont="1" applyFill="1" applyBorder="1"/>
    <xf numFmtId="43" fontId="19" fillId="5" borderId="6" xfId="3" applyFont="1" applyFill="1" applyBorder="1"/>
    <xf numFmtId="43" fontId="17" fillId="6" borderId="0" xfId="3" applyFont="1" applyFill="1" applyBorder="1"/>
    <xf numFmtId="43" fontId="17" fillId="6" borderId="5" xfId="3" applyFont="1" applyFill="1" applyBorder="1"/>
    <xf numFmtId="43" fontId="17" fillId="7" borderId="0" xfId="3" applyFont="1" applyFill="1" applyBorder="1" applyAlignment="1">
      <alignment horizontal="center"/>
    </xf>
    <xf numFmtId="43" fontId="17" fillId="0" borderId="0" xfId="3" applyFont="1" applyFill="1" applyBorder="1" applyAlignment="1">
      <alignment horizontal="center"/>
    </xf>
    <xf numFmtId="43" fontId="19" fillId="5" borderId="5" xfId="3" applyFont="1" applyFill="1" applyBorder="1"/>
    <xf numFmtId="43" fontId="17" fillId="0" borderId="6" xfId="3" applyFont="1" applyFill="1" applyBorder="1" applyAlignment="1">
      <alignment horizontal="center"/>
    </xf>
    <xf numFmtId="43" fontId="17" fillId="5" borderId="7" xfId="3" applyFont="1" applyFill="1" applyBorder="1"/>
    <xf numFmtId="43" fontId="17" fillId="5" borderId="2" xfId="3" applyFont="1" applyFill="1" applyBorder="1"/>
    <xf numFmtId="43" fontId="17" fillId="8" borderId="0" xfId="3" applyFont="1" applyFill="1" applyBorder="1" applyAlignment="1">
      <alignment horizontal="center"/>
    </xf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wrapText="1"/>
    </xf>
    <xf numFmtId="43" fontId="17" fillId="0" borderId="0" xfId="0" applyNumberFormat="1" applyFont="1" applyFill="1" applyBorder="1"/>
    <xf numFmtId="14" fontId="19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8"/>
    <xf numFmtId="0" fontId="25" fillId="0" borderId="0" xfId="8" applyFont="1"/>
    <xf numFmtId="43" fontId="1" fillId="0" borderId="0" xfId="7"/>
    <xf numFmtId="0" fontId="26" fillId="0" borderId="0" xfId="8" applyFont="1"/>
    <xf numFmtId="0" fontId="27" fillId="0" borderId="0" xfId="8" applyFont="1"/>
    <xf numFmtId="43" fontId="1" fillId="0" borderId="0" xfId="7" applyFont="1"/>
    <xf numFmtId="43" fontId="1" fillId="0" borderId="0" xfId="9"/>
    <xf numFmtId="0" fontId="14" fillId="0" borderId="0" xfId="10"/>
    <xf numFmtId="40" fontId="3" fillId="0" borderId="0" xfId="0" applyNumberFormat="1" applyFont="1" applyFill="1"/>
    <xf numFmtId="0" fontId="17" fillId="11" borderId="8" xfId="0" applyFont="1" applyFill="1" applyBorder="1"/>
    <xf numFmtId="0" fontId="28" fillId="0" borderId="8" xfId="0" applyFont="1" applyFill="1" applyBorder="1"/>
    <xf numFmtId="0" fontId="0" fillId="0" borderId="8" xfId="0" applyFill="1" applyBorder="1"/>
    <xf numFmtId="0" fontId="14" fillId="0" borderId="0" xfId="10" applyFont="1"/>
    <xf numFmtId="0" fontId="28" fillId="0" borderId="2" xfId="0" applyFont="1" applyFill="1" applyBorder="1"/>
    <xf numFmtId="40" fontId="7" fillId="0" borderId="17" xfId="0" applyNumberFormat="1" applyFont="1" applyFill="1" applyBorder="1"/>
    <xf numFmtId="0" fontId="14" fillId="0" borderId="0" xfId="11"/>
    <xf numFmtId="40" fontId="29" fillId="0" borderId="17" xfId="0" applyNumberFormat="1" applyFont="1" applyBorder="1"/>
    <xf numFmtId="40" fontId="0" fillId="0" borderId="0" xfId="0" applyNumberFormat="1"/>
    <xf numFmtId="0" fontId="28" fillId="0" borderId="18" xfId="0" applyFont="1" applyFill="1" applyBorder="1"/>
    <xf numFmtId="0" fontId="28" fillId="0" borderId="19" xfId="0" applyFont="1" applyFill="1" applyBorder="1"/>
    <xf numFmtId="0" fontId="14" fillId="0" borderId="0" xfId="10" applyBorder="1"/>
    <xf numFmtId="40" fontId="3" fillId="0" borderId="0" xfId="0" applyNumberFormat="1" applyFont="1" applyFill="1" applyBorder="1"/>
    <xf numFmtId="0" fontId="28" fillId="0" borderId="0" xfId="0" applyFont="1" applyFill="1" applyBorder="1"/>
    <xf numFmtId="0" fontId="0" fillId="0" borderId="0" xfId="0" applyBorder="1"/>
    <xf numFmtId="43" fontId="1" fillId="0" borderId="0" xfId="7" applyFont="1" applyBorder="1"/>
    <xf numFmtId="0" fontId="0" fillId="0" borderId="0" xfId="0" applyAlignment="1">
      <alignment horizontal="left"/>
    </xf>
    <xf numFmtId="0" fontId="0" fillId="0" borderId="8" xfId="0" applyFill="1" applyBorder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3" fontId="14" fillId="0" borderId="0" xfId="7" applyFont="1"/>
    <xf numFmtId="43" fontId="1" fillId="0" borderId="8" xfId="7" applyBorder="1"/>
    <xf numFmtId="43" fontId="14" fillId="0" borderId="8" xfId="7" applyFont="1" applyFill="1" applyBorder="1" applyAlignment="1">
      <alignment vertical="center"/>
    </xf>
    <xf numFmtId="43" fontId="1" fillId="0" borderId="8" xfId="7" applyFill="1" applyBorder="1"/>
    <xf numFmtId="43" fontId="14" fillId="0" borderId="8" xfId="7" applyFont="1" applyFill="1" applyBorder="1"/>
    <xf numFmtId="43" fontId="14" fillId="0" borderId="8" xfId="7" applyFont="1" applyBorder="1"/>
    <xf numFmtId="43" fontId="13" fillId="0" borderId="0" xfId="7" applyFont="1"/>
    <xf numFmtId="43" fontId="3" fillId="0" borderId="0" xfId="7" applyFont="1" applyAlignment="1">
      <alignment horizontal="right"/>
    </xf>
    <xf numFmtId="43" fontId="10" fillId="0" borderId="0" xfId="7" applyFont="1"/>
    <xf numFmtId="43" fontId="3" fillId="0" borderId="0" xfId="0" applyNumberFormat="1" applyFont="1"/>
    <xf numFmtId="43" fontId="19" fillId="4" borderId="2" xfId="3" applyFont="1" applyFill="1" applyBorder="1" applyAlignment="1">
      <alignment horizontal="center" wrapText="1"/>
    </xf>
    <xf numFmtId="43" fontId="19" fillId="4" borderId="5" xfId="3" applyFont="1" applyFill="1" applyBorder="1" applyAlignment="1">
      <alignment horizontal="center" wrapText="1"/>
    </xf>
    <xf numFmtId="43" fontId="19" fillId="4" borderId="11" xfId="3" applyFont="1" applyFill="1" applyBorder="1" applyAlignment="1">
      <alignment horizontal="center" wrapText="1"/>
    </xf>
    <xf numFmtId="43" fontId="19" fillId="4" borderId="12" xfId="3" applyFont="1" applyFill="1" applyBorder="1" applyAlignment="1">
      <alignment horizontal="center" wrapText="1"/>
    </xf>
    <xf numFmtId="0" fontId="19" fillId="12" borderId="4" xfId="0" applyFont="1" applyFill="1" applyBorder="1" applyAlignment="1">
      <alignment horizontal="center"/>
    </xf>
    <xf numFmtId="0" fontId="19" fillId="12" borderId="10" xfId="0" applyFont="1" applyFill="1" applyBorder="1" applyAlignment="1">
      <alignment horizontal="center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1" fillId="0" borderId="20" xfId="0" applyFont="1" applyBorder="1"/>
    <xf numFmtId="0" fontId="30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31" fillId="0" borderId="20" xfId="0" applyNumberFormat="1" applyFont="1" applyBorder="1"/>
    <xf numFmtId="43" fontId="1" fillId="0" borderId="20" xfId="12" applyFont="1" applyBorder="1"/>
    <xf numFmtId="43" fontId="1" fillId="0" borderId="21" xfId="12" applyFont="1" applyBorder="1"/>
    <xf numFmtId="43" fontId="1" fillId="0" borderId="22" xfId="12" applyFont="1" applyBorder="1"/>
    <xf numFmtId="43" fontId="1" fillId="0" borderId="23" xfId="12" applyFont="1" applyBorder="1"/>
    <xf numFmtId="43" fontId="30" fillId="0" borderId="22" xfId="12" applyFont="1" applyBorder="1"/>
  </cellXfs>
  <cellStyles count="13">
    <cellStyle name="Excel Built-in Normal" xfId="2"/>
    <cellStyle name="Millares" xfId="7" builtinId="3"/>
    <cellStyle name="Millares 2" xfId="3"/>
    <cellStyle name="Millares 2 3" xfId="12"/>
    <cellStyle name="Millares 3" xfId="9"/>
    <cellStyle name="Moneda 2" xfId="4"/>
    <cellStyle name="Normal" xfId="0" builtinId="0"/>
    <cellStyle name="Normal 10" xfId="8"/>
    <cellStyle name="Normal 16 2" xfId="11"/>
    <cellStyle name="Normal 2" xfId="6"/>
    <cellStyle name="Normal 27" xfId="10"/>
    <cellStyle name="Normal 3" xfId="1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J99"/>
  <sheetViews>
    <sheetView zoomScaleSheetLayoutView="85" zoomScalePageLayoutView="85" workbookViewId="0">
      <pane xSplit="11" ySplit="8" topLeftCell="O9" activePane="bottomRight" state="frozen"/>
      <selection pane="topRight" activeCell="L1" sqref="L1"/>
      <selection pane="bottomLeft" activeCell="A9" sqref="A9"/>
      <selection pane="bottomRight" activeCell="U20" sqref="U20:U28"/>
    </sheetView>
  </sheetViews>
  <sheetFormatPr baseColWidth="10" defaultRowHeight="15"/>
  <cols>
    <col min="1" max="1" width="12.28515625" style="2" customWidth="1"/>
    <col min="2" max="2" width="30.7109375" style="1" customWidth="1"/>
    <col min="3" max="3" width="13.5703125" style="1" bestFit="1" customWidth="1"/>
    <col min="4" max="6" width="13" style="1" hidden="1" customWidth="1"/>
    <col min="7" max="7" width="10.5703125" style="1" hidden="1" customWidth="1"/>
    <col min="8" max="8" width="8.140625" style="1" hidden="1" customWidth="1"/>
    <col min="9" max="10" width="13" style="1" hidden="1" customWidth="1"/>
    <col min="11" max="11" width="13" style="1" customWidth="1"/>
    <col min="12" max="12" width="4.140625" style="1" customWidth="1"/>
    <col min="13" max="13" width="11.42578125" style="1"/>
    <col min="14" max="14" width="8.140625" style="1" customWidth="1"/>
    <col min="15" max="19" width="11.42578125" style="1"/>
    <col min="20" max="20" width="5.28515625" style="1" customWidth="1"/>
    <col min="21" max="25" width="11.42578125" style="1"/>
    <col min="26" max="26" width="28.7109375" style="103" customWidth="1"/>
    <col min="27" max="27" width="43.85546875" style="103" customWidth="1"/>
    <col min="28" max="28" width="8.85546875" style="103" customWidth="1"/>
    <col min="29" max="29" width="21.140625" style="103" bestFit="1" customWidth="1"/>
    <col min="30" max="30" width="28.5703125" style="103" bestFit="1" customWidth="1"/>
    <col min="31" max="32" width="18.42578125" style="21" customWidth="1"/>
    <col min="33" max="34" width="13.5703125" style="21" customWidth="1"/>
    <col min="35" max="35" width="17" style="30" customWidth="1"/>
    <col min="36" max="41" width="13.5703125" style="21" customWidth="1"/>
    <col min="42" max="42" width="16.7109375" style="30" customWidth="1"/>
    <col min="43" max="43" width="16.7109375" style="21" customWidth="1"/>
    <col min="44" max="44" width="15.42578125" style="30" customWidth="1"/>
    <col min="45" max="46" width="13.5703125" style="21" customWidth="1"/>
    <col min="47" max="47" width="15.42578125" style="30" customWidth="1"/>
    <col min="48" max="48" width="23.140625" style="103" hidden="1" customWidth="1"/>
    <col min="49" max="49" width="17.85546875" style="103" hidden="1" customWidth="1"/>
    <col min="50" max="50" width="22.5703125" style="103" hidden="1" customWidth="1"/>
    <col min="51" max="51" width="50.85546875" style="103" bestFit="1" customWidth="1"/>
    <col min="52" max="52" width="28.42578125" style="103" customWidth="1"/>
    <col min="53" max="59" width="11.42578125" style="103"/>
    <col min="60" max="16384" width="11.42578125" style="1"/>
  </cols>
  <sheetData>
    <row r="1" spans="1:60" ht="18" customHeight="1">
      <c r="A1" s="3" t="s">
        <v>0</v>
      </c>
      <c r="B1" s="71" t="s">
        <v>78</v>
      </c>
      <c r="Z1" s="22" t="s">
        <v>80</v>
      </c>
      <c r="AA1" s="22"/>
      <c r="AB1" s="22"/>
      <c r="AC1" s="22"/>
      <c r="AD1" s="23"/>
      <c r="AE1" s="24"/>
      <c r="AF1" s="24"/>
      <c r="AG1" s="24"/>
      <c r="AH1" s="24"/>
      <c r="AI1" s="25"/>
      <c r="AJ1" s="24"/>
      <c r="AK1" s="24"/>
      <c r="AL1" s="24"/>
      <c r="AM1" s="24"/>
      <c r="AN1" s="24"/>
      <c r="AO1" s="24"/>
      <c r="AP1" s="25"/>
      <c r="AQ1" s="24"/>
      <c r="AR1" s="25"/>
      <c r="AS1" s="24"/>
      <c r="AT1" s="24"/>
      <c r="AU1" s="25"/>
      <c r="AV1" s="77"/>
      <c r="AW1" s="77"/>
      <c r="AX1" s="77"/>
      <c r="AY1" s="78"/>
      <c r="AZ1" s="77"/>
      <c r="BA1" s="77"/>
      <c r="BB1" s="77"/>
      <c r="BC1" s="77"/>
      <c r="BD1" s="77"/>
      <c r="BE1" s="77"/>
      <c r="BF1" s="77"/>
      <c r="BG1" s="77"/>
    </row>
    <row r="2" spans="1:60" ht="24.95" customHeight="1">
      <c r="A2" s="4" t="s">
        <v>1</v>
      </c>
      <c r="B2" s="73" t="s">
        <v>2</v>
      </c>
      <c r="Z2" s="26" t="s">
        <v>81</v>
      </c>
      <c r="AA2" s="26"/>
      <c r="AB2" s="26"/>
      <c r="AC2" s="26"/>
      <c r="AD2" s="27"/>
      <c r="AE2" s="24"/>
      <c r="AF2" s="24"/>
      <c r="AG2" s="24"/>
      <c r="AH2" s="24"/>
      <c r="AI2" s="25"/>
      <c r="AJ2" s="24" t="s">
        <v>82</v>
      </c>
      <c r="AK2" s="24"/>
      <c r="AL2" s="24"/>
      <c r="AM2" s="24"/>
      <c r="AN2" s="24"/>
      <c r="AO2" s="24"/>
      <c r="AP2" s="25"/>
      <c r="AQ2" s="24"/>
      <c r="AR2" s="25"/>
      <c r="AS2" s="24"/>
      <c r="AT2" s="24"/>
      <c r="AU2" s="25"/>
      <c r="AV2" s="77"/>
      <c r="AW2" s="77"/>
      <c r="AX2" s="77"/>
      <c r="AY2" s="78"/>
      <c r="AZ2" s="77"/>
      <c r="BA2" s="77"/>
      <c r="BB2" s="77"/>
      <c r="BC2" s="77"/>
      <c r="BD2" s="77"/>
      <c r="BE2" s="77"/>
      <c r="BF2" s="77"/>
      <c r="BG2" s="77"/>
    </row>
    <row r="3" spans="1:60" ht="15.75">
      <c r="B3" s="72" t="s">
        <v>3</v>
      </c>
      <c r="Z3" s="28" t="s">
        <v>83</v>
      </c>
      <c r="AA3" s="28"/>
      <c r="AB3" s="28"/>
      <c r="AC3" s="28"/>
      <c r="AD3" s="29"/>
      <c r="AE3" s="24"/>
      <c r="AF3" s="24"/>
      <c r="AG3" s="24"/>
      <c r="AH3" s="24"/>
      <c r="AI3" s="25"/>
      <c r="AJ3" s="24"/>
      <c r="AK3" s="24"/>
      <c r="AL3" s="24"/>
      <c r="AM3" s="24"/>
      <c r="AN3" s="24"/>
      <c r="AO3" s="24"/>
      <c r="AP3" s="25"/>
      <c r="AQ3" s="24"/>
      <c r="AR3" s="25"/>
      <c r="AS3" s="24"/>
      <c r="AT3" s="24"/>
      <c r="AU3" s="25"/>
      <c r="AV3" s="77"/>
      <c r="AW3" s="77"/>
      <c r="AX3" s="77"/>
      <c r="AY3" s="78"/>
      <c r="AZ3" s="77"/>
      <c r="BA3" s="77"/>
      <c r="BB3" s="77"/>
      <c r="BC3" s="77"/>
      <c r="BD3" s="77"/>
      <c r="BE3" s="77"/>
      <c r="BF3" s="77"/>
      <c r="BG3" s="77"/>
    </row>
    <row r="4" spans="1:60">
      <c r="B4" s="160" t="s">
        <v>233</v>
      </c>
      <c r="Z4" s="79" t="s">
        <v>84</v>
      </c>
      <c r="AA4" s="79"/>
      <c r="AB4" s="79"/>
      <c r="AC4" s="79"/>
      <c r="AD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</row>
    <row r="5" spans="1:60" ht="15" customHeight="1">
      <c r="B5" s="6" t="s">
        <v>193</v>
      </c>
      <c r="Z5" s="206" t="s">
        <v>85</v>
      </c>
      <c r="AA5" s="206" t="s">
        <v>86</v>
      </c>
      <c r="AB5" s="206" t="s">
        <v>87</v>
      </c>
      <c r="AC5" s="80"/>
      <c r="AD5" s="206" t="s">
        <v>88</v>
      </c>
      <c r="AE5" s="31"/>
      <c r="AF5" s="200" t="s">
        <v>89</v>
      </c>
      <c r="AG5" s="200" t="s">
        <v>90</v>
      </c>
      <c r="AH5" s="200" t="s">
        <v>91</v>
      </c>
      <c r="AI5" s="200" t="s">
        <v>92</v>
      </c>
      <c r="AJ5" s="200" t="s">
        <v>93</v>
      </c>
      <c r="AK5" s="31"/>
      <c r="AL5" s="200" t="s">
        <v>94</v>
      </c>
      <c r="AM5" s="200" t="s">
        <v>95</v>
      </c>
      <c r="AN5" s="200" t="s">
        <v>96</v>
      </c>
      <c r="AO5" s="200" t="s">
        <v>97</v>
      </c>
      <c r="AP5" s="200" t="s">
        <v>98</v>
      </c>
      <c r="AQ5" s="200" t="s">
        <v>99</v>
      </c>
      <c r="AR5" s="200" t="s">
        <v>100</v>
      </c>
      <c r="AS5" s="200" t="s">
        <v>101</v>
      </c>
      <c r="AT5" s="200" t="s">
        <v>102</v>
      </c>
      <c r="AU5" s="200" t="s">
        <v>103</v>
      </c>
      <c r="AV5" s="202" t="s">
        <v>104</v>
      </c>
      <c r="AW5" s="203"/>
      <c r="AX5" s="32"/>
      <c r="AY5" s="204" t="s">
        <v>105</v>
      </c>
      <c r="AZ5" s="205" t="s">
        <v>106</v>
      </c>
      <c r="BA5" s="81"/>
      <c r="BB5" s="81"/>
      <c r="BC5" s="81"/>
      <c r="BD5" s="81"/>
      <c r="BE5" s="81"/>
      <c r="BF5" s="81"/>
      <c r="BG5" s="81"/>
    </row>
    <row r="6" spans="1:60" ht="11.25" customHeight="1">
      <c r="B6" s="6" t="s">
        <v>4</v>
      </c>
      <c r="Z6" s="207"/>
      <c r="AA6" s="207"/>
      <c r="AB6" s="207"/>
      <c r="AC6" s="82" t="s">
        <v>107</v>
      </c>
      <c r="AD6" s="207"/>
      <c r="AE6" s="75" t="s">
        <v>110</v>
      </c>
      <c r="AF6" s="201"/>
      <c r="AG6" s="201"/>
      <c r="AH6" s="201"/>
      <c r="AI6" s="201"/>
      <c r="AJ6" s="201"/>
      <c r="AK6" s="75" t="s">
        <v>111</v>
      </c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44" t="s">
        <v>108</v>
      </c>
      <c r="AW6" s="44" t="s">
        <v>109</v>
      </c>
      <c r="AX6" s="33" t="s">
        <v>112</v>
      </c>
      <c r="AY6" s="204"/>
      <c r="AZ6" s="205"/>
      <c r="BA6" s="81"/>
      <c r="BB6" s="81"/>
      <c r="BC6" s="81"/>
      <c r="BD6" s="81"/>
      <c r="BE6" s="81"/>
      <c r="BF6" s="81"/>
      <c r="BG6" s="81"/>
    </row>
    <row r="7" spans="1:60">
      <c r="M7" s="208" t="s">
        <v>200</v>
      </c>
      <c r="N7" s="209"/>
      <c r="O7" s="209"/>
      <c r="P7" s="209"/>
      <c r="Q7" s="209"/>
      <c r="R7" s="209"/>
      <c r="S7" s="210"/>
      <c r="U7" s="208" t="s">
        <v>200</v>
      </c>
      <c r="V7" s="209"/>
      <c r="W7" s="210"/>
      <c r="Z7" s="110"/>
      <c r="AA7" s="110"/>
      <c r="AB7" s="110"/>
      <c r="AC7" s="110"/>
      <c r="AD7" s="110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8"/>
      <c r="AW7" s="68"/>
      <c r="AX7" s="68"/>
      <c r="AY7" s="111"/>
      <c r="AZ7" s="111"/>
      <c r="BA7" s="81"/>
      <c r="BB7" s="81"/>
      <c r="BC7" s="81"/>
      <c r="BD7" s="81"/>
      <c r="BE7" s="81"/>
      <c r="BF7" s="81"/>
      <c r="BG7" s="81"/>
    </row>
    <row r="8" spans="1:60" s="5" customFormat="1" ht="34.5" thickBot="1">
      <c r="A8" s="8" t="s">
        <v>5</v>
      </c>
      <c r="B8" s="9" t="s">
        <v>6</v>
      </c>
      <c r="C8" s="10" t="s">
        <v>199</v>
      </c>
      <c r="D8" s="9" t="s">
        <v>10</v>
      </c>
      <c r="E8" s="9" t="s">
        <v>11</v>
      </c>
      <c r="F8" s="9" t="s">
        <v>12</v>
      </c>
      <c r="G8" s="9" t="s">
        <v>79</v>
      </c>
      <c r="H8" s="9" t="s">
        <v>13</v>
      </c>
      <c r="I8" s="10" t="s">
        <v>14</v>
      </c>
      <c r="J8" s="11" t="s">
        <v>15</v>
      </c>
      <c r="K8" s="10" t="s">
        <v>201</v>
      </c>
      <c r="M8" s="74" t="s">
        <v>9</v>
      </c>
      <c r="N8" s="74" t="s">
        <v>215</v>
      </c>
      <c r="O8" s="74" t="s">
        <v>194</v>
      </c>
      <c r="P8" s="74" t="s">
        <v>195</v>
      </c>
      <c r="Q8" s="74" t="s">
        <v>196</v>
      </c>
      <c r="R8" s="74" t="s">
        <v>197</v>
      </c>
      <c r="S8" s="74" t="s">
        <v>198</v>
      </c>
      <c r="U8" s="74" t="s">
        <v>202</v>
      </c>
      <c r="V8" s="74" t="s">
        <v>197</v>
      </c>
      <c r="W8" s="74" t="s">
        <v>198</v>
      </c>
      <c r="Z8" s="110"/>
      <c r="AA8" s="110"/>
      <c r="AB8" s="110"/>
      <c r="AC8" s="110"/>
      <c r="AD8" s="110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8"/>
      <c r="AW8" s="68"/>
      <c r="AX8" s="68"/>
      <c r="AY8" s="111"/>
      <c r="AZ8" s="111"/>
      <c r="BA8" s="81"/>
      <c r="BB8" s="81"/>
      <c r="BC8" s="81"/>
      <c r="BD8" s="81"/>
      <c r="BE8" s="81"/>
      <c r="BF8" s="81"/>
      <c r="BG8" s="81"/>
      <c r="BH8" s="1"/>
    </row>
    <row r="9" spans="1:60" ht="15.75" thickTop="1">
      <c r="A9" s="12" t="s">
        <v>16</v>
      </c>
      <c r="Z9" s="110"/>
      <c r="AA9" s="110"/>
      <c r="AB9" s="110"/>
      <c r="AC9" s="110"/>
      <c r="AD9" s="110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8"/>
      <c r="AW9" s="68"/>
      <c r="AX9" s="68"/>
      <c r="AY9" s="111"/>
      <c r="AZ9" s="111"/>
      <c r="BA9" s="81"/>
      <c r="BB9" s="81"/>
      <c r="BC9" s="81"/>
      <c r="BD9" s="81"/>
      <c r="BE9" s="81"/>
      <c r="BF9" s="81"/>
      <c r="BG9" s="81"/>
    </row>
    <row r="10" spans="1:60">
      <c r="Z10" s="110"/>
      <c r="AA10" s="110"/>
      <c r="AB10" s="110"/>
      <c r="AC10" s="110"/>
      <c r="AD10" s="110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8"/>
      <c r="AW10" s="68"/>
      <c r="AX10" s="68"/>
      <c r="AY10" s="111"/>
      <c r="AZ10" s="111"/>
      <c r="BA10" s="81"/>
      <c r="BB10" s="81"/>
      <c r="BC10" s="81"/>
      <c r="BD10" s="81"/>
      <c r="BE10" s="81"/>
      <c r="BF10" s="81"/>
      <c r="BG10" s="81"/>
    </row>
    <row r="11" spans="1:60" hidden="1">
      <c r="A11" s="2" t="s">
        <v>17</v>
      </c>
      <c r="B11" s="1" t="s">
        <v>18</v>
      </c>
      <c r="C11" s="76">
        <v>1026.76</v>
      </c>
      <c r="D11" s="196">
        <v>-18.41</v>
      </c>
      <c r="E11" s="76">
        <v>0</v>
      </c>
      <c r="F11" s="76">
        <v>25.55</v>
      </c>
      <c r="G11" s="76">
        <v>0</v>
      </c>
      <c r="H11" s="76">
        <v>0.02</v>
      </c>
      <c r="I11" s="76">
        <f>SUM(D11:H11)</f>
        <v>7.16</v>
      </c>
      <c r="J11" s="76">
        <f>+C11-I11</f>
        <v>1019.6</v>
      </c>
      <c r="K11" s="76">
        <f t="shared" ref="K11:K19" si="0">+AE11</f>
        <v>473.66</v>
      </c>
      <c r="L11" s="76"/>
      <c r="M11" s="76">
        <f>+INGENIERIA!E11</f>
        <v>1026.76</v>
      </c>
      <c r="N11" s="76">
        <f>-AH11</f>
        <v>0</v>
      </c>
      <c r="O11" s="76">
        <f>+M11*0.02</f>
        <v>20.5352</v>
      </c>
      <c r="P11" s="76">
        <f>+M11*7.5%</f>
        <v>77.006999999999991</v>
      </c>
      <c r="Q11" s="76">
        <f>+M11+O11+P11+N11</f>
        <v>1124.3022000000001</v>
      </c>
      <c r="R11" s="76">
        <f>+Q11*0.16</f>
        <v>179.88835200000003</v>
      </c>
      <c r="S11" s="76">
        <f>+Q11+R11</f>
        <v>1304.190552</v>
      </c>
      <c r="T11" s="76"/>
      <c r="U11" s="76">
        <f>+SIND!E12</f>
        <v>473.66</v>
      </c>
      <c r="V11" s="76">
        <f>+U11*0.16</f>
        <v>75.785600000000002</v>
      </c>
      <c r="W11" s="76">
        <f>+U11+V11</f>
        <v>549.44560000000001</v>
      </c>
      <c r="X11" s="199">
        <f>+INGENIERIA!M11+INGENIERIA!F11+INGENIERIA!G11+INGENIERIA!H11+INGENIERIA!I11+SIND!I12+SIND!H12-Q11-U11+O11+P11</f>
        <v>-2.0000000000024443E-2</v>
      </c>
      <c r="Y11" s="1" t="str">
        <f>IF(B11=AA11,"si","no")</f>
        <v>si</v>
      </c>
      <c r="Z11" s="83" t="s">
        <v>113</v>
      </c>
      <c r="AA11" s="84" t="s">
        <v>114</v>
      </c>
      <c r="AB11" s="85" t="s">
        <v>115</v>
      </c>
      <c r="AC11" s="86">
        <v>41575</v>
      </c>
      <c r="AD11" s="83" t="s">
        <v>116</v>
      </c>
      <c r="AE11" s="190">
        <v>473.66</v>
      </c>
      <c r="AF11" s="53"/>
      <c r="AG11" s="53"/>
      <c r="AH11" s="54">
        <v>0</v>
      </c>
      <c r="AI11" s="55">
        <f t="shared" ref="AI11:AI39" si="1">SUM(AE11:AG11)-AH11</f>
        <v>473.66</v>
      </c>
      <c r="AJ11" s="56"/>
      <c r="AK11" s="60"/>
      <c r="AL11" s="57"/>
      <c r="AM11" s="57"/>
      <c r="AN11" s="52"/>
      <c r="AO11" s="52">
        <v>0</v>
      </c>
      <c r="AP11" s="55">
        <f t="shared" ref="AP11:AP39" si="2">+AI11-SUM(AJ11:AO11)</f>
        <v>473.66</v>
      </c>
      <c r="AQ11" s="58">
        <f t="shared" ref="AQ11:AQ23" si="3">IF(AI11&gt;2250,AI11*0.1,0)</f>
        <v>0</v>
      </c>
      <c r="AR11" s="55">
        <f t="shared" ref="AR11:AR39" si="4">+AP11-AQ11</f>
        <v>473.66</v>
      </c>
      <c r="AS11" s="59">
        <f t="shared" ref="AS11:AS39" si="5">IF(AI11&lt;2250,AI11*0.1,0)</f>
        <v>47.366000000000007</v>
      </c>
      <c r="AT11" s="58" t="e">
        <f>#REF!*0.02</f>
        <v>#REF!</v>
      </c>
      <c r="AU11" s="55" t="e">
        <f t="shared" ref="AU11:AU23" si="6">+AI11+AS11+AT11</f>
        <v>#REF!</v>
      </c>
      <c r="AV11" s="87"/>
      <c r="AW11" s="88"/>
      <c r="AX11" s="89">
        <f>+AV11+AW11-AR11</f>
        <v>-473.66</v>
      </c>
      <c r="AY11" s="90" t="s">
        <v>117</v>
      </c>
      <c r="AZ11" s="84" t="s">
        <v>118</v>
      </c>
      <c r="BA11" s="91"/>
      <c r="BB11" s="91"/>
      <c r="BC11" s="91"/>
      <c r="BD11" s="91"/>
      <c r="BE11" s="91"/>
      <c r="BF11" s="91"/>
      <c r="BG11" s="91"/>
    </row>
    <row r="12" spans="1:60" hidden="1">
      <c r="A12" s="2" t="s">
        <v>19</v>
      </c>
      <c r="B12" s="1" t="s">
        <v>20</v>
      </c>
      <c r="C12" s="76">
        <v>1026.76</v>
      </c>
      <c r="D12" s="196">
        <v>-18.41</v>
      </c>
      <c r="E12" s="76">
        <v>0</v>
      </c>
      <c r="F12" s="76">
        <v>25.48</v>
      </c>
      <c r="G12" s="76">
        <v>0</v>
      </c>
      <c r="H12" s="196">
        <v>-0.11</v>
      </c>
      <c r="I12" s="76">
        <v>6.96</v>
      </c>
      <c r="J12" s="76">
        <f t="shared" ref="J12:J39" si="7">+C12-I12</f>
        <v>1019.8</v>
      </c>
      <c r="K12" s="76">
        <f t="shared" si="0"/>
        <v>0</v>
      </c>
      <c r="L12" s="76"/>
      <c r="M12" s="76">
        <f>+INGENIERIA!E12</f>
        <v>1026.76</v>
      </c>
      <c r="N12" s="76">
        <f t="shared" ref="N12:N39" si="8">-AH12</f>
        <v>0</v>
      </c>
      <c r="O12" s="76">
        <f t="shared" ref="O12:O39" si="9">+M12*0.02</f>
        <v>20.5352</v>
      </c>
      <c r="P12" s="76">
        <f>+M12*7.5%</f>
        <v>77.006999999999991</v>
      </c>
      <c r="Q12" s="76">
        <f t="shared" ref="Q12:Q39" si="10">+M12+O12+P12+N12</f>
        <v>1124.3022000000001</v>
      </c>
      <c r="R12" s="76">
        <f t="shared" ref="R12:R39" si="11">+Q12*0.16</f>
        <v>179.88835200000003</v>
      </c>
      <c r="S12" s="76">
        <f t="shared" ref="S12:S39" si="12">+Q12+R12</f>
        <v>1304.190552</v>
      </c>
      <c r="T12" s="76"/>
      <c r="U12" s="76">
        <f>+SIND!E13</f>
        <v>0</v>
      </c>
      <c r="V12" s="76">
        <f t="shared" ref="V12:V39" si="13">+U12*0.16</f>
        <v>0</v>
      </c>
      <c r="W12" s="76">
        <f t="shared" ref="W12:W39" si="14">+U12+V12</f>
        <v>0</v>
      </c>
      <c r="X12" s="199">
        <f>+INGENIERIA!M12+INGENIERIA!F12+INGENIERIA!G12+INGENIERIA!H12+INGENIERIA!I12+SIND!I13+SIND!H13-Q12-U12+O12+P12</f>
        <v>0.10999999999980048</v>
      </c>
      <c r="Y12" s="1" t="str">
        <f t="shared" ref="Y12:Y39" si="15">IF(B12=AA12,"si","no")</f>
        <v>si</v>
      </c>
      <c r="Z12" s="83" t="s">
        <v>113</v>
      </c>
      <c r="AA12" s="84" t="s">
        <v>119</v>
      </c>
      <c r="AB12" s="85" t="s">
        <v>120</v>
      </c>
      <c r="AC12" s="86">
        <v>42310</v>
      </c>
      <c r="AD12" s="83" t="s">
        <v>116</v>
      </c>
      <c r="AE12" s="191"/>
      <c r="AF12" s="52"/>
      <c r="AG12" s="52"/>
      <c r="AH12" s="54">
        <v>0</v>
      </c>
      <c r="AI12" s="55">
        <f t="shared" si="1"/>
        <v>0</v>
      </c>
      <c r="AJ12" s="56"/>
      <c r="AK12" s="60"/>
      <c r="AL12" s="57"/>
      <c r="AM12" s="57"/>
      <c r="AN12" s="52"/>
      <c r="AO12" s="52">
        <v>0</v>
      </c>
      <c r="AP12" s="55">
        <f t="shared" si="2"/>
        <v>0</v>
      </c>
      <c r="AQ12" s="58">
        <f t="shared" si="3"/>
        <v>0</v>
      </c>
      <c r="AR12" s="55">
        <f t="shared" si="4"/>
        <v>0</v>
      </c>
      <c r="AS12" s="59">
        <f t="shared" si="5"/>
        <v>0</v>
      </c>
      <c r="AT12" s="58" t="e">
        <f>#REF!*0.02</f>
        <v>#REF!</v>
      </c>
      <c r="AU12" s="55" t="e">
        <f t="shared" si="6"/>
        <v>#REF!</v>
      </c>
      <c r="AV12" s="87"/>
      <c r="AW12" s="88"/>
      <c r="AX12" s="89">
        <f>+AV12+AW12-AR12</f>
        <v>0</v>
      </c>
      <c r="AY12" s="84"/>
      <c r="AZ12" s="84" t="s">
        <v>121</v>
      </c>
      <c r="BA12" s="91"/>
      <c r="BB12" s="91"/>
      <c r="BC12" s="91"/>
      <c r="BD12" s="91"/>
      <c r="BE12" s="91"/>
      <c r="BF12" s="91"/>
      <c r="BG12" s="91"/>
      <c r="BH12" s="5"/>
    </row>
    <row r="13" spans="1:60" hidden="1">
      <c r="A13" s="2" t="s">
        <v>21</v>
      </c>
      <c r="B13" s="1" t="s">
        <v>22</v>
      </c>
      <c r="C13" s="76">
        <v>1026.76</v>
      </c>
      <c r="D13" s="196">
        <v>-18.41</v>
      </c>
      <c r="E13" s="76">
        <v>0</v>
      </c>
      <c r="F13" s="76">
        <v>25.53</v>
      </c>
      <c r="G13" s="76">
        <v>684.17</v>
      </c>
      <c r="H13" s="76">
        <v>0.04</v>
      </c>
      <c r="I13" s="76">
        <v>7.16</v>
      </c>
      <c r="J13" s="76">
        <f t="shared" si="7"/>
        <v>1019.6</v>
      </c>
      <c r="K13" s="76">
        <f t="shared" si="0"/>
        <v>5736.95</v>
      </c>
      <c r="L13" s="76"/>
      <c r="M13" s="76">
        <f>+INGENIERIA!E13</f>
        <v>1026.76</v>
      </c>
      <c r="N13" s="76">
        <f t="shared" si="8"/>
        <v>0</v>
      </c>
      <c r="O13" s="76">
        <f t="shared" si="9"/>
        <v>20.5352</v>
      </c>
      <c r="P13" s="76">
        <f>+M13*7.5%</f>
        <v>77.006999999999991</v>
      </c>
      <c r="Q13" s="76">
        <f t="shared" si="10"/>
        <v>1124.3022000000001</v>
      </c>
      <c r="R13" s="76">
        <f t="shared" si="11"/>
        <v>179.88835200000003</v>
      </c>
      <c r="S13" s="76">
        <f t="shared" si="12"/>
        <v>1304.190552</v>
      </c>
      <c r="T13" s="76"/>
      <c r="U13" s="76">
        <f>+SIND!E14</f>
        <v>5736.95</v>
      </c>
      <c r="V13" s="76">
        <f t="shared" si="13"/>
        <v>917.91200000000003</v>
      </c>
      <c r="W13" s="76">
        <f t="shared" si="14"/>
        <v>6654.8620000000001</v>
      </c>
      <c r="X13" s="199">
        <f>+INGENIERIA!M13+INGENIERIA!F13+INGENIERIA!G13+INGENIERIA!H13+INGENIERIA!I13+SIND!I14+SIND!H14-Q13-U13+O13+P13</f>
        <v>-3.9999999999835723E-2</v>
      </c>
      <c r="Y13" s="1" t="str">
        <f t="shared" si="15"/>
        <v>si</v>
      </c>
      <c r="Z13" s="83" t="s">
        <v>113</v>
      </c>
      <c r="AA13" s="84" t="s">
        <v>122</v>
      </c>
      <c r="AB13" s="85" t="s">
        <v>123</v>
      </c>
      <c r="AC13" s="86">
        <v>42215</v>
      </c>
      <c r="AD13" s="83" t="s">
        <v>116</v>
      </c>
      <c r="AE13" s="190">
        <v>5736.95</v>
      </c>
      <c r="AF13" s="52"/>
      <c r="AG13" s="52"/>
      <c r="AH13" s="54">
        <v>0</v>
      </c>
      <c r="AI13" s="55">
        <f t="shared" si="1"/>
        <v>5736.95</v>
      </c>
      <c r="AJ13" s="56"/>
      <c r="AK13" s="60"/>
      <c r="AL13" s="57"/>
      <c r="AM13" s="57"/>
      <c r="AN13" s="52"/>
      <c r="AO13" s="52">
        <v>693.26</v>
      </c>
      <c r="AP13" s="55">
        <f t="shared" si="2"/>
        <v>5043.6899999999996</v>
      </c>
      <c r="AQ13" s="58">
        <f t="shared" si="3"/>
        <v>573.69500000000005</v>
      </c>
      <c r="AR13" s="55">
        <f t="shared" si="4"/>
        <v>4469.9949999999999</v>
      </c>
      <c r="AS13" s="59">
        <f t="shared" si="5"/>
        <v>0</v>
      </c>
      <c r="AT13" s="58" t="e">
        <f>#REF!*0.02</f>
        <v>#REF!</v>
      </c>
      <c r="AU13" s="55" t="e">
        <f t="shared" si="6"/>
        <v>#REF!</v>
      </c>
      <c r="AV13" s="87"/>
      <c r="AW13" s="88"/>
      <c r="AX13" s="89">
        <f>+AV13+AW13-AR13</f>
        <v>-4469.9949999999999</v>
      </c>
      <c r="AY13" s="84"/>
      <c r="AZ13" s="84" t="s">
        <v>124</v>
      </c>
      <c r="BA13" s="91"/>
      <c r="BB13" s="91"/>
      <c r="BC13" s="91"/>
      <c r="BD13" s="91"/>
      <c r="BE13" s="91"/>
      <c r="BF13" s="91"/>
      <c r="BG13" s="91"/>
    </row>
    <row r="14" spans="1:60" hidden="1">
      <c r="A14" s="2" t="s">
        <v>23</v>
      </c>
      <c r="B14" s="1" t="s">
        <v>24</v>
      </c>
      <c r="C14" s="76">
        <v>1750</v>
      </c>
      <c r="D14" s="76">
        <v>0</v>
      </c>
      <c r="E14" s="76">
        <v>144.21</v>
      </c>
      <c r="F14" s="76">
        <v>44.9</v>
      </c>
      <c r="G14" s="76">
        <v>0</v>
      </c>
      <c r="H14" s="196">
        <v>-0.11</v>
      </c>
      <c r="I14" s="76">
        <v>189</v>
      </c>
      <c r="J14" s="76">
        <f t="shared" si="7"/>
        <v>1561</v>
      </c>
      <c r="K14" s="76">
        <f t="shared" si="0"/>
        <v>0</v>
      </c>
      <c r="L14" s="76"/>
      <c r="M14" s="76">
        <f>+INGENIERIA!E14</f>
        <v>1750</v>
      </c>
      <c r="N14" s="76">
        <f t="shared" si="8"/>
        <v>0</v>
      </c>
      <c r="O14" s="76">
        <f t="shared" si="9"/>
        <v>35</v>
      </c>
      <c r="P14" s="76">
        <f>+M14*7.5%</f>
        <v>131.25</v>
      </c>
      <c r="Q14" s="76">
        <f t="shared" si="10"/>
        <v>1916.25</v>
      </c>
      <c r="R14" s="76">
        <f t="shared" si="11"/>
        <v>306.60000000000002</v>
      </c>
      <c r="S14" s="76">
        <f t="shared" si="12"/>
        <v>2222.85</v>
      </c>
      <c r="T14" s="76"/>
      <c r="U14" s="76">
        <f>+SIND!E15</f>
        <v>0</v>
      </c>
      <c r="V14" s="76">
        <f t="shared" si="13"/>
        <v>0</v>
      </c>
      <c r="W14" s="76">
        <f t="shared" si="14"/>
        <v>0</v>
      </c>
      <c r="X14" s="199">
        <f>+INGENIERIA!M14+INGENIERIA!F14+INGENIERIA!G14+INGENIERIA!H14+INGENIERIA!I14+SIND!I15+SIND!H15-Q14-U14+O14+P14</f>
        <v>0.11000000000012733</v>
      </c>
      <c r="Y14" s="1" t="str">
        <f t="shared" si="15"/>
        <v>si</v>
      </c>
      <c r="Z14" s="83" t="s">
        <v>125</v>
      </c>
      <c r="AA14" s="84" t="s">
        <v>208</v>
      </c>
      <c r="AB14" s="85" t="s">
        <v>126</v>
      </c>
      <c r="AC14" s="86">
        <v>40147</v>
      </c>
      <c r="AD14" s="83" t="s">
        <v>127</v>
      </c>
      <c r="AE14" s="191"/>
      <c r="AF14" s="53"/>
      <c r="AG14" s="53"/>
      <c r="AH14" s="54">
        <v>0</v>
      </c>
      <c r="AI14" s="55">
        <f t="shared" si="1"/>
        <v>0</v>
      </c>
      <c r="AJ14" s="56"/>
      <c r="AK14" s="60"/>
      <c r="AL14" s="57"/>
      <c r="AM14" s="57"/>
      <c r="AN14" s="52"/>
      <c r="AO14" s="52">
        <v>0</v>
      </c>
      <c r="AP14" s="55">
        <f t="shared" si="2"/>
        <v>0</v>
      </c>
      <c r="AQ14" s="58">
        <f t="shared" si="3"/>
        <v>0</v>
      </c>
      <c r="AR14" s="55">
        <f t="shared" si="4"/>
        <v>0</v>
      </c>
      <c r="AS14" s="59">
        <f t="shared" si="5"/>
        <v>0</v>
      </c>
      <c r="AT14" s="58" t="e">
        <f>#REF!*0.02</f>
        <v>#REF!</v>
      </c>
      <c r="AU14" s="55" t="e">
        <f t="shared" si="6"/>
        <v>#REF!</v>
      </c>
      <c r="AV14" s="87"/>
      <c r="AW14" s="88"/>
      <c r="AX14" s="89">
        <f>+AV14+AW14-AR14</f>
        <v>0</v>
      </c>
      <c r="AY14" s="84"/>
      <c r="AZ14" s="84" t="s">
        <v>128</v>
      </c>
      <c r="BA14" s="91"/>
      <c r="BB14" s="91"/>
      <c r="BC14" s="91"/>
      <c r="BD14" s="95"/>
      <c r="BE14" s="95"/>
      <c r="BF14" s="95"/>
      <c r="BG14" s="95"/>
    </row>
    <row r="15" spans="1:60" hidden="1">
      <c r="A15" s="2" t="s">
        <v>25</v>
      </c>
      <c r="B15" s="1" t="s">
        <v>26</v>
      </c>
      <c r="C15" s="76">
        <v>1026.76</v>
      </c>
      <c r="D15" s="196">
        <v>-18.41</v>
      </c>
      <c r="E15" s="76">
        <v>0</v>
      </c>
      <c r="F15" s="76">
        <v>25.48</v>
      </c>
      <c r="G15" s="76">
        <v>0</v>
      </c>
      <c r="H15" s="76">
        <v>0.09</v>
      </c>
      <c r="I15" s="76">
        <v>7.16</v>
      </c>
      <c r="J15" s="76">
        <f t="shared" si="7"/>
        <v>1019.6</v>
      </c>
      <c r="K15" s="76">
        <f t="shared" si="0"/>
        <v>0</v>
      </c>
      <c r="L15" s="76"/>
      <c r="M15" s="76">
        <f>+INGENIERIA!E15</f>
        <v>1026.76</v>
      </c>
      <c r="N15" s="76">
        <f t="shared" si="8"/>
        <v>0</v>
      </c>
      <c r="O15" s="76">
        <f t="shared" si="9"/>
        <v>20.5352</v>
      </c>
      <c r="P15" s="76">
        <f t="shared" ref="P15:P39" si="16">+M15*7.5%</f>
        <v>77.006999999999991</v>
      </c>
      <c r="Q15" s="76">
        <f t="shared" si="10"/>
        <v>1124.3022000000001</v>
      </c>
      <c r="R15" s="76">
        <f t="shared" si="11"/>
        <v>179.88835200000003</v>
      </c>
      <c r="S15" s="76">
        <f t="shared" si="12"/>
        <v>1304.190552</v>
      </c>
      <c r="T15" s="76"/>
      <c r="U15" s="76">
        <f>+SIND!E16</f>
        <v>0</v>
      </c>
      <c r="V15" s="76">
        <f t="shared" si="13"/>
        <v>0</v>
      </c>
      <c r="W15" s="76">
        <f t="shared" si="14"/>
        <v>0</v>
      </c>
      <c r="X15" s="199">
        <f>+INGENIERIA!M15+INGENIERIA!F15+INGENIERIA!G15+INGENIERIA!H15+INGENIERIA!I15+SIND!I16+SIND!H16-Q15-U15+O15+P15</f>
        <v>-9.0000000000017621E-2</v>
      </c>
      <c r="Y15" s="1" t="str">
        <f t="shared" si="15"/>
        <v>si</v>
      </c>
      <c r="Z15" s="83" t="s">
        <v>129</v>
      </c>
      <c r="AA15" s="84" t="s">
        <v>130</v>
      </c>
      <c r="AB15" s="85"/>
      <c r="AC15" s="86">
        <v>42548</v>
      </c>
      <c r="AD15" s="83" t="s">
        <v>116</v>
      </c>
      <c r="AE15" s="191"/>
      <c r="AF15" s="53"/>
      <c r="AG15" s="53"/>
      <c r="AH15" s="54">
        <v>0</v>
      </c>
      <c r="AI15" s="55">
        <f t="shared" si="1"/>
        <v>0</v>
      </c>
      <c r="AJ15" s="56"/>
      <c r="AK15" s="60"/>
      <c r="AL15" s="57"/>
      <c r="AM15" s="57"/>
      <c r="AN15" s="52"/>
      <c r="AO15" s="52">
        <v>0</v>
      </c>
      <c r="AP15" s="55">
        <f t="shared" si="2"/>
        <v>0</v>
      </c>
      <c r="AQ15" s="58">
        <f t="shared" si="3"/>
        <v>0</v>
      </c>
      <c r="AR15" s="55">
        <f t="shared" si="4"/>
        <v>0</v>
      </c>
      <c r="AS15" s="59">
        <f t="shared" si="5"/>
        <v>0</v>
      </c>
      <c r="AT15" s="58" t="e">
        <f>#REF!*0.02</f>
        <v>#REF!</v>
      </c>
      <c r="AU15" s="55" t="e">
        <f t="shared" si="6"/>
        <v>#REF!</v>
      </c>
      <c r="AV15" s="92"/>
      <c r="AW15" s="93"/>
      <c r="AX15" s="94"/>
      <c r="AY15" s="84"/>
      <c r="AZ15" s="84">
        <v>1167172540</v>
      </c>
      <c r="BA15" s="91"/>
      <c r="BB15" s="91"/>
      <c r="BC15" s="91"/>
      <c r="BD15" s="91"/>
      <c r="BE15" s="91"/>
      <c r="BF15" s="91"/>
      <c r="BG15" s="91"/>
    </row>
    <row r="16" spans="1:60" hidden="1">
      <c r="A16" s="2" t="s">
        <v>27</v>
      </c>
      <c r="B16" s="1" t="s">
        <v>28</v>
      </c>
      <c r="C16" s="76">
        <v>1026.76</v>
      </c>
      <c r="D16" s="196">
        <v>-18.41</v>
      </c>
      <c r="E16" s="76">
        <v>0</v>
      </c>
      <c r="F16" s="76">
        <v>25.55</v>
      </c>
      <c r="G16" s="76">
        <v>0</v>
      </c>
      <c r="H16" s="76">
        <v>0.02</v>
      </c>
      <c r="I16" s="76">
        <v>7.16</v>
      </c>
      <c r="J16" s="76">
        <f t="shared" si="7"/>
        <v>1019.6</v>
      </c>
      <c r="K16" s="76">
        <f t="shared" si="0"/>
        <v>2774.76</v>
      </c>
      <c r="L16" s="76"/>
      <c r="M16" s="76">
        <f>+INGENIERIA!E16</f>
        <v>1026.76</v>
      </c>
      <c r="N16" s="76">
        <f t="shared" si="8"/>
        <v>0</v>
      </c>
      <c r="O16" s="76">
        <f t="shared" si="9"/>
        <v>20.5352</v>
      </c>
      <c r="P16" s="76">
        <f t="shared" si="16"/>
        <v>77.006999999999991</v>
      </c>
      <c r="Q16" s="76">
        <f t="shared" si="10"/>
        <v>1124.3022000000001</v>
      </c>
      <c r="R16" s="76">
        <f t="shared" si="11"/>
        <v>179.88835200000003</v>
      </c>
      <c r="S16" s="76">
        <f t="shared" si="12"/>
        <v>1304.190552</v>
      </c>
      <c r="T16" s="76"/>
      <c r="U16" s="76">
        <f>+SIND!E17</f>
        <v>2774.76</v>
      </c>
      <c r="V16" s="76">
        <f t="shared" si="13"/>
        <v>443.96160000000003</v>
      </c>
      <c r="W16" s="76">
        <f t="shared" si="14"/>
        <v>3218.7216000000003</v>
      </c>
      <c r="X16" s="199">
        <f>+INGENIERIA!M16+INGENIERIA!F16+INGENIERIA!G16+INGENIERIA!H16+INGENIERIA!I16+SIND!I17+SIND!H17-Q16-U16+O16+P16</f>
        <v>-1.9999999999853912E-2</v>
      </c>
      <c r="Y16" s="1" t="str">
        <f t="shared" si="15"/>
        <v>si</v>
      </c>
      <c r="Z16" s="83" t="s">
        <v>129</v>
      </c>
      <c r="AA16" s="84" t="s">
        <v>131</v>
      </c>
      <c r="AB16" s="85" t="s">
        <v>132</v>
      </c>
      <c r="AC16" s="86">
        <v>41842</v>
      </c>
      <c r="AD16" s="83" t="s">
        <v>116</v>
      </c>
      <c r="AE16" s="192">
        <v>2774.76</v>
      </c>
      <c r="AF16" s="52"/>
      <c r="AG16" s="52"/>
      <c r="AH16" s="54">
        <v>0</v>
      </c>
      <c r="AI16" s="55">
        <f t="shared" si="1"/>
        <v>2774.76</v>
      </c>
      <c r="AJ16" s="56"/>
      <c r="AK16" s="60"/>
      <c r="AL16" s="57"/>
      <c r="AM16" s="57"/>
      <c r="AN16" s="52"/>
      <c r="AO16" s="52">
        <v>0</v>
      </c>
      <c r="AP16" s="55">
        <f t="shared" si="2"/>
        <v>2774.76</v>
      </c>
      <c r="AQ16" s="58">
        <f t="shared" si="3"/>
        <v>277.47600000000006</v>
      </c>
      <c r="AR16" s="55">
        <f t="shared" si="4"/>
        <v>2497.2840000000001</v>
      </c>
      <c r="AS16" s="59">
        <f t="shared" si="5"/>
        <v>0</v>
      </c>
      <c r="AT16" s="58" t="e">
        <f>#REF!*0.02</f>
        <v>#REF!</v>
      </c>
      <c r="AU16" s="55" t="e">
        <f t="shared" si="6"/>
        <v>#REF!</v>
      </c>
      <c r="AV16" s="87"/>
      <c r="AW16" s="87"/>
      <c r="AX16" s="89">
        <f t="shared" ref="AX16:AX23" si="17">+AV16+AW16-AR16</f>
        <v>-2497.2840000000001</v>
      </c>
      <c r="AY16" s="84"/>
      <c r="AZ16" s="84" t="s">
        <v>133</v>
      </c>
      <c r="BA16" s="91"/>
      <c r="BB16" s="91"/>
      <c r="BC16" s="91"/>
      <c r="BD16" s="91"/>
      <c r="BE16" s="91"/>
      <c r="BF16" s="91"/>
      <c r="BG16" s="91"/>
    </row>
    <row r="17" spans="1:59" hidden="1">
      <c r="A17" s="2" t="s">
        <v>29</v>
      </c>
      <c r="B17" s="1" t="s">
        <v>30</v>
      </c>
      <c r="C17" s="76">
        <v>1026.76</v>
      </c>
      <c r="D17" s="196">
        <v>-18.41</v>
      </c>
      <c r="E17" s="76">
        <v>0</v>
      </c>
      <c r="F17" s="76">
        <v>25.53</v>
      </c>
      <c r="G17" s="76">
        <v>0</v>
      </c>
      <c r="H17" s="196">
        <v>-0.16</v>
      </c>
      <c r="I17" s="76">
        <v>6.96</v>
      </c>
      <c r="J17" s="76">
        <f t="shared" si="7"/>
        <v>1019.8</v>
      </c>
      <c r="K17" s="76">
        <f t="shared" si="0"/>
        <v>0</v>
      </c>
      <c r="L17" s="76"/>
      <c r="M17" s="76">
        <f>+INGENIERIA!E17</f>
        <v>1026.76</v>
      </c>
      <c r="N17" s="76">
        <f t="shared" si="8"/>
        <v>0</v>
      </c>
      <c r="O17" s="76">
        <f t="shared" si="9"/>
        <v>20.5352</v>
      </c>
      <c r="P17" s="76">
        <f t="shared" si="16"/>
        <v>77.006999999999991</v>
      </c>
      <c r="Q17" s="76">
        <f t="shared" si="10"/>
        <v>1124.3022000000001</v>
      </c>
      <c r="R17" s="76">
        <f t="shared" si="11"/>
        <v>179.88835200000003</v>
      </c>
      <c r="S17" s="76">
        <f t="shared" si="12"/>
        <v>1304.190552</v>
      </c>
      <c r="T17" s="76"/>
      <c r="U17" s="76">
        <f>+SIND!E18</f>
        <v>0</v>
      </c>
      <c r="V17" s="76">
        <f t="shared" si="13"/>
        <v>0</v>
      </c>
      <c r="W17" s="76">
        <f t="shared" si="14"/>
        <v>0</v>
      </c>
      <c r="X17" s="199">
        <f>+INGENIERIA!M17+INGENIERIA!F17+INGENIERIA!G17+INGENIERIA!H17+INGENIERIA!I17+SIND!I18+SIND!H18-Q17-U17+O17+P17</f>
        <v>0.15999999999998238</v>
      </c>
      <c r="Y17" s="1" t="str">
        <f t="shared" si="15"/>
        <v>si</v>
      </c>
      <c r="Z17" s="83" t="s">
        <v>129</v>
      </c>
      <c r="AA17" s="84" t="s">
        <v>134</v>
      </c>
      <c r="AB17" s="97"/>
      <c r="AC17" s="86">
        <v>42167</v>
      </c>
      <c r="AD17" s="84" t="s">
        <v>116</v>
      </c>
      <c r="AE17" s="193"/>
      <c r="AF17" s="52"/>
      <c r="AG17" s="52"/>
      <c r="AH17" s="54">
        <v>0</v>
      </c>
      <c r="AI17" s="55">
        <f t="shared" si="1"/>
        <v>0</v>
      </c>
      <c r="AJ17" s="56"/>
      <c r="AK17" s="60"/>
      <c r="AL17" s="57"/>
      <c r="AM17" s="57"/>
      <c r="AN17" s="52"/>
      <c r="AO17" s="52">
        <v>0</v>
      </c>
      <c r="AP17" s="55">
        <f t="shared" si="2"/>
        <v>0</v>
      </c>
      <c r="AQ17" s="58">
        <f t="shared" si="3"/>
        <v>0</v>
      </c>
      <c r="AR17" s="55">
        <f t="shared" si="4"/>
        <v>0</v>
      </c>
      <c r="AS17" s="59">
        <f t="shared" si="5"/>
        <v>0</v>
      </c>
      <c r="AT17" s="58" t="e">
        <f>#REF!*0.02</f>
        <v>#REF!</v>
      </c>
      <c r="AU17" s="55" t="e">
        <f t="shared" si="6"/>
        <v>#REF!</v>
      </c>
      <c r="AV17" s="87"/>
      <c r="AW17" s="88"/>
      <c r="AX17" s="89">
        <f t="shared" si="17"/>
        <v>0</v>
      </c>
      <c r="AY17" s="84"/>
      <c r="AZ17" s="98">
        <v>1449517286</v>
      </c>
      <c r="BA17" s="91"/>
      <c r="BB17" s="91"/>
      <c r="BC17" s="91"/>
      <c r="BD17" s="91"/>
      <c r="BE17" s="91"/>
      <c r="BF17" s="91"/>
      <c r="BG17" s="91"/>
    </row>
    <row r="18" spans="1:59" hidden="1">
      <c r="A18" s="2" t="s">
        <v>31</v>
      </c>
      <c r="B18" s="1" t="s">
        <v>32</v>
      </c>
      <c r="C18" s="76">
        <v>4666.76</v>
      </c>
      <c r="D18" s="76">
        <v>0</v>
      </c>
      <c r="E18" s="76">
        <v>741.43</v>
      </c>
      <c r="F18" s="76">
        <v>129.94</v>
      </c>
      <c r="G18" s="76">
        <v>0</v>
      </c>
      <c r="H18" s="196">
        <v>-0.01</v>
      </c>
      <c r="I18" s="76">
        <v>871.36</v>
      </c>
      <c r="J18" s="76">
        <f t="shared" si="7"/>
        <v>3795.4</v>
      </c>
      <c r="K18" s="76">
        <f t="shared" si="0"/>
        <v>0</v>
      </c>
      <c r="L18" s="76"/>
      <c r="M18" s="76">
        <f>+INGENIERIA!E18</f>
        <v>4666.76</v>
      </c>
      <c r="N18" s="76">
        <f t="shared" si="8"/>
        <v>0</v>
      </c>
      <c r="O18" s="76">
        <f t="shared" si="9"/>
        <v>93.3352</v>
      </c>
      <c r="P18" s="76">
        <f t="shared" si="16"/>
        <v>350.00700000000001</v>
      </c>
      <c r="Q18" s="76">
        <f t="shared" si="10"/>
        <v>5110.1022000000003</v>
      </c>
      <c r="R18" s="76">
        <f t="shared" si="11"/>
        <v>817.61635200000001</v>
      </c>
      <c r="S18" s="76">
        <f t="shared" si="12"/>
        <v>5927.7185520000003</v>
      </c>
      <c r="T18" s="76"/>
      <c r="U18" s="76">
        <f>+SIND!E19</f>
        <v>0</v>
      </c>
      <c r="V18" s="76">
        <f t="shared" si="13"/>
        <v>0</v>
      </c>
      <c r="W18" s="76">
        <f t="shared" si="14"/>
        <v>0</v>
      </c>
      <c r="X18" s="199">
        <f>+INGENIERIA!M18+INGENIERIA!F18+INGENIERIA!G18+INGENIERIA!H18+INGENIERIA!I18+SIND!I19+SIND!H19-Q18-U18+O18+P18</f>
        <v>1.0000000000161435E-2</v>
      </c>
      <c r="Y18" s="1" t="str">
        <f t="shared" si="15"/>
        <v>si</v>
      </c>
      <c r="Z18" s="83" t="s">
        <v>113</v>
      </c>
      <c r="AA18" s="84" t="s">
        <v>135</v>
      </c>
      <c r="AB18" s="97">
        <v>5</v>
      </c>
      <c r="AC18" s="86">
        <v>40310</v>
      </c>
      <c r="AD18" s="84" t="s">
        <v>136</v>
      </c>
      <c r="AE18" s="194"/>
      <c r="AF18" s="61"/>
      <c r="AG18" s="53"/>
      <c r="AH18" s="54">
        <v>0</v>
      </c>
      <c r="AI18" s="55">
        <f t="shared" si="1"/>
        <v>0</v>
      </c>
      <c r="AJ18" s="56"/>
      <c r="AK18" s="60"/>
      <c r="AL18" s="57"/>
      <c r="AM18" s="57"/>
      <c r="AN18" s="52"/>
      <c r="AO18" s="52">
        <v>0</v>
      </c>
      <c r="AP18" s="55">
        <f t="shared" si="2"/>
        <v>0</v>
      </c>
      <c r="AQ18" s="58">
        <f t="shared" si="3"/>
        <v>0</v>
      </c>
      <c r="AR18" s="55">
        <f t="shared" si="4"/>
        <v>0</v>
      </c>
      <c r="AS18" s="59">
        <f t="shared" si="5"/>
        <v>0</v>
      </c>
      <c r="AT18" s="58" t="e">
        <f>#REF!*0.02</f>
        <v>#REF!</v>
      </c>
      <c r="AU18" s="55" t="e">
        <f t="shared" si="6"/>
        <v>#REF!</v>
      </c>
      <c r="AV18" s="87"/>
      <c r="AW18" s="88"/>
      <c r="AX18" s="89">
        <f t="shared" si="17"/>
        <v>0</v>
      </c>
      <c r="AY18" s="84"/>
      <c r="AZ18" s="84" t="s">
        <v>137</v>
      </c>
      <c r="BA18" s="91"/>
      <c r="BB18" s="91"/>
      <c r="BC18" s="91"/>
      <c r="BD18" s="91"/>
      <c r="BE18" s="91"/>
      <c r="BF18" s="91"/>
      <c r="BG18" s="91"/>
    </row>
    <row r="19" spans="1:59" hidden="1">
      <c r="A19" s="2" t="s">
        <v>33</v>
      </c>
      <c r="B19" s="1" t="s">
        <v>34</v>
      </c>
      <c r="C19" s="76">
        <v>1026.76</v>
      </c>
      <c r="D19" s="196">
        <v>-18.41</v>
      </c>
      <c r="E19" s="76">
        <v>0</v>
      </c>
      <c r="F19" s="76">
        <v>25.58</v>
      </c>
      <c r="G19" s="76">
        <v>0</v>
      </c>
      <c r="H19" s="196">
        <v>-0.01</v>
      </c>
      <c r="I19" s="76">
        <v>7.16</v>
      </c>
      <c r="J19" s="76">
        <f t="shared" si="7"/>
        <v>1019.6</v>
      </c>
      <c r="K19" s="76">
        <f t="shared" si="0"/>
        <v>5535.26</v>
      </c>
      <c r="L19" s="76"/>
      <c r="M19" s="76">
        <f>+INGENIERIA!E19</f>
        <v>1026.76</v>
      </c>
      <c r="N19" s="76">
        <f t="shared" si="8"/>
        <v>0</v>
      </c>
      <c r="O19" s="76">
        <f t="shared" si="9"/>
        <v>20.5352</v>
      </c>
      <c r="P19" s="76">
        <f t="shared" si="16"/>
        <v>77.006999999999991</v>
      </c>
      <c r="Q19" s="76">
        <f t="shared" si="10"/>
        <v>1124.3022000000001</v>
      </c>
      <c r="R19" s="76">
        <f t="shared" si="11"/>
        <v>179.88835200000003</v>
      </c>
      <c r="S19" s="76">
        <f t="shared" si="12"/>
        <v>1304.190552</v>
      </c>
      <c r="T19" s="76"/>
      <c r="U19" s="76">
        <f>+SIND!E20</f>
        <v>5535.26</v>
      </c>
      <c r="V19" s="76">
        <f t="shared" si="13"/>
        <v>885.64160000000004</v>
      </c>
      <c r="W19" s="76">
        <f t="shared" si="14"/>
        <v>6420.9016000000001</v>
      </c>
      <c r="X19" s="199">
        <f>+INGENIERIA!M19+INGENIERIA!F19+INGENIERIA!G19+INGENIERIA!H19+INGENIERIA!I19+SIND!I20+SIND!H20-Q19-U19+O19+P19</f>
        <v>1.0000000000346176E-2</v>
      </c>
      <c r="Y19" s="1" t="str">
        <f t="shared" si="15"/>
        <v>si</v>
      </c>
      <c r="Z19" s="83" t="s">
        <v>113</v>
      </c>
      <c r="AA19" s="84" t="s">
        <v>138</v>
      </c>
      <c r="AB19" s="85" t="s">
        <v>139</v>
      </c>
      <c r="AC19" s="99">
        <v>41311</v>
      </c>
      <c r="AD19" s="83" t="s">
        <v>116</v>
      </c>
      <c r="AE19" s="163">
        <f>3535.26+2000</f>
        <v>5535.26</v>
      </c>
      <c r="AF19" s="52"/>
      <c r="AG19" s="52"/>
      <c r="AH19" s="54">
        <v>0</v>
      </c>
      <c r="AI19" s="55">
        <f t="shared" si="1"/>
        <v>5535.26</v>
      </c>
      <c r="AJ19" s="56"/>
      <c r="AK19" s="60"/>
      <c r="AL19" s="57"/>
      <c r="AM19" s="57"/>
      <c r="AN19" s="52"/>
      <c r="AO19" s="52">
        <v>0</v>
      </c>
      <c r="AP19" s="55">
        <f t="shared" si="2"/>
        <v>5535.26</v>
      </c>
      <c r="AQ19" s="58">
        <f t="shared" si="3"/>
        <v>553.52600000000007</v>
      </c>
      <c r="AR19" s="55">
        <f t="shared" si="4"/>
        <v>4981.7340000000004</v>
      </c>
      <c r="AS19" s="59">
        <f t="shared" si="5"/>
        <v>0</v>
      </c>
      <c r="AT19" s="58" t="e">
        <f>#REF!*0.02</f>
        <v>#REF!</v>
      </c>
      <c r="AU19" s="55" t="e">
        <f t="shared" si="6"/>
        <v>#REF!</v>
      </c>
      <c r="AV19" s="87"/>
      <c r="AW19" s="88"/>
      <c r="AX19" s="89">
        <f t="shared" si="17"/>
        <v>-4981.7340000000004</v>
      </c>
      <c r="AY19" s="84"/>
      <c r="AZ19" s="84" t="s">
        <v>140</v>
      </c>
      <c r="BA19" s="91"/>
      <c r="BB19" s="91"/>
      <c r="BC19" s="91"/>
      <c r="BD19" s="91"/>
      <c r="BE19" s="91"/>
      <c r="BF19" s="91"/>
      <c r="BG19" s="91"/>
    </row>
    <row r="20" spans="1:59">
      <c r="A20" s="2" t="s">
        <v>35</v>
      </c>
      <c r="B20" s="1" t="s">
        <v>36</v>
      </c>
      <c r="C20" s="76">
        <v>1166.76</v>
      </c>
      <c r="D20" s="76">
        <v>0</v>
      </c>
      <c r="E20" s="76">
        <v>3.59</v>
      </c>
      <c r="F20" s="76">
        <v>29.11</v>
      </c>
      <c r="G20" s="76">
        <v>492.9</v>
      </c>
      <c r="H20" s="76">
        <v>0.06</v>
      </c>
      <c r="I20" s="76">
        <v>32.76</v>
      </c>
      <c r="J20" s="76">
        <f t="shared" si="7"/>
        <v>1134</v>
      </c>
      <c r="K20" s="76">
        <f t="shared" ref="K20:K39" si="18">+AE20</f>
        <v>2548.54</v>
      </c>
      <c r="L20" s="76"/>
      <c r="M20" s="76">
        <f>+INGENIERIA!E20</f>
        <v>1166.76</v>
      </c>
      <c r="N20" s="76">
        <f t="shared" si="8"/>
        <v>0</v>
      </c>
      <c r="O20" s="76">
        <f t="shared" si="9"/>
        <v>23.3352</v>
      </c>
      <c r="P20" s="76">
        <f t="shared" si="16"/>
        <v>87.506999999999991</v>
      </c>
      <c r="Q20" s="76">
        <f t="shared" si="10"/>
        <v>1277.6022</v>
      </c>
      <c r="R20" s="76">
        <f t="shared" si="11"/>
        <v>204.41635200000002</v>
      </c>
      <c r="S20" s="76">
        <f t="shared" si="12"/>
        <v>1482.018552</v>
      </c>
      <c r="T20" s="76"/>
      <c r="U20" s="76">
        <f>+SIND!E21</f>
        <v>2548.54</v>
      </c>
      <c r="V20" s="76">
        <f t="shared" si="13"/>
        <v>407.76639999999998</v>
      </c>
      <c r="W20" s="76">
        <f t="shared" si="14"/>
        <v>2956.3063999999999</v>
      </c>
      <c r="X20" s="199">
        <f>+INGENIERIA!M20+INGENIERIA!F20+INGENIERIA!G20+INGENIERIA!H20+INGENIERIA!I20+SIND!I21+SIND!H21-Q20-U20+O20+P20</f>
        <v>-5.9999999999547526E-2</v>
      </c>
      <c r="Y20" s="1" t="str">
        <f t="shared" si="15"/>
        <v>si</v>
      </c>
      <c r="Z20" s="83" t="s">
        <v>141</v>
      </c>
      <c r="AA20" s="84" t="s">
        <v>142</v>
      </c>
      <c r="AB20" s="85" t="s">
        <v>143</v>
      </c>
      <c r="AC20" s="86">
        <v>40610</v>
      </c>
      <c r="AD20" s="83" t="s">
        <v>144</v>
      </c>
      <c r="AE20" s="193">
        <v>2548.54</v>
      </c>
      <c r="AF20" s="52"/>
      <c r="AG20" s="52"/>
      <c r="AH20" s="54">
        <v>0</v>
      </c>
      <c r="AI20" s="55">
        <f t="shared" si="1"/>
        <v>2548.54</v>
      </c>
      <c r="AJ20" s="56"/>
      <c r="AK20" s="60"/>
      <c r="AL20" s="57"/>
      <c r="AM20" s="57"/>
      <c r="AN20" s="52"/>
      <c r="AO20" s="52">
        <v>492.9</v>
      </c>
      <c r="AP20" s="55">
        <f t="shared" si="2"/>
        <v>2055.64</v>
      </c>
      <c r="AQ20" s="58">
        <f t="shared" si="3"/>
        <v>254.85400000000001</v>
      </c>
      <c r="AR20" s="55">
        <f t="shared" si="4"/>
        <v>1800.7859999999998</v>
      </c>
      <c r="AS20" s="59">
        <f t="shared" si="5"/>
        <v>0</v>
      </c>
      <c r="AT20" s="58" t="e">
        <f>#REF!*0.02</f>
        <v>#REF!</v>
      </c>
      <c r="AU20" s="55" t="e">
        <f t="shared" si="6"/>
        <v>#REF!</v>
      </c>
      <c r="AV20" s="87"/>
      <c r="AW20" s="88"/>
      <c r="AX20" s="89">
        <f t="shared" si="17"/>
        <v>-1800.7859999999998</v>
      </c>
      <c r="AY20" s="84"/>
      <c r="AZ20" s="84" t="s">
        <v>145</v>
      </c>
      <c r="BA20" s="91"/>
      <c r="BB20" s="91"/>
      <c r="BC20" s="91"/>
      <c r="BD20" s="91"/>
      <c r="BE20" s="91"/>
      <c r="BF20" s="91"/>
      <c r="BG20" s="91"/>
    </row>
    <row r="21" spans="1:59" hidden="1">
      <c r="A21" s="2" t="s">
        <v>37</v>
      </c>
      <c r="B21" s="1" t="s">
        <v>38</v>
      </c>
      <c r="C21" s="76">
        <v>1026.76</v>
      </c>
      <c r="D21" s="196">
        <v>-18.41</v>
      </c>
      <c r="E21" s="76">
        <v>0</v>
      </c>
      <c r="F21" s="76">
        <v>25.55</v>
      </c>
      <c r="G21" s="76">
        <v>0</v>
      </c>
      <c r="H21" s="76">
        <v>0.02</v>
      </c>
      <c r="I21" s="76">
        <v>7.16</v>
      </c>
      <c r="J21" s="76">
        <f t="shared" si="7"/>
        <v>1019.6</v>
      </c>
      <c r="K21" s="76">
        <f t="shared" si="18"/>
        <v>9432.1299999999992</v>
      </c>
      <c r="L21" s="76"/>
      <c r="M21" s="76">
        <f>+INGENIERIA!E21</f>
        <v>1026.76</v>
      </c>
      <c r="N21" s="76">
        <f t="shared" si="8"/>
        <v>0</v>
      </c>
      <c r="O21" s="76">
        <f t="shared" si="9"/>
        <v>20.5352</v>
      </c>
      <c r="P21" s="76">
        <f t="shared" si="16"/>
        <v>77.006999999999991</v>
      </c>
      <c r="Q21" s="76">
        <f t="shared" si="10"/>
        <v>1124.3022000000001</v>
      </c>
      <c r="R21" s="76">
        <f t="shared" si="11"/>
        <v>179.88835200000003</v>
      </c>
      <c r="S21" s="76">
        <f t="shared" si="12"/>
        <v>1304.190552</v>
      </c>
      <c r="T21" s="76"/>
      <c r="U21" s="76">
        <f>+SIND!E22</f>
        <v>9432.1299999999992</v>
      </c>
      <c r="V21" s="76">
        <f t="shared" si="13"/>
        <v>1509.1407999999999</v>
      </c>
      <c r="W21" s="76">
        <f t="shared" si="14"/>
        <v>10941.270799999998</v>
      </c>
      <c r="X21" s="199">
        <f>+INGENIERIA!M21+INGENIERIA!F21+INGENIERIA!G21+INGENIERIA!H21+INGENIERIA!I21+SIND!I22+SIND!H22-Q21-U21+O21+P21</f>
        <v>-2.000000000030866E-2</v>
      </c>
      <c r="Y21" s="1" t="str">
        <f t="shared" si="15"/>
        <v>si</v>
      </c>
      <c r="Z21" s="83" t="s">
        <v>113</v>
      </c>
      <c r="AA21" s="84" t="s">
        <v>146</v>
      </c>
      <c r="AB21" s="85" t="s">
        <v>147</v>
      </c>
      <c r="AC21" s="86">
        <v>41842</v>
      </c>
      <c r="AD21" s="83" t="s">
        <v>116</v>
      </c>
      <c r="AE21" s="190">
        <v>9432.1299999999992</v>
      </c>
      <c r="AF21" s="53"/>
      <c r="AG21" s="53"/>
      <c r="AH21" s="54">
        <v>0</v>
      </c>
      <c r="AI21" s="55">
        <f t="shared" si="1"/>
        <v>9432.1299999999992</v>
      </c>
      <c r="AJ21" s="56"/>
      <c r="AK21" s="60"/>
      <c r="AL21" s="57"/>
      <c r="AM21" s="57"/>
      <c r="AN21" s="52"/>
      <c r="AO21" s="52">
        <v>0</v>
      </c>
      <c r="AP21" s="55">
        <f t="shared" si="2"/>
        <v>9432.1299999999992</v>
      </c>
      <c r="AQ21" s="58">
        <f t="shared" si="3"/>
        <v>943.21299999999997</v>
      </c>
      <c r="AR21" s="55">
        <f t="shared" si="4"/>
        <v>8488.9169999999995</v>
      </c>
      <c r="AS21" s="59">
        <f t="shared" si="5"/>
        <v>0</v>
      </c>
      <c r="AT21" s="58" t="e">
        <f>#REF!*0.02</f>
        <v>#REF!</v>
      </c>
      <c r="AU21" s="55" t="e">
        <f t="shared" si="6"/>
        <v>#REF!</v>
      </c>
      <c r="AV21" s="87"/>
      <c r="AW21" s="88"/>
      <c r="AX21" s="89">
        <f t="shared" si="17"/>
        <v>-8488.9169999999995</v>
      </c>
      <c r="AY21" s="84"/>
      <c r="AZ21" s="84" t="s">
        <v>148</v>
      </c>
      <c r="BA21" s="91"/>
      <c r="BB21" s="91"/>
      <c r="BC21" s="91"/>
      <c r="BD21" s="91"/>
      <c r="BE21" s="91"/>
      <c r="BF21" s="91"/>
      <c r="BG21" s="91"/>
    </row>
    <row r="22" spans="1:59" hidden="1">
      <c r="A22" s="2" t="s">
        <v>39</v>
      </c>
      <c r="B22" s="1" t="s">
        <v>40</v>
      </c>
      <c r="C22" s="76">
        <v>1026.76</v>
      </c>
      <c r="D22" s="196">
        <v>-18.41</v>
      </c>
      <c r="E22" s="76">
        <v>0</v>
      </c>
      <c r="F22" s="76">
        <v>25.55</v>
      </c>
      <c r="G22" s="76">
        <v>0</v>
      </c>
      <c r="H22" s="196">
        <v>-0.18</v>
      </c>
      <c r="I22" s="76">
        <v>6.96</v>
      </c>
      <c r="J22" s="76">
        <f t="shared" si="7"/>
        <v>1019.8</v>
      </c>
      <c r="K22" s="76">
        <f t="shared" si="18"/>
        <v>2440.34</v>
      </c>
      <c r="L22" s="76"/>
      <c r="M22" s="76">
        <f>+INGENIERIA!E22</f>
        <v>1026.76</v>
      </c>
      <c r="N22" s="76">
        <f t="shared" si="8"/>
        <v>0</v>
      </c>
      <c r="O22" s="76">
        <f t="shared" si="9"/>
        <v>20.5352</v>
      </c>
      <c r="P22" s="76">
        <f t="shared" si="16"/>
        <v>77.006999999999991</v>
      </c>
      <c r="Q22" s="76">
        <f t="shared" si="10"/>
        <v>1124.3022000000001</v>
      </c>
      <c r="R22" s="76">
        <f t="shared" si="11"/>
        <v>179.88835200000003</v>
      </c>
      <c r="S22" s="76">
        <f t="shared" si="12"/>
        <v>1304.190552</v>
      </c>
      <c r="T22" s="76"/>
      <c r="U22" s="76">
        <f>+SIND!E23</f>
        <v>2440.34</v>
      </c>
      <c r="V22" s="76">
        <f t="shared" si="13"/>
        <v>390.45440000000002</v>
      </c>
      <c r="W22" s="76">
        <f t="shared" si="14"/>
        <v>2830.7944000000002</v>
      </c>
      <c r="X22" s="199">
        <f>+INGENIERIA!M22+INGENIERIA!F22+INGENIERIA!G22+INGENIERIA!H22+INGENIERIA!I22+SIND!I23+SIND!H23-Q22-U22+O22+P22</f>
        <v>0.17999999999996419</v>
      </c>
      <c r="Y22" s="1" t="str">
        <f t="shared" si="15"/>
        <v>si</v>
      </c>
      <c r="Z22" s="83" t="s">
        <v>113</v>
      </c>
      <c r="AA22" s="84" t="s">
        <v>191</v>
      </c>
      <c r="AB22" s="85" t="s">
        <v>149</v>
      </c>
      <c r="AC22" s="86">
        <v>41768</v>
      </c>
      <c r="AD22" s="83" t="s">
        <v>116</v>
      </c>
      <c r="AE22" s="195">
        <f>440.34+2000</f>
        <v>2440.34</v>
      </c>
      <c r="AF22" s="53"/>
      <c r="AG22" s="53"/>
      <c r="AH22" s="54">
        <v>0</v>
      </c>
      <c r="AI22" s="55">
        <f t="shared" si="1"/>
        <v>2440.34</v>
      </c>
      <c r="AJ22" s="56"/>
      <c r="AK22" s="60"/>
      <c r="AL22" s="57"/>
      <c r="AM22" s="57"/>
      <c r="AN22" s="52"/>
      <c r="AO22" s="52">
        <v>0</v>
      </c>
      <c r="AP22" s="55">
        <f t="shared" si="2"/>
        <v>2440.34</v>
      </c>
      <c r="AQ22" s="58">
        <f t="shared" si="3"/>
        <v>244.03400000000002</v>
      </c>
      <c r="AR22" s="55">
        <f t="shared" si="4"/>
        <v>2196.306</v>
      </c>
      <c r="AS22" s="59">
        <f t="shared" si="5"/>
        <v>0</v>
      </c>
      <c r="AT22" s="58" t="e">
        <f>#REF!*0.02</f>
        <v>#REF!</v>
      </c>
      <c r="AU22" s="55" t="e">
        <f t="shared" si="6"/>
        <v>#REF!</v>
      </c>
      <c r="AV22" s="87"/>
      <c r="AW22" s="88"/>
      <c r="AX22" s="89">
        <f t="shared" si="17"/>
        <v>-2196.306</v>
      </c>
      <c r="AY22" s="84"/>
      <c r="AZ22" s="84" t="s">
        <v>150</v>
      </c>
      <c r="BA22" s="91"/>
      <c r="BB22" s="91"/>
      <c r="BC22" s="91"/>
      <c r="BD22" s="91"/>
      <c r="BE22" s="91"/>
      <c r="BF22" s="91"/>
      <c r="BG22" s="91"/>
    </row>
    <row r="23" spans="1:59" hidden="1">
      <c r="A23" s="2" t="s">
        <v>41</v>
      </c>
      <c r="B23" s="1" t="s">
        <v>42</v>
      </c>
      <c r="C23" s="76">
        <v>1026.76</v>
      </c>
      <c r="D23" s="196">
        <v>-18.41</v>
      </c>
      <c r="E23" s="76">
        <v>0</v>
      </c>
      <c r="F23" s="76">
        <v>25.53</v>
      </c>
      <c r="G23" s="76">
        <v>0</v>
      </c>
      <c r="H23" s="76">
        <v>0.04</v>
      </c>
      <c r="I23" s="76">
        <v>7.16</v>
      </c>
      <c r="J23" s="76">
        <f t="shared" si="7"/>
        <v>1019.6</v>
      </c>
      <c r="K23" s="76">
        <f t="shared" si="18"/>
        <v>11215.49</v>
      </c>
      <c r="L23" s="76"/>
      <c r="M23" s="76">
        <f>+INGENIERIA!E23</f>
        <v>1026.76</v>
      </c>
      <c r="N23" s="76">
        <f t="shared" si="8"/>
        <v>0</v>
      </c>
      <c r="O23" s="76">
        <f t="shared" si="9"/>
        <v>20.5352</v>
      </c>
      <c r="P23" s="76">
        <f t="shared" si="16"/>
        <v>77.006999999999991</v>
      </c>
      <c r="Q23" s="76">
        <f t="shared" si="10"/>
        <v>1124.3022000000001</v>
      </c>
      <c r="R23" s="76">
        <f t="shared" si="11"/>
        <v>179.88835200000003</v>
      </c>
      <c r="S23" s="76">
        <f t="shared" si="12"/>
        <v>1304.190552</v>
      </c>
      <c r="T23" s="76"/>
      <c r="U23" s="76">
        <f>+SIND!E24</f>
        <v>11215.49</v>
      </c>
      <c r="V23" s="76">
        <f t="shared" si="13"/>
        <v>1794.4784</v>
      </c>
      <c r="W23" s="76">
        <f t="shared" si="14"/>
        <v>13009.9684</v>
      </c>
      <c r="X23" s="199">
        <f>+INGENIERIA!M23+INGENIERIA!F23+INGENIERIA!G23+INGENIERIA!H23+INGENIERIA!I23+SIND!I24+SIND!H24-Q23-U23+O23+P23</f>
        <v>-4.0000000000745217E-2</v>
      </c>
      <c r="Y23" s="1" t="str">
        <f t="shared" si="15"/>
        <v>si</v>
      </c>
      <c r="Z23" s="84" t="s">
        <v>113</v>
      </c>
      <c r="AA23" s="84" t="s">
        <v>151</v>
      </c>
      <c r="AB23" s="97" t="s">
        <v>152</v>
      </c>
      <c r="AC23" s="86">
        <v>41957</v>
      </c>
      <c r="AD23" s="84" t="s">
        <v>116</v>
      </c>
      <c r="AE23" s="190">
        <v>11215.49</v>
      </c>
      <c r="AF23" s="60"/>
      <c r="AG23" s="60"/>
      <c r="AH23" s="54">
        <v>0</v>
      </c>
      <c r="AI23" s="55">
        <f t="shared" si="1"/>
        <v>11215.49</v>
      </c>
      <c r="AJ23" s="56"/>
      <c r="AK23" s="60"/>
      <c r="AL23" s="57"/>
      <c r="AM23" s="57"/>
      <c r="AN23" s="52"/>
      <c r="AO23" s="52">
        <v>0</v>
      </c>
      <c r="AP23" s="55">
        <f t="shared" si="2"/>
        <v>11215.49</v>
      </c>
      <c r="AQ23" s="58">
        <f t="shared" si="3"/>
        <v>1121.549</v>
      </c>
      <c r="AR23" s="55">
        <f t="shared" si="4"/>
        <v>10093.940999999999</v>
      </c>
      <c r="AS23" s="59">
        <f t="shared" si="5"/>
        <v>0</v>
      </c>
      <c r="AT23" s="58" t="e">
        <f>#REF!*0.02</f>
        <v>#REF!</v>
      </c>
      <c r="AU23" s="55" t="e">
        <f t="shared" si="6"/>
        <v>#REF!</v>
      </c>
      <c r="AV23" s="87"/>
      <c r="AW23" s="88"/>
      <c r="AX23" s="89">
        <f t="shared" si="17"/>
        <v>-10093.940999999999</v>
      </c>
      <c r="AY23" s="84"/>
      <c r="AZ23" s="84" t="s">
        <v>153</v>
      </c>
      <c r="BA23" s="91"/>
      <c r="BB23" s="91"/>
      <c r="BC23" s="91"/>
      <c r="BD23" s="91"/>
      <c r="BE23" s="91"/>
      <c r="BF23" s="91"/>
      <c r="BG23" s="91"/>
    </row>
    <row r="24" spans="1:59" hidden="1">
      <c r="A24" s="2" t="s">
        <v>43</v>
      </c>
      <c r="B24" s="1" t="s">
        <v>44</v>
      </c>
      <c r="C24" s="76">
        <v>4666.6899999999996</v>
      </c>
      <c r="D24" s="76">
        <v>0</v>
      </c>
      <c r="E24" s="76">
        <v>741.42</v>
      </c>
      <c r="F24" s="76">
        <v>129.41</v>
      </c>
      <c r="G24" s="76">
        <v>349.07</v>
      </c>
      <c r="H24" s="76">
        <v>0.06</v>
      </c>
      <c r="I24" s="76">
        <v>870.89</v>
      </c>
      <c r="J24" s="76">
        <f t="shared" si="7"/>
        <v>3795.7999999999997</v>
      </c>
      <c r="K24" s="76">
        <f t="shared" si="18"/>
        <v>9157.56</v>
      </c>
      <c r="L24" s="76"/>
      <c r="M24" s="76">
        <f>+INGENIERIA!E24</f>
        <v>4666.6899999999996</v>
      </c>
      <c r="N24" s="76">
        <f t="shared" si="8"/>
        <v>0</v>
      </c>
      <c r="O24" s="76">
        <f t="shared" si="9"/>
        <v>93.333799999999997</v>
      </c>
      <c r="P24" s="76">
        <f t="shared" si="16"/>
        <v>350.00174999999996</v>
      </c>
      <c r="Q24" s="76">
        <f t="shared" si="10"/>
        <v>5110.0255500000003</v>
      </c>
      <c r="R24" s="76">
        <f t="shared" si="11"/>
        <v>817.60408800000005</v>
      </c>
      <c r="S24" s="76">
        <f t="shared" si="12"/>
        <v>5927.6296380000003</v>
      </c>
      <c r="T24" s="76"/>
      <c r="U24" s="76">
        <f>+SIND!E25</f>
        <v>9157.56</v>
      </c>
      <c r="V24" s="76">
        <f t="shared" si="13"/>
        <v>1465.2095999999999</v>
      </c>
      <c r="W24" s="76">
        <f t="shared" si="14"/>
        <v>10622.7696</v>
      </c>
      <c r="X24" s="199">
        <f>+INGENIERIA!M24+INGENIERIA!F24+INGENIERIA!G24+INGENIERIA!H24+INGENIERIA!I24+SIND!I25+SIND!H25-Q24-U24+O24+P24</f>
        <v>-6.0000000001139142E-2</v>
      </c>
      <c r="Y24" s="1" t="str">
        <f t="shared" si="15"/>
        <v>si</v>
      </c>
      <c r="Z24" s="84" t="s">
        <v>113</v>
      </c>
      <c r="AA24" s="100" t="s">
        <v>205</v>
      </c>
      <c r="AB24" s="97"/>
      <c r="AC24" s="86">
        <v>41906</v>
      </c>
      <c r="AD24" s="84" t="s">
        <v>136</v>
      </c>
      <c r="AE24" s="193">
        <v>9157.56</v>
      </c>
      <c r="AF24" s="60"/>
      <c r="AG24" s="60"/>
      <c r="AH24" s="54">
        <v>0</v>
      </c>
      <c r="AI24" s="55">
        <f t="shared" si="1"/>
        <v>9157.56</v>
      </c>
      <c r="AJ24" s="56"/>
      <c r="AK24" s="60"/>
      <c r="AL24" s="57"/>
      <c r="AM24" s="57"/>
      <c r="AN24" s="52"/>
      <c r="AO24" s="52">
        <v>350</v>
      </c>
      <c r="AP24" s="55">
        <f t="shared" si="2"/>
        <v>8807.56</v>
      </c>
      <c r="AQ24" s="58"/>
      <c r="AR24" s="55">
        <f t="shared" si="4"/>
        <v>8807.56</v>
      </c>
      <c r="AS24" s="59">
        <f t="shared" si="5"/>
        <v>0</v>
      </c>
      <c r="AT24" s="58"/>
      <c r="AU24" s="55"/>
      <c r="AV24" s="87"/>
      <c r="AW24" s="88"/>
      <c r="AX24" s="89"/>
      <c r="AY24" s="100" t="s">
        <v>206</v>
      </c>
      <c r="AZ24" s="84"/>
      <c r="BA24" s="91"/>
      <c r="BB24" s="91"/>
      <c r="BC24" s="91"/>
      <c r="BD24" s="91"/>
      <c r="BE24" s="91"/>
      <c r="BF24" s="91"/>
      <c r="BG24" s="91"/>
    </row>
    <row r="25" spans="1:59">
      <c r="A25" s="2" t="s">
        <v>45</v>
      </c>
      <c r="B25" s="1" t="s">
        <v>46</v>
      </c>
      <c r="C25" s="76">
        <v>1166.76</v>
      </c>
      <c r="D25" s="76">
        <v>0</v>
      </c>
      <c r="E25" s="76">
        <v>3.59</v>
      </c>
      <c r="F25" s="76">
        <v>29.11</v>
      </c>
      <c r="G25" s="76">
        <v>83.6</v>
      </c>
      <c r="H25" s="76">
        <v>0.06</v>
      </c>
      <c r="I25" s="76">
        <v>32.76</v>
      </c>
      <c r="J25" s="76">
        <f t="shared" si="7"/>
        <v>1134</v>
      </c>
      <c r="K25" s="76">
        <f t="shared" si="18"/>
        <v>1118.46</v>
      </c>
      <c r="L25" s="76"/>
      <c r="M25" s="76">
        <f>+INGENIERIA!E25</f>
        <v>1166.76</v>
      </c>
      <c r="N25" s="76">
        <f t="shared" si="8"/>
        <v>0</v>
      </c>
      <c r="O25" s="76">
        <f t="shared" si="9"/>
        <v>23.3352</v>
      </c>
      <c r="P25" s="76">
        <f t="shared" si="16"/>
        <v>87.506999999999991</v>
      </c>
      <c r="Q25" s="76">
        <f t="shared" si="10"/>
        <v>1277.6022</v>
      </c>
      <c r="R25" s="76">
        <f t="shared" si="11"/>
        <v>204.41635200000002</v>
      </c>
      <c r="S25" s="76">
        <f t="shared" si="12"/>
        <v>1482.018552</v>
      </c>
      <c r="T25" s="76"/>
      <c r="U25" s="76">
        <f>+SIND!E26</f>
        <v>1118.46</v>
      </c>
      <c r="V25" s="76">
        <f t="shared" si="13"/>
        <v>178.95360000000002</v>
      </c>
      <c r="W25" s="76">
        <f t="shared" si="14"/>
        <v>1297.4136000000001</v>
      </c>
      <c r="X25" s="199">
        <f>+INGENIERIA!M25+INGENIERIA!F25+INGENIERIA!G25+INGENIERIA!H25+INGENIERIA!I25+SIND!I26+SIND!H26-Q25-U25+O25+P25</f>
        <v>-6.0000000000229647E-2</v>
      </c>
      <c r="Y25" s="1" t="str">
        <f t="shared" si="15"/>
        <v>si</v>
      </c>
      <c r="Z25" s="83" t="s">
        <v>141</v>
      </c>
      <c r="AA25" s="84" t="s">
        <v>209</v>
      </c>
      <c r="AB25" s="85">
        <v>21</v>
      </c>
      <c r="AC25" s="86">
        <v>39332</v>
      </c>
      <c r="AD25" s="83" t="s">
        <v>144</v>
      </c>
      <c r="AE25" s="194">
        <v>1118.46</v>
      </c>
      <c r="AF25" s="52"/>
      <c r="AG25" s="52"/>
      <c r="AH25" s="54">
        <v>0</v>
      </c>
      <c r="AI25" s="55">
        <f t="shared" si="1"/>
        <v>1118.46</v>
      </c>
      <c r="AJ25" s="56"/>
      <c r="AK25" s="60"/>
      <c r="AL25" s="57"/>
      <c r="AM25" s="57"/>
      <c r="AN25" s="52"/>
      <c r="AO25" s="52">
        <v>83.6</v>
      </c>
      <c r="AP25" s="55">
        <f t="shared" si="2"/>
        <v>1034.8600000000001</v>
      </c>
      <c r="AQ25" s="58">
        <f t="shared" ref="AQ25:AQ39" si="19">IF(AI25&gt;2250,AI25*0.1,0)</f>
        <v>0</v>
      </c>
      <c r="AR25" s="55">
        <f t="shared" si="4"/>
        <v>1034.8600000000001</v>
      </c>
      <c r="AS25" s="59">
        <f t="shared" si="5"/>
        <v>111.846</v>
      </c>
      <c r="AT25" s="58" t="e">
        <f>#REF!*0.02</f>
        <v>#REF!</v>
      </c>
      <c r="AU25" s="55" t="e">
        <f t="shared" ref="AU25:AU39" si="20">+AI25+AS25+AT25</f>
        <v>#REF!</v>
      </c>
      <c r="AV25" s="87"/>
      <c r="AW25" s="88"/>
      <c r="AX25" s="89">
        <f>+AV25+AW25-AR25</f>
        <v>-1034.8600000000001</v>
      </c>
      <c r="AY25" s="84"/>
      <c r="AZ25" s="84" t="s">
        <v>207</v>
      </c>
      <c r="BA25" s="91"/>
      <c r="BB25" s="91"/>
      <c r="BC25" s="91"/>
      <c r="BD25" s="91"/>
      <c r="BE25" s="91"/>
      <c r="BF25" s="91"/>
      <c r="BG25" s="91"/>
    </row>
    <row r="26" spans="1:59" hidden="1">
      <c r="A26" s="2" t="s">
        <v>48</v>
      </c>
      <c r="B26" s="1" t="s">
        <v>49</v>
      </c>
      <c r="C26" s="76">
        <v>1026.76</v>
      </c>
      <c r="D26" s="196">
        <v>-18.41</v>
      </c>
      <c r="E26" s="76">
        <v>0</v>
      </c>
      <c r="F26" s="76">
        <v>25.55</v>
      </c>
      <c r="G26" s="76">
        <v>0</v>
      </c>
      <c r="H26" s="76">
        <v>0.02</v>
      </c>
      <c r="I26" s="76">
        <v>7.16</v>
      </c>
      <c r="J26" s="76">
        <f t="shared" si="7"/>
        <v>1019.6</v>
      </c>
      <c r="K26" s="76">
        <f t="shared" si="18"/>
        <v>0</v>
      </c>
      <c r="L26" s="76"/>
      <c r="M26" s="76">
        <f>+INGENIERIA!E26</f>
        <v>1026.76</v>
      </c>
      <c r="N26" s="76">
        <f t="shared" si="8"/>
        <v>0</v>
      </c>
      <c r="O26" s="76">
        <f t="shared" si="9"/>
        <v>20.5352</v>
      </c>
      <c r="P26" s="76">
        <f t="shared" si="16"/>
        <v>77.006999999999991</v>
      </c>
      <c r="Q26" s="76">
        <f t="shared" si="10"/>
        <v>1124.3022000000001</v>
      </c>
      <c r="R26" s="76">
        <f t="shared" si="11"/>
        <v>179.88835200000003</v>
      </c>
      <c r="S26" s="76">
        <f t="shared" si="12"/>
        <v>1304.190552</v>
      </c>
      <c r="T26" s="76"/>
      <c r="U26" s="76">
        <f>+SIND!E27</f>
        <v>0</v>
      </c>
      <c r="V26" s="76">
        <f t="shared" si="13"/>
        <v>0</v>
      </c>
      <c r="W26" s="76">
        <f t="shared" si="14"/>
        <v>0</v>
      </c>
      <c r="X26" s="199">
        <f>+INGENIERIA!M26+INGENIERIA!F26+INGENIERIA!G26+INGENIERIA!H26+INGENIERIA!I26+SIND!I27+SIND!H27-Q26-U26+O26+P26</f>
        <v>-2.0000000000081286E-2</v>
      </c>
      <c r="Y26" s="1" t="str">
        <f t="shared" si="15"/>
        <v>si</v>
      </c>
      <c r="Z26" s="84" t="s">
        <v>113</v>
      </c>
      <c r="AA26" s="84" t="s">
        <v>154</v>
      </c>
      <c r="AB26" s="97" t="s">
        <v>155</v>
      </c>
      <c r="AC26" s="99">
        <v>41680</v>
      </c>
      <c r="AD26" s="84" t="s">
        <v>116</v>
      </c>
      <c r="AE26" s="195"/>
      <c r="AF26" s="60"/>
      <c r="AG26" s="60"/>
      <c r="AH26" s="54">
        <v>0</v>
      </c>
      <c r="AI26" s="55">
        <f t="shared" si="1"/>
        <v>0</v>
      </c>
      <c r="AJ26" s="56"/>
      <c r="AK26" s="60"/>
      <c r="AL26" s="57"/>
      <c r="AM26" s="57"/>
      <c r="AN26" s="52"/>
      <c r="AO26" s="52">
        <v>0</v>
      </c>
      <c r="AP26" s="55">
        <f t="shared" si="2"/>
        <v>0</v>
      </c>
      <c r="AQ26" s="58">
        <f t="shared" si="19"/>
        <v>0</v>
      </c>
      <c r="AR26" s="55">
        <f t="shared" si="4"/>
        <v>0</v>
      </c>
      <c r="AS26" s="59">
        <f t="shared" si="5"/>
        <v>0</v>
      </c>
      <c r="AT26" s="58" t="e">
        <f>#REF!*0.02</f>
        <v>#REF!</v>
      </c>
      <c r="AU26" s="55" t="e">
        <f t="shared" si="20"/>
        <v>#REF!</v>
      </c>
      <c r="AV26" s="87"/>
      <c r="AW26" s="88"/>
      <c r="AX26" s="89">
        <f>+AV26+AW26-AR26</f>
        <v>0</v>
      </c>
      <c r="AY26" s="84"/>
      <c r="AZ26" s="84" t="s">
        <v>156</v>
      </c>
      <c r="BA26" s="91"/>
      <c r="BB26" s="91"/>
      <c r="BC26" s="91"/>
      <c r="BD26" s="91"/>
      <c r="BE26" s="91"/>
      <c r="BF26" s="91"/>
      <c r="BG26" s="91"/>
    </row>
    <row r="27" spans="1:59" hidden="1">
      <c r="A27" s="2" t="s">
        <v>50</v>
      </c>
      <c r="B27" s="1" t="s">
        <v>51</v>
      </c>
      <c r="C27" s="76">
        <v>1026.76</v>
      </c>
      <c r="D27" s="196">
        <v>-18.41</v>
      </c>
      <c r="E27" s="76">
        <v>0</v>
      </c>
      <c r="F27" s="76">
        <v>25.53</v>
      </c>
      <c r="G27" s="76">
        <v>0</v>
      </c>
      <c r="H27" s="76">
        <v>0.04</v>
      </c>
      <c r="I27" s="76">
        <v>7.16</v>
      </c>
      <c r="J27" s="76">
        <f t="shared" si="7"/>
        <v>1019.6</v>
      </c>
      <c r="K27" s="76">
        <f t="shared" si="18"/>
        <v>21195.35</v>
      </c>
      <c r="L27" s="76"/>
      <c r="M27" s="76">
        <f>+INGENIERIA!E27</f>
        <v>1026.76</v>
      </c>
      <c r="N27" s="76">
        <f t="shared" si="8"/>
        <v>0</v>
      </c>
      <c r="O27" s="76">
        <f t="shared" si="9"/>
        <v>20.5352</v>
      </c>
      <c r="P27" s="76">
        <f t="shared" si="16"/>
        <v>77.006999999999991</v>
      </c>
      <c r="Q27" s="76">
        <f t="shared" si="10"/>
        <v>1124.3022000000001</v>
      </c>
      <c r="R27" s="76">
        <f t="shared" si="11"/>
        <v>179.88835200000003</v>
      </c>
      <c r="S27" s="76">
        <f t="shared" si="12"/>
        <v>1304.190552</v>
      </c>
      <c r="T27" s="76"/>
      <c r="U27" s="76">
        <f>+SIND!E28</f>
        <v>21195.35</v>
      </c>
      <c r="V27" s="76">
        <f t="shared" si="13"/>
        <v>3391.2559999999999</v>
      </c>
      <c r="W27" s="76">
        <f t="shared" si="14"/>
        <v>24586.606</v>
      </c>
      <c r="X27" s="199">
        <f>+INGENIERIA!M27+INGENIERIA!F27+INGENIERIA!G27+INGENIERIA!H27+INGENIERIA!I27+SIND!I28+SIND!H28-Q27-U27+O27+P27</f>
        <v>-3.9999999997107238E-2</v>
      </c>
      <c r="Y27" s="1" t="str">
        <f t="shared" si="15"/>
        <v>si</v>
      </c>
      <c r="Z27" s="84" t="s">
        <v>113</v>
      </c>
      <c r="AA27" s="84" t="s">
        <v>157</v>
      </c>
      <c r="AB27" s="97" t="s">
        <v>158</v>
      </c>
      <c r="AC27" s="99">
        <v>41944</v>
      </c>
      <c r="AD27" s="84" t="s">
        <v>116</v>
      </c>
      <c r="AE27" s="190">
        <v>21195.35</v>
      </c>
      <c r="AF27" s="60"/>
      <c r="AG27" s="60"/>
      <c r="AH27" s="54">
        <v>0</v>
      </c>
      <c r="AI27" s="55">
        <f t="shared" si="1"/>
        <v>21195.35</v>
      </c>
      <c r="AJ27" s="56"/>
      <c r="AK27" s="60"/>
      <c r="AL27" s="57"/>
      <c r="AM27" s="57"/>
      <c r="AN27" s="52"/>
      <c r="AO27" s="52">
        <v>0</v>
      </c>
      <c r="AP27" s="55">
        <f t="shared" si="2"/>
        <v>21195.35</v>
      </c>
      <c r="AQ27" s="58">
        <f t="shared" si="19"/>
        <v>2119.5349999999999</v>
      </c>
      <c r="AR27" s="55">
        <f t="shared" si="4"/>
        <v>19075.814999999999</v>
      </c>
      <c r="AS27" s="59">
        <f t="shared" si="5"/>
        <v>0</v>
      </c>
      <c r="AT27" s="58" t="e">
        <f>#REF!*0.02</f>
        <v>#REF!</v>
      </c>
      <c r="AU27" s="55" t="e">
        <f t="shared" si="20"/>
        <v>#REF!</v>
      </c>
      <c r="AV27" s="87"/>
      <c r="AW27" s="88"/>
      <c r="AX27" s="89">
        <f>+AV27+AW27-AR27</f>
        <v>-19075.814999999999</v>
      </c>
      <c r="AY27" s="84"/>
      <c r="AZ27" s="84" t="s">
        <v>159</v>
      </c>
      <c r="BA27" s="91"/>
      <c r="BB27" s="91"/>
      <c r="BC27" s="91"/>
      <c r="BD27" s="91"/>
      <c r="BE27" s="91"/>
      <c r="BF27" s="91"/>
      <c r="BG27" s="91"/>
    </row>
    <row r="28" spans="1:59">
      <c r="A28" s="2" t="s">
        <v>52</v>
      </c>
      <c r="B28" s="1" t="s">
        <v>53</v>
      </c>
      <c r="C28" s="76">
        <v>1166.76</v>
      </c>
      <c r="D28" s="76">
        <v>0</v>
      </c>
      <c r="E28" s="76">
        <v>3.59</v>
      </c>
      <c r="F28" s="76">
        <v>29</v>
      </c>
      <c r="G28" s="76">
        <v>0</v>
      </c>
      <c r="H28" s="196">
        <v>-0.03</v>
      </c>
      <c r="I28" s="76">
        <v>32.56</v>
      </c>
      <c r="J28" s="76">
        <f t="shared" si="7"/>
        <v>1134.2</v>
      </c>
      <c r="K28" s="76">
        <f t="shared" si="18"/>
        <v>1690.1</v>
      </c>
      <c r="L28" s="76"/>
      <c r="M28" s="76">
        <f>+INGENIERIA!E28</f>
        <v>1166.76</v>
      </c>
      <c r="N28" s="76">
        <f t="shared" si="8"/>
        <v>0</v>
      </c>
      <c r="O28" s="76">
        <f t="shared" si="9"/>
        <v>23.3352</v>
      </c>
      <c r="P28" s="76">
        <f t="shared" si="16"/>
        <v>87.506999999999991</v>
      </c>
      <c r="Q28" s="76">
        <f t="shared" si="10"/>
        <v>1277.6022</v>
      </c>
      <c r="R28" s="76">
        <f t="shared" si="11"/>
        <v>204.41635200000002</v>
      </c>
      <c r="S28" s="76">
        <f t="shared" si="12"/>
        <v>1482.018552</v>
      </c>
      <c r="T28" s="76"/>
      <c r="U28" s="76">
        <f>+SIND!E29</f>
        <v>1690.1</v>
      </c>
      <c r="V28" s="76">
        <f t="shared" si="13"/>
        <v>270.416</v>
      </c>
      <c r="W28" s="76">
        <f t="shared" si="14"/>
        <v>1960.5159999999998</v>
      </c>
      <c r="X28" s="199">
        <f>+INGENIERIA!M28+INGENIERIA!F28+INGENIERIA!G28+INGENIERIA!H28+INGENIERIA!I28+SIND!I29+SIND!H29-Q28-U28+O28+P28</f>
        <v>3.0000000000370619E-2</v>
      </c>
      <c r="Y28" s="1" t="str">
        <f t="shared" si="15"/>
        <v>si</v>
      </c>
      <c r="Z28" s="83" t="s">
        <v>141</v>
      </c>
      <c r="AA28" s="84" t="s">
        <v>160</v>
      </c>
      <c r="AB28" s="85" t="s">
        <v>161</v>
      </c>
      <c r="AC28" s="86">
        <v>40362</v>
      </c>
      <c r="AD28" s="83" t="s">
        <v>144</v>
      </c>
      <c r="AE28" s="194">
        <v>1690.1</v>
      </c>
      <c r="AF28" s="52"/>
      <c r="AG28" s="52"/>
      <c r="AH28" s="54">
        <v>0</v>
      </c>
      <c r="AI28" s="55">
        <f t="shared" si="1"/>
        <v>1690.1</v>
      </c>
      <c r="AJ28" s="56"/>
      <c r="AK28" s="60"/>
      <c r="AL28" s="57"/>
      <c r="AM28" s="57"/>
      <c r="AN28" s="52"/>
      <c r="AO28" s="52">
        <v>0</v>
      </c>
      <c r="AP28" s="55">
        <f t="shared" si="2"/>
        <v>1690.1</v>
      </c>
      <c r="AQ28" s="58">
        <f t="shared" si="19"/>
        <v>0</v>
      </c>
      <c r="AR28" s="55">
        <f t="shared" si="4"/>
        <v>1690.1</v>
      </c>
      <c r="AS28" s="59">
        <f t="shared" si="5"/>
        <v>169.01</v>
      </c>
      <c r="AT28" s="58" t="e">
        <f>#REF!*0.02</f>
        <v>#REF!</v>
      </c>
      <c r="AU28" s="55" t="e">
        <f t="shared" si="20"/>
        <v>#REF!</v>
      </c>
      <c r="AV28" s="87"/>
      <c r="AW28" s="88"/>
      <c r="AX28" s="89">
        <f>+AV28+AW28-AR28</f>
        <v>-1690.1</v>
      </c>
      <c r="AY28" s="84"/>
      <c r="AZ28" s="84" t="s">
        <v>162</v>
      </c>
      <c r="BA28" s="91"/>
      <c r="BB28" s="91"/>
      <c r="BC28" s="91"/>
      <c r="BD28" s="91"/>
      <c r="BE28" s="91"/>
      <c r="BF28" s="91"/>
      <c r="BG28" s="91"/>
    </row>
    <row r="29" spans="1:59" hidden="1">
      <c r="A29" s="2" t="s">
        <v>54</v>
      </c>
      <c r="B29" s="1" t="s">
        <v>55</v>
      </c>
      <c r="C29" s="76">
        <v>1026.76</v>
      </c>
      <c r="D29" s="196">
        <v>-18.41</v>
      </c>
      <c r="E29" s="76">
        <v>0</v>
      </c>
      <c r="F29" s="76">
        <v>25.48</v>
      </c>
      <c r="G29" s="76">
        <v>0</v>
      </c>
      <c r="H29" s="76">
        <v>0.09</v>
      </c>
      <c r="I29" s="76">
        <v>7.16</v>
      </c>
      <c r="J29" s="76">
        <f t="shared" si="7"/>
        <v>1019.6</v>
      </c>
      <c r="K29" s="76">
        <f t="shared" si="18"/>
        <v>3617.38</v>
      </c>
      <c r="L29" s="76"/>
      <c r="M29" s="76">
        <f>+INGENIERIA!E29</f>
        <v>1026.76</v>
      </c>
      <c r="N29" s="76">
        <f t="shared" si="8"/>
        <v>0</v>
      </c>
      <c r="O29" s="76">
        <f t="shared" si="9"/>
        <v>20.5352</v>
      </c>
      <c r="P29" s="76">
        <f t="shared" si="16"/>
        <v>77.006999999999991</v>
      </c>
      <c r="Q29" s="76">
        <f t="shared" si="10"/>
        <v>1124.3022000000001</v>
      </c>
      <c r="R29" s="76">
        <f t="shared" si="11"/>
        <v>179.88835200000003</v>
      </c>
      <c r="S29" s="76">
        <f t="shared" si="12"/>
        <v>1304.190552</v>
      </c>
      <c r="T29" s="76"/>
      <c r="U29" s="76">
        <f>+SIND!E30</f>
        <v>3617.38</v>
      </c>
      <c r="V29" s="76">
        <f t="shared" si="13"/>
        <v>578.7808</v>
      </c>
      <c r="W29" s="76">
        <f t="shared" si="14"/>
        <v>4196.1607999999997</v>
      </c>
      <c r="X29" s="199">
        <f>+INGENIERIA!M29+INGENIERIA!F29+INGENIERIA!G29+INGENIERIA!H29+INGENIERIA!I29+SIND!I30+SIND!H30-Q29-U29+O29+P29</f>
        <v>-9.0000000000017621E-2</v>
      </c>
      <c r="Y29" s="1" t="str">
        <f t="shared" si="15"/>
        <v>si</v>
      </c>
      <c r="Z29" s="84" t="s">
        <v>113</v>
      </c>
      <c r="AA29" s="84" t="s">
        <v>163</v>
      </c>
      <c r="AB29" s="97"/>
      <c r="AC29" s="86">
        <v>42557</v>
      </c>
      <c r="AD29" s="84" t="s">
        <v>116</v>
      </c>
      <c r="AE29" s="194">
        <v>3617.38</v>
      </c>
      <c r="AF29" s="60"/>
      <c r="AG29" s="60"/>
      <c r="AH29" s="54">
        <v>0</v>
      </c>
      <c r="AI29" s="55">
        <f t="shared" si="1"/>
        <v>3617.38</v>
      </c>
      <c r="AJ29" s="56"/>
      <c r="AK29" s="60"/>
      <c r="AL29" s="57"/>
      <c r="AM29" s="57"/>
      <c r="AN29" s="52"/>
      <c r="AO29" s="52"/>
      <c r="AP29" s="55">
        <f t="shared" si="2"/>
        <v>3617.38</v>
      </c>
      <c r="AQ29" s="58">
        <f t="shared" si="19"/>
        <v>361.73800000000006</v>
      </c>
      <c r="AR29" s="55">
        <f t="shared" si="4"/>
        <v>3255.6419999999998</v>
      </c>
      <c r="AS29" s="59">
        <f t="shared" si="5"/>
        <v>0</v>
      </c>
      <c r="AT29" s="58" t="e">
        <f>#REF!*0.02</f>
        <v>#REF!</v>
      </c>
      <c r="AU29" s="55" t="e">
        <f t="shared" si="20"/>
        <v>#REF!</v>
      </c>
      <c r="AV29" s="87"/>
      <c r="AW29" s="87"/>
      <c r="AX29" s="89"/>
      <c r="AY29" s="84" t="s">
        <v>164</v>
      </c>
      <c r="AZ29" s="98">
        <v>405715097</v>
      </c>
      <c r="BA29" s="91"/>
      <c r="BB29" s="91"/>
      <c r="BC29" s="91"/>
      <c r="BD29" s="91"/>
      <c r="BE29" s="91"/>
      <c r="BF29" s="91"/>
      <c r="BG29" s="91"/>
    </row>
    <row r="30" spans="1:59" hidden="1">
      <c r="A30" s="2" t="s">
        <v>56</v>
      </c>
      <c r="B30" s="1" t="s">
        <v>57</v>
      </c>
      <c r="C30" s="76">
        <v>4666.76</v>
      </c>
      <c r="D30" s="76">
        <v>0</v>
      </c>
      <c r="E30" s="76">
        <v>741.43</v>
      </c>
      <c r="F30" s="76">
        <v>129.22</v>
      </c>
      <c r="G30" s="76">
        <v>403</v>
      </c>
      <c r="H30" s="196">
        <v>-0.09</v>
      </c>
      <c r="I30" s="76">
        <v>870.56</v>
      </c>
      <c r="J30" s="76">
        <f t="shared" si="7"/>
        <v>3796.2000000000003</v>
      </c>
      <c r="K30" s="76">
        <f t="shared" si="18"/>
        <v>3575.66</v>
      </c>
      <c r="L30" s="76"/>
      <c r="M30" s="76">
        <f>+INGENIERIA!E30</f>
        <v>4666.76</v>
      </c>
      <c r="N30" s="76">
        <f t="shared" si="8"/>
        <v>0</v>
      </c>
      <c r="O30" s="76">
        <f t="shared" si="9"/>
        <v>93.3352</v>
      </c>
      <c r="P30" s="76">
        <f t="shared" si="16"/>
        <v>350.00700000000001</v>
      </c>
      <c r="Q30" s="76">
        <f t="shared" si="10"/>
        <v>5110.1022000000003</v>
      </c>
      <c r="R30" s="76">
        <f t="shared" si="11"/>
        <v>817.61635200000001</v>
      </c>
      <c r="S30" s="76">
        <f t="shared" si="12"/>
        <v>5927.7185520000003</v>
      </c>
      <c r="T30" s="76"/>
      <c r="U30" s="76">
        <f>+SIND!E31</f>
        <v>3575.66</v>
      </c>
      <c r="V30" s="76">
        <f t="shared" si="13"/>
        <v>572.10559999999998</v>
      </c>
      <c r="W30" s="76">
        <f t="shared" si="14"/>
        <v>4147.7655999999997</v>
      </c>
      <c r="X30" s="199">
        <f>+INGENIERIA!M30+INGENIERIA!F30+INGENIERIA!G30+INGENIERIA!H30+INGENIERIA!I30+SIND!I31+SIND!H31-Q30-U30+O30+P30</f>
        <v>9.0000000000088676E-2</v>
      </c>
      <c r="Y30" s="1" t="str">
        <f t="shared" si="15"/>
        <v>si</v>
      </c>
      <c r="Z30" s="84" t="s">
        <v>129</v>
      </c>
      <c r="AA30" s="84" t="s">
        <v>165</v>
      </c>
      <c r="AB30" s="97"/>
      <c r="AC30" s="86">
        <v>42478</v>
      </c>
      <c r="AD30" s="83" t="s">
        <v>136</v>
      </c>
      <c r="AE30" s="194">
        <v>3575.66</v>
      </c>
      <c r="AF30" s="60"/>
      <c r="AG30" s="60"/>
      <c r="AH30" s="54">
        <v>0</v>
      </c>
      <c r="AI30" s="55">
        <f t="shared" si="1"/>
        <v>3575.66</v>
      </c>
      <c r="AJ30" s="56"/>
      <c r="AK30" s="60"/>
      <c r="AL30" s="57"/>
      <c r="AM30" s="57"/>
      <c r="AN30" s="52"/>
      <c r="AO30" s="52">
        <v>403</v>
      </c>
      <c r="AP30" s="55">
        <f t="shared" si="2"/>
        <v>3172.66</v>
      </c>
      <c r="AQ30" s="58">
        <f t="shared" si="19"/>
        <v>357.56600000000003</v>
      </c>
      <c r="AR30" s="55">
        <f t="shared" si="4"/>
        <v>2815.0940000000001</v>
      </c>
      <c r="AS30" s="59">
        <f t="shared" si="5"/>
        <v>0</v>
      </c>
      <c r="AT30" s="58" t="e">
        <f>#REF!*0.02</f>
        <v>#REF!</v>
      </c>
      <c r="AU30" s="55" t="e">
        <f t="shared" si="20"/>
        <v>#REF!</v>
      </c>
      <c r="AV30" s="87"/>
      <c r="AW30" s="88"/>
      <c r="AX30" s="89">
        <f>+AV30+AW30-AR30</f>
        <v>-2815.0940000000001</v>
      </c>
      <c r="AY30" s="90" t="s">
        <v>166</v>
      </c>
      <c r="AZ30" s="84" t="s">
        <v>167</v>
      </c>
      <c r="BA30" s="91"/>
      <c r="BB30" s="91"/>
      <c r="BC30" s="91"/>
      <c r="BD30" s="91"/>
      <c r="BE30" s="91"/>
      <c r="BF30" s="91"/>
      <c r="BG30" s="91"/>
    </row>
    <row r="31" spans="1:59" hidden="1">
      <c r="A31" s="2" t="s">
        <v>58</v>
      </c>
      <c r="B31" s="1" t="s">
        <v>59</v>
      </c>
      <c r="C31" s="76">
        <v>1026.76</v>
      </c>
      <c r="D31" s="196">
        <v>-18.41</v>
      </c>
      <c r="E31" s="76">
        <v>0</v>
      </c>
      <c r="F31" s="76">
        <v>25.48</v>
      </c>
      <c r="G31" s="76">
        <v>0</v>
      </c>
      <c r="H31" s="196">
        <v>-0.11</v>
      </c>
      <c r="I31" s="76">
        <v>6.96</v>
      </c>
      <c r="J31" s="76">
        <f t="shared" si="7"/>
        <v>1019.8</v>
      </c>
      <c r="K31" s="76">
        <f t="shared" si="18"/>
        <v>0</v>
      </c>
      <c r="L31" s="76"/>
      <c r="M31" s="76">
        <f>+INGENIERIA!E31</f>
        <v>1026.76</v>
      </c>
      <c r="N31" s="76">
        <f t="shared" si="8"/>
        <v>0</v>
      </c>
      <c r="O31" s="76">
        <f t="shared" si="9"/>
        <v>20.5352</v>
      </c>
      <c r="P31" s="76">
        <f t="shared" si="16"/>
        <v>77.006999999999991</v>
      </c>
      <c r="Q31" s="76">
        <f t="shared" si="10"/>
        <v>1124.3022000000001</v>
      </c>
      <c r="R31" s="76">
        <f t="shared" si="11"/>
        <v>179.88835200000003</v>
      </c>
      <c r="S31" s="76">
        <f t="shared" si="12"/>
        <v>1304.190552</v>
      </c>
      <c r="T31" s="76"/>
      <c r="U31" s="76">
        <f>+SIND!E32</f>
        <v>0</v>
      </c>
      <c r="V31" s="76">
        <f t="shared" si="13"/>
        <v>0</v>
      </c>
      <c r="W31" s="76">
        <f t="shared" si="14"/>
        <v>0</v>
      </c>
      <c r="X31" s="199">
        <f>+INGENIERIA!M31+INGENIERIA!F31+INGENIERIA!G31+INGENIERIA!H31+INGENIERIA!I31+SIND!I32+SIND!H32-Q31-U31+O31+P31</f>
        <v>0.10999999999980048</v>
      </c>
      <c r="Y31" s="1" t="str">
        <f t="shared" si="15"/>
        <v>si</v>
      </c>
      <c r="Z31" s="84" t="s">
        <v>113</v>
      </c>
      <c r="AA31" s="84" t="s">
        <v>168</v>
      </c>
      <c r="AB31" s="97"/>
      <c r="AC31" s="86">
        <v>42430</v>
      </c>
      <c r="AD31" s="84" t="s">
        <v>116</v>
      </c>
      <c r="AE31" s="195"/>
      <c r="AF31" s="60"/>
      <c r="AG31" s="60"/>
      <c r="AH31" s="54">
        <v>0</v>
      </c>
      <c r="AI31" s="55">
        <f t="shared" si="1"/>
        <v>0</v>
      </c>
      <c r="AJ31" s="56"/>
      <c r="AK31" s="60"/>
      <c r="AL31" s="57"/>
      <c r="AM31" s="57"/>
      <c r="AN31" s="52"/>
      <c r="AO31" s="52">
        <v>0</v>
      </c>
      <c r="AP31" s="55">
        <f t="shared" si="2"/>
        <v>0</v>
      </c>
      <c r="AQ31" s="58">
        <f t="shared" si="19"/>
        <v>0</v>
      </c>
      <c r="AR31" s="55">
        <f t="shared" si="4"/>
        <v>0</v>
      </c>
      <c r="AS31" s="59">
        <f t="shared" si="5"/>
        <v>0</v>
      </c>
      <c r="AT31" s="58" t="e">
        <f>#REF!*0.02</f>
        <v>#REF!</v>
      </c>
      <c r="AU31" s="55" t="e">
        <f t="shared" si="20"/>
        <v>#REF!</v>
      </c>
      <c r="AV31" s="87"/>
      <c r="AW31" s="88"/>
      <c r="AX31" s="89">
        <f>+AV31+AW31-AR31</f>
        <v>0</v>
      </c>
      <c r="AY31" s="84"/>
      <c r="AZ31" s="100"/>
      <c r="BA31" s="91"/>
      <c r="BB31" s="91"/>
      <c r="BC31" s="91"/>
      <c r="BD31" s="91"/>
      <c r="BE31" s="91"/>
      <c r="BF31" s="91"/>
      <c r="BG31" s="91"/>
    </row>
    <row r="32" spans="1:59" hidden="1">
      <c r="A32" s="2" t="s">
        <v>60</v>
      </c>
      <c r="B32" s="1" t="s">
        <v>61</v>
      </c>
      <c r="C32" s="76">
        <v>1026.69</v>
      </c>
      <c r="D32" s="196">
        <v>-18.41</v>
      </c>
      <c r="E32" s="76">
        <v>0</v>
      </c>
      <c r="F32" s="76">
        <v>25.48</v>
      </c>
      <c r="G32" s="76">
        <v>385.41</v>
      </c>
      <c r="H32" s="76">
        <v>0.02</v>
      </c>
      <c r="I32" s="76">
        <v>7.09</v>
      </c>
      <c r="J32" s="76">
        <f t="shared" si="7"/>
        <v>1019.6</v>
      </c>
      <c r="K32" s="76">
        <f t="shared" si="18"/>
        <v>0</v>
      </c>
      <c r="L32" s="76"/>
      <c r="M32" s="76">
        <f>+INGENIERIA!E32</f>
        <v>1026.69</v>
      </c>
      <c r="N32" s="76">
        <f t="shared" si="8"/>
        <v>0</v>
      </c>
      <c r="O32" s="76">
        <f t="shared" si="9"/>
        <v>20.533800000000003</v>
      </c>
      <c r="P32" s="76">
        <f t="shared" si="16"/>
        <v>77.001750000000001</v>
      </c>
      <c r="Q32" s="76">
        <f t="shared" si="10"/>
        <v>1124.2255499999999</v>
      </c>
      <c r="R32" s="76">
        <f t="shared" si="11"/>
        <v>179.87608799999998</v>
      </c>
      <c r="S32" s="76">
        <f t="shared" si="12"/>
        <v>1304.1016379999999</v>
      </c>
      <c r="T32" s="76"/>
      <c r="U32" s="76">
        <f>+SIND!E33</f>
        <v>0</v>
      </c>
      <c r="V32" s="76">
        <f t="shared" si="13"/>
        <v>0</v>
      </c>
      <c r="W32" s="76">
        <f t="shared" si="14"/>
        <v>0</v>
      </c>
      <c r="X32" s="199">
        <f>+INGENIERIA!M32+INGENIERIA!F32+INGENIERIA!G32+INGENIERIA!H32+INGENIERIA!I32+SIND!I33+SIND!H33-Q32-U32+O32+P32</f>
        <v>-1.999999999981128E-2</v>
      </c>
      <c r="Y32" s="1" t="str">
        <f t="shared" si="15"/>
        <v>si</v>
      </c>
      <c r="Z32" s="84" t="s">
        <v>113</v>
      </c>
      <c r="AA32" s="84" t="s">
        <v>169</v>
      </c>
      <c r="AB32" s="97"/>
      <c r="AC32" s="86">
        <v>42570</v>
      </c>
      <c r="AD32" s="84" t="s">
        <v>116</v>
      </c>
      <c r="AE32" s="195"/>
      <c r="AF32" s="60"/>
      <c r="AG32" s="60"/>
      <c r="AH32" s="54">
        <v>0</v>
      </c>
      <c r="AI32" s="55">
        <f t="shared" si="1"/>
        <v>0</v>
      </c>
      <c r="AJ32" s="56"/>
      <c r="AK32" s="60"/>
      <c r="AL32" s="57"/>
      <c r="AM32" s="57"/>
      <c r="AN32" s="52"/>
      <c r="AO32" s="52">
        <v>385.41</v>
      </c>
      <c r="AP32" s="55">
        <f t="shared" si="2"/>
        <v>-385.41</v>
      </c>
      <c r="AQ32" s="58">
        <f t="shared" si="19"/>
        <v>0</v>
      </c>
      <c r="AR32" s="55">
        <f t="shared" si="4"/>
        <v>-385.41</v>
      </c>
      <c r="AS32" s="59">
        <f t="shared" si="5"/>
        <v>0</v>
      </c>
      <c r="AT32" s="58" t="e">
        <f>#REF!*0.02</f>
        <v>#REF!</v>
      </c>
      <c r="AU32" s="55" t="e">
        <f t="shared" si="20"/>
        <v>#REF!</v>
      </c>
      <c r="AV32" s="87"/>
      <c r="AW32" s="88"/>
      <c r="AX32" s="89"/>
      <c r="AY32" s="84" t="s">
        <v>170</v>
      </c>
      <c r="AZ32" s="100"/>
      <c r="BA32" s="91"/>
      <c r="BB32" s="91"/>
      <c r="BC32" s="91"/>
      <c r="BD32" s="91"/>
      <c r="BE32" s="91"/>
      <c r="BF32" s="91"/>
      <c r="BG32" s="91"/>
    </row>
    <row r="33" spans="1:62" hidden="1">
      <c r="A33" s="2" t="s">
        <v>62</v>
      </c>
      <c r="B33" s="1" t="s">
        <v>63</v>
      </c>
      <c r="C33" s="76">
        <v>1026.76</v>
      </c>
      <c r="D33" s="196">
        <v>-18.41</v>
      </c>
      <c r="E33" s="76">
        <v>0</v>
      </c>
      <c r="F33" s="76">
        <v>25.48</v>
      </c>
      <c r="G33" s="76">
        <v>0</v>
      </c>
      <c r="H33" s="196">
        <v>-0.11</v>
      </c>
      <c r="I33" s="76">
        <v>6.96</v>
      </c>
      <c r="J33" s="76">
        <f t="shared" si="7"/>
        <v>1019.8</v>
      </c>
      <c r="K33" s="76">
        <f t="shared" si="18"/>
        <v>0</v>
      </c>
      <c r="L33" s="76"/>
      <c r="M33" s="76">
        <f>+INGENIERIA!E33</f>
        <v>1026.76</v>
      </c>
      <c r="N33" s="76">
        <f t="shared" si="8"/>
        <v>0</v>
      </c>
      <c r="O33" s="76">
        <f t="shared" si="9"/>
        <v>20.5352</v>
      </c>
      <c r="P33" s="76">
        <f t="shared" si="16"/>
        <v>77.006999999999991</v>
      </c>
      <c r="Q33" s="76">
        <f t="shared" si="10"/>
        <v>1124.3022000000001</v>
      </c>
      <c r="R33" s="76">
        <f t="shared" si="11"/>
        <v>179.88835200000003</v>
      </c>
      <c r="S33" s="76">
        <f t="shared" si="12"/>
        <v>1304.190552</v>
      </c>
      <c r="T33" s="76"/>
      <c r="U33" s="76">
        <f>+SIND!E34</f>
        <v>0</v>
      </c>
      <c r="V33" s="76">
        <f t="shared" si="13"/>
        <v>0</v>
      </c>
      <c r="W33" s="76">
        <f t="shared" si="14"/>
        <v>0</v>
      </c>
      <c r="X33" s="199">
        <f>+INGENIERIA!M33+INGENIERIA!F33+INGENIERIA!G33+INGENIERIA!H33+INGENIERIA!I33+SIND!I34+SIND!H34-Q33-U33+O33+P33</f>
        <v>0.10999999999980048</v>
      </c>
      <c r="Y33" s="1" t="str">
        <f t="shared" si="15"/>
        <v>si</v>
      </c>
      <c r="Z33" s="83" t="s">
        <v>113</v>
      </c>
      <c r="AA33" s="84" t="s">
        <v>210</v>
      </c>
      <c r="AB33" s="85" t="s">
        <v>171</v>
      </c>
      <c r="AC33" s="86">
        <v>41592</v>
      </c>
      <c r="AD33" s="83" t="s">
        <v>116</v>
      </c>
      <c r="AE33" s="194"/>
      <c r="AF33" s="53"/>
      <c r="AG33" s="53"/>
      <c r="AH33" s="54">
        <v>0</v>
      </c>
      <c r="AI33" s="55">
        <f t="shared" si="1"/>
        <v>0</v>
      </c>
      <c r="AJ33" s="56"/>
      <c r="AK33" s="60"/>
      <c r="AL33" s="57"/>
      <c r="AM33" s="57"/>
      <c r="AN33" s="52"/>
      <c r="AO33" s="52">
        <v>0</v>
      </c>
      <c r="AP33" s="55">
        <f t="shared" si="2"/>
        <v>0</v>
      </c>
      <c r="AQ33" s="58">
        <f t="shared" si="19"/>
        <v>0</v>
      </c>
      <c r="AR33" s="55">
        <f t="shared" si="4"/>
        <v>0</v>
      </c>
      <c r="AS33" s="59">
        <f t="shared" si="5"/>
        <v>0</v>
      </c>
      <c r="AT33" s="58" t="e">
        <f>#REF!*0.02</f>
        <v>#REF!</v>
      </c>
      <c r="AU33" s="55" t="e">
        <f t="shared" si="20"/>
        <v>#REF!</v>
      </c>
      <c r="AV33" s="87"/>
      <c r="AW33" s="88"/>
      <c r="AX33" s="89">
        <f t="shared" ref="AX33:AX45" si="21">+AV33+AW33-AR33</f>
        <v>0</v>
      </c>
      <c r="AY33" s="84"/>
      <c r="AZ33" s="84" t="s">
        <v>172</v>
      </c>
      <c r="BA33" s="91"/>
      <c r="BB33" s="91"/>
      <c r="BC33" s="91"/>
      <c r="BD33" s="91"/>
      <c r="BE33" s="91"/>
      <c r="BF33" s="91"/>
      <c r="BG33" s="91"/>
    </row>
    <row r="34" spans="1:62" hidden="1">
      <c r="A34" s="2" t="s">
        <v>64</v>
      </c>
      <c r="B34" s="1" t="s">
        <v>65</v>
      </c>
      <c r="C34" s="76">
        <v>1026.76</v>
      </c>
      <c r="D34" s="196">
        <v>-18.41</v>
      </c>
      <c r="E34" s="76">
        <v>0</v>
      </c>
      <c r="F34" s="76">
        <v>25.53</v>
      </c>
      <c r="G34" s="76">
        <v>0</v>
      </c>
      <c r="H34" s="76">
        <v>0.04</v>
      </c>
      <c r="I34" s="76">
        <v>7.16</v>
      </c>
      <c r="J34" s="76">
        <f t="shared" si="7"/>
        <v>1019.6</v>
      </c>
      <c r="K34" s="76">
        <f t="shared" si="18"/>
        <v>9693.0299999999988</v>
      </c>
      <c r="L34" s="76"/>
      <c r="M34" s="76">
        <f>+INGENIERIA!E34</f>
        <v>1026.76</v>
      </c>
      <c r="N34" s="76">
        <f t="shared" si="8"/>
        <v>0</v>
      </c>
      <c r="O34" s="76">
        <f t="shared" si="9"/>
        <v>20.5352</v>
      </c>
      <c r="P34" s="76">
        <f t="shared" si="16"/>
        <v>77.006999999999991</v>
      </c>
      <c r="Q34" s="76">
        <f t="shared" si="10"/>
        <v>1124.3022000000001</v>
      </c>
      <c r="R34" s="76">
        <f t="shared" si="11"/>
        <v>179.88835200000003</v>
      </c>
      <c r="S34" s="76">
        <f t="shared" si="12"/>
        <v>1304.190552</v>
      </c>
      <c r="T34" s="76"/>
      <c r="U34" s="76">
        <f>+SIND!E35</f>
        <v>9693.0299999999988</v>
      </c>
      <c r="V34" s="76">
        <f t="shared" si="13"/>
        <v>1550.8847999999998</v>
      </c>
      <c r="W34" s="76">
        <f t="shared" si="14"/>
        <v>11243.914799999999</v>
      </c>
      <c r="X34" s="199">
        <f>+INGENIERIA!M34+INGENIERIA!F34+INGENIERIA!G34+INGENIERIA!H34+INGENIERIA!I34+SIND!I35+SIND!H35-Q34-U34+O34+P34</f>
        <v>-4.0000000000745217E-2</v>
      </c>
      <c r="Y34" s="1" t="str">
        <f t="shared" si="15"/>
        <v>si</v>
      </c>
      <c r="Z34" s="83" t="s">
        <v>129</v>
      </c>
      <c r="AA34" s="84" t="s">
        <v>211</v>
      </c>
      <c r="AB34" s="85" t="s">
        <v>173</v>
      </c>
      <c r="AC34" s="86">
        <v>42030</v>
      </c>
      <c r="AD34" s="83" t="s">
        <v>116</v>
      </c>
      <c r="AE34" s="190">
        <f>7693.03+2000</f>
        <v>9693.0299999999988</v>
      </c>
      <c r="AF34" s="52"/>
      <c r="AG34" s="52"/>
      <c r="AH34" s="54">
        <v>0</v>
      </c>
      <c r="AI34" s="55">
        <f t="shared" si="1"/>
        <v>9693.0299999999988</v>
      </c>
      <c r="AJ34" s="56"/>
      <c r="AK34" s="60"/>
      <c r="AL34" s="57"/>
      <c r="AM34" s="57"/>
      <c r="AN34" s="52"/>
      <c r="AO34" s="52">
        <v>0</v>
      </c>
      <c r="AP34" s="55">
        <f t="shared" si="2"/>
        <v>9693.0299999999988</v>
      </c>
      <c r="AQ34" s="58">
        <f t="shared" si="19"/>
        <v>969.30299999999988</v>
      </c>
      <c r="AR34" s="55">
        <f t="shared" si="4"/>
        <v>8723.726999999999</v>
      </c>
      <c r="AS34" s="59">
        <f t="shared" si="5"/>
        <v>0</v>
      </c>
      <c r="AT34" s="58" t="e">
        <f>#REF!*0.02</f>
        <v>#REF!</v>
      </c>
      <c r="AU34" s="55" t="e">
        <f t="shared" si="20"/>
        <v>#REF!</v>
      </c>
      <c r="AV34" s="87"/>
      <c r="AW34" s="101"/>
      <c r="AX34" s="89">
        <f t="shared" si="21"/>
        <v>-8723.726999999999</v>
      </c>
      <c r="AY34" s="84"/>
      <c r="AZ34" s="84" t="s">
        <v>174</v>
      </c>
      <c r="BA34" s="91"/>
      <c r="BB34" s="91"/>
      <c r="BC34" s="91"/>
      <c r="BD34" s="91"/>
      <c r="BE34" s="91"/>
      <c r="BF34" s="91"/>
      <c r="BG34" s="91"/>
    </row>
    <row r="35" spans="1:62" hidden="1">
      <c r="A35" s="2" t="s">
        <v>66</v>
      </c>
      <c r="B35" s="1" t="s">
        <v>67</v>
      </c>
      <c r="C35" s="76">
        <v>1026.76</v>
      </c>
      <c r="D35" s="196">
        <v>-18.41</v>
      </c>
      <c r="E35" s="76">
        <v>0</v>
      </c>
      <c r="F35" s="76">
        <v>25.58</v>
      </c>
      <c r="G35" s="76">
        <v>577.35</v>
      </c>
      <c r="H35" s="196">
        <v>-0.01</v>
      </c>
      <c r="I35" s="76">
        <v>7.16</v>
      </c>
      <c r="J35" s="76">
        <f t="shared" si="7"/>
        <v>1019.6</v>
      </c>
      <c r="K35" s="76">
        <f t="shared" si="18"/>
        <v>1407.62</v>
      </c>
      <c r="L35" s="76"/>
      <c r="M35" s="76">
        <f>+INGENIERIA!E35</f>
        <v>1026.76</v>
      </c>
      <c r="N35" s="76">
        <f t="shared" si="8"/>
        <v>0</v>
      </c>
      <c r="O35" s="76">
        <f t="shared" si="9"/>
        <v>20.5352</v>
      </c>
      <c r="P35" s="76">
        <f t="shared" si="16"/>
        <v>77.006999999999991</v>
      </c>
      <c r="Q35" s="76">
        <f t="shared" si="10"/>
        <v>1124.3022000000001</v>
      </c>
      <c r="R35" s="76">
        <f t="shared" si="11"/>
        <v>179.88835200000003</v>
      </c>
      <c r="S35" s="76">
        <f t="shared" si="12"/>
        <v>1304.190552</v>
      </c>
      <c r="T35" s="76"/>
      <c r="U35" s="76">
        <f>+SIND!E36</f>
        <v>1407.62</v>
      </c>
      <c r="V35" s="76">
        <f t="shared" si="13"/>
        <v>225.2192</v>
      </c>
      <c r="W35" s="76">
        <f t="shared" si="14"/>
        <v>1632.8391999999999</v>
      </c>
      <c r="X35" s="199">
        <f>+INGENIERIA!M35+INGENIERIA!F35+INGENIERIA!G35+INGENIERIA!H35+INGENIERIA!I35+SIND!I36+SIND!H36-Q35-U35+O35+P35</f>
        <v>9.9999999998914291E-3</v>
      </c>
      <c r="Y35" s="1" t="str">
        <f t="shared" si="15"/>
        <v>si</v>
      </c>
      <c r="Z35" s="83" t="s">
        <v>129</v>
      </c>
      <c r="AA35" s="84" t="s">
        <v>212</v>
      </c>
      <c r="AB35" s="85" t="s">
        <v>175</v>
      </c>
      <c r="AC35" s="99">
        <v>41435</v>
      </c>
      <c r="AD35" s="83" t="s">
        <v>116</v>
      </c>
      <c r="AE35" s="191">
        <v>1407.62</v>
      </c>
      <c r="AF35" s="52"/>
      <c r="AG35" s="52"/>
      <c r="AH35" s="54">
        <v>0</v>
      </c>
      <c r="AI35" s="55">
        <f t="shared" si="1"/>
        <v>1407.62</v>
      </c>
      <c r="AJ35" s="56"/>
      <c r="AK35" s="60"/>
      <c r="AL35" s="57"/>
      <c r="AM35" s="57"/>
      <c r="AN35" s="52"/>
      <c r="AO35" s="52">
        <v>577.35</v>
      </c>
      <c r="AP35" s="55">
        <f t="shared" si="2"/>
        <v>830.26999999999987</v>
      </c>
      <c r="AQ35" s="58">
        <f t="shared" si="19"/>
        <v>0</v>
      </c>
      <c r="AR35" s="55">
        <f t="shared" si="4"/>
        <v>830.26999999999987</v>
      </c>
      <c r="AS35" s="59">
        <f t="shared" si="5"/>
        <v>140.762</v>
      </c>
      <c r="AT35" s="58" t="e">
        <f>#REF!*0.02</f>
        <v>#REF!</v>
      </c>
      <c r="AU35" s="55" t="e">
        <f t="shared" si="20"/>
        <v>#REF!</v>
      </c>
      <c r="AV35" s="87"/>
      <c r="AW35" s="101"/>
      <c r="AX35" s="89">
        <f t="shared" si="21"/>
        <v>-830.26999999999987</v>
      </c>
      <c r="AY35" s="84"/>
      <c r="AZ35" s="84" t="s">
        <v>176</v>
      </c>
      <c r="BA35" s="91"/>
      <c r="BB35" s="91"/>
    </row>
    <row r="36" spans="1:62" hidden="1">
      <c r="A36" s="2" t="s">
        <v>68</v>
      </c>
      <c r="B36" s="1" t="s">
        <v>69</v>
      </c>
      <c r="C36" s="76">
        <f>+INGENIERIA!E36</f>
        <v>855.1400000000001</v>
      </c>
      <c r="D36" s="196">
        <v>-18.41</v>
      </c>
      <c r="E36" s="76">
        <v>0</v>
      </c>
      <c r="F36" s="76">
        <v>25.48</v>
      </c>
      <c r="G36" s="76">
        <v>0</v>
      </c>
      <c r="H36" s="196">
        <v>-0.11</v>
      </c>
      <c r="I36" s="76">
        <v>6.96</v>
      </c>
      <c r="J36" s="76">
        <f t="shared" si="7"/>
        <v>848.18000000000006</v>
      </c>
      <c r="K36" s="76">
        <f t="shared" si="18"/>
        <v>0</v>
      </c>
      <c r="L36" s="76"/>
      <c r="M36" s="76">
        <f>+INGENIERIA!E36</f>
        <v>855.1400000000001</v>
      </c>
      <c r="N36" s="76">
        <f t="shared" si="8"/>
        <v>0</v>
      </c>
      <c r="O36" s="76">
        <f>+M36*0.02</f>
        <v>17.102800000000002</v>
      </c>
      <c r="P36" s="76">
        <f>+M36*7.5%</f>
        <v>64.135500000000008</v>
      </c>
      <c r="Q36" s="76">
        <f t="shared" si="10"/>
        <v>936.37830000000008</v>
      </c>
      <c r="R36" s="76">
        <f t="shared" si="11"/>
        <v>149.82052800000002</v>
      </c>
      <c r="S36" s="76">
        <f t="shared" si="12"/>
        <v>1086.198828</v>
      </c>
      <c r="T36" s="76"/>
      <c r="U36" s="76">
        <f>+SIND!E37</f>
        <v>0</v>
      </c>
      <c r="V36" s="76">
        <f t="shared" si="13"/>
        <v>0</v>
      </c>
      <c r="W36" s="76">
        <f t="shared" si="14"/>
        <v>0</v>
      </c>
      <c r="X36" s="199">
        <f>+INGENIERIA!M36+INGENIERIA!F36+INGENIERIA!G36+INGENIERIA!H36+INGENIERIA!I36+SIND!I37+SIND!H37-Q36-U36+O36+P36</f>
        <v>0.11000000000004206</v>
      </c>
      <c r="Y36" s="1" t="str">
        <f t="shared" si="15"/>
        <v>si</v>
      </c>
      <c r="Z36" s="84" t="s">
        <v>113</v>
      </c>
      <c r="AA36" s="84" t="s">
        <v>192</v>
      </c>
      <c r="AB36" s="97"/>
      <c r="AC36" s="86">
        <v>42496</v>
      </c>
      <c r="AD36" s="84" t="s">
        <v>116</v>
      </c>
      <c r="AE36" s="195"/>
      <c r="AF36" s="64"/>
      <c r="AG36" s="60"/>
      <c r="AH36" s="54">
        <v>0</v>
      </c>
      <c r="AI36" s="55">
        <f t="shared" si="1"/>
        <v>0</v>
      </c>
      <c r="AJ36" s="56"/>
      <c r="AK36" s="60">
        <v>1</v>
      </c>
      <c r="AL36" s="57"/>
      <c r="AM36" s="57"/>
      <c r="AN36" s="52"/>
      <c r="AO36" s="52">
        <v>0</v>
      </c>
      <c r="AP36" s="55">
        <f t="shared" si="2"/>
        <v>-1</v>
      </c>
      <c r="AQ36" s="58">
        <f t="shared" si="19"/>
        <v>0</v>
      </c>
      <c r="AR36" s="55">
        <f t="shared" si="4"/>
        <v>-1</v>
      </c>
      <c r="AS36" s="59">
        <f t="shared" si="5"/>
        <v>0</v>
      </c>
      <c r="AT36" s="58" t="e">
        <f>#REF!*0.02</f>
        <v>#REF!</v>
      </c>
      <c r="AU36" s="55" t="e">
        <f t="shared" si="20"/>
        <v>#REF!</v>
      </c>
      <c r="AV36" s="87"/>
      <c r="AW36" s="87"/>
      <c r="AX36" s="89">
        <f t="shared" si="21"/>
        <v>1</v>
      </c>
      <c r="AY36" s="102" t="s">
        <v>177</v>
      </c>
      <c r="AZ36" s="98">
        <v>1423506142</v>
      </c>
      <c r="BA36" s="91"/>
      <c r="BB36" s="91"/>
      <c r="BC36" s="91"/>
      <c r="BD36" s="91"/>
      <c r="BE36" s="91"/>
    </row>
    <row r="37" spans="1:62" hidden="1">
      <c r="A37" s="2" t="s">
        <v>70</v>
      </c>
      <c r="B37" s="1" t="s">
        <v>71</v>
      </c>
      <c r="C37" s="76">
        <v>1026.76</v>
      </c>
      <c r="D37" s="196">
        <v>-18.41</v>
      </c>
      <c r="E37" s="76">
        <v>0</v>
      </c>
      <c r="F37" s="76">
        <v>25.55</v>
      </c>
      <c r="G37" s="76">
        <v>415</v>
      </c>
      <c r="H37" s="76">
        <v>0.02</v>
      </c>
      <c r="I37" s="76">
        <v>7.16</v>
      </c>
      <c r="J37" s="76">
        <f t="shared" si="7"/>
        <v>1019.6</v>
      </c>
      <c r="K37" s="76">
        <f t="shared" si="18"/>
        <v>3307.06</v>
      </c>
      <c r="L37" s="76"/>
      <c r="M37" s="76">
        <f>+INGENIERIA!E37</f>
        <v>1026.76</v>
      </c>
      <c r="N37" s="76">
        <f t="shared" si="8"/>
        <v>0</v>
      </c>
      <c r="O37" s="76">
        <f t="shared" si="9"/>
        <v>20.5352</v>
      </c>
      <c r="P37" s="76">
        <f t="shared" si="16"/>
        <v>77.006999999999991</v>
      </c>
      <c r="Q37" s="76">
        <f t="shared" si="10"/>
        <v>1124.3022000000001</v>
      </c>
      <c r="R37" s="76">
        <f t="shared" si="11"/>
        <v>179.88835200000003</v>
      </c>
      <c r="S37" s="76">
        <f t="shared" si="12"/>
        <v>1304.190552</v>
      </c>
      <c r="T37" s="76"/>
      <c r="U37" s="76">
        <f>+SIND!E38</f>
        <v>3307.06</v>
      </c>
      <c r="V37" s="76">
        <f t="shared" si="13"/>
        <v>529.12959999999998</v>
      </c>
      <c r="W37" s="76">
        <f t="shared" si="14"/>
        <v>3836.1895999999997</v>
      </c>
      <c r="X37" s="199">
        <f>+INGENIERIA!M37+INGENIERIA!F37+INGENIERIA!G37+INGENIERIA!H37+INGENIERIA!I37+SIND!I38+SIND!H38-Q37-U37+O37+P37</f>
        <v>-1.9999999999853912E-2</v>
      </c>
      <c r="Y37" s="1" t="str">
        <f t="shared" si="15"/>
        <v>si</v>
      </c>
      <c r="Z37" s="104" t="s">
        <v>113</v>
      </c>
      <c r="AA37" s="104" t="s">
        <v>213</v>
      </c>
      <c r="AB37" s="105" t="s">
        <v>178</v>
      </c>
      <c r="AC37" s="127">
        <v>41848</v>
      </c>
      <c r="AD37" s="104" t="s">
        <v>116</v>
      </c>
      <c r="AE37" s="190">
        <v>3307.06</v>
      </c>
      <c r="AF37" s="139"/>
      <c r="AG37" s="139"/>
      <c r="AH37" s="46">
        <v>0</v>
      </c>
      <c r="AI37" s="47">
        <f t="shared" si="1"/>
        <v>3307.06</v>
      </c>
      <c r="AJ37" s="48"/>
      <c r="AK37" s="60"/>
      <c r="AL37" s="49"/>
      <c r="AM37" s="49"/>
      <c r="AN37" s="45"/>
      <c r="AO37" s="45">
        <v>613.69000000000005</v>
      </c>
      <c r="AP37" s="47">
        <f t="shared" si="2"/>
        <v>2693.37</v>
      </c>
      <c r="AQ37" s="50">
        <f t="shared" si="19"/>
        <v>330.70600000000002</v>
      </c>
      <c r="AR37" s="152">
        <f t="shared" si="4"/>
        <v>2362.6639999999998</v>
      </c>
      <c r="AS37" s="51">
        <f t="shared" si="5"/>
        <v>0</v>
      </c>
      <c r="AT37" s="50" t="e">
        <f>#REF!*0.02</f>
        <v>#REF!</v>
      </c>
      <c r="AU37" s="47" t="e">
        <f t="shared" si="20"/>
        <v>#REF!</v>
      </c>
      <c r="AV37" s="155"/>
      <c r="AW37" s="156"/>
      <c r="AX37" s="157">
        <f t="shared" si="21"/>
        <v>-2362.6639999999998</v>
      </c>
      <c r="AY37" s="122"/>
      <c r="AZ37" s="122"/>
      <c r="BC37" s="91"/>
      <c r="BD37" s="91"/>
      <c r="BE37" s="91"/>
      <c r="BF37" s="91"/>
      <c r="BG37" s="91"/>
    </row>
    <row r="38" spans="1:62" hidden="1">
      <c r="A38" s="2" t="s">
        <v>72</v>
      </c>
      <c r="B38" s="1" t="s">
        <v>73</v>
      </c>
      <c r="C38" s="76">
        <v>1026.76</v>
      </c>
      <c r="D38" s="196">
        <v>-18.41</v>
      </c>
      <c r="E38" s="76">
        <v>0</v>
      </c>
      <c r="F38" s="76">
        <v>25.48</v>
      </c>
      <c r="G38" s="76">
        <v>0</v>
      </c>
      <c r="H38" s="196">
        <v>-0.11</v>
      </c>
      <c r="I38" s="76">
        <v>6.96</v>
      </c>
      <c r="J38" s="76">
        <f t="shared" si="7"/>
        <v>1019.8</v>
      </c>
      <c r="K38" s="76">
        <f t="shared" si="18"/>
        <v>0</v>
      </c>
      <c r="L38" s="76"/>
      <c r="M38" s="76">
        <f>+INGENIERIA!E38</f>
        <v>1026.76</v>
      </c>
      <c r="N38" s="76">
        <f t="shared" si="8"/>
        <v>0</v>
      </c>
      <c r="O38" s="76">
        <f t="shared" si="9"/>
        <v>20.5352</v>
      </c>
      <c r="P38" s="76">
        <f t="shared" si="16"/>
        <v>77.006999999999991</v>
      </c>
      <c r="Q38" s="76">
        <f t="shared" si="10"/>
        <v>1124.3022000000001</v>
      </c>
      <c r="R38" s="76">
        <f t="shared" si="11"/>
        <v>179.88835200000003</v>
      </c>
      <c r="S38" s="76">
        <f t="shared" si="12"/>
        <v>1304.190552</v>
      </c>
      <c r="T38" s="76"/>
      <c r="U38" s="76">
        <f>+SIND!E39</f>
        <v>0</v>
      </c>
      <c r="V38" s="76">
        <f t="shared" si="13"/>
        <v>0</v>
      </c>
      <c r="W38" s="76">
        <f t="shared" si="14"/>
        <v>0</v>
      </c>
      <c r="X38" s="199">
        <f>+INGENIERIA!M38+INGENIERIA!F38+INGENIERIA!G38+INGENIERIA!H38+INGENIERIA!I38+SIND!I39+SIND!H39-Q38-U38+O38+P38</f>
        <v>0.10999999999980048</v>
      </c>
      <c r="Y38" s="1" t="str">
        <f t="shared" si="15"/>
        <v>si</v>
      </c>
      <c r="Z38" s="115" t="s">
        <v>113</v>
      </c>
      <c r="AA38" s="115" t="s">
        <v>179</v>
      </c>
      <c r="AB38" s="125"/>
      <c r="AC38" s="126">
        <v>42496</v>
      </c>
      <c r="AD38" s="115" t="s">
        <v>180</v>
      </c>
      <c r="AE38" s="193"/>
      <c r="AF38" s="140"/>
      <c r="AG38" s="140"/>
      <c r="AH38" s="34">
        <v>0</v>
      </c>
      <c r="AI38" s="35">
        <f t="shared" si="1"/>
        <v>0</v>
      </c>
      <c r="AJ38" s="36"/>
      <c r="AK38" s="60"/>
      <c r="AL38" s="37"/>
      <c r="AM38" s="37"/>
      <c r="AN38" s="19"/>
      <c r="AO38" s="19">
        <v>0</v>
      </c>
      <c r="AP38" s="35">
        <f t="shared" si="2"/>
        <v>0</v>
      </c>
      <c r="AQ38" s="38">
        <f t="shared" si="19"/>
        <v>0</v>
      </c>
      <c r="AR38" s="153">
        <f t="shared" si="4"/>
        <v>0</v>
      </c>
      <c r="AS38" s="39">
        <f t="shared" si="5"/>
        <v>0</v>
      </c>
      <c r="AT38" s="38" t="e">
        <f>#REF!*0.02</f>
        <v>#REF!</v>
      </c>
      <c r="AU38" s="35" t="e">
        <f t="shared" si="20"/>
        <v>#REF!</v>
      </c>
      <c r="AV38" s="155"/>
      <c r="AW38" s="155"/>
      <c r="AX38" s="157">
        <f t="shared" si="21"/>
        <v>0</v>
      </c>
      <c r="AY38" s="158" t="s">
        <v>177</v>
      </c>
      <c r="AZ38" s="159">
        <v>1129582916</v>
      </c>
      <c r="BC38" s="91"/>
      <c r="BD38" s="91"/>
      <c r="BE38" s="91"/>
      <c r="BF38" s="91"/>
      <c r="BG38" s="91"/>
    </row>
    <row r="39" spans="1:62" hidden="1">
      <c r="A39" s="2" t="s">
        <v>74</v>
      </c>
      <c r="B39" s="1" t="s">
        <v>75</v>
      </c>
      <c r="C39" s="76">
        <v>1026.76</v>
      </c>
      <c r="D39" s="196">
        <v>-18.41</v>
      </c>
      <c r="E39" s="76">
        <v>0</v>
      </c>
      <c r="F39" s="76">
        <v>25.53</v>
      </c>
      <c r="G39" s="76">
        <v>0</v>
      </c>
      <c r="H39" s="196">
        <v>-0.16</v>
      </c>
      <c r="I39" s="76">
        <v>6.96</v>
      </c>
      <c r="J39" s="76">
        <f t="shared" si="7"/>
        <v>1019.8</v>
      </c>
      <c r="K39" s="76">
        <f t="shared" si="18"/>
        <v>8013.43</v>
      </c>
      <c r="L39" s="76"/>
      <c r="M39" s="76">
        <f>+INGENIERIA!E39</f>
        <v>1026.76</v>
      </c>
      <c r="N39" s="76">
        <f t="shared" si="8"/>
        <v>0</v>
      </c>
      <c r="O39" s="76">
        <f t="shared" si="9"/>
        <v>20.5352</v>
      </c>
      <c r="P39" s="76">
        <f t="shared" si="16"/>
        <v>77.006999999999991</v>
      </c>
      <c r="Q39" s="76">
        <f t="shared" si="10"/>
        <v>1124.3022000000001</v>
      </c>
      <c r="R39" s="76">
        <f t="shared" si="11"/>
        <v>179.88835200000003</v>
      </c>
      <c r="S39" s="76">
        <f t="shared" si="12"/>
        <v>1304.190552</v>
      </c>
      <c r="T39" s="76"/>
      <c r="U39" s="76">
        <f>+SIND!E40</f>
        <v>8013.43</v>
      </c>
      <c r="V39" s="76">
        <f t="shared" si="13"/>
        <v>1282.1488000000002</v>
      </c>
      <c r="W39" s="76">
        <f t="shared" si="14"/>
        <v>9295.5788000000011</v>
      </c>
      <c r="X39" s="199">
        <f>+INGENIERIA!M39+INGENIERIA!F39+INGENIERIA!G39+INGENIERIA!H39+INGENIERIA!I39+SIND!I40+SIND!H40-Q39-U39+O39+P39</f>
        <v>0.16000000000180137</v>
      </c>
      <c r="Y39" s="1" t="str">
        <f t="shared" si="15"/>
        <v>si</v>
      </c>
      <c r="Z39" s="107" t="s">
        <v>113</v>
      </c>
      <c r="AA39" s="115" t="s">
        <v>181</v>
      </c>
      <c r="AB39" s="121" t="s">
        <v>182</v>
      </c>
      <c r="AC39" s="126">
        <v>42215</v>
      </c>
      <c r="AD39" s="107" t="s">
        <v>116</v>
      </c>
      <c r="AE39" s="195">
        <f>6013.43+2000</f>
        <v>8013.43</v>
      </c>
      <c r="AF39" s="20"/>
      <c r="AG39" s="20"/>
      <c r="AH39" s="34">
        <v>0</v>
      </c>
      <c r="AI39" s="35">
        <f t="shared" si="1"/>
        <v>8013.43</v>
      </c>
      <c r="AJ39" s="36"/>
      <c r="AK39" s="60"/>
      <c r="AL39" s="37"/>
      <c r="AM39" s="37"/>
      <c r="AN39" s="19"/>
      <c r="AO39" s="19">
        <v>0</v>
      </c>
      <c r="AP39" s="35">
        <f t="shared" si="2"/>
        <v>8013.43</v>
      </c>
      <c r="AQ39" s="38">
        <f t="shared" si="19"/>
        <v>801.34300000000007</v>
      </c>
      <c r="AR39" s="35">
        <f t="shared" si="4"/>
        <v>7212.0870000000004</v>
      </c>
      <c r="AS39" s="39">
        <f t="shared" si="5"/>
        <v>0</v>
      </c>
      <c r="AT39" s="38" t="e">
        <f>#REF!*0.02</f>
        <v>#REF!</v>
      </c>
      <c r="AU39" s="35" t="e">
        <f t="shared" si="20"/>
        <v>#REF!</v>
      </c>
      <c r="AV39" s="155"/>
      <c r="AW39" s="156"/>
      <c r="AX39" s="157">
        <f t="shared" si="21"/>
        <v>-7212.0870000000004</v>
      </c>
      <c r="AY39" s="112"/>
      <c r="AZ39" s="122" t="s">
        <v>183</v>
      </c>
      <c r="BA39" s="91"/>
      <c r="BB39" s="91"/>
      <c r="BC39" s="91"/>
      <c r="BD39" s="91"/>
      <c r="BE39" s="91"/>
      <c r="BF39" s="91"/>
      <c r="BG39" s="91"/>
    </row>
    <row r="40" spans="1:62"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Z40" s="107"/>
      <c r="AA40" s="119"/>
      <c r="AB40" s="123"/>
      <c r="AC40" s="123"/>
      <c r="AD40" s="119"/>
      <c r="AE40" s="132"/>
      <c r="AF40" s="138"/>
      <c r="AG40" s="138"/>
      <c r="AH40" s="142"/>
      <c r="AI40" s="35"/>
      <c r="AJ40" s="147"/>
      <c r="AK40" s="40"/>
      <c r="AL40" s="37"/>
      <c r="AM40" s="37"/>
      <c r="AN40" s="19"/>
      <c r="AO40" s="19"/>
      <c r="AP40" s="150"/>
      <c r="AQ40" s="38"/>
      <c r="AR40" s="35"/>
      <c r="AS40" s="39"/>
      <c r="AT40" s="38"/>
      <c r="AU40" s="35"/>
      <c r="AV40" s="91"/>
      <c r="AW40" s="91"/>
      <c r="AX40" s="106">
        <f t="shared" si="21"/>
        <v>0</v>
      </c>
      <c r="AY40" s="91"/>
      <c r="AZ40" s="91"/>
      <c r="BA40" s="91"/>
      <c r="BB40" s="91"/>
      <c r="BC40" s="91"/>
      <c r="BD40" s="91"/>
      <c r="BE40" s="91"/>
      <c r="BF40" s="91"/>
      <c r="BG40" s="91"/>
    </row>
    <row r="41" spans="1:62" ht="15.75" thickBot="1"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Z41" s="112"/>
      <c r="AA41" s="120"/>
      <c r="AB41" s="124"/>
      <c r="AC41" s="124"/>
      <c r="AD41" s="120"/>
      <c r="AE41" s="136">
        <f t="shared" ref="AE41:AZ41" si="22">SUM(AE11:AE40)</f>
        <v>102932.78</v>
      </c>
      <c r="AF41" s="136">
        <f t="shared" si="22"/>
        <v>0</v>
      </c>
      <c r="AG41" s="136">
        <f t="shared" si="22"/>
        <v>0</v>
      </c>
      <c r="AH41" s="136">
        <f t="shared" si="22"/>
        <v>0</v>
      </c>
      <c r="AI41" s="136">
        <f t="shared" si="22"/>
        <v>102932.78</v>
      </c>
      <c r="AJ41" s="136">
        <f t="shared" si="22"/>
        <v>0</v>
      </c>
      <c r="AK41" s="136">
        <f t="shared" si="22"/>
        <v>1</v>
      </c>
      <c r="AL41" s="136">
        <f t="shared" si="22"/>
        <v>0</v>
      </c>
      <c r="AM41" s="136">
        <f t="shared" si="22"/>
        <v>0</v>
      </c>
      <c r="AN41" s="136">
        <f t="shared" si="22"/>
        <v>0</v>
      </c>
      <c r="AO41" s="136">
        <f t="shared" si="22"/>
        <v>3599.2099999999996</v>
      </c>
      <c r="AP41" s="136">
        <f t="shared" si="22"/>
        <v>99332.57</v>
      </c>
      <c r="AQ41" s="136">
        <f t="shared" si="22"/>
        <v>8908.5380000000005</v>
      </c>
      <c r="AR41" s="136">
        <f t="shared" si="22"/>
        <v>90424.032000000007</v>
      </c>
      <c r="AS41" s="136">
        <f t="shared" si="22"/>
        <v>468.98399999999998</v>
      </c>
      <c r="AT41" s="136" t="e">
        <f t="shared" si="22"/>
        <v>#REF!</v>
      </c>
      <c r="AU41" s="136" t="e">
        <f t="shared" si="22"/>
        <v>#REF!</v>
      </c>
      <c r="AV41" s="136">
        <f t="shared" si="22"/>
        <v>0</v>
      </c>
      <c r="AW41" s="136">
        <f t="shared" si="22"/>
        <v>0</v>
      </c>
      <c r="AX41" s="136">
        <f t="shared" si="22"/>
        <v>-78746.239999999991</v>
      </c>
      <c r="AY41" s="136">
        <f t="shared" si="22"/>
        <v>0</v>
      </c>
      <c r="AZ41" s="136">
        <f t="shared" si="22"/>
        <v>5575493981</v>
      </c>
      <c r="BA41" s="91"/>
      <c r="BB41" s="91"/>
      <c r="BF41" s="91"/>
      <c r="BG41" s="91"/>
      <c r="BI41" s="7"/>
      <c r="BJ41" s="7"/>
    </row>
    <row r="42" spans="1:62" s="7" customFormat="1" ht="15.75" thickTop="1">
      <c r="A42" s="14"/>
      <c r="C42" s="197" t="s">
        <v>76</v>
      </c>
      <c r="D42" s="197" t="s">
        <v>76</v>
      </c>
      <c r="E42" s="197" t="s">
        <v>76</v>
      </c>
      <c r="F42" s="197" t="s">
        <v>76</v>
      </c>
      <c r="G42" s="197" t="s">
        <v>76</v>
      </c>
      <c r="H42" s="197" t="s">
        <v>76</v>
      </c>
      <c r="I42" s="197" t="s">
        <v>76</v>
      </c>
      <c r="J42" s="197" t="s">
        <v>76</v>
      </c>
      <c r="K42" s="197" t="s">
        <v>76</v>
      </c>
      <c r="L42" s="76"/>
      <c r="M42" s="197" t="s">
        <v>76</v>
      </c>
      <c r="N42" s="197" t="s">
        <v>76</v>
      </c>
      <c r="O42" s="197" t="s">
        <v>76</v>
      </c>
      <c r="P42" s="197" t="s">
        <v>76</v>
      </c>
      <c r="Q42" s="197" t="s">
        <v>76</v>
      </c>
      <c r="R42" s="197" t="s">
        <v>76</v>
      </c>
      <c r="S42" s="197" t="s">
        <v>76</v>
      </c>
      <c r="T42" s="197"/>
      <c r="U42" s="197" t="s">
        <v>76</v>
      </c>
      <c r="V42" s="197" t="s">
        <v>76</v>
      </c>
      <c r="W42" s="197" t="s">
        <v>76</v>
      </c>
      <c r="Z42" s="112"/>
      <c r="AA42" s="116"/>
      <c r="AB42" s="117"/>
      <c r="AC42" s="117"/>
      <c r="AD42" s="116"/>
      <c r="AE42" s="128"/>
      <c r="AF42" s="128"/>
      <c r="AG42" s="128"/>
      <c r="AH42" s="141"/>
      <c r="AI42" s="43"/>
      <c r="AJ42" s="146"/>
      <c r="AK42" s="131"/>
      <c r="AL42" s="148"/>
      <c r="AM42" s="148"/>
      <c r="AN42" s="149"/>
      <c r="AO42" s="149"/>
      <c r="AP42" s="43"/>
      <c r="AQ42" s="149"/>
      <c r="AR42" s="43"/>
      <c r="AS42" s="154"/>
      <c r="AT42" s="149"/>
      <c r="AU42" s="43"/>
      <c r="AV42" s="91"/>
      <c r="AW42" s="91"/>
      <c r="AX42" s="106">
        <f t="shared" si="21"/>
        <v>0</v>
      </c>
      <c r="AY42" s="91"/>
      <c r="AZ42" s="91"/>
      <c r="BA42" s="91"/>
      <c r="BB42" s="91"/>
      <c r="BC42" s="103"/>
      <c r="BD42" s="103"/>
      <c r="BE42" s="103"/>
      <c r="BF42" s="103"/>
      <c r="BG42" s="103"/>
      <c r="BH42" s="1"/>
      <c r="BI42" s="1"/>
      <c r="BJ42" s="1"/>
    </row>
    <row r="43" spans="1:62">
      <c r="A43" s="17" t="s">
        <v>77</v>
      </c>
      <c r="B43" s="1" t="s">
        <v>78</v>
      </c>
      <c r="C43" s="198">
        <f t="shared" ref="C43:K43" si="23">SUM(C11:C42)</f>
        <v>41667.520000000004</v>
      </c>
      <c r="D43" s="198">
        <f t="shared" si="23"/>
        <v>-405.02000000000021</v>
      </c>
      <c r="E43" s="198">
        <f t="shared" si="23"/>
        <v>2379.2599999999998</v>
      </c>
      <c r="F43" s="198">
        <f t="shared" si="23"/>
        <v>1082.17</v>
      </c>
      <c r="G43" s="198">
        <f t="shared" si="23"/>
        <v>3390.4999999999995</v>
      </c>
      <c r="H43" s="198">
        <f t="shared" si="23"/>
        <v>-0.67000000000000015</v>
      </c>
      <c r="I43" s="198">
        <f t="shared" si="23"/>
        <v>3055.74</v>
      </c>
      <c r="J43" s="198">
        <f t="shared" si="23"/>
        <v>38611.78</v>
      </c>
      <c r="K43" s="198">
        <f t="shared" si="23"/>
        <v>102932.78</v>
      </c>
      <c r="L43" s="76"/>
      <c r="M43" s="198">
        <f t="shared" ref="M43:S43" si="24">SUM(M11:M42)</f>
        <v>41667.520000000004</v>
      </c>
      <c r="N43" s="198">
        <f t="shared" si="24"/>
        <v>0</v>
      </c>
      <c r="O43" s="198">
        <f t="shared" si="24"/>
        <v>833.35040000000015</v>
      </c>
      <c r="P43" s="198">
        <f t="shared" si="24"/>
        <v>3125.0640000000003</v>
      </c>
      <c r="Q43" s="198">
        <f t="shared" si="24"/>
        <v>45625.934399999984</v>
      </c>
      <c r="R43" s="198">
        <f t="shared" si="24"/>
        <v>7300.149504</v>
      </c>
      <c r="S43" s="198">
        <f t="shared" si="24"/>
        <v>52926.083904000006</v>
      </c>
      <c r="T43" s="76"/>
      <c r="U43" s="198">
        <f>SUM(U11:U42)</f>
        <v>102932.78</v>
      </c>
      <c r="V43" s="198">
        <f>SUM(V11:V42)</f>
        <v>16469.2448</v>
      </c>
      <c r="W43" s="198">
        <f>SUM(W11:W42)</f>
        <v>119402.0248</v>
      </c>
      <c r="X43" s="198">
        <f>SUM(X11:X42)</f>
        <v>0.67000000000265914</v>
      </c>
      <c r="Z43" s="114"/>
      <c r="AA43" s="118"/>
      <c r="AB43" s="122"/>
      <c r="AC43" s="122"/>
      <c r="AD43" s="122"/>
      <c r="AE43" s="131"/>
      <c r="AF43" s="131"/>
      <c r="AG43" s="131"/>
      <c r="AH43" s="131"/>
      <c r="AI43" s="144"/>
      <c r="AJ43" s="131"/>
      <c r="AK43" s="131"/>
      <c r="AL43" s="149"/>
      <c r="AM43" s="149"/>
      <c r="AN43" s="149"/>
      <c r="AO43" s="149"/>
      <c r="AP43" s="144"/>
      <c r="AQ43" s="149"/>
      <c r="AR43" s="144"/>
      <c r="AS43" s="149"/>
      <c r="AT43" s="149"/>
      <c r="AU43" s="144"/>
      <c r="AV43" s="91"/>
      <c r="AW43" s="91"/>
      <c r="AX43" s="106">
        <f t="shared" si="21"/>
        <v>0</v>
      </c>
      <c r="AY43" s="91"/>
      <c r="AZ43" s="91"/>
      <c r="BA43" s="91"/>
      <c r="BB43" s="91"/>
    </row>
    <row r="44" spans="1:62">
      <c r="AU44" s="30">
        <f>AU43*0.16</f>
        <v>0</v>
      </c>
      <c r="AV44" s="91"/>
      <c r="AW44" s="91"/>
      <c r="AX44" s="106">
        <f t="shared" si="21"/>
        <v>0</v>
      </c>
      <c r="AZ44" s="91"/>
    </row>
    <row r="45" spans="1:62">
      <c r="C45" s="1" t="s">
        <v>78</v>
      </c>
      <c r="D45" s="1" t="s">
        <v>78</v>
      </c>
      <c r="E45" s="1" t="s">
        <v>78</v>
      </c>
      <c r="F45" s="1" t="s">
        <v>78</v>
      </c>
      <c r="H45" s="1" t="s">
        <v>78</v>
      </c>
      <c r="I45" s="1" t="s">
        <v>78</v>
      </c>
      <c r="J45" s="1" t="s">
        <v>78</v>
      </c>
      <c r="S45" s="13"/>
      <c r="Z45" s="113" t="s">
        <v>184</v>
      </c>
      <c r="AA45" s="113"/>
      <c r="AB45" s="107"/>
      <c r="AC45" s="107"/>
      <c r="AD45" s="107"/>
      <c r="AE45" s="19"/>
      <c r="AF45" s="19"/>
      <c r="AG45" s="19"/>
      <c r="AH45" s="19"/>
      <c r="AI45" s="143"/>
      <c r="AJ45" s="19"/>
      <c r="AK45" s="19"/>
      <c r="AL45" s="19"/>
      <c r="AM45" s="19"/>
      <c r="AN45" s="19"/>
      <c r="AO45" s="19"/>
      <c r="AP45" s="143"/>
      <c r="AQ45" s="19">
        <f>+AQ43-AQ44</f>
        <v>0</v>
      </c>
      <c r="AR45" s="143"/>
      <c r="AS45" s="19"/>
      <c r="AT45" s="19"/>
      <c r="AU45" s="143">
        <f>+AU43+AU44</f>
        <v>0</v>
      </c>
      <c r="AV45" s="91"/>
      <c r="AW45" s="91"/>
      <c r="AX45" s="106">
        <f t="shared" si="21"/>
        <v>0</v>
      </c>
      <c r="AY45" s="21">
        <v>112981.14</v>
      </c>
      <c r="BH45" s="7"/>
    </row>
    <row r="46" spans="1:62">
      <c r="A46" s="2" t="s">
        <v>78</v>
      </c>
      <c r="B46" s="1" t="s">
        <v>78</v>
      </c>
      <c r="C46" s="15"/>
      <c r="D46" s="15"/>
      <c r="E46" s="15"/>
      <c r="F46" s="15"/>
      <c r="G46" s="15"/>
      <c r="H46" s="15"/>
      <c r="I46" s="15"/>
      <c r="J46" s="15"/>
      <c r="K46" s="15"/>
      <c r="Q46" s="76"/>
      <c r="R46" s="76"/>
      <c r="S46" s="76"/>
    </row>
    <row r="47" spans="1:62">
      <c r="Q47" s="199"/>
      <c r="R47" s="199"/>
      <c r="S47" s="199"/>
      <c r="Z47" s="112"/>
      <c r="AA47" s="117"/>
      <c r="AB47" s="117"/>
      <c r="AC47" s="117"/>
      <c r="AD47" s="117"/>
      <c r="AE47" s="130"/>
      <c r="AF47" s="130"/>
      <c r="AG47" s="130"/>
      <c r="AH47" s="130"/>
      <c r="AI47" s="43">
        <f>SUM(AE47:AH47)</f>
        <v>0</v>
      </c>
      <c r="AJ47" s="146"/>
      <c r="AK47" s="146"/>
      <c r="AL47" s="148"/>
      <c r="AM47" s="148"/>
      <c r="AN47" s="148"/>
      <c r="AO47" s="148"/>
      <c r="AP47" s="43">
        <f>+AI47-AJ47</f>
        <v>0</v>
      </c>
      <c r="AQ47" s="149">
        <f>+AP47*0.05</f>
        <v>0</v>
      </c>
      <c r="AR47" s="43">
        <f>+AP47-AL47-AO47</f>
        <v>0</v>
      </c>
      <c r="AS47" s="154">
        <f>IF(AP47&lt;3000,AP47*0.1,0)</f>
        <v>0</v>
      </c>
      <c r="AT47" s="149">
        <v>0</v>
      </c>
      <c r="AU47" s="43">
        <f>+AP47+AS47+AT47</f>
        <v>0</v>
      </c>
      <c r="AV47" s="91"/>
      <c r="AW47" s="91"/>
      <c r="AX47" s="106">
        <f>+AV47+AW47-AR47</f>
        <v>0</v>
      </c>
    </row>
    <row r="48" spans="1:62">
      <c r="AU48" s="30" t="e">
        <f>SUM(AU36:AU47)</f>
        <v>#REF!</v>
      </c>
      <c r="AV48" s="91"/>
      <c r="AW48" s="91"/>
      <c r="AX48" s="106">
        <f>+AV48+AW48-AR48</f>
        <v>0</v>
      </c>
    </row>
    <row r="49" spans="26:50">
      <c r="AA49" s="108"/>
      <c r="AB49" s="108"/>
      <c r="AC49" s="108"/>
      <c r="AU49" s="30" t="e">
        <f>+AU47+AU48</f>
        <v>#REF!</v>
      </c>
      <c r="AV49" s="109"/>
      <c r="AW49" s="109"/>
      <c r="AX49" s="106">
        <f>+AV49+AW49-AR49</f>
        <v>0</v>
      </c>
    </row>
    <row r="50" spans="26:50">
      <c r="AA50" s="108"/>
      <c r="AB50" s="108"/>
      <c r="AC50" s="108"/>
      <c r="AV50" s="91"/>
      <c r="AW50" s="91"/>
      <c r="AX50" s="91"/>
    </row>
    <row r="51" spans="26:50">
      <c r="AA51" s="91"/>
      <c r="AV51" s="91"/>
      <c r="AW51" s="91"/>
      <c r="AX51" s="91"/>
    </row>
    <row r="52" spans="26:50">
      <c r="AA52" s="91"/>
      <c r="AV52" s="91"/>
      <c r="AW52" s="91"/>
      <c r="AX52" s="91"/>
    </row>
    <row r="53" spans="26:50">
      <c r="AA53" s="91"/>
      <c r="AV53" s="91"/>
      <c r="AW53" s="91"/>
      <c r="AX53" s="91"/>
    </row>
    <row r="54" spans="26:50">
      <c r="AA54" s="91"/>
      <c r="AV54" s="91"/>
      <c r="AW54" s="91"/>
      <c r="AX54" s="91"/>
    </row>
    <row r="55" spans="26:50">
      <c r="AV55" s="91"/>
      <c r="AW55" s="91"/>
      <c r="AX55" s="91"/>
    </row>
    <row r="56" spans="26:50">
      <c r="AV56" s="91"/>
      <c r="AW56" s="91"/>
      <c r="AX56" s="91"/>
    </row>
    <row r="57" spans="26:50">
      <c r="Z57" s="103" t="s">
        <v>185</v>
      </c>
      <c r="AA57" s="21"/>
      <c r="AV57" s="91"/>
      <c r="AW57" s="91"/>
      <c r="AX57" s="91"/>
    </row>
    <row r="58" spans="26:50">
      <c r="Z58" s="103" t="s">
        <v>186</v>
      </c>
      <c r="AA58" s="21"/>
      <c r="AV58" s="91"/>
      <c r="AW58" s="91"/>
      <c r="AX58" s="91"/>
    </row>
    <row r="59" spans="26:50">
      <c r="Z59" s="103" t="s">
        <v>187</v>
      </c>
      <c r="AA59" s="21"/>
      <c r="AV59" s="91"/>
      <c r="AW59" s="91"/>
      <c r="AX59" s="91"/>
    </row>
    <row r="60" spans="26:50">
      <c r="Z60" s="103" t="s">
        <v>188</v>
      </c>
      <c r="AA60" s="21"/>
      <c r="AV60" s="91"/>
      <c r="AW60" s="91"/>
      <c r="AX60" s="91"/>
    </row>
    <row r="61" spans="26:50">
      <c r="Z61" s="103" t="s">
        <v>189</v>
      </c>
      <c r="AA61" s="21"/>
      <c r="AV61" s="91"/>
      <c r="AW61" s="91"/>
      <c r="AX61" s="91"/>
    </row>
    <row r="62" spans="26:50">
      <c r="Z62" s="103" t="s">
        <v>190</v>
      </c>
      <c r="AA62" s="21"/>
      <c r="AV62" s="91"/>
      <c r="AW62" s="91"/>
      <c r="AX62" s="91"/>
    </row>
    <row r="63" spans="26:50">
      <c r="AV63" s="91"/>
      <c r="AW63" s="91"/>
      <c r="AX63" s="91"/>
    </row>
    <row r="64" spans="26:50">
      <c r="AV64" s="91"/>
      <c r="AW64" s="91"/>
      <c r="AX64" s="91"/>
    </row>
    <row r="65" spans="48:50">
      <c r="AV65" s="91"/>
      <c r="AW65" s="91"/>
      <c r="AX65" s="91"/>
    </row>
    <row r="66" spans="48:50">
      <c r="AV66" s="91"/>
      <c r="AW66" s="91"/>
      <c r="AX66" s="91"/>
    </row>
    <row r="67" spans="48:50">
      <c r="AV67" s="109"/>
      <c r="AW67" s="109"/>
      <c r="AX67" s="109"/>
    </row>
    <row r="68" spans="48:50">
      <c r="AV68" s="91"/>
      <c r="AW68" s="91"/>
      <c r="AX68" s="91"/>
    </row>
    <row r="69" spans="48:50">
      <c r="AV69" s="91"/>
      <c r="AW69" s="91"/>
      <c r="AX69" s="91"/>
    </row>
    <row r="70" spans="48:50">
      <c r="AV70" s="91"/>
      <c r="AW70" s="91"/>
      <c r="AX70" s="91"/>
    </row>
    <row r="71" spans="48:50">
      <c r="AV71" s="91"/>
      <c r="AW71" s="91"/>
      <c r="AX71" s="91"/>
    </row>
    <row r="72" spans="48:50">
      <c r="AV72" s="91"/>
      <c r="AW72" s="91"/>
      <c r="AX72" s="91"/>
    </row>
    <row r="73" spans="48:50">
      <c r="AV73" s="91"/>
      <c r="AW73" s="91"/>
      <c r="AX73" s="91"/>
    </row>
    <row r="74" spans="48:50">
      <c r="AV74" s="91"/>
      <c r="AW74" s="91"/>
      <c r="AX74" s="91"/>
    </row>
    <row r="75" spans="48:50">
      <c r="AV75" s="91"/>
      <c r="AW75" s="91"/>
      <c r="AX75" s="91"/>
    </row>
    <row r="76" spans="48:50">
      <c r="AV76" s="91"/>
      <c r="AW76" s="91"/>
      <c r="AX76" s="91"/>
    </row>
    <row r="77" spans="48:50">
      <c r="AV77" s="109"/>
      <c r="AW77" s="109"/>
      <c r="AX77" s="109"/>
    </row>
    <row r="78" spans="48:50">
      <c r="AV78" s="91"/>
      <c r="AW78" s="91"/>
      <c r="AX78" s="91"/>
    </row>
    <row r="79" spans="48:50">
      <c r="AV79" s="91"/>
      <c r="AW79" s="91"/>
      <c r="AX79" s="91"/>
    </row>
    <row r="80" spans="48:50">
      <c r="AV80" s="91"/>
      <c r="AW80" s="91"/>
      <c r="AX80" s="91"/>
    </row>
    <row r="81" spans="48:50">
      <c r="AV81" s="91"/>
      <c r="AW81" s="91"/>
      <c r="AX81" s="91"/>
    </row>
    <row r="82" spans="48:50">
      <c r="AV82" s="91"/>
      <c r="AW82" s="91"/>
      <c r="AX82" s="91"/>
    </row>
    <row r="83" spans="48:50">
      <c r="AV83" s="91"/>
      <c r="AW83" s="91"/>
      <c r="AX83" s="91"/>
    </row>
    <row r="84" spans="48:50">
      <c r="AV84" s="91"/>
      <c r="AW84" s="91"/>
      <c r="AX84" s="91"/>
    </row>
    <row r="85" spans="48:50">
      <c r="AV85" s="91"/>
      <c r="AW85" s="91"/>
      <c r="AX85" s="91"/>
    </row>
    <row r="86" spans="48:50">
      <c r="AV86" s="91"/>
      <c r="AW86" s="91"/>
      <c r="AX86" s="91"/>
    </row>
    <row r="87" spans="48:50">
      <c r="AV87" s="91"/>
      <c r="AW87" s="91"/>
      <c r="AX87" s="91"/>
    </row>
    <row r="88" spans="48:50">
      <c r="AV88" s="91"/>
      <c r="AW88" s="91"/>
      <c r="AX88" s="91"/>
    </row>
    <row r="89" spans="48:50">
      <c r="AV89" s="91"/>
      <c r="AW89" s="91"/>
      <c r="AX89" s="91"/>
    </row>
    <row r="90" spans="48:50">
      <c r="AV90" s="91"/>
      <c r="AW90" s="91"/>
      <c r="AX90" s="91"/>
    </row>
    <row r="91" spans="48:50">
      <c r="AV91" s="91"/>
      <c r="AW91" s="91"/>
      <c r="AX91" s="91"/>
    </row>
    <row r="92" spans="48:50">
      <c r="AV92" s="91"/>
      <c r="AW92" s="91"/>
      <c r="AX92" s="91"/>
    </row>
    <row r="93" spans="48:50">
      <c r="AV93" s="91"/>
      <c r="AW93" s="91"/>
      <c r="AX93" s="91"/>
    </row>
    <row r="94" spans="48:50">
      <c r="AV94" s="91"/>
      <c r="AW94" s="91"/>
      <c r="AX94" s="91"/>
    </row>
    <row r="95" spans="48:50" ht="15.75" thickBot="1">
      <c r="AV95" s="41">
        <f>SUM(AV11:AV94)</f>
        <v>0</v>
      </c>
      <c r="AW95" s="41">
        <f>SUM(AW11:AW94)</f>
        <v>0</v>
      </c>
      <c r="AX95" s="42"/>
    </row>
    <row r="96" spans="48:50" ht="15.75" thickTop="1">
      <c r="AV96" s="30"/>
      <c r="AW96" s="30"/>
      <c r="AX96" s="30"/>
    </row>
    <row r="97" spans="48:50">
      <c r="AV97" s="30"/>
      <c r="AW97" s="30"/>
      <c r="AX97" s="30"/>
    </row>
    <row r="98" spans="48:50">
      <c r="AV98" s="35" t="e">
        <f>+AO98+#REF!+AU98</f>
        <v>#REF!</v>
      </c>
      <c r="AW98" s="35" t="e">
        <f>+AP98+AU98+AV98</f>
        <v>#REF!</v>
      </c>
      <c r="AX98" s="43"/>
    </row>
    <row r="99" spans="48:50">
      <c r="AV99" s="35" t="e">
        <f>+AO99+#REF!+AU99</f>
        <v>#REF!</v>
      </c>
      <c r="AW99" s="35" t="e">
        <f>+AP99+AU99+AV99</f>
        <v>#REF!</v>
      </c>
      <c r="AX99" s="43"/>
    </row>
  </sheetData>
  <autoFilter ref="A10:BJ39">
    <filterColumn colId="25">
      <filters>
        <filter val="ADMON SERVICIO"/>
      </filters>
    </filterColumn>
  </autoFilter>
  <sortState ref="Z11:BB56">
    <sortCondition ref="AA11:AA56"/>
  </sortState>
  <mergeCells count="24">
    <mergeCell ref="M7:S7"/>
    <mergeCell ref="U7:W7"/>
    <mergeCell ref="Z5:Z6"/>
    <mergeCell ref="AA5:AA6"/>
    <mergeCell ref="AB5:AB6"/>
    <mergeCell ref="AD5:AD6"/>
    <mergeCell ref="AF5:AF6"/>
    <mergeCell ref="AG5:AG6"/>
    <mergeCell ref="AH5:AH6"/>
    <mergeCell ref="AI5:AI6"/>
    <mergeCell ref="AJ5:AJ6"/>
    <mergeCell ref="AL5:AL6"/>
    <mergeCell ref="AM5:AM6"/>
    <mergeCell ref="AN5:AN6"/>
    <mergeCell ref="AO5:AO6"/>
    <mergeCell ref="AU5:AU6"/>
    <mergeCell ref="AV5:AW5"/>
    <mergeCell ref="AY5:AY6"/>
    <mergeCell ref="AZ5:AZ6"/>
    <mergeCell ref="AP5:AP6"/>
    <mergeCell ref="AQ5:AQ6"/>
    <mergeCell ref="AR5:AR6"/>
    <mergeCell ref="AS5:AS6"/>
    <mergeCell ref="AT5:AT6"/>
  </mergeCells>
  <pageMargins left="0.7" right="0.7" top="0.75" bottom="0.75" header="0.3" footer="0.3"/>
  <pageSetup paperSize="176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02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baseColWidth="10" defaultRowHeight="15"/>
  <cols>
    <col min="1" max="1" width="12.28515625" style="2" customWidth="1"/>
    <col min="2" max="2" width="30.7109375" style="1" customWidth="1"/>
    <col min="3" max="4" width="13" style="1" bestFit="1" customWidth="1"/>
    <col min="5" max="5" width="13.5703125" style="1" bestFit="1" customWidth="1"/>
    <col min="6" max="8" width="13" style="1" bestFit="1" customWidth="1"/>
    <col min="9" max="9" width="13" style="1" customWidth="1"/>
    <col min="10" max="10" width="13" style="1" bestFit="1" customWidth="1"/>
    <col min="11" max="11" width="13" style="1" customWidth="1"/>
    <col min="12" max="13" width="13" style="1" bestFit="1" customWidth="1"/>
    <col min="14" max="14" width="11.42578125" style="1"/>
    <col min="15" max="15" width="28.7109375" style="103" customWidth="1"/>
    <col min="16" max="16" width="43.85546875" style="103" customWidth="1"/>
    <col min="17" max="17" width="8.85546875" style="103" customWidth="1"/>
    <col min="18" max="18" width="21.140625" style="103" bestFit="1" customWidth="1"/>
    <col min="19" max="19" width="28.5703125" style="103" bestFit="1" customWidth="1"/>
    <col min="20" max="21" width="18.42578125" style="21" customWidth="1"/>
    <col min="22" max="23" width="13.5703125" style="21" customWidth="1"/>
    <col min="24" max="24" width="17" style="30" customWidth="1"/>
    <col min="25" max="30" width="13.5703125" style="21" customWidth="1"/>
    <col min="31" max="31" width="16.7109375" style="30" customWidth="1"/>
    <col min="32" max="32" width="16.7109375" style="21" customWidth="1"/>
    <col min="33" max="33" width="15.42578125" style="30" customWidth="1"/>
    <col min="34" max="35" width="13.5703125" style="21" customWidth="1"/>
    <col min="36" max="36" width="15.42578125" style="30" customWidth="1"/>
    <col min="37" max="37" width="23.140625" style="103" hidden="1" customWidth="1"/>
    <col min="38" max="38" width="17.85546875" style="103" hidden="1" customWidth="1"/>
    <col min="39" max="39" width="22.5703125" style="103" hidden="1" customWidth="1"/>
    <col min="40" max="40" width="50.85546875" style="103" bestFit="1" customWidth="1"/>
    <col min="41" max="41" width="28.42578125" style="103" customWidth="1"/>
    <col min="42" max="16384" width="11.42578125" style="1"/>
  </cols>
  <sheetData>
    <row r="1" spans="1:41" ht="18" customHeight="1">
      <c r="A1" s="3" t="s">
        <v>0</v>
      </c>
      <c r="B1" s="211" t="s">
        <v>78</v>
      </c>
      <c r="C1" s="212"/>
      <c r="D1" s="212"/>
      <c r="O1" s="22" t="s">
        <v>80</v>
      </c>
      <c r="P1" s="22"/>
      <c r="Q1" s="22"/>
      <c r="R1" s="22"/>
      <c r="S1" s="23"/>
      <c r="T1" s="24"/>
      <c r="U1" s="24"/>
      <c r="V1" s="24"/>
      <c r="W1" s="24"/>
      <c r="X1" s="25"/>
      <c r="Y1" s="24"/>
      <c r="Z1" s="24"/>
      <c r="AA1" s="24"/>
      <c r="AB1" s="24"/>
      <c r="AC1" s="24"/>
      <c r="AD1" s="24"/>
      <c r="AE1" s="25"/>
      <c r="AF1" s="24"/>
      <c r="AG1" s="25"/>
      <c r="AH1" s="24"/>
      <c r="AI1" s="24"/>
      <c r="AJ1" s="25"/>
      <c r="AK1" s="77"/>
      <c r="AL1" s="77"/>
      <c r="AM1" s="77"/>
      <c r="AN1" s="78"/>
      <c r="AO1" s="77"/>
    </row>
    <row r="2" spans="1:41" ht="24.95" customHeight="1">
      <c r="A2" s="4" t="s">
        <v>1</v>
      </c>
      <c r="B2" s="188" t="s">
        <v>231</v>
      </c>
      <c r="C2" s="189"/>
      <c r="D2" s="189"/>
      <c r="O2" s="26" t="s">
        <v>81</v>
      </c>
      <c r="P2" s="26"/>
      <c r="Q2" s="26"/>
      <c r="R2" s="26"/>
      <c r="S2" s="27"/>
      <c r="T2" s="24"/>
      <c r="U2" s="24"/>
      <c r="V2" s="24"/>
      <c r="W2" s="24"/>
      <c r="X2" s="25"/>
      <c r="Y2" s="24" t="s">
        <v>82</v>
      </c>
      <c r="Z2" s="24"/>
      <c r="AA2" s="24"/>
      <c r="AB2" s="24"/>
      <c r="AC2" s="24"/>
      <c r="AD2" s="24"/>
      <c r="AE2" s="25"/>
      <c r="AF2" s="24"/>
      <c r="AG2" s="25"/>
      <c r="AH2" s="24"/>
      <c r="AI2" s="24"/>
      <c r="AJ2" s="25"/>
      <c r="AK2" s="77"/>
      <c r="AL2" s="77"/>
      <c r="AM2" s="77"/>
      <c r="AN2" s="78"/>
      <c r="AO2" s="77"/>
    </row>
    <row r="3" spans="1:41" ht="15.75">
      <c r="B3" s="213" t="s">
        <v>3</v>
      </c>
      <c r="C3" s="212"/>
      <c r="D3" s="212"/>
      <c r="O3" s="28" t="s">
        <v>83</v>
      </c>
      <c r="P3" s="28"/>
      <c r="Q3" s="28"/>
      <c r="R3" s="28"/>
      <c r="S3" s="29"/>
      <c r="T3" s="24"/>
      <c r="U3" s="24"/>
      <c r="V3" s="24"/>
      <c r="W3" s="24"/>
      <c r="X3" s="25"/>
      <c r="Y3" s="24"/>
      <c r="Z3" s="24"/>
      <c r="AA3" s="24"/>
      <c r="AB3" s="24"/>
      <c r="AC3" s="24"/>
      <c r="AD3" s="24"/>
      <c r="AE3" s="25"/>
      <c r="AF3" s="24"/>
      <c r="AG3" s="25"/>
      <c r="AH3" s="24"/>
      <c r="AI3" s="24"/>
      <c r="AJ3" s="25"/>
      <c r="AK3" s="77"/>
      <c r="AL3" s="77"/>
      <c r="AM3" s="77"/>
      <c r="AN3" s="78"/>
      <c r="AO3" s="77"/>
    </row>
    <row r="4" spans="1:41">
      <c r="B4" s="214" t="str">
        <f>+FACTURACIÓN!B4</f>
        <v>Periodo 33 al 33 Semanal del 10/08/2016 al 16/08/2016</v>
      </c>
      <c r="C4" s="212"/>
      <c r="D4" s="212"/>
      <c r="O4" s="79" t="s">
        <v>84</v>
      </c>
      <c r="P4" s="79"/>
      <c r="Q4" s="79"/>
      <c r="R4" s="79"/>
      <c r="S4" s="79"/>
      <c r="AK4" s="79"/>
      <c r="AL4" s="79"/>
      <c r="AM4" s="79"/>
      <c r="AN4" s="79"/>
      <c r="AO4" s="79"/>
    </row>
    <row r="5" spans="1:41" ht="15" customHeight="1">
      <c r="B5" s="6" t="s">
        <v>193</v>
      </c>
      <c r="O5" s="206" t="s">
        <v>85</v>
      </c>
      <c r="P5" s="206" t="s">
        <v>86</v>
      </c>
      <c r="Q5" s="206" t="s">
        <v>87</v>
      </c>
      <c r="R5" s="80"/>
      <c r="S5" s="206" t="s">
        <v>88</v>
      </c>
      <c r="T5" s="31"/>
      <c r="U5" s="200" t="s">
        <v>89</v>
      </c>
      <c r="V5" s="200" t="s">
        <v>90</v>
      </c>
      <c r="W5" s="200" t="s">
        <v>91</v>
      </c>
      <c r="X5" s="200" t="s">
        <v>92</v>
      </c>
      <c r="Y5" s="200" t="s">
        <v>93</v>
      </c>
      <c r="Z5" s="31"/>
      <c r="AA5" s="200" t="s">
        <v>94</v>
      </c>
      <c r="AB5" s="200" t="s">
        <v>95</v>
      </c>
      <c r="AC5" s="200" t="s">
        <v>96</v>
      </c>
      <c r="AD5" s="200" t="s">
        <v>97</v>
      </c>
      <c r="AE5" s="200" t="s">
        <v>98</v>
      </c>
      <c r="AF5" s="200" t="s">
        <v>99</v>
      </c>
      <c r="AG5" s="200" t="s">
        <v>100</v>
      </c>
      <c r="AH5" s="200" t="s">
        <v>101</v>
      </c>
      <c r="AI5" s="200" t="s">
        <v>102</v>
      </c>
      <c r="AJ5" s="200" t="s">
        <v>103</v>
      </c>
      <c r="AK5" s="202" t="s">
        <v>104</v>
      </c>
      <c r="AL5" s="203"/>
      <c r="AM5" s="32"/>
      <c r="AN5" s="204" t="s">
        <v>105</v>
      </c>
      <c r="AO5" s="205" t="s">
        <v>106</v>
      </c>
    </row>
    <row r="6" spans="1:41" ht="11.25" customHeight="1">
      <c r="B6" s="6" t="s">
        <v>4</v>
      </c>
      <c r="O6" s="207"/>
      <c r="P6" s="207"/>
      <c r="Q6" s="207"/>
      <c r="R6" s="82" t="s">
        <v>107</v>
      </c>
      <c r="S6" s="207"/>
      <c r="T6" s="75" t="s">
        <v>110</v>
      </c>
      <c r="U6" s="201"/>
      <c r="V6" s="201"/>
      <c r="W6" s="201"/>
      <c r="X6" s="201"/>
      <c r="Y6" s="201"/>
      <c r="Z6" s="75" t="s">
        <v>111</v>
      </c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44" t="s">
        <v>108</v>
      </c>
      <c r="AL6" s="44" t="s">
        <v>109</v>
      </c>
      <c r="AM6" s="33" t="s">
        <v>112</v>
      </c>
      <c r="AN6" s="204"/>
      <c r="AO6" s="205"/>
    </row>
    <row r="7" spans="1:41">
      <c r="O7" s="110"/>
      <c r="P7" s="110"/>
      <c r="Q7" s="110"/>
      <c r="R7" s="110"/>
      <c r="S7" s="110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8"/>
      <c r="AL7" s="68"/>
      <c r="AM7" s="68"/>
      <c r="AN7" s="111"/>
      <c r="AO7" s="111"/>
    </row>
    <row r="8" spans="1:41" s="5" customFormat="1" ht="24" thickBot="1">
      <c r="A8" s="8" t="s">
        <v>5</v>
      </c>
      <c r="B8" s="9" t="s">
        <v>6</v>
      </c>
      <c r="C8" s="9" t="s">
        <v>7</v>
      </c>
      <c r="D8" s="9" t="s">
        <v>8</v>
      </c>
      <c r="E8" s="10" t="s">
        <v>9</v>
      </c>
      <c r="F8" s="9" t="s">
        <v>10</v>
      </c>
      <c r="G8" s="9" t="s">
        <v>11</v>
      </c>
      <c r="H8" s="9" t="s">
        <v>12</v>
      </c>
      <c r="I8" s="9" t="s">
        <v>79</v>
      </c>
      <c r="J8" s="9" t="s">
        <v>13</v>
      </c>
      <c r="K8" s="9" t="s">
        <v>214</v>
      </c>
      <c r="L8" s="10" t="s">
        <v>14</v>
      </c>
      <c r="M8" s="11" t="s">
        <v>15</v>
      </c>
      <c r="O8" s="110"/>
      <c r="P8" s="110"/>
      <c r="Q8" s="110"/>
      <c r="R8" s="110"/>
      <c r="S8" s="110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8"/>
      <c r="AL8" s="68"/>
      <c r="AM8" s="68"/>
      <c r="AN8" s="111"/>
      <c r="AO8" s="111"/>
    </row>
    <row r="9" spans="1:41" ht="15.75" thickTop="1">
      <c r="A9" s="12" t="s">
        <v>16</v>
      </c>
      <c r="O9" s="110"/>
      <c r="P9" s="110"/>
      <c r="Q9" s="110"/>
      <c r="R9" s="110"/>
      <c r="S9" s="110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8"/>
      <c r="AL9" s="68"/>
      <c r="AM9" s="68"/>
      <c r="AN9" s="111"/>
      <c r="AO9" s="111"/>
    </row>
    <row r="10" spans="1:41">
      <c r="O10" s="110"/>
      <c r="P10" s="110"/>
      <c r="Q10" s="110"/>
      <c r="R10" s="110"/>
      <c r="S10" s="110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8"/>
      <c r="AL10" s="68"/>
      <c r="AM10" s="68"/>
      <c r="AN10" s="111"/>
      <c r="AO10" s="111"/>
    </row>
    <row r="11" spans="1:41">
      <c r="A11" s="2" t="s">
        <v>17</v>
      </c>
      <c r="B11" s="1" t="s">
        <v>18</v>
      </c>
      <c r="C11" s="76">
        <v>880.08</v>
      </c>
      <c r="D11" s="76">
        <v>146.68</v>
      </c>
      <c r="E11" s="76">
        <f>SUM(C11:D11)</f>
        <v>1026.76</v>
      </c>
      <c r="F11" s="196">
        <v>-18.41</v>
      </c>
      <c r="G11" s="76">
        <v>0</v>
      </c>
      <c r="H11" s="76">
        <v>25.55</v>
      </c>
      <c r="I11" s="76">
        <f>+FACTURACIÓN!AO11</f>
        <v>0</v>
      </c>
      <c r="J11" s="76">
        <v>0.02</v>
      </c>
      <c r="K11" s="76">
        <f>+FACTURACIÓN!AH11</f>
        <v>0</v>
      </c>
      <c r="L11" s="76">
        <f>SUM(F11:K11)</f>
        <v>7.16</v>
      </c>
      <c r="M11" s="76">
        <f>+E11-L11</f>
        <v>1019.6</v>
      </c>
      <c r="N11" s="1" t="str">
        <f>IF(B11=P11,"si","no")</f>
        <v>si</v>
      </c>
      <c r="O11" s="83" t="s">
        <v>113</v>
      </c>
      <c r="P11" s="84" t="s">
        <v>114</v>
      </c>
      <c r="Q11" s="85" t="s">
        <v>115</v>
      </c>
      <c r="R11" s="86">
        <v>41575</v>
      </c>
      <c r="S11" s="83" t="s">
        <v>116</v>
      </c>
      <c r="T11" s="18">
        <v>4453.8</v>
      </c>
      <c r="U11" s="53"/>
      <c r="V11" s="53"/>
      <c r="W11" s="54">
        <v>45.13</v>
      </c>
      <c r="X11" s="55">
        <f t="shared" ref="X11:X39" si="0">SUM(T11:V11)-W11</f>
        <v>4408.67</v>
      </c>
      <c r="Y11" s="56"/>
      <c r="Z11" s="60"/>
      <c r="AA11" s="57"/>
      <c r="AB11" s="57"/>
      <c r="AC11" s="52"/>
      <c r="AD11" s="52">
        <v>0</v>
      </c>
      <c r="AE11" s="55">
        <f t="shared" ref="AE11:AE39" si="1">+X11-SUM(Y11:AD11)</f>
        <v>4408.67</v>
      </c>
      <c r="AF11" s="58">
        <f t="shared" ref="AF11:AF23" si="2">IF(X11&gt;2250,X11*0.1,0)</f>
        <v>440.86700000000002</v>
      </c>
      <c r="AG11" s="55">
        <f t="shared" ref="AG11:AG39" si="3">+AE11-AF11</f>
        <v>3967.8029999999999</v>
      </c>
      <c r="AH11" s="59">
        <f t="shared" ref="AH11:AH39" si="4">IF(X11&lt;2250,X11*0.1,0)</f>
        <v>0</v>
      </c>
      <c r="AI11" s="58" t="e">
        <f>#REF!*0.02</f>
        <v>#REF!</v>
      </c>
      <c r="AJ11" s="55" t="e">
        <f t="shared" ref="AJ11:AJ23" si="5">+X11+AH11+AI11</f>
        <v>#REF!</v>
      </c>
      <c r="AK11" s="87"/>
      <c r="AL11" s="88"/>
      <c r="AM11" s="89">
        <f>+AK11+AL11-AG11</f>
        <v>-3967.8029999999999</v>
      </c>
      <c r="AN11" s="90" t="s">
        <v>117</v>
      </c>
      <c r="AO11" s="84" t="s">
        <v>118</v>
      </c>
    </row>
    <row r="12" spans="1:41">
      <c r="A12" s="2" t="s">
        <v>19</v>
      </c>
      <c r="B12" s="1" t="s">
        <v>20</v>
      </c>
      <c r="C12" s="76">
        <v>880.08</v>
      </c>
      <c r="D12" s="76">
        <v>146.68</v>
      </c>
      <c r="E12" s="76">
        <f t="shared" ref="E12:E39" si="6">SUM(C12:D12)</f>
        <v>1026.76</v>
      </c>
      <c r="F12" s="196">
        <v>-18.41</v>
      </c>
      <c r="G12" s="76">
        <v>0</v>
      </c>
      <c r="H12" s="76">
        <v>25.48</v>
      </c>
      <c r="I12" s="76">
        <f>+FACTURACIÓN!AO12</f>
        <v>0</v>
      </c>
      <c r="J12" s="196">
        <v>-0.11</v>
      </c>
      <c r="K12" s="76">
        <f>+FACTURACIÓN!AH12</f>
        <v>0</v>
      </c>
      <c r="L12" s="76">
        <f t="shared" ref="L12:L39" si="7">SUM(F12:K12)</f>
        <v>6.96</v>
      </c>
      <c r="M12" s="76">
        <f t="shared" ref="M12:M39" si="8">+E12-L12</f>
        <v>1019.8</v>
      </c>
      <c r="N12" s="1" t="str">
        <f t="shared" ref="N12:N39" si="9">IF(B12=P12,"si","no")</f>
        <v>si</v>
      </c>
      <c r="O12" s="83" t="s">
        <v>113</v>
      </c>
      <c r="P12" s="84" t="s">
        <v>119</v>
      </c>
      <c r="Q12" s="85" t="s">
        <v>120</v>
      </c>
      <c r="R12" s="86">
        <v>42310</v>
      </c>
      <c r="S12" s="83" t="s">
        <v>116</v>
      </c>
      <c r="T12" s="62"/>
      <c r="U12" s="52"/>
      <c r="V12" s="52"/>
      <c r="W12" s="54">
        <v>45.13</v>
      </c>
      <c r="X12" s="55">
        <f t="shared" si="0"/>
        <v>-45.13</v>
      </c>
      <c r="Y12" s="56"/>
      <c r="Z12" s="60"/>
      <c r="AA12" s="57"/>
      <c r="AB12" s="57"/>
      <c r="AC12" s="52"/>
      <c r="AD12" s="52">
        <v>0</v>
      </c>
      <c r="AE12" s="55">
        <f t="shared" si="1"/>
        <v>-45.13</v>
      </c>
      <c r="AF12" s="58">
        <f t="shared" si="2"/>
        <v>0</v>
      </c>
      <c r="AG12" s="55">
        <f t="shared" si="3"/>
        <v>-45.13</v>
      </c>
      <c r="AH12" s="59">
        <f t="shared" si="4"/>
        <v>-4.5130000000000008</v>
      </c>
      <c r="AI12" s="58" t="e">
        <f>#REF!*0.02</f>
        <v>#REF!</v>
      </c>
      <c r="AJ12" s="55" t="e">
        <f t="shared" si="5"/>
        <v>#REF!</v>
      </c>
      <c r="AK12" s="87"/>
      <c r="AL12" s="88"/>
      <c r="AM12" s="89">
        <f>+AK12+AL12-AG12</f>
        <v>45.13</v>
      </c>
      <c r="AN12" s="84"/>
      <c r="AO12" s="84" t="s">
        <v>121</v>
      </c>
    </row>
    <row r="13" spans="1:41">
      <c r="A13" s="2" t="s">
        <v>21</v>
      </c>
      <c r="B13" s="1" t="s">
        <v>22</v>
      </c>
      <c r="C13" s="76">
        <v>880.08</v>
      </c>
      <c r="D13" s="76">
        <v>146.68</v>
      </c>
      <c r="E13" s="76">
        <f t="shared" si="6"/>
        <v>1026.76</v>
      </c>
      <c r="F13" s="196">
        <v>-18.41</v>
      </c>
      <c r="G13" s="76">
        <v>0</v>
      </c>
      <c r="H13" s="76">
        <v>25.53</v>
      </c>
      <c r="I13" s="76">
        <f>+FACTURACIÓN!AO13</f>
        <v>693.26</v>
      </c>
      <c r="J13" s="76">
        <v>0.04</v>
      </c>
      <c r="K13" s="76">
        <f>+FACTURACIÓN!AH13</f>
        <v>0</v>
      </c>
      <c r="L13" s="76">
        <f t="shared" si="7"/>
        <v>700.42</v>
      </c>
      <c r="M13" s="76">
        <f t="shared" si="8"/>
        <v>326.34000000000003</v>
      </c>
      <c r="N13" s="1" t="str">
        <f t="shared" si="9"/>
        <v>si</v>
      </c>
      <c r="O13" s="83" t="s">
        <v>113</v>
      </c>
      <c r="P13" s="84" t="s">
        <v>122</v>
      </c>
      <c r="Q13" s="85" t="s">
        <v>123</v>
      </c>
      <c r="R13" s="86">
        <v>42215</v>
      </c>
      <c r="S13" s="83" t="s">
        <v>116</v>
      </c>
      <c r="T13" s="18">
        <v>6586.25</v>
      </c>
      <c r="U13" s="52"/>
      <c r="V13" s="52"/>
      <c r="W13" s="54">
        <v>45.13</v>
      </c>
      <c r="X13" s="55">
        <f t="shared" si="0"/>
        <v>6541.12</v>
      </c>
      <c r="Y13" s="56"/>
      <c r="Z13" s="60"/>
      <c r="AA13" s="57"/>
      <c r="AB13" s="57"/>
      <c r="AC13" s="52"/>
      <c r="AD13" s="52">
        <v>684.17</v>
      </c>
      <c r="AE13" s="55">
        <f t="shared" si="1"/>
        <v>5856.95</v>
      </c>
      <c r="AF13" s="58">
        <f t="shared" si="2"/>
        <v>654.11200000000008</v>
      </c>
      <c r="AG13" s="55">
        <f t="shared" si="3"/>
        <v>5202.8379999999997</v>
      </c>
      <c r="AH13" s="59">
        <f t="shared" si="4"/>
        <v>0</v>
      </c>
      <c r="AI13" s="58" t="e">
        <f>#REF!*0.02</f>
        <v>#REF!</v>
      </c>
      <c r="AJ13" s="55" t="e">
        <f t="shared" si="5"/>
        <v>#REF!</v>
      </c>
      <c r="AK13" s="87"/>
      <c r="AL13" s="88"/>
      <c r="AM13" s="89">
        <f>+AK13+AL13-AG13</f>
        <v>-5202.8379999999997</v>
      </c>
      <c r="AN13" s="84"/>
      <c r="AO13" s="84" t="s">
        <v>124</v>
      </c>
    </row>
    <row r="14" spans="1:41">
      <c r="A14" s="2" t="s">
        <v>23</v>
      </c>
      <c r="B14" s="1" t="s">
        <v>24</v>
      </c>
      <c r="C14" s="76">
        <v>1500</v>
      </c>
      <c r="D14" s="76">
        <v>250</v>
      </c>
      <c r="E14" s="76">
        <f t="shared" si="6"/>
        <v>1750</v>
      </c>
      <c r="F14" s="76">
        <v>0</v>
      </c>
      <c r="G14" s="76">
        <v>144.21</v>
      </c>
      <c r="H14" s="76">
        <v>44.9</v>
      </c>
      <c r="I14" s="76">
        <f>+FACTURACIÓN!AO14</f>
        <v>0</v>
      </c>
      <c r="J14" s="196">
        <v>-0.11</v>
      </c>
      <c r="K14" s="76">
        <f>+FACTURACIÓN!AH14</f>
        <v>0</v>
      </c>
      <c r="L14" s="76">
        <f t="shared" si="7"/>
        <v>189</v>
      </c>
      <c r="M14" s="76">
        <f t="shared" si="8"/>
        <v>1561</v>
      </c>
      <c r="N14" s="1" t="str">
        <f t="shared" si="9"/>
        <v>si</v>
      </c>
      <c r="O14" s="83" t="s">
        <v>125</v>
      </c>
      <c r="P14" s="84" t="s">
        <v>208</v>
      </c>
      <c r="Q14" s="85" t="s">
        <v>126</v>
      </c>
      <c r="R14" s="86">
        <v>40147</v>
      </c>
      <c r="S14" s="83" t="s">
        <v>127</v>
      </c>
      <c r="T14" s="62"/>
      <c r="U14" s="53"/>
      <c r="V14" s="53"/>
      <c r="W14" s="54">
        <v>45.13</v>
      </c>
      <c r="X14" s="55">
        <f t="shared" si="0"/>
        <v>-45.13</v>
      </c>
      <c r="Y14" s="56"/>
      <c r="Z14" s="60"/>
      <c r="AA14" s="57"/>
      <c r="AB14" s="57"/>
      <c r="AC14" s="52"/>
      <c r="AD14" s="52">
        <v>0</v>
      </c>
      <c r="AE14" s="55">
        <f t="shared" si="1"/>
        <v>-45.13</v>
      </c>
      <c r="AF14" s="58">
        <f t="shared" si="2"/>
        <v>0</v>
      </c>
      <c r="AG14" s="55">
        <f t="shared" si="3"/>
        <v>-45.13</v>
      </c>
      <c r="AH14" s="59">
        <f t="shared" si="4"/>
        <v>-4.5130000000000008</v>
      </c>
      <c r="AI14" s="58" t="e">
        <f>#REF!*0.02</f>
        <v>#REF!</v>
      </c>
      <c r="AJ14" s="55" t="e">
        <f t="shared" si="5"/>
        <v>#REF!</v>
      </c>
      <c r="AK14" s="87"/>
      <c r="AL14" s="88"/>
      <c r="AM14" s="89">
        <f>+AK14+AL14-AG14</f>
        <v>45.13</v>
      </c>
      <c r="AN14" s="84"/>
      <c r="AO14" s="84" t="s">
        <v>128</v>
      </c>
    </row>
    <row r="15" spans="1:41">
      <c r="A15" s="2" t="s">
        <v>25</v>
      </c>
      <c r="B15" s="1" t="s">
        <v>26</v>
      </c>
      <c r="C15" s="76">
        <v>880.08</v>
      </c>
      <c r="D15" s="76">
        <v>146.68</v>
      </c>
      <c r="E15" s="76">
        <f t="shared" si="6"/>
        <v>1026.76</v>
      </c>
      <c r="F15" s="196">
        <v>-18.41</v>
      </c>
      <c r="G15" s="76">
        <v>0</v>
      </c>
      <c r="H15" s="76">
        <v>25.48</v>
      </c>
      <c r="I15" s="76">
        <f>+FACTURACIÓN!AO15</f>
        <v>0</v>
      </c>
      <c r="J15" s="76">
        <v>0.09</v>
      </c>
      <c r="K15" s="76">
        <f>+FACTURACIÓN!AH15</f>
        <v>0</v>
      </c>
      <c r="L15" s="76">
        <f t="shared" si="7"/>
        <v>7.16</v>
      </c>
      <c r="M15" s="76">
        <f t="shared" si="8"/>
        <v>1019.6</v>
      </c>
      <c r="N15" s="1" t="str">
        <f t="shared" si="9"/>
        <v>si</v>
      </c>
      <c r="O15" s="83" t="s">
        <v>129</v>
      </c>
      <c r="P15" s="84" t="s">
        <v>130</v>
      </c>
      <c r="Q15" s="85"/>
      <c r="R15" s="86">
        <v>42548</v>
      </c>
      <c r="S15" s="83" t="s">
        <v>116</v>
      </c>
      <c r="T15" s="62"/>
      <c r="U15" s="53"/>
      <c r="V15" s="53"/>
      <c r="W15" s="54">
        <v>45.13</v>
      </c>
      <c r="X15" s="55">
        <f t="shared" si="0"/>
        <v>-45.13</v>
      </c>
      <c r="Y15" s="56"/>
      <c r="Z15" s="60"/>
      <c r="AA15" s="57"/>
      <c r="AB15" s="57"/>
      <c r="AC15" s="52"/>
      <c r="AD15" s="52">
        <v>0</v>
      </c>
      <c r="AE15" s="55">
        <f t="shared" si="1"/>
        <v>-45.13</v>
      </c>
      <c r="AF15" s="58">
        <f t="shared" si="2"/>
        <v>0</v>
      </c>
      <c r="AG15" s="55">
        <f t="shared" si="3"/>
        <v>-45.13</v>
      </c>
      <c r="AH15" s="59">
        <f t="shared" si="4"/>
        <v>-4.5130000000000008</v>
      </c>
      <c r="AI15" s="58" t="e">
        <f>#REF!*0.02</f>
        <v>#REF!</v>
      </c>
      <c r="AJ15" s="55" t="e">
        <f t="shared" si="5"/>
        <v>#REF!</v>
      </c>
      <c r="AK15" s="92"/>
      <c r="AL15" s="93"/>
      <c r="AM15" s="94"/>
      <c r="AN15" s="84"/>
      <c r="AO15" s="84">
        <v>1167172540</v>
      </c>
    </row>
    <row r="16" spans="1:41">
      <c r="A16" s="2" t="s">
        <v>27</v>
      </c>
      <c r="B16" s="1" t="s">
        <v>28</v>
      </c>
      <c r="C16" s="76">
        <v>880.08</v>
      </c>
      <c r="D16" s="76">
        <v>146.68</v>
      </c>
      <c r="E16" s="76">
        <f t="shared" si="6"/>
        <v>1026.76</v>
      </c>
      <c r="F16" s="196">
        <v>-18.41</v>
      </c>
      <c r="G16" s="76">
        <v>0</v>
      </c>
      <c r="H16" s="76">
        <v>25.55</v>
      </c>
      <c r="I16" s="76">
        <f>+FACTURACIÓN!AO16</f>
        <v>0</v>
      </c>
      <c r="J16" s="76">
        <v>0.02</v>
      </c>
      <c r="K16" s="76">
        <f>+FACTURACIÓN!AH16</f>
        <v>0</v>
      </c>
      <c r="L16" s="76">
        <f t="shared" si="7"/>
        <v>7.16</v>
      </c>
      <c r="M16" s="76">
        <f t="shared" si="8"/>
        <v>1019.6</v>
      </c>
      <c r="N16" s="1" t="str">
        <f t="shared" si="9"/>
        <v>si</v>
      </c>
      <c r="O16" s="83" t="s">
        <v>129</v>
      </c>
      <c r="P16" s="84" t="s">
        <v>131</v>
      </c>
      <c r="Q16" s="85" t="s">
        <v>132</v>
      </c>
      <c r="R16" s="86">
        <v>41842</v>
      </c>
      <c r="S16" s="83" t="s">
        <v>116</v>
      </c>
      <c r="T16" s="96">
        <v>1374.9</v>
      </c>
      <c r="U16" s="52"/>
      <c r="V16" s="52"/>
      <c r="W16" s="54">
        <v>45.13</v>
      </c>
      <c r="X16" s="55">
        <f t="shared" si="0"/>
        <v>1329.77</v>
      </c>
      <c r="Y16" s="56"/>
      <c r="Z16" s="60"/>
      <c r="AA16" s="57"/>
      <c r="AB16" s="57"/>
      <c r="AC16" s="52"/>
      <c r="AD16" s="52">
        <v>0</v>
      </c>
      <c r="AE16" s="55">
        <f t="shared" si="1"/>
        <v>1329.77</v>
      </c>
      <c r="AF16" s="58">
        <f t="shared" si="2"/>
        <v>0</v>
      </c>
      <c r="AG16" s="55">
        <f t="shared" si="3"/>
        <v>1329.77</v>
      </c>
      <c r="AH16" s="59">
        <f t="shared" si="4"/>
        <v>132.977</v>
      </c>
      <c r="AI16" s="58" t="e">
        <f>#REF!*0.02</f>
        <v>#REF!</v>
      </c>
      <c r="AJ16" s="55" t="e">
        <f t="shared" si="5"/>
        <v>#REF!</v>
      </c>
      <c r="AK16" s="87"/>
      <c r="AL16" s="87"/>
      <c r="AM16" s="89">
        <f t="shared" ref="AM16:AM23" si="10">+AK16+AL16-AG16</f>
        <v>-1329.77</v>
      </c>
      <c r="AN16" s="84"/>
      <c r="AO16" s="84" t="s">
        <v>133</v>
      </c>
    </row>
    <row r="17" spans="1:41">
      <c r="A17" s="2" t="s">
        <v>29</v>
      </c>
      <c r="B17" s="1" t="s">
        <v>30</v>
      </c>
      <c r="C17" s="76">
        <v>880.08</v>
      </c>
      <c r="D17" s="76">
        <v>146.68</v>
      </c>
      <c r="E17" s="76">
        <f t="shared" si="6"/>
        <v>1026.76</v>
      </c>
      <c r="F17" s="196">
        <v>-18.41</v>
      </c>
      <c r="G17" s="76">
        <v>0</v>
      </c>
      <c r="H17" s="76">
        <v>25.53</v>
      </c>
      <c r="I17" s="76">
        <f>+FACTURACIÓN!AO17</f>
        <v>0</v>
      </c>
      <c r="J17" s="196">
        <v>-0.16</v>
      </c>
      <c r="K17" s="76">
        <f>+FACTURACIÓN!AH17</f>
        <v>0</v>
      </c>
      <c r="L17" s="76">
        <f t="shared" si="7"/>
        <v>6.9600000000000009</v>
      </c>
      <c r="M17" s="76">
        <f t="shared" si="8"/>
        <v>1019.8</v>
      </c>
      <c r="N17" s="1" t="str">
        <f t="shared" si="9"/>
        <v>si</v>
      </c>
      <c r="O17" s="83" t="s">
        <v>129</v>
      </c>
      <c r="P17" s="84" t="s">
        <v>134</v>
      </c>
      <c r="Q17" s="97"/>
      <c r="R17" s="86">
        <v>42167</v>
      </c>
      <c r="S17" s="84" t="s">
        <v>116</v>
      </c>
      <c r="T17" s="63"/>
      <c r="U17" s="52"/>
      <c r="V17" s="52"/>
      <c r="W17" s="54">
        <v>45.13</v>
      </c>
      <c r="X17" s="55">
        <f t="shared" si="0"/>
        <v>-45.13</v>
      </c>
      <c r="Y17" s="56"/>
      <c r="Z17" s="60"/>
      <c r="AA17" s="57"/>
      <c r="AB17" s="57"/>
      <c r="AC17" s="52"/>
      <c r="AD17" s="52">
        <v>0</v>
      </c>
      <c r="AE17" s="55">
        <f t="shared" si="1"/>
        <v>-45.13</v>
      </c>
      <c r="AF17" s="58">
        <f t="shared" si="2"/>
        <v>0</v>
      </c>
      <c r="AG17" s="55">
        <f t="shared" si="3"/>
        <v>-45.13</v>
      </c>
      <c r="AH17" s="59">
        <f t="shared" si="4"/>
        <v>-4.5130000000000008</v>
      </c>
      <c r="AI17" s="58" t="e">
        <f>#REF!*0.02</f>
        <v>#REF!</v>
      </c>
      <c r="AJ17" s="55" t="e">
        <f t="shared" si="5"/>
        <v>#REF!</v>
      </c>
      <c r="AK17" s="87"/>
      <c r="AL17" s="88"/>
      <c r="AM17" s="89">
        <f t="shared" si="10"/>
        <v>45.13</v>
      </c>
      <c r="AN17" s="84"/>
      <c r="AO17" s="98">
        <v>1449517286</v>
      </c>
    </row>
    <row r="18" spans="1:41">
      <c r="A18" s="2" t="s">
        <v>31</v>
      </c>
      <c r="B18" s="1" t="s">
        <v>32</v>
      </c>
      <c r="C18" s="76">
        <v>4000.08</v>
      </c>
      <c r="D18" s="76">
        <v>666.68</v>
      </c>
      <c r="E18" s="76">
        <f t="shared" si="6"/>
        <v>4666.76</v>
      </c>
      <c r="F18" s="76">
        <v>0</v>
      </c>
      <c r="G18" s="76">
        <v>741.43</v>
      </c>
      <c r="H18" s="76">
        <v>129.94</v>
      </c>
      <c r="I18" s="76">
        <f>+FACTURACIÓN!AO18</f>
        <v>0</v>
      </c>
      <c r="J18" s="196">
        <v>-0.01</v>
      </c>
      <c r="K18" s="76">
        <f>+FACTURACIÓN!AH18</f>
        <v>0</v>
      </c>
      <c r="L18" s="76">
        <f t="shared" si="7"/>
        <v>871.3599999999999</v>
      </c>
      <c r="M18" s="76">
        <f t="shared" si="8"/>
        <v>3795.4000000000005</v>
      </c>
      <c r="N18" s="1" t="str">
        <f t="shared" si="9"/>
        <v>si</v>
      </c>
      <c r="O18" s="83" t="s">
        <v>113</v>
      </c>
      <c r="P18" s="84" t="s">
        <v>135</v>
      </c>
      <c r="Q18" s="97">
        <v>5</v>
      </c>
      <c r="R18" s="86">
        <v>40310</v>
      </c>
      <c r="S18" s="84" t="s">
        <v>136</v>
      </c>
      <c r="T18" s="135">
        <v>3589.18</v>
      </c>
      <c r="U18" s="61"/>
      <c r="V18" s="53"/>
      <c r="W18" s="54">
        <v>45.13</v>
      </c>
      <c r="X18" s="55">
        <f t="shared" si="0"/>
        <v>3544.0499999999997</v>
      </c>
      <c r="Y18" s="56"/>
      <c r="Z18" s="60"/>
      <c r="AA18" s="57"/>
      <c r="AB18" s="57"/>
      <c r="AC18" s="52"/>
      <c r="AD18" s="52">
        <v>0</v>
      </c>
      <c r="AE18" s="55">
        <f t="shared" si="1"/>
        <v>3544.0499999999997</v>
      </c>
      <c r="AF18" s="58">
        <f t="shared" si="2"/>
        <v>354.40499999999997</v>
      </c>
      <c r="AG18" s="55">
        <f t="shared" si="3"/>
        <v>3189.6449999999995</v>
      </c>
      <c r="AH18" s="59">
        <f t="shared" si="4"/>
        <v>0</v>
      </c>
      <c r="AI18" s="58" t="e">
        <f>#REF!*0.02</f>
        <v>#REF!</v>
      </c>
      <c r="AJ18" s="55" t="e">
        <f t="shared" si="5"/>
        <v>#REF!</v>
      </c>
      <c r="AK18" s="87"/>
      <c r="AL18" s="88"/>
      <c r="AM18" s="89">
        <f t="shared" si="10"/>
        <v>-3189.6449999999995</v>
      </c>
      <c r="AN18" s="84"/>
      <c r="AO18" s="84" t="s">
        <v>137</v>
      </c>
    </row>
    <row r="19" spans="1:41">
      <c r="A19" s="2" t="s">
        <v>33</v>
      </c>
      <c r="B19" s="1" t="s">
        <v>34</v>
      </c>
      <c r="C19" s="76">
        <v>880.08</v>
      </c>
      <c r="D19" s="76">
        <v>146.68</v>
      </c>
      <c r="E19" s="76">
        <f t="shared" si="6"/>
        <v>1026.76</v>
      </c>
      <c r="F19" s="196">
        <v>-18.41</v>
      </c>
      <c r="G19" s="76">
        <v>0</v>
      </c>
      <c r="H19" s="76">
        <v>25.58</v>
      </c>
      <c r="I19" s="76">
        <f>+FACTURACIÓN!AO19</f>
        <v>0</v>
      </c>
      <c r="J19" s="196">
        <v>-0.01</v>
      </c>
      <c r="K19" s="76">
        <f>+FACTURACIÓN!AH19</f>
        <v>0</v>
      </c>
      <c r="L19" s="76">
        <f t="shared" si="7"/>
        <v>7.1599999999999984</v>
      </c>
      <c r="M19" s="76">
        <f t="shared" si="8"/>
        <v>1019.6</v>
      </c>
      <c r="N19" s="1" t="str">
        <f t="shared" si="9"/>
        <v>si</v>
      </c>
      <c r="O19" s="83" t="s">
        <v>113</v>
      </c>
      <c r="P19" s="84" t="s">
        <v>138</v>
      </c>
      <c r="Q19" s="85" t="s">
        <v>139</v>
      </c>
      <c r="R19" s="99">
        <v>41311</v>
      </c>
      <c r="S19" s="83" t="s">
        <v>116</v>
      </c>
      <c r="T19" s="62">
        <f>4000+198.38</f>
        <v>4198.38</v>
      </c>
      <c r="U19" s="52"/>
      <c r="V19" s="52"/>
      <c r="W19" s="54">
        <v>45.13</v>
      </c>
      <c r="X19" s="55">
        <f t="shared" si="0"/>
        <v>4153.25</v>
      </c>
      <c r="Y19" s="56"/>
      <c r="Z19" s="60"/>
      <c r="AA19" s="57"/>
      <c r="AB19" s="57"/>
      <c r="AC19" s="52"/>
      <c r="AD19" s="52">
        <v>0</v>
      </c>
      <c r="AE19" s="55">
        <f t="shared" si="1"/>
        <v>4153.25</v>
      </c>
      <c r="AF19" s="58">
        <f t="shared" si="2"/>
        <v>415.32500000000005</v>
      </c>
      <c r="AG19" s="55">
        <f t="shared" si="3"/>
        <v>3737.9250000000002</v>
      </c>
      <c r="AH19" s="59">
        <f t="shared" si="4"/>
        <v>0</v>
      </c>
      <c r="AI19" s="58" t="e">
        <f>#REF!*0.02</f>
        <v>#REF!</v>
      </c>
      <c r="AJ19" s="55" t="e">
        <f t="shared" si="5"/>
        <v>#REF!</v>
      </c>
      <c r="AK19" s="87"/>
      <c r="AL19" s="88"/>
      <c r="AM19" s="89">
        <f t="shared" si="10"/>
        <v>-3737.9250000000002</v>
      </c>
      <c r="AN19" s="84"/>
      <c r="AO19" s="84" t="s">
        <v>140</v>
      </c>
    </row>
    <row r="20" spans="1:41">
      <c r="A20" s="2" t="s">
        <v>35</v>
      </c>
      <c r="B20" s="1" t="s">
        <v>36</v>
      </c>
      <c r="C20" s="76">
        <v>1000.08</v>
      </c>
      <c r="D20" s="76">
        <v>166.68</v>
      </c>
      <c r="E20" s="76">
        <f t="shared" si="6"/>
        <v>1166.76</v>
      </c>
      <c r="F20" s="76">
        <v>0</v>
      </c>
      <c r="G20" s="76">
        <v>3.59</v>
      </c>
      <c r="H20" s="76">
        <v>29.11</v>
      </c>
      <c r="I20" s="76">
        <f>+FACTURACIÓN!AO20</f>
        <v>492.9</v>
      </c>
      <c r="J20" s="76">
        <v>0.06</v>
      </c>
      <c r="K20" s="76">
        <f>+FACTURACIÓN!AH20</f>
        <v>0</v>
      </c>
      <c r="L20" s="76">
        <f t="shared" si="7"/>
        <v>525.66</v>
      </c>
      <c r="M20" s="76">
        <f t="shared" si="8"/>
        <v>641.1</v>
      </c>
      <c r="N20" s="1" t="str">
        <f t="shared" si="9"/>
        <v>si</v>
      </c>
      <c r="O20" s="83" t="s">
        <v>141</v>
      </c>
      <c r="P20" s="84" t="s">
        <v>142</v>
      </c>
      <c r="Q20" s="85" t="s">
        <v>143</v>
      </c>
      <c r="R20" s="86">
        <v>40610</v>
      </c>
      <c r="S20" s="83" t="s">
        <v>144</v>
      </c>
      <c r="T20" s="70">
        <v>470.47</v>
      </c>
      <c r="U20" s="52"/>
      <c r="V20" s="52"/>
      <c r="W20" s="54">
        <v>45.13</v>
      </c>
      <c r="X20" s="55">
        <f t="shared" si="0"/>
        <v>425.34000000000003</v>
      </c>
      <c r="Y20" s="56"/>
      <c r="Z20" s="60"/>
      <c r="AA20" s="57"/>
      <c r="AB20" s="57"/>
      <c r="AC20" s="52"/>
      <c r="AD20" s="52">
        <v>492.9</v>
      </c>
      <c r="AE20" s="55">
        <f t="shared" si="1"/>
        <v>-67.559999999999945</v>
      </c>
      <c r="AF20" s="58">
        <f t="shared" si="2"/>
        <v>0</v>
      </c>
      <c r="AG20" s="55">
        <f t="shared" si="3"/>
        <v>-67.559999999999945</v>
      </c>
      <c r="AH20" s="59">
        <f t="shared" si="4"/>
        <v>42.534000000000006</v>
      </c>
      <c r="AI20" s="58" t="e">
        <f>#REF!*0.02</f>
        <v>#REF!</v>
      </c>
      <c r="AJ20" s="55" t="e">
        <f t="shared" si="5"/>
        <v>#REF!</v>
      </c>
      <c r="AK20" s="87"/>
      <c r="AL20" s="88"/>
      <c r="AM20" s="89">
        <f t="shared" si="10"/>
        <v>67.559999999999945</v>
      </c>
      <c r="AN20" s="84"/>
      <c r="AO20" s="84" t="s">
        <v>145</v>
      </c>
    </row>
    <row r="21" spans="1:41">
      <c r="A21" s="2" t="s">
        <v>37</v>
      </c>
      <c r="B21" s="1" t="s">
        <v>38</v>
      </c>
      <c r="C21" s="76">
        <v>880.08</v>
      </c>
      <c r="D21" s="76">
        <v>146.68</v>
      </c>
      <c r="E21" s="76">
        <f t="shared" si="6"/>
        <v>1026.76</v>
      </c>
      <c r="F21" s="196">
        <v>-18.41</v>
      </c>
      <c r="G21" s="76">
        <v>0</v>
      </c>
      <c r="H21" s="76">
        <v>25.55</v>
      </c>
      <c r="I21" s="76">
        <f>+FACTURACIÓN!AO21</f>
        <v>0</v>
      </c>
      <c r="J21" s="76">
        <v>0.02</v>
      </c>
      <c r="K21" s="76">
        <f>+FACTURACIÓN!AH21</f>
        <v>0</v>
      </c>
      <c r="L21" s="76">
        <f t="shared" si="7"/>
        <v>7.16</v>
      </c>
      <c r="M21" s="76">
        <f t="shared" si="8"/>
        <v>1019.6</v>
      </c>
      <c r="N21" s="1" t="str">
        <f t="shared" si="9"/>
        <v>si</v>
      </c>
      <c r="O21" s="83" t="s">
        <v>113</v>
      </c>
      <c r="P21" s="84" t="s">
        <v>146</v>
      </c>
      <c r="Q21" s="85" t="s">
        <v>147</v>
      </c>
      <c r="R21" s="86">
        <v>41842</v>
      </c>
      <c r="S21" s="83" t="s">
        <v>116</v>
      </c>
      <c r="T21" s="66">
        <v>835.14</v>
      </c>
      <c r="U21" s="53"/>
      <c r="V21" s="53"/>
      <c r="W21" s="54">
        <v>45.13</v>
      </c>
      <c r="X21" s="55">
        <f t="shared" si="0"/>
        <v>790.01</v>
      </c>
      <c r="Y21" s="56"/>
      <c r="Z21" s="60"/>
      <c r="AA21" s="57"/>
      <c r="AB21" s="57"/>
      <c r="AC21" s="52"/>
      <c r="AD21" s="52">
        <v>0</v>
      </c>
      <c r="AE21" s="55">
        <f t="shared" si="1"/>
        <v>790.01</v>
      </c>
      <c r="AF21" s="58">
        <f t="shared" si="2"/>
        <v>0</v>
      </c>
      <c r="AG21" s="55">
        <f t="shared" si="3"/>
        <v>790.01</v>
      </c>
      <c r="AH21" s="59">
        <f t="shared" si="4"/>
        <v>79.001000000000005</v>
      </c>
      <c r="AI21" s="58" t="e">
        <f>#REF!*0.02</f>
        <v>#REF!</v>
      </c>
      <c r="AJ21" s="55" t="e">
        <f t="shared" si="5"/>
        <v>#REF!</v>
      </c>
      <c r="AK21" s="87"/>
      <c r="AL21" s="88"/>
      <c r="AM21" s="89">
        <f t="shared" si="10"/>
        <v>-790.01</v>
      </c>
      <c r="AN21" s="84"/>
      <c r="AO21" s="84" t="s">
        <v>148</v>
      </c>
    </row>
    <row r="22" spans="1:41">
      <c r="A22" s="2" t="s">
        <v>39</v>
      </c>
      <c r="B22" s="1" t="s">
        <v>40</v>
      </c>
      <c r="C22" s="76">
        <v>880.08</v>
      </c>
      <c r="D22" s="76">
        <v>146.68</v>
      </c>
      <c r="E22" s="76">
        <f t="shared" si="6"/>
        <v>1026.76</v>
      </c>
      <c r="F22" s="196">
        <v>-18.41</v>
      </c>
      <c r="G22" s="76">
        <v>0</v>
      </c>
      <c r="H22" s="76">
        <v>25.55</v>
      </c>
      <c r="I22" s="76">
        <f>+FACTURACIÓN!AO22</f>
        <v>0</v>
      </c>
      <c r="J22" s="196">
        <v>-0.18</v>
      </c>
      <c r="K22" s="76">
        <f>+FACTURACIÓN!AH22</f>
        <v>0</v>
      </c>
      <c r="L22" s="76">
        <f t="shared" si="7"/>
        <v>6.9600000000000009</v>
      </c>
      <c r="M22" s="76">
        <f t="shared" si="8"/>
        <v>1019.8</v>
      </c>
      <c r="N22" s="1" t="str">
        <f t="shared" si="9"/>
        <v>si</v>
      </c>
      <c r="O22" s="83" t="s">
        <v>113</v>
      </c>
      <c r="P22" s="84" t="s">
        <v>191</v>
      </c>
      <c r="Q22" s="85" t="s">
        <v>149</v>
      </c>
      <c r="R22" s="86">
        <v>41768</v>
      </c>
      <c r="S22" s="83" t="s">
        <v>116</v>
      </c>
      <c r="T22" s="134">
        <v>891.38</v>
      </c>
      <c r="U22" s="53"/>
      <c r="V22" s="53"/>
      <c r="W22" s="54">
        <v>45.13</v>
      </c>
      <c r="X22" s="55">
        <f t="shared" si="0"/>
        <v>846.25</v>
      </c>
      <c r="Y22" s="56"/>
      <c r="Z22" s="60"/>
      <c r="AA22" s="57"/>
      <c r="AB22" s="57"/>
      <c r="AC22" s="52"/>
      <c r="AD22" s="52">
        <v>0</v>
      </c>
      <c r="AE22" s="55">
        <f t="shared" si="1"/>
        <v>846.25</v>
      </c>
      <c r="AF22" s="58">
        <f t="shared" si="2"/>
        <v>0</v>
      </c>
      <c r="AG22" s="55">
        <f t="shared" si="3"/>
        <v>846.25</v>
      </c>
      <c r="AH22" s="59">
        <f t="shared" si="4"/>
        <v>84.625</v>
      </c>
      <c r="AI22" s="58" t="e">
        <f>#REF!*0.02</f>
        <v>#REF!</v>
      </c>
      <c r="AJ22" s="55" t="e">
        <f t="shared" si="5"/>
        <v>#REF!</v>
      </c>
      <c r="AK22" s="87"/>
      <c r="AL22" s="88"/>
      <c r="AM22" s="89">
        <f t="shared" si="10"/>
        <v>-846.25</v>
      </c>
      <c r="AN22" s="84"/>
      <c r="AO22" s="84" t="s">
        <v>150</v>
      </c>
    </row>
    <row r="23" spans="1:41">
      <c r="A23" s="2" t="s">
        <v>41</v>
      </c>
      <c r="B23" s="1" t="s">
        <v>42</v>
      </c>
      <c r="C23" s="76">
        <v>880.08</v>
      </c>
      <c r="D23" s="76">
        <v>146.68</v>
      </c>
      <c r="E23" s="76">
        <f t="shared" si="6"/>
        <v>1026.76</v>
      </c>
      <c r="F23" s="196">
        <v>-18.41</v>
      </c>
      <c r="G23" s="76">
        <v>0</v>
      </c>
      <c r="H23" s="76">
        <v>25.53</v>
      </c>
      <c r="I23" s="76">
        <f>+FACTURACIÓN!AO23</f>
        <v>0</v>
      </c>
      <c r="J23" s="76">
        <v>0.04</v>
      </c>
      <c r="K23" s="76">
        <f>+FACTURACIÓN!AH23</f>
        <v>0</v>
      </c>
      <c r="L23" s="76">
        <f t="shared" si="7"/>
        <v>7.160000000000001</v>
      </c>
      <c r="M23" s="76">
        <f t="shared" si="8"/>
        <v>1019.6</v>
      </c>
      <c r="N23" s="1" t="str">
        <f t="shared" si="9"/>
        <v>si</v>
      </c>
      <c r="O23" s="84" t="s">
        <v>113</v>
      </c>
      <c r="P23" s="84" t="s">
        <v>151</v>
      </c>
      <c r="Q23" s="97" t="s">
        <v>152</v>
      </c>
      <c r="R23" s="86">
        <v>41957</v>
      </c>
      <c r="S23" s="84" t="s">
        <v>116</v>
      </c>
      <c r="T23" s="66">
        <v>1241.48</v>
      </c>
      <c r="U23" s="60"/>
      <c r="V23" s="60"/>
      <c r="W23" s="54">
        <v>45.13</v>
      </c>
      <c r="X23" s="55">
        <f t="shared" si="0"/>
        <v>1196.3499999999999</v>
      </c>
      <c r="Y23" s="56"/>
      <c r="Z23" s="60"/>
      <c r="AA23" s="57"/>
      <c r="AB23" s="57"/>
      <c r="AC23" s="52"/>
      <c r="AD23" s="52">
        <v>0</v>
      </c>
      <c r="AE23" s="55">
        <f t="shared" si="1"/>
        <v>1196.3499999999999</v>
      </c>
      <c r="AF23" s="58">
        <f t="shared" si="2"/>
        <v>0</v>
      </c>
      <c r="AG23" s="55">
        <f t="shared" si="3"/>
        <v>1196.3499999999999</v>
      </c>
      <c r="AH23" s="59">
        <f t="shared" si="4"/>
        <v>119.63499999999999</v>
      </c>
      <c r="AI23" s="58" t="e">
        <f>#REF!*0.02</f>
        <v>#REF!</v>
      </c>
      <c r="AJ23" s="55" t="e">
        <f t="shared" si="5"/>
        <v>#REF!</v>
      </c>
      <c r="AK23" s="87"/>
      <c r="AL23" s="88"/>
      <c r="AM23" s="89">
        <f t="shared" si="10"/>
        <v>-1196.3499999999999</v>
      </c>
      <c r="AN23" s="84"/>
      <c r="AO23" s="84" t="s">
        <v>153</v>
      </c>
    </row>
    <row r="24" spans="1:41">
      <c r="A24" s="2" t="s">
        <v>43</v>
      </c>
      <c r="B24" s="1" t="s">
        <v>44</v>
      </c>
      <c r="C24" s="76">
        <v>4000.02</v>
      </c>
      <c r="D24" s="76">
        <f>+C24/6</f>
        <v>666.67</v>
      </c>
      <c r="E24" s="76">
        <f t="shared" si="6"/>
        <v>4666.6899999999996</v>
      </c>
      <c r="F24" s="76">
        <v>0</v>
      </c>
      <c r="G24" s="76">
        <v>741.42</v>
      </c>
      <c r="H24" s="76">
        <v>129.41</v>
      </c>
      <c r="I24" s="76">
        <f>+FACTURACIÓN!AO24</f>
        <v>350</v>
      </c>
      <c r="J24" s="76">
        <v>0.06</v>
      </c>
      <c r="K24" s="76">
        <f>+FACTURACIÓN!AH24</f>
        <v>0</v>
      </c>
      <c r="L24" s="76">
        <f t="shared" si="7"/>
        <v>1220.8899999999999</v>
      </c>
      <c r="M24" s="76">
        <f t="shared" si="8"/>
        <v>3445.7999999999997</v>
      </c>
      <c r="N24" s="1" t="str">
        <f t="shared" si="9"/>
        <v>si</v>
      </c>
      <c r="O24" s="84"/>
      <c r="P24" s="100" t="s">
        <v>205</v>
      </c>
      <c r="Q24" s="97"/>
      <c r="R24" s="86">
        <v>41906</v>
      </c>
      <c r="S24" s="84" t="s">
        <v>136</v>
      </c>
      <c r="T24" s="63">
        <v>666.91</v>
      </c>
      <c r="U24" s="60"/>
      <c r="V24" s="60"/>
      <c r="W24" s="54">
        <v>45.13</v>
      </c>
      <c r="X24" s="55">
        <f t="shared" si="0"/>
        <v>621.78</v>
      </c>
      <c r="Y24" s="56"/>
      <c r="Z24" s="60"/>
      <c r="AA24" s="57"/>
      <c r="AB24" s="57"/>
      <c r="AC24" s="52"/>
      <c r="AD24" s="52">
        <v>350</v>
      </c>
      <c r="AE24" s="55">
        <f t="shared" si="1"/>
        <v>271.77999999999997</v>
      </c>
      <c r="AF24" s="58"/>
      <c r="AG24" s="55">
        <f t="shared" si="3"/>
        <v>271.77999999999997</v>
      </c>
      <c r="AH24" s="59">
        <f t="shared" si="4"/>
        <v>62.177999999999997</v>
      </c>
      <c r="AI24" s="58"/>
      <c r="AJ24" s="55"/>
      <c r="AK24" s="87"/>
      <c r="AL24" s="88"/>
      <c r="AM24" s="89"/>
      <c r="AN24" s="100" t="s">
        <v>206</v>
      </c>
      <c r="AO24" s="84"/>
    </row>
    <row r="25" spans="1:41">
      <c r="A25" s="2" t="s">
        <v>45</v>
      </c>
      <c r="B25" s="1" t="s">
        <v>46</v>
      </c>
      <c r="C25" s="76">
        <v>1000.08</v>
      </c>
      <c r="D25" s="76">
        <v>166.68</v>
      </c>
      <c r="E25" s="76">
        <f t="shared" si="6"/>
        <v>1166.76</v>
      </c>
      <c r="F25" s="76">
        <v>0</v>
      </c>
      <c r="G25" s="76">
        <v>3.59</v>
      </c>
      <c r="H25" s="76">
        <v>29.11</v>
      </c>
      <c r="I25" s="76">
        <f>+FACTURACIÓN!AO25</f>
        <v>83.6</v>
      </c>
      <c r="J25" s="76">
        <v>0.06</v>
      </c>
      <c r="K25" s="76">
        <f>+FACTURACIÓN!AH25</f>
        <v>0</v>
      </c>
      <c r="L25" s="76">
        <f t="shared" si="7"/>
        <v>116.36</v>
      </c>
      <c r="M25" s="76">
        <f t="shared" si="8"/>
        <v>1050.4000000000001</v>
      </c>
      <c r="N25" s="1" t="str">
        <f t="shared" si="9"/>
        <v>si</v>
      </c>
      <c r="O25" s="83" t="s">
        <v>141</v>
      </c>
      <c r="P25" s="84" t="s">
        <v>209</v>
      </c>
      <c r="Q25" s="85">
        <v>21</v>
      </c>
      <c r="R25" s="86">
        <v>39332</v>
      </c>
      <c r="S25" s="83" t="s">
        <v>144</v>
      </c>
      <c r="T25" s="135">
        <v>1930.08</v>
      </c>
      <c r="U25" s="52"/>
      <c r="V25" s="52"/>
      <c r="W25" s="54">
        <v>45.13</v>
      </c>
      <c r="X25" s="55">
        <f t="shared" si="0"/>
        <v>1884.9499999999998</v>
      </c>
      <c r="Y25" s="56"/>
      <c r="Z25" s="60"/>
      <c r="AA25" s="57"/>
      <c r="AB25" s="57"/>
      <c r="AC25" s="52"/>
      <c r="AD25" s="52">
        <v>83.6</v>
      </c>
      <c r="AE25" s="55">
        <f t="shared" si="1"/>
        <v>1801.35</v>
      </c>
      <c r="AF25" s="58">
        <f t="shared" ref="AF25:AF39" si="11">IF(X25&gt;2250,X25*0.1,0)</f>
        <v>0</v>
      </c>
      <c r="AG25" s="55">
        <f t="shared" si="3"/>
        <v>1801.35</v>
      </c>
      <c r="AH25" s="59">
        <f t="shared" si="4"/>
        <v>188.495</v>
      </c>
      <c r="AI25" s="58" t="e">
        <f>#REF!*0.02</f>
        <v>#REF!</v>
      </c>
      <c r="AJ25" s="55" t="e">
        <f t="shared" ref="AJ25:AJ39" si="12">+X25+AH25+AI25</f>
        <v>#REF!</v>
      </c>
      <c r="AK25" s="87"/>
      <c r="AL25" s="88"/>
      <c r="AM25" s="89">
        <f>+AK25+AL25-AG25</f>
        <v>-1801.35</v>
      </c>
      <c r="AN25" s="84"/>
      <c r="AO25" s="84" t="s">
        <v>207</v>
      </c>
    </row>
    <row r="26" spans="1:41">
      <c r="A26" s="2" t="s">
        <v>48</v>
      </c>
      <c r="B26" s="1" t="s">
        <v>49</v>
      </c>
      <c r="C26" s="76">
        <v>880.08</v>
      </c>
      <c r="D26" s="76">
        <v>146.68</v>
      </c>
      <c r="E26" s="76">
        <f t="shared" si="6"/>
        <v>1026.76</v>
      </c>
      <c r="F26" s="196">
        <v>-18.41</v>
      </c>
      <c r="G26" s="76">
        <v>0</v>
      </c>
      <c r="H26" s="76">
        <v>25.55</v>
      </c>
      <c r="I26" s="76">
        <f>+FACTURACIÓN!AO26</f>
        <v>0</v>
      </c>
      <c r="J26" s="76">
        <v>0.02</v>
      </c>
      <c r="K26" s="76">
        <f>+FACTURACIÓN!AH26</f>
        <v>0</v>
      </c>
      <c r="L26" s="76">
        <f t="shared" si="7"/>
        <v>7.16</v>
      </c>
      <c r="M26" s="76">
        <f t="shared" si="8"/>
        <v>1019.6</v>
      </c>
      <c r="N26" s="1" t="str">
        <f t="shared" si="9"/>
        <v>si</v>
      </c>
      <c r="O26" s="84" t="s">
        <v>113</v>
      </c>
      <c r="P26" s="84" t="s">
        <v>154</v>
      </c>
      <c r="Q26" s="97" t="s">
        <v>155</v>
      </c>
      <c r="R26" s="99">
        <v>41680</v>
      </c>
      <c r="S26" s="84" t="s">
        <v>116</v>
      </c>
      <c r="T26" s="134">
        <v>2955.85</v>
      </c>
      <c r="U26" s="60"/>
      <c r="V26" s="60"/>
      <c r="W26" s="54">
        <v>45.13</v>
      </c>
      <c r="X26" s="55">
        <f t="shared" si="0"/>
        <v>2910.72</v>
      </c>
      <c r="Y26" s="56"/>
      <c r="Z26" s="60"/>
      <c r="AA26" s="57"/>
      <c r="AB26" s="57"/>
      <c r="AC26" s="52"/>
      <c r="AD26" s="52">
        <v>0</v>
      </c>
      <c r="AE26" s="55">
        <f t="shared" si="1"/>
        <v>2910.72</v>
      </c>
      <c r="AF26" s="58">
        <f t="shared" si="11"/>
        <v>291.072</v>
      </c>
      <c r="AG26" s="55">
        <f t="shared" si="3"/>
        <v>2619.6479999999997</v>
      </c>
      <c r="AH26" s="59">
        <f t="shared" si="4"/>
        <v>0</v>
      </c>
      <c r="AI26" s="58" t="e">
        <f>#REF!*0.02</f>
        <v>#REF!</v>
      </c>
      <c r="AJ26" s="55" t="e">
        <f t="shared" si="12"/>
        <v>#REF!</v>
      </c>
      <c r="AK26" s="87"/>
      <c r="AL26" s="88"/>
      <c r="AM26" s="89">
        <f>+AK26+AL26-AG26</f>
        <v>-2619.6479999999997</v>
      </c>
      <c r="AN26" s="84"/>
      <c r="AO26" s="84" t="s">
        <v>156</v>
      </c>
    </row>
    <row r="27" spans="1:41">
      <c r="A27" s="2" t="s">
        <v>50</v>
      </c>
      <c r="B27" s="1" t="s">
        <v>51</v>
      </c>
      <c r="C27" s="76">
        <v>880.08</v>
      </c>
      <c r="D27" s="76">
        <v>146.68</v>
      </c>
      <c r="E27" s="76">
        <f t="shared" si="6"/>
        <v>1026.76</v>
      </c>
      <c r="F27" s="196">
        <v>-18.41</v>
      </c>
      <c r="G27" s="76">
        <v>0</v>
      </c>
      <c r="H27" s="76">
        <v>25.53</v>
      </c>
      <c r="I27" s="76">
        <f>+FACTURACIÓN!AO27</f>
        <v>0</v>
      </c>
      <c r="J27" s="76">
        <v>0.04</v>
      </c>
      <c r="K27" s="76">
        <f>+FACTURACIÓN!AH27</f>
        <v>0</v>
      </c>
      <c r="L27" s="76">
        <f t="shared" si="7"/>
        <v>7.160000000000001</v>
      </c>
      <c r="M27" s="76">
        <f t="shared" si="8"/>
        <v>1019.6</v>
      </c>
      <c r="N27" s="1" t="str">
        <f t="shared" si="9"/>
        <v>si</v>
      </c>
      <c r="O27" s="84" t="s">
        <v>113</v>
      </c>
      <c r="P27" s="84" t="s">
        <v>157</v>
      </c>
      <c r="Q27" s="97" t="s">
        <v>158</v>
      </c>
      <c r="R27" s="99">
        <v>41944</v>
      </c>
      <c r="S27" s="84" t="s">
        <v>116</v>
      </c>
      <c r="T27" s="66">
        <v>3527.16</v>
      </c>
      <c r="U27" s="60"/>
      <c r="V27" s="60"/>
      <c r="W27" s="54">
        <v>45.13</v>
      </c>
      <c r="X27" s="55">
        <f t="shared" si="0"/>
        <v>3482.0299999999997</v>
      </c>
      <c r="Y27" s="56"/>
      <c r="Z27" s="60"/>
      <c r="AA27" s="57"/>
      <c r="AB27" s="57"/>
      <c r="AC27" s="52"/>
      <c r="AD27" s="52">
        <v>0</v>
      </c>
      <c r="AE27" s="55">
        <f t="shared" si="1"/>
        <v>3482.0299999999997</v>
      </c>
      <c r="AF27" s="58">
        <f t="shared" si="11"/>
        <v>348.20299999999997</v>
      </c>
      <c r="AG27" s="55">
        <f t="shared" si="3"/>
        <v>3133.8269999999998</v>
      </c>
      <c r="AH27" s="59">
        <f t="shared" si="4"/>
        <v>0</v>
      </c>
      <c r="AI27" s="58" t="e">
        <f>#REF!*0.02</f>
        <v>#REF!</v>
      </c>
      <c r="AJ27" s="55" t="e">
        <f t="shared" si="12"/>
        <v>#REF!</v>
      </c>
      <c r="AK27" s="87"/>
      <c r="AL27" s="88"/>
      <c r="AM27" s="89">
        <f>+AK27+AL27-AG27</f>
        <v>-3133.8269999999998</v>
      </c>
      <c r="AN27" s="84"/>
      <c r="AO27" s="84" t="s">
        <v>159</v>
      </c>
    </row>
    <row r="28" spans="1:41">
      <c r="A28" s="2" t="s">
        <v>52</v>
      </c>
      <c r="B28" s="1" t="s">
        <v>53</v>
      </c>
      <c r="C28" s="76">
        <v>1000.08</v>
      </c>
      <c r="D28" s="76">
        <v>166.68</v>
      </c>
      <c r="E28" s="76">
        <f t="shared" si="6"/>
        <v>1166.76</v>
      </c>
      <c r="F28" s="76">
        <v>0</v>
      </c>
      <c r="G28" s="76">
        <v>3.59</v>
      </c>
      <c r="H28" s="76">
        <v>29</v>
      </c>
      <c r="I28" s="76">
        <f>+FACTURACIÓN!AO28</f>
        <v>0</v>
      </c>
      <c r="J28" s="196">
        <v>-0.03</v>
      </c>
      <c r="K28" s="76">
        <f>+FACTURACIÓN!AH28</f>
        <v>0</v>
      </c>
      <c r="L28" s="76">
        <f t="shared" si="7"/>
        <v>32.56</v>
      </c>
      <c r="M28" s="76">
        <f t="shared" si="8"/>
        <v>1134.2</v>
      </c>
      <c r="N28" s="1" t="str">
        <f t="shared" si="9"/>
        <v>si</v>
      </c>
      <c r="O28" s="83" t="s">
        <v>141</v>
      </c>
      <c r="P28" s="84" t="s">
        <v>160</v>
      </c>
      <c r="Q28" s="85" t="s">
        <v>161</v>
      </c>
      <c r="R28" s="86">
        <v>40362</v>
      </c>
      <c r="S28" s="83" t="s">
        <v>144</v>
      </c>
      <c r="T28" s="65">
        <v>2467.36</v>
      </c>
      <c r="U28" s="52"/>
      <c r="V28" s="52"/>
      <c r="W28" s="54">
        <v>45.13</v>
      </c>
      <c r="X28" s="55">
        <f t="shared" si="0"/>
        <v>2422.23</v>
      </c>
      <c r="Y28" s="56"/>
      <c r="Z28" s="60"/>
      <c r="AA28" s="57"/>
      <c r="AB28" s="57"/>
      <c r="AC28" s="52"/>
      <c r="AD28" s="52">
        <v>0</v>
      </c>
      <c r="AE28" s="55">
        <f t="shared" si="1"/>
        <v>2422.23</v>
      </c>
      <c r="AF28" s="58">
        <f t="shared" si="11"/>
        <v>242.22300000000001</v>
      </c>
      <c r="AG28" s="55">
        <f t="shared" si="3"/>
        <v>2180.0070000000001</v>
      </c>
      <c r="AH28" s="59">
        <f t="shared" si="4"/>
        <v>0</v>
      </c>
      <c r="AI28" s="58" t="e">
        <f>#REF!*0.02</f>
        <v>#REF!</v>
      </c>
      <c r="AJ28" s="55" t="e">
        <f t="shared" si="12"/>
        <v>#REF!</v>
      </c>
      <c r="AK28" s="87"/>
      <c r="AL28" s="88"/>
      <c r="AM28" s="89">
        <f>+AK28+AL28-AG28</f>
        <v>-2180.0070000000001</v>
      </c>
      <c r="AN28" s="84"/>
      <c r="AO28" s="84" t="s">
        <v>162</v>
      </c>
    </row>
    <row r="29" spans="1:41">
      <c r="A29" s="2" t="s">
        <v>54</v>
      </c>
      <c r="B29" s="1" t="s">
        <v>55</v>
      </c>
      <c r="C29" s="76">
        <v>880.08</v>
      </c>
      <c r="D29" s="76">
        <v>146.68</v>
      </c>
      <c r="E29" s="76">
        <f t="shared" si="6"/>
        <v>1026.76</v>
      </c>
      <c r="F29" s="196">
        <v>-18.41</v>
      </c>
      <c r="G29" s="76">
        <v>0</v>
      </c>
      <c r="H29" s="76">
        <v>25.48</v>
      </c>
      <c r="I29" s="76">
        <f>+FACTURACIÓN!AO29</f>
        <v>0</v>
      </c>
      <c r="J29" s="76">
        <v>0.09</v>
      </c>
      <c r="K29" s="76">
        <f>+FACTURACIÓN!AH29</f>
        <v>0</v>
      </c>
      <c r="L29" s="76">
        <f t="shared" si="7"/>
        <v>7.16</v>
      </c>
      <c r="M29" s="76">
        <f t="shared" si="8"/>
        <v>1019.6</v>
      </c>
      <c r="N29" s="1" t="str">
        <f t="shared" si="9"/>
        <v>si</v>
      </c>
      <c r="O29" s="84" t="s">
        <v>113</v>
      </c>
      <c r="P29" s="84" t="s">
        <v>163</v>
      </c>
      <c r="Q29" s="97"/>
      <c r="R29" s="86">
        <v>42557</v>
      </c>
      <c r="S29" s="84" t="s">
        <v>116</v>
      </c>
      <c r="T29" s="65">
        <v>3520.44</v>
      </c>
      <c r="U29" s="60"/>
      <c r="V29" s="60"/>
      <c r="W29" s="54">
        <v>45.13</v>
      </c>
      <c r="X29" s="55">
        <f t="shared" si="0"/>
        <v>3475.31</v>
      </c>
      <c r="Y29" s="56"/>
      <c r="Z29" s="60"/>
      <c r="AA29" s="57"/>
      <c r="AB29" s="57"/>
      <c r="AC29" s="52"/>
      <c r="AD29" s="52"/>
      <c r="AE29" s="55">
        <f t="shared" si="1"/>
        <v>3475.31</v>
      </c>
      <c r="AF29" s="58">
        <f t="shared" si="11"/>
        <v>347.53100000000001</v>
      </c>
      <c r="AG29" s="55">
        <f t="shared" si="3"/>
        <v>3127.779</v>
      </c>
      <c r="AH29" s="59">
        <f t="shared" si="4"/>
        <v>0</v>
      </c>
      <c r="AI29" s="58" t="e">
        <f>#REF!*0.02</f>
        <v>#REF!</v>
      </c>
      <c r="AJ29" s="55" t="e">
        <f t="shared" si="12"/>
        <v>#REF!</v>
      </c>
      <c r="AK29" s="87"/>
      <c r="AL29" s="87"/>
      <c r="AM29" s="89"/>
      <c r="AN29" s="84" t="s">
        <v>164</v>
      </c>
      <c r="AO29" s="98">
        <v>405715097</v>
      </c>
    </row>
    <row r="30" spans="1:41">
      <c r="A30" s="2" t="s">
        <v>56</v>
      </c>
      <c r="B30" s="1" t="s">
        <v>57</v>
      </c>
      <c r="C30" s="76">
        <v>4000.08</v>
      </c>
      <c r="D30" s="76">
        <v>666.68</v>
      </c>
      <c r="E30" s="76">
        <f t="shared" si="6"/>
        <v>4666.76</v>
      </c>
      <c r="F30" s="76">
        <v>0</v>
      </c>
      <c r="G30" s="76">
        <v>741.43</v>
      </c>
      <c r="H30" s="76">
        <v>129.22</v>
      </c>
      <c r="I30" s="76">
        <f>+FACTURACIÓN!AO30</f>
        <v>403</v>
      </c>
      <c r="J30" s="196">
        <v>-0.09</v>
      </c>
      <c r="K30" s="76">
        <f>+FACTURACIÓN!AH30</f>
        <v>0</v>
      </c>
      <c r="L30" s="76">
        <f t="shared" si="7"/>
        <v>1273.5600000000002</v>
      </c>
      <c r="M30" s="76">
        <f t="shared" si="8"/>
        <v>3393.2</v>
      </c>
      <c r="N30" s="1" t="str">
        <f t="shared" si="9"/>
        <v>si</v>
      </c>
      <c r="O30" s="84" t="s">
        <v>129</v>
      </c>
      <c r="P30" s="84" t="s">
        <v>165</v>
      </c>
      <c r="Q30" s="97"/>
      <c r="R30" s="86">
        <v>42478</v>
      </c>
      <c r="S30" s="83" t="s">
        <v>136</v>
      </c>
      <c r="T30" s="65">
        <v>1975.15</v>
      </c>
      <c r="U30" s="60"/>
      <c r="V30" s="60"/>
      <c r="W30" s="54">
        <v>45.13</v>
      </c>
      <c r="X30" s="55">
        <f t="shared" si="0"/>
        <v>1930.02</v>
      </c>
      <c r="Y30" s="56"/>
      <c r="Z30" s="60"/>
      <c r="AA30" s="57"/>
      <c r="AB30" s="57"/>
      <c r="AC30" s="52"/>
      <c r="AD30" s="52">
        <v>403</v>
      </c>
      <c r="AE30" s="55">
        <f t="shared" si="1"/>
        <v>1527.02</v>
      </c>
      <c r="AF30" s="58">
        <f t="shared" si="11"/>
        <v>0</v>
      </c>
      <c r="AG30" s="55">
        <f t="shared" si="3"/>
        <v>1527.02</v>
      </c>
      <c r="AH30" s="59">
        <f t="shared" si="4"/>
        <v>193.00200000000001</v>
      </c>
      <c r="AI30" s="58" t="e">
        <f>#REF!*0.02</f>
        <v>#REF!</v>
      </c>
      <c r="AJ30" s="55" t="e">
        <f t="shared" si="12"/>
        <v>#REF!</v>
      </c>
      <c r="AK30" s="87"/>
      <c r="AL30" s="88"/>
      <c r="AM30" s="89">
        <f>+AK30+AL30-AG30</f>
        <v>-1527.02</v>
      </c>
      <c r="AN30" s="90" t="s">
        <v>166</v>
      </c>
      <c r="AO30" s="84" t="s">
        <v>167</v>
      </c>
    </row>
    <row r="31" spans="1:41">
      <c r="A31" s="2" t="s">
        <v>58</v>
      </c>
      <c r="B31" s="1" t="s">
        <v>59</v>
      </c>
      <c r="C31" s="76">
        <v>880.08</v>
      </c>
      <c r="D31" s="76">
        <v>146.68</v>
      </c>
      <c r="E31" s="76">
        <f t="shared" si="6"/>
        <v>1026.76</v>
      </c>
      <c r="F31" s="196">
        <v>-18.41</v>
      </c>
      <c r="G31" s="76">
        <v>0</v>
      </c>
      <c r="H31" s="76">
        <v>25.48</v>
      </c>
      <c r="I31" s="76">
        <f>+FACTURACIÓN!AO31</f>
        <v>0</v>
      </c>
      <c r="J31" s="196">
        <v>-0.11</v>
      </c>
      <c r="K31" s="76">
        <f>+FACTURACIÓN!AH31</f>
        <v>0</v>
      </c>
      <c r="L31" s="76">
        <f t="shared" si="7"/>
        <v>6.96</v>
      </c>
      <c r="M31" s="76">
        <f t="shared" si="8"/>
        <v>1019.8</v>
      </c>
      <c r="N31" s="1" t="str">
        <f t="shared" si="9"/>
        <v>si</v>
      </c>
      <c r="O31" s="84" t="s">
        <v>113</v>
      </c>
      <c r="P31" s="84" t="s">
        <v>168</v>
      </c>
      <c r="Q31" s="97"/>
      <c r="R31" s="86">
        <v>42430</v>
      </c>
      <c r="S31" s="84" t="s">
        <v>116</v>
      </c>
      <c r="T31" s="66"/>
      <c r="U31" s="60"/>
      <c r="V31" s="60"/>
      <c r="W31" s="54">
        <v>45.13</v>
      </c>
      <c r="X31" s="55">
        <f t="shared" si="0"/>
        <v>-45.13</v>
      </c>
      <c r="Y31" s="56"/>
      <c r="Z31" s="60"/>
      <c r="AA31" s="57"/>
      <c r="AB31" s="57"/>
      <c r="AC31" s="52"/>
      <c r="AD31" s="52">
        <v>0</v>
      </c>
      <c r="AE31" s="55">
        <f t="shared" si="1"/>
        <v>-45.13</v>
      </c>
      <c r="AF31" s="58">
        <f t="shared" si="11"/>
        <v>0</v>
      </c>
      <c r="AG31" s="55">
        <f t="shared" si="3"/>
        <v>-45.13</v>
      </c>
      <c r="AH31" s="59">
        <f t="shared" si="4"/>
        <v>-4.5130000000000008</v>
      </c>
      <c r="AI31" s="58" t="e">
        <f>#REF!*0.02</f>
        <v>#REF!</v>
      </c>
      <c r="AJ31" s="55" t="e">
        <f t="shared" si="12"/>
        <v>#REF!</v>
      </c>
      <c r="AK31" s="87"/>
      <c r="AL31" s="88"/>
      <c r="AM31" s="89">
        <f>+AK31+AL31-AG31</f>
        <v>45.13</v>
      </c>
      <c r="AN31" s="84"/>
      <c r="AO31" s="100"/>
    </row>
    <row r="32" spans="1:41">
      <c r="A32" s="2" t="s">
        <v>60</v>
      </c>
      <c r="B32" s="1" t="s">
        <v>61</v>
      </c>
      <c r="C32" s="76">
        <v>880.02</v>
      </c>
      <c r="D32" s="76">
        <v>146.66999999999999</v>
      </c>
      <c r="E32" s="76">
        <f t="shared" si="6"/>
        <v>1026.69</v>
      </c>
      <c r="F32" s="196">
        <v>-18.41</v>
      </c>
      <c r="G32" s="76">
        <v>0</v>
      </c>
      <c r="H32" s="76">
        <v>25.48</v>
      </c>
      <c r="I32" s="76">
        <f>+FACTURACIÓN!AO32</f>
        <v>385.41</v>
      </c>
      <c r="J32" s="76">
        <v>0.02</v>
      </c>
      <c r="K32" s="76">
        <f>+FACTURACIÓN!AH32</f>
        <v>0</v>
      </c>
      <c r="L32" s="76">
        <f t="shared" si="7"/>
        <v>392.5</v>
      </c>
      <c r="M32" s="76">
        <f t="shared" si="8"/>
        <v>634.19000000000005</v>
      </c>
      <c r="N32" s="1" t="str">
        <f t="shared" si="9"/>
        <v>si</v>
      </c>
      <c r="O32" s="84" t="s">
        <v>113</v>
      </c>
      <c r="P32" s="84" t="s">
        <v>169</v>
      </c>
      <c r="Q32" s="97"/>
      <c r="R32" s="86">
        <v>42570</v>
      </c>
      <c r="S32" s="84" t="s">
        <v>116</v>
      </c>
      <c r="T32" s="66"/>
      <c r="U32" s="60"/>
      <c r="V32" s="60"/>
      <c r="W32" s="54">
        <v>45.13</v>
      </c>
      <c r="X32" s="55">
        <f t="shared" si="0"/>
        <v>-45.13</v>
      </c>
      <c r="Y32" s="56"/>
      <c r="Z32" s="60"/>
      <c r="AA32" s="57"/>
      <c r="AB32" s="57"/>
      <c r="AC32" s="52"/>
      <c r="AD32" s="52">
        <v>385.41</v>
      </c>
      <c r="AE32" s="55">
        <f t="shared" si="1"/>
        <v>-430.54</v>
      </c>
      <c r="AF32" s="58">
        <f t="shared" si="11"/>
        <v>0</v>
      </c>
      <c r="AG32" s="55">
        <f t="shared" si="3"/>
        <v>-430.54</v>
      </c>
      <c r="AH32" s="59">
        <f t="shared" si="4"/>
        <v>-4.5130000000000008</v>
      </c>
      <c r="AI32" s="58" t="e">
        <f>#REF!*0.02</f>
        <v>#REF!</v>
      </c>
      <c r="AJ32" s="55" t="e">
        <f t="shared" si="12"/>
        <v>#REF!</v>
      </c>
      <c r="AK32" s="87"/>
      <c r="AL32" s="88"/>
      <c r="AM32" s="89"/>
      <c r="AN32" s="84" t="s">
        <v>170</v>
      </c>
      <c r="AO32" s="100"/>
    </row>
    <row r="33" spans="1:41">
      <c r="A33" s="2" t="s">
        <v>62</v>
      </c>
      <c r="B33" s="1" t="s">
        <v>63</v>
      </c>
      <c r="C33" s="76">
        <v>880.08</v>
      </c>
      <c r="D33" s="76">
        <v>146.68</v>
      </c>
      <c r="E33" s="76">
        <f t="shared" si="6"/>
        <v>1026.76</v>
      </c>
      <c r="F33" s="196">
        <v>-18.41</v>
      </c>
      <c r="G33" s="76">
        <v>0</v>
      </c>
      <c r="H33" s="76">
        <v>25.48</v>
      </c>
      <c r="I33" s="76">
        <f>+FACTURACIÓN!AO33</f>
        <v>0</v>
      </c>
      <c r="J33" s="196">
        <v>-0.11</v>
      </c>
      <c r="K33" s="76">
        <f>+FACTURACIÓN!AH33</f>
        <v>0</v>
      </c>
      <c r="L33" s="76">
        <f t="shared" si="7"/>
        <v>6.96</v>
      </c>
      <c r="M33" s="76">
        <f t="shared" si="8"/>
        <v>1019.8</v>
      </c>
      <c r="N33" s="1" t="str">
        <f t="shared" si="9"/>
        <v>si</v>
      </c>
      <c r="O33" s="83" t="s">
        <v>113</v>
      </c>
      <c r="P33" s="84" t="s">
        <v>210</v>
      </c>
      <c r="Q33" s="85" t="s">
        <v>171</v>
      </c>
      <c r="R33" s="86">
        <v>41592</v>
      </c>
      <c r="S33" s="83" t="s">
        <v>116</v>
      </c>
      <c r="T33" s="65">
        <v>686.88</v>
      </c>
      <c r="U33" s="53"/>
      <c r="V33" s="53"/>
      <c r="W33" s="54">
        <v>45.13</v>
      </c>
      <c r="X33" s="55">
        <f t="shared" si="0"/>
        <v>641.75</v>
      </c>
      <c r="Y33" s="56"/>
      <c r="Z33" s="60"/>
      <c r="AA33" s="57"/>
      <c r="AB33" s="57"/>
      <c r="AC33" s="52"/>
      <c r="AD33" s="52">
        <v>0</v>
      </c>
      <c r="AE33" s="55">
        <f t="shared" si="1"/>
        <v>641.75</v>
      </c>
      <c r="AF33" s="58">
        <f t="shared" si="11"/>
        <v>0</v>
      </c>
      <c r="AG33" s="55">
        <f t="shared" si="3"/>
        <v>641.75</v>
      </c>
      <c r="AH33" s="59">
        <f t="shared" si="4"/>
        <v>64.174999999999997</v>
      </c>
      <c r="AI33" s="58" t="e">
        <f>#REF!*0.02</f>
        <v>#REF!</v>
      </c>
      <c r="AJ33" s="55" t="e">
        <f t="shared" si="12"/>
        <v>#REF!</v>
      </c>
      <c r="AK33" s="87"/>
      <c r="AL33" s="88"/>
      <c r="AM33" s="89">
        <f t="shared" ref="AM33:AM45" si="13">+AK33+AL33-AG33</f>
        <v>-641.75</v>
      </c>
      <c r="AN33" s="84"/>
      <c r="AO33" s="84" t="s">
        <v>172</v>
      </c>
    </row>
    <row r="34" spans="1:41">
      <c r="A34" s="2" t="s">
        <v>64</v>
      </c>
      <c r="B34" s="1" t="s">
        <v>65</v>
      </c>
      <c r="C34" s="76">
        <v>880.08</v>
      </c>
      <c r="D34" s="76">
        <v>146.68</v>
      </c>
      <c r="E34" s="76">
        <f t="shared" si="6"/>
        <v>1026.76</v>
      </c>
      <c r="F34" s="196">
        <v>-18.41</v>
      </c>
      <c r="G34" s="76">
        <v>0</v>
      </c>
      <c r="H34" s="76">
        <v>25.53</v>
      </c>
      <c r="I34" s="76">
        <f>+FACTURACIÓN!AO34</f>
        <v>0</v>
      </c>
      <c r="J34" s="76">
        <v>0.04</v>
      </c>
      <c r="K34" s="76">
        <f>+FACTURACIÓN!AH34</f>
        <v>0</v>
      </c>
      <c r="L34" s="76">
        <f t="shared" si="7"/>
        <v>7.160000000000001</v>
      </c>
      <c r="M34" s="76">
        <f t="shared" si="8"/>
        <v>1019.6</v>
      </c>
      <c r="N34" s="1" t="str">
        <f t="shared" si="9"/>
        <v>si</v>
      </c>
      <c r="O34" s="83" t="s">
        <v>129</v>
      </c>
      <c r="P34" s="84" t="s">
        <v>211</v>
      </c>
      <c r="Q34" s="85" t="s">
        <v>173</v>
      </c>
      <c r="R34" s="86">
        <v>42030</v>
      </c>
      <c r="S34" s="83" t="s">
        <v>116</v>
      </c>
      <c r="T34" s="66">
        <v>7729.79</v>
      </c>
      <c r="U34" s="52"/>
      <c r="V34" s="52"/>
      <c r="W34" s="54">
        <v>45.13</v>
      </c>
      <c r="X34" s="55">
        <f t="shared" si="0"/>
        <v>7684.66</v>
      </c>
      <c r="Y34" s="56"/>
      <c r="Z34" s="60"/>
      <c r="AA34" s="57"/>
      <c r="AB34" s="57"/>
      <c r="AC34" s="52"/>
      <c r="AD34" s="52">
        <v>0</v>
      </c>
      <c r="AE34" s="55">
        <f t="shared" si="1"/>
        <v>7684.66</v>
      </c>
      <c r="AF34" s="58">
        <f t="shared" si="11"/>
        <v>768.46600000000001</v>
      </c>
      <c r="AG34" s="55">
        <f t="shared" si="3"/>
        <v>6916.1939999999995</v>
      </c>
      <c r="AH34" s="59">
        <f t="shared" si="4"/>
        <v>0</v>
      </c>
      <c r="AI34" s="58" t="e">
        <f>#REF!*0.02</f>
        <v>#REF!</v>
      </c>
      <c r="AJ34" s="55" t="e">
        <f t="shared" si="12"/>
        <v>#REF!</v>
      </c>
      <c r="AK34" s="87"/>
      <c r="AL34" s="101"/>
      <c r="AM34" s="89">
        <f t="shared" si="13"/>
        <v>-6916.1939999999995</v>
      </c>
      <c r="AN34" s="84"/>
      <c r="AO34" s="84" t="s">
        <v>174</v>
      </c>
    </row>
    <row r="35" spans="1:41">
      <c r="A35" s="2" t="s">
        <v>66</v>
      </c>
      <c r="B35" s="1" t="s">
        <v>67</v>
      </c>
      <c r="C35" s="76">
        <v>880.08</v>
      </c>
      <c r="D35" s="76">
        <v>146.68</v>
      </c>
      <c r="E35" s="76">
        <f t="shared" si="6"/>
        <v>1026.76</v>
      </c>
      <c r="F35" s="196">
        <v>-18.41</v>
      </c>
      <c r="G35" s="76">
        <v>0</v>
      </c>
      <c r="H35" s="76">
        <v>25.58</v>
      </c>
      <c r="I35" s="76">
        <f>+FACTURACIÓN!AO35</f>
        <v>577.35</v>
      </c>
      <c r="J35" s="196">
        <v>-0.01</v>
      </c>
      <c r="K35" s="76">
        <f>+FACTURACIÓN!AH35</f>
        <v>0</v>
      </c>
      <c r="L35" s="76">
        <f t="shared" si="7"/>
        <v>584.51</v>
      </c>
      <c r="M35" s="76">
        <f t="shared" si="8"/>
        <v>442.25</v>
      </c>
      <c r="N35" s="1" t="str">
        <f t="shared" si="9"/>
        <v>si</v>
      </c>
      <c r="O35" s="83" t="s">
        <v>129</v>
      </c>
      <c r="P35" s="84" t="s">
        <v>212</v>
      </c>
      <c r="Q35" s="85" t="s">
        <v>175</v>
      </c>
      <c r="R35" s="99">
        <v>41435</v>
      </c>
      <c r="S35" s="83" t="s">
        <v>116</v>
      </c>
      <c r="T35" s="69"/>
      <c r="U35" s="52"/>
      <c r="V35" s="52"/>
      <c r="W35" s="54">
        <v>45.13</v>
      </c>
      <c r="X35" s="55">
        <f t="shared" si="0"/>
        <v>-45.13</v>
      </c>
      <c r="Y35" s="56"/>
      <c r="Z35" s="60"/>
      <c r="AA35" s="57"/>
      <c r="AB35" s="57"/>
      <c r="AC35" s="52"/>
      <c r="AD35" s="52">
        <v>577.35</v>
      </c>
      <c r="AE35" s="55">
        <f t="shared" si="1"/>
        <v>-622.48</v>
      </c>
      <c r="AF35" s="58">
        <f t="shared" si="11"/>
        <v>0</v>
      </c>
      <c r="AG35" s="55">
        <f t="shared" si="3"/>
        <v>-622.48</v>
      </c>
      <c r="AH35" s="59">
        <f t="shared" si="4"/>
        <v>-4.5130000000000008</v>
      </c>
      <c r="AI35" s="58" t="e">
        <f>#REF!*0.02</f>
        <v>#REF!</v>
      </c>
      <c r="AJ35" s="55" t="e">
        <f t="shared" si="12"/>
        <v>#REF!</v>
      </c>
      <c r="AK35" s="87"/>
      <c r="AL35" s="101"/>
      <c r="AM35" s="89">
        <f t="shared" si="13"/>
        <v>622.48</v>
      </c>
      <c r="AN35" s="84"/>
      <c r="AO35" s="84" t="s">
        <v>176</v>
      </c>
    </row>
    <row r="36" spans="1:41">
      <c r="A36" s="2" t="s">
        <v>68</v>
      </c>
      <c r="B36" s="1" t="s">
        <v>69</v>
      </c>
      <c r="C36" s="76">
        <v>830.7</v>
      </c>
      <c r="D36" s="76">
        <v>24.44</v>
      </c>
      <c r="E36" s="76">
        <f t="shared" si="6"/>
        <v>855.1400000000001</v>
      </c>
      <c r="F36" s="196">
        <v>-38.47</v>
      </c>
      <c r="G36" s="76">
        <v>0</v>
      </c>
      <c r="H36" s="76">
        <v>21.84</v>
      </c>
      <c r="I36" s="76">
        <f>+FACTURACIÓN!AO36</f>
        <v>0</v>
      </c>
      <c r="J36" s="196">
        <v>-0.11</v>
      </c>
      <c r="K36" s="76">
        <f>+FACTURACIÓN!AH36</f>
        <v>0</v>
      </c>
      <c r="L36" s="76">
        <f t="shared" si="7"/>
        <v>-16.739999999999998</v>
      </c>
      <c r="M36" s="76">
        <f t="shared" si="8"/>
        <v>871.88000000000011</v>
      </c>
      <c r="N36" s="1" t="str">
        <f t="shared" si="9"/>
        <v>si</v>
      </c>
      <c r="O36" s="84" t="s">
        <v>113</v>
      </c>
      <c r="P36" s="84" t="s">
        <v>192</v>
      </c>
      <c r="Q36" s="97"/>
      <c r="R36" s="86">
        <v>42496</v>
      </c>
      <c r="S36" s="84" t="s">
        <v>116</v>
      </c>
      <c r="T36" s="66">
        <v>400.85</v>
      </c>
      <c r="U36" s="64"/>
      <c r="V36" s="60"/>
      <c r="W36" s="54">
        <v>45.13</v>
      </c>
      <c r="X36" s="55">
        <f t="shared" si="0"/>
        <v>355.72</v>
      </c>
      <c r="Y36" s="56"/>
      <c r="Z36" s="60"/>
      <c r="AA36" s="57"/>
      <c r="AB36" s="57"/>
      <c r="AC36" s="52"/>
      <c r="AD36" s="52">
        <v>0</v>
      </c>
      <c r="AE36" s="55">
        <f t="shared" si="1"/>
        <v>355.72</v>
      </c>
      <c r="AF36" s="58">
        <f t="shared" si="11"/>
        <v>0</v>
      </c>
      <c r="AG36" s="55">
        <f t="shared" si="3"/>
        <v>355.72</v>
      </c>
      <c r="AH36" s="59">
        <f t="shared" si="4"/>
        <v>35.572000000000003</v>
      </c>
      <c r="AI36" s="58" t="e">
        <f>#REF!*0.02</f>
        <v>#REF!</v>
      </c>
      <c r="AJ36" s="55" t="e">
        <f t="shared" si="12"/>
        <v>#REF!</v>
      </c>
      <c r="AK36" s="87"/>
      <c r="AL36" s="87"/>
      <c r="AM36" s="89">
        <f t="shared" si="13"/>
        <v>-355.72</v>
      </c>
      <c r="AN36" s="102" t="s">
        <v>177</v>
      </c>
      <c r="AO36" s="98">
        <v>1423506142</v>
      </c>
    </row>
    <row r="37" spans="1:41">
      <c r="A37" s="2" t="s">
        <v>70</v>
      </c>
      <c r="B37" s="1" t="s">
        <v>71</v>
      </c>
      <c r="C37" s="76">
        <v>880.08</v>
      </c>
      <c r="D37" s="76">
        <v>146.68</v>
      </c>
      <c r="E37" s="76">
        <f t="shared" si="6"/>
        <v>1026.76</v>
      </c>
      <c r="F37" s="196">
        <v>-18.41</v>
      </c>
      <c r="G37" s="76">
        <v>0</v>
      </c>
      <c r="H37" s="76">
        <v>25.55</v>
      </c>
      <c r="I37" s="76">
        <f>+FACTURACIÓN!AO37</f>
        <v>613.69000000000005</v>
      </c>
      <c r="J37" s="76">
        <v>0.02</v>
      </c>
      <c r="K37" s="76">
        <f>+FACTURACIÓN!AH37</f>
        <v>0</v>
      </c>
      <c r="L37" s="76">
        <f t="shared" si="7"/>
        <v>620.85</v>
      </c>
      <c r="M37" s="76">
        <f t="shared" si="8"/>
        <v>405.90999999999997</v>
      </c>
      <c r="N37" s="1" t="str">
        <f t="shared" si="9"/>
        <v>si</v>
      </c>
      <c r="O37" s="104" t="s">
        <v>113</v>
      </c>
      <c r="P37" s="104" t="s">
        <v>213</v>
      </c>
      <c r="Q37" s="105" t="s">
        <v>178</v>
      </c>
      <c r="R37" s="127">
        <v>41848</v>
      </c>
      <c r="S37" s="104" t="s">
        <v>116</v>
      </c>
      <c r="T37" s="133"/>
      <c r="U37" s="139"/>
      <c r="V37" s="139"/>
      <c r="W37" s="46">
        <v>45.13</v>
      </c>
      <c r="X37" s="47">
        <f t="shared" si="0"/>
        <v>-45.13</v>
      </c>
      <c r="Y37" s="48"/>
      <c r="Z37" s="60"/>
      <c r="AA37" s="49"/>
      <c r="AB37" s="49"/>
      <c r="AC37" s="45"/>
      <c r="AD37" s="45">
        <v>415</v>
      </c>
      <c r="AE37" s="47">
        <f t="shared" si="1"/>
        <v>-460.13</v>
      </c>
      <c r="AF37" s="50">
        <f t="shared" si="11"/>
        <v>0</v>
      </c>
      <c r="AG37" s="152">
        <f t="shared" si="3"/>
        <v>-460.13</v>
      </c>
      <c r="AH37" s="51">
        <f t="shared" si="4"/>
        <v>-4.5130000000000008</v>
      </c>
      <c r="AI37" s="50" t="e">
        <f>#REF!*0.02</f>
        <v>#REF!</v>
      </c>
      <c r="AJ37" s="47" t="e">
        <f t="shared" si="12"/>
        <v>#REF!</v>
      </c>
      <c r="AK37" s="155"/>
      <c r="AL37" s="156"/>
      <c r="AM37" s="157">
        <f t="shared" si="13"/>
        <v>460.13</v>
      </c>
      <c r="AN37" s="122"/>
      <c r="AO37" s="122"/>
    </row>
    <row r="38" spans="1:41">
      <c r="A38" s="2" t="s">
        <v>72</v>
      </c>
      <c r="B38" s="1" t="s">
        <v>73</v>
      </c>
      <c r="C38" s="76">
        <v>880.08</v>
      </c>
      <c r="D38" s="76">
        <v>146.68</v>
      </c>
      <c r="E38" s="76">
        <f t="shared" si="6"/>
        <v>1026.76</v>
      </c>
      <c r="F38" s="196">
        <v>-18.41</v>
      </c>
      <c r="G38" s="76">
        <v>0</v>
      </c>
      <c r="H38" s="76">
        <v>25.48</v>
      </c>
      <c r="I38" s="76">
        <f>+FACTURACIÓN!AO38</f>
        <v>0</v>
      </c>
      <c r="J38" s="196">
        <v>-0.11</v>
      </c>
      <c r="K38" s="76">
        <f>+FACTURACIÓN!AH38</f>
        <v>0</v>
      </c>
      <c r="L38" s="76">
        <f t="shared" si="7"/>
        <v>6.96</v>
      </c>
      <c r="M38" s="76">
        <f t="shared" si="8"/>
        <v>1019.8</v>
      </c>
      <c r="N38" s="1" t="str">
        <f t="shared" si="9"/>
        <v>si</v>
      </c>
      <c r="O38" s="115" t="s">
        <v>113</v>
      </c>
      <c r="P38" s="115" t="s">
        <v>179</v>
      </c>
      <c r="Q38" s="125"/>
      <c r="R38" s="126">
        <v>42496</v>
      </c>
      <c r="S38" s="115" t="s">
        <v>180</v>
      </c>
      <c r="T38" s="137"/>
      <c r="U38" s="140"/>
      <c r="V38" s="140"/>
      <c r="W38" s="34">
        <v>45.13</v>
      </c>
      <c r="X38" s="35">
        <f t="shared" si="0"/>
        <v>-45.13</v>
      </c>
      <c r="Y38" s="36"/>
      <c r="Z38" s="60"/>
      <c r="AA38" s="37"/>
      <c r="AB38" s="37"/>
      <c r="AC38" s="19"/>
      <c r="AD38" s="19">
        <v>0</v>
      </c>
      <c r="AE38" s="35">
        <f t="shared" si="1"/>
        <v>-45.13</v>
      </c>
      <c r="AF38" s="38">
        <f t="shared" si="11"/>
        <v>0</v>
      </c>
      <c r="AG38" s="153">
        <f t="shared" si="3"/>
        <v>-45.13</v>
      </c>
      <c r="AH38" s="39">
        <f t="shared" si="4"/>
        <v>-4.5130000000000008</v>
      </c>
      <c r="AI38" s="38" t="e">
        <f>#REF!*0.02</f>
        <v>#REF!</v>
      </c>
      <c r="AJ38" s="35" t="e">
        <f t="shared" si="12"/>
        <v>#REF!</v>
      </c>
      <c r="AK38" s="155"/>
      <c r="AL38" s="155"/>
      <c r="AM38" s="157">
        <f t="shared" si="13"/>
        <v>45.13</v>
      </c>
      <c r="AN38" s="158" t="s">
        <v>177</v>
      </c>
      <c r="AO38" s="159">
        <v>1129582916</v>
      </c>
    </row>
    <row r="39" spans="1:41">
      <c r="A39" s="2" t="s">
        <v>74</v>
      </c>
      <c r="B39" s="1" t="s">
        <v>75</v>
      </c>
      <c r="C39" s="76">
        <v>880.08</v>
      </c>
      <c r="D39" s="76">
        <v>146.68</v>
      </c>
      <c r="E39" s="76">
        <f t="shared" si="6"/>
        <v>1026.76</v>
      </c>
      <c r="F39" s="196">
        <v>-18.41</v>
      </c>
      <c r="G39" s="76">
        <v>0</v>
      </c>
      <c r="H39" s="76">
        <v>25.53</v>
      </c>
      <c r="I39" s="76">
        <f>+FACTURACIÓN!AO39</f>
        <v>0</v>
      </c>
      <c r="J39" s="196">
        <v>-0.16</v>
      </c>
      <c r="K39" s="76">
        <f>+FACTURACIÓN!AH39</f>
        <v>0</v>
      </c>
      <c r="L39" s="76">
        <f t="shared" si="7"/>
        <v>6.9600000000000009</v>
      </c>
      <c r="M39" s="76">
        <f t="shared" si="8"/>
        <v>1019.8</v>
      </c>
      <c r="N39" s="1" t="str">
        <f t="shared" si="9"/>
        <v>si</v>
      </c>
      <c r="O39" s="107" t="s">
        <v>113</v>
      </c>
      <c r="P39" s="115" t="s">
        <v>181</v>
      </c>
      <c r="Q39" s="121" t="s">
        <v>182</v>
      </c>
      <c r="R39" s="126">
        <v>42215</v>
      </c>
      <c r="S39" s="107" t="s">
        <v>116</v>
      </c>
      <c r="T39" s="129"/>
      <c r="U39" s="20"/>
      <c r="V39" s="20"/>
      <c r="W39" s="34">
        <v>45.13</v>
      </c>
      <c r="X39" s="35">
        <f t="shared" si="0"/>
        <v>-45.13</v>
      </c>
      <c r="Y39" s="36"/>
      <c r="Z39" s="60"/>
      <c r="AA39" s="37"/>
      <c r="AB39" s="37"/>
      <c r="AC39" s="19"/>
      <c r="AD39" s="19">
        <v>0</v>
      </c>
      <c r="AE39" s="35">
        <f t="shared" si="1"/>
        <v>-45.13</v>
      </c>
      <c r="AF39" s="38">
        <f t="shared" si="11"/>
        <v>0</v>
      </c>
      <c r="AG39" s="35">
        <f t="shared" si="3"/>
        <v>-45.13</v>
      </c>
      <c r="AH39" s="39">
        <f t="shared" si="4"/>
        <v>-4.5130000000000008</v>
      </c>
      <c r="AI39" s="38" t="e">
        <f>#REF!*0.02</f>
        <v>#REF!</v>
      </c>
      <c r="AJ39" s="35" t="e">
        <f t="shared" si="12"/>
        <v>#REF!</v>
      </c>
      <c r="AK39" s="155"/>
      <c r="AL39" s="156"/>
      <c r="AM39" s="157">
        <f t="shared" si="13"/>
        <v>45.13</v>
      </c>
      <c r="AN39" s="112"/>
      <c r="AO39" s="122" t="s">
        <v>183</v>
      </c>
    </row>
    <row r="40" spans="1:41"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O40" s="107"/>
      <c r="P40" s="119"/>
      <c r="Q40" s="123"/>
      <c r="R40" s="123"/>
      <c r="S40" s="119"/>
      <c r="T40" s="132"/>
      <c r="U40" s="138"/>
      <c r="V40" s="138"/>
      <c r="W40" s="142"/>
      <c r="X40" s="35"/>
      <c r="Y40" s="147"/>
      <c r="Z40" s="40"/>
      <c r="AA40" s="37"/>
      <c r="AB40" s="37"/>
      <c r="AC40" s="19"/>
      <c r="AD40" s="19"/>
      <c r="AE40" s="150"/>
      <c r="AF40" s="38"/>
      <c r="AG40" s="35"/>
      <c r="AH40" s="39"/>
      <c r="AI40" s="38"/>
      <c r="AJ40" s="35"/>
      <c r="AK40" s="91"/>
      <c r="AL40" s="91"/>
      <c r="AM40" s="106">
        <f t="shared" si="13"/>
        <v>0</v>
      </c>
      <c r="AN40" s="91"/>
      <c r="AO40" s="91"/>
    </row>
    <row r="41" spans="1:41" ht="15.75" thickBot="1"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O41" s="112"/>
      <c r="P41" s="120"/>
      <c r="Q41" s="124"/>
      <c r="R41" s="124"/>
      <c r="S41" s="120"/>
      <c r="T41" s="136">
        <f t="shared" ref="T41:AH41" si="14">SUM(T11:T40)</f>
        <v>49501.45</v>
      </c>
      <c r="U41" s="136">
        <f t="shared" si="14"/>
        <v>0</v>
      </c>
      <c r="V41" s="136">
        <f t="shared" si="14"/>
        <v>0</v>
      </c>
      <c r="W41" s="136">
        <f t="shared" si="14"/>
        <v>1308.7700000000007</v>
      </c>
      <c r="X41" s="136">
        <f t="shared" si="14"/>
        <v>48192.680000000008</v>
      </c>
      <c r="Y41" s="136">
        <f t="shared" si="14"/>
        <v>0</v>
      </c>
      <c r="Z41" s="136">
        <f t="shared" si="14"/>
        <v>0</v>
      </c>
      <c r="AA41" s="136">
        <f t="shared" si="14"/>
        <v>0</v>
      </c>
      <c r="AB41" s="136">
        <f t="shared" si="14"/>
        <v>0</v>
      </c>
      <c r="AC41" s="136">
        <f t="shared" si="14"/>
        <v>0</v>
      </c>
      <c r="AD41" s="136">
        <f t="shared" si="14"/>
        <v>3391.43</v>
      </c>
      <c r="AE41" s="136">
        <f t="shared" si="14"/>
        <v>44801.25</v>
      </c>
      <c r="AF41" s="136">
        <f t="shared" si="14"/>
        <v>3862.2039999999997</v>
      </c>
      <c r="AG41" s="136">
        <f t="shared" si="14"/>
        <v>40939.046000000002</v>
      </c>
      <c r="AH41" s="136">
        <f t="shared" si="14"/>
        <v>957.06399999999974</v>
      </c>
      <c r="AI41" s="151"/>
      <c r="AJ41" s="145"/>
      <c r="AK41" s="91"/>
      <c r="AL41" s="91"/>
      <c r="AM41" s="106">
        <f t="shared" si="13"/>
        <v>-40939.046000000002</v>
      </c>
      <c r="AN41" s="91"/>
      <c r="AO41" s="91"/>
    </row>
    <row r="42" spans="1:41" s="7" customFormat="1" ht="15.75" thickTop="1">
      <c r="A42" s="14"/>
      <c r="C42" s="197" t="s">
        <v>76</v>
      </c>
      <c r="D42" s="197" t="s">
        <v>76</v>
      </c>
      <c r="E42" s="197" t="s">
        <v>76</v>
      </c>
      <c r="F42" s="197" t="s">
        <v>76</v>
      </c>
      <c r="G42" s="197" t="s">
        <v>76</v>
      </c>
      <c r="H42" s="197" t="s">
        <v>76</v>
      </c>
      <c r="I42" s="197" t="s">
        <v>76</v>
      </c>
      <c r="J42" s="197" t="s">
        <v>76</v>
      </c>
      <c r="K42" s="197" t="s">
        <v>76</v>
      </c>
      <c r="L42" s="197" t="s">
        <v>76</v>
      </c>
      <c r="M42" s="197" t="s">
        <v>76</v>
      </c>
      <c r="O42" s="112"/>
      <c r="P42" s="116"/>
      <c r="Q42" s="117"/>
      <c r="R42" s="117"/>
      <c r="S42" s="116"/>
      <c r="T42" s="128"/>
      <c r="U42" s="128"/>
      <c r="V42" s="128"/>
      <c r="W42" s="141"/>
      <c r="X42" s="43"/>
      <c r="Y42" s="146"/>
      <c r="Z42" s="131"/>
      <c r="AA42" s="148"/>
      <c r="AB42" s="148"/>
      <c r="AC42" s="149"/>
      <c r="AD42" s="149"/>
      <c r="AE42" s="43"/>
      <c r="AF42" s="149"/>
      <c r="AG42" s="43"/>
      <c r="AH42" s="154"/>
      <c r="AI42" s="149"/>
      <c r="AJ42" s="43"/>
      <c r="AK42" s="91"/>
      <c r="AL42" s="91"/>
      <c r="AM42" s="106">
        <f t="shared" si="13"/>
        <v>0</v>
      </c>
      <c r="AN42" s="91"/>
      <c r="AO42" s="91"/>
    </row>
    <row r="43" spans="1:41">
      <c r="A43" s="17" t="s">
        <v>77</v>
      </c>
      <c r="B43" s="1" t="s">
        <v>78</v>
      </c>
      <c r="C43" s="198">
        <f>SUM(C11:C42)</f>
        <v>35812.74000000002</v>
      </c>
      <c r="D43" s="198">
        <f t="shared" ref="D43:M43" si="15">SUM(D11:D42)</f>
        <v>5854.7800000000007</v>
      </c>
      <c r="E43" s="198">
        <f t="shared" si="15"/>
        <v>41667.520000000004</v>
      </c>
      <c r="F43" s="198">
        <f t="shared" si="15"/>
        <v>-425.08000000000021</v>
      </c>
      <c r="G43" s="198">
        <f t="shared" si="15"/>
        <v>2379.2599999999998</v>
      </c>
      <c r="H43" s="198">
        <f t="shared" si="15"/>
        <v>1078.5300000000002</v>
      </c>
      <c r="I43" s="198">
        <f t="shared" si="15"/>
        <v>3599.2099999999996</v>
      </c>
      <c r="J43" s="198">
        <f t="shared" si="15"/>
        <v>-0.67000000000000015</v>
      </c>
      <c r="K43" s="198">
        <f t="shared" si="15"/>
        <v>0</v>
      </c>
      <c r="L43" s="198">
        <f t="shared" si="15"/>
        <v>6631.25</v>
      </c>
      <c r="M43" s="198">
        <f t="shared" si="15"/>
        <v>35036.270000000004</v>
      </c>
      <c r="O43" s="114"/>
      <c r="P43" s="118"/>
      <c r="Q43" s="122"/>
      <c r="R43" s="122"/>
      <c r="S43" s="122"/>
      <c r="T43" s="131"/>
      <c r="U43" s="131"/>
      <c r="V43" s="131"/>
      <c r="W43" s="131"/>
      <c r="X43" s="144"/>
      <c r="Y43" s="131"/>
      <c r="Z43" s="131"/>
      <c r="AA43" s="149"/>
      <c r="AB43" s="149"/>
      <c r="AC43" s="149"/>
      <c r="AD43" s="149"/>
      <c r="AE43" s="144"/>
      <c r="AF43" s="149"/>
      <c r="AG43" s="144"/>
      <c r="AH43" s="149"/>
      <c r="AI43" s="149"/>
      <c r="AJ43" s="144"/>
      <c r="AK43" s="91"/>
      <c r="AL43" s="91"/>
      <c r="AM43" s="106">
        <f t="shared" si="13"/>
        <v>0</v>
      </c>
      <c r="AN43" s="91"/>
      <c r="AO43" s="91"/>
    </row>
    <row r="44" spans="1:41"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AJ44" s="30">
        <f>AJ43*0.16</f>
        <v>0</v>
      </c>
      <c r="AK44" s="91"/>
      <c r="AL44" s="91"/>
      <c r="AM44" s="106">
        <f t="shared" si="13"/>
        <v>0</v>
      </c>
      <c r="AO44" s="91"/>
    </row>
    <row r="45" spans="1:41">
      <c r="C45" s="76" t="s">
        <v>78</v>
      </c>
      <c r="D45" s="76" t="s">
        <v>78</v>
      </c>
      <c r="E45" s="76" t="s">
        <v>78</v>
      </c>
      <c r="F45" s="76" t="s">
        <v>78</v>
      </c>
      <c r="G45" s="76" t="s">
        <v>78</v>
      </c>
      <c r="H45" s="76" t="s">
        <v>78</v>
      </c>
      <c r="I45" s="76"/>
      <c r="J45" s="76" t="s">
        <v>78</v>
      </c>
      <c r="K45" s="76"/>
      <c r="L45" s="76" t="s">
        <v>78</v>
      </c>
      <c r="M45" s="76" t="s">
        <v>78</v>
      </c>
      <c r="O45" s="113" t="s">
        <v>184</v>
      </c>
      <c r="P45" s="113"/>
      <c r="Q45" s="107"/>
      <c r="R45" s="107"/>
      <c r="S45" s="107"/>
      <c r="T45" s="19"/>
      <c r="U45" s="19"/>
      <c r="V45" s="19"/>
      <c r="W45" s="19"/>
      <c r="X45" s="143"/>
      <c r="Y45" s="19"/>
      <c r="Z45" s="19"/>
      <c r="AA45" s="19"/>
      <c r="AB45" s="19"/>
      <c r="AC45" s="19"/>
      <c r="AD45" s="19"/>
      <c r="AE45" s="143"/>
      <c r="AF45" s="19">
        <f>+AF43-AF44</f>
        <v>0</v>
      </c>
      <c r="AG45" s="143"/>
      <c r="AH45" s="19"/>
      <c r="AI45" s="19"/>
      <c r="AJ45" s="143">
        <f>+AJ43+AJ44</f>
        <v>0</v>
      </c>
      <c r="AK45" s="91"/>
      <c r="AL45" s="91"/>
      <c r="AM45" s="106">
        <f t="shared" si="13"/>
        <v>0</v>
      </c>
      <c r="AN45" s="21">
        <v>112981.14</v>
      </c>
    </row>
    <row r="46" spans="1:41">
      <c r="A46" s="2" t="s">
        <v>78</v>
      </c>
      <c r="B46" s="1" t="s">
        <v>78</v>
      </c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</row>
    <row r="47" spans="1:41"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O47" s="112"/>
      <c r="P47" s="117"/>
      <c r="Q47" s="117"/>
      <c r="R47" s="117"/>
      <c r="S47" s="117"/>
      <c r="T47" s="130"/>
      <c r="U47" s="130"/>
      <c r="V47" s="130"/>
      <c r="W47" s="130"/>
      <c r="X47" s="43">
        <f>SUM(T47:W47)</f>
        <v>0</v>
      </c>
      <c r="Y47" s="146"/>
      <c r="Z47" s="146"/>
      <c r="AA47" s="148"/>
      <c r="AB47" s="148"/>
      <c r="AC47" s="148"/>
      <c r="AD47" s="148"/>
      <c r="AE47" s="43">
        <f>+X47-Y47</f>
        <v>0</v>
      </c>
      <c r="AF47" s="149">
        <f>+AE47*0.05</f>
        <v>0</v>
      </c>
      <c r="AG47" s="43">
        <f>+AE47-AA47-AD47</f>
        <v>0</v>
      </c>
      <c r="AH47" s="154">
        <f>IF(AE47&lt;3000,AE47*0.1,0)</f>
        <v>0</v>
      </c>
      <c r="AI47" s="149">
        <v>0</v>
      </c>
      <c r="AJ47" s="43">
        <f>+AE47+AH47+AI47</f>
        <v>0</v>
      </c>
      <c r="AK47" s="91"/>
      <c r="AL47" s="91"/>
      <c r="AM47" s="106">
        <f>+AK47+AL47-AG47</f>
        <v>0</v>
      </c>
    </row>
    <row r="48" spans="1:41">
      <c r="A48" s="1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AJ48" s="30" t="e">
        <f>SUM(AJ36:AJ47)</f>
        <v>#REF!</v>
      </c>
      <c r="AK48" s="91"/>
      <c r="AL48" s="91"/>
      <c r="AM48" s="106">
        <f>+AK48+AL48-AG48</f>
        <v>0</v>
      </c>
    </row>
    <row r="49" spans="1:39">
      <c r="A49" s="1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P49" s="108"/>
      <c r="Q49" s="108"/>
      <c r="R49" s="108"/>
      <c r="AJ49" s="30" t="e">
        <f>+AJ47+AJ48</f>
        <v>#REF!</v>
      </c>
      <c r="AK49" s="109"/>
      <c r="AL49" s="109"/>
      <c r="AM49" s="106">
        <f>+AK49+AL49-AG49</f>
        <v>0</v>
      </c>
    </row>
    <row r="50" spans="1:39">
      <c r="A50" s="1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P50" s="108"/>
      <c r="Q50" s="108"/>
      <c r="R50" s="108"/>
      <c r="AK50" s="91"/>
      <c r="AL50" s="91"/>
      <c r="AM50" s="91"/>
    </row>
    <row r="51" spans="1:39">
      <c r="A51" s="1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P51" s="91"/>
      <c r="AK51" s="91"/>
      <c r="AL51" s="91"/>
      <c r="AM51" s="91"/>
    </row>
    <row r="52" spans="1:39">
      <c r="A52" s="1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P52" s="91"/>
      <c r="AK52" s="91"/>
      <c r="AL52" s="91"/>
      <c r="AM52" s="91"/>
    </row>
    <row r="53" spans="1:39">
      <c r="A53" s="1"/>
      <c r="P53" s="91"/>
      <c r="AK53" s="91"/>
      <c r="AL53" s="91"/>
      <c r="AM53" s="91"/>
    </row>
    <row r="54" spans="1:39">
      <c r="A54" s="1"/>
      <c r="P54" s="91"/>
      <c r="AK54" s="91"/>
      <c r="AL54" s="91"/>
      <c r="AM54" s="91"/>
    </row>
    <row r="55" spans="1:39">
      <c r="A55" s="1"/>
      <c r="AK55" s="91"/>
      <c r="AL55" s="91"/>
      <c r="AM55" s="91"/>
    </row>
    <row r="56" spans="1:39">
      <c r="A56" s="1"/>
      <c r="AK56" s="91"/>
      <c r="AL56" s="91"/>
      <c r="AM56" s="91"/>
    </row>
    <row r="57" spans="1:39">
      <c r="A57" s="1"/>
      <c r="O57" s="103" t="s">
        <v>185</v>
      </c>
      <c r="P57" s="21"/>
      <c r="AK57" s="91"/>
      <c r="AL57" s="91"/>
      <c r="AM57" s="91"/>
    </row>
    <row r="58" spans="1:39">
      <c r="A58" s="1"/>
      <c r="O58" s="103" t="s">
        <v>186</v>
      </c>
      <c r="P58" s="21"/>
      <c r="AK58" s="91"/>
      <c r="AL58" s="91"/>
      <c r="AM58" s="91"/>
    </row>
    <row r="59" spans="1:39">
      <c r="A59" s="1"/>
      <c r="O59" s="103" t="s">
        <v>187</v>
      </c>
      <c r="P59" s="21"/>
      <c r="AK59" s="91"/>
      <c r="AL59" s="91"/>
      <c r="AM59" s="91"/>
    </row>
    <row r="60" spans="1:39">
      <c r="A60" s="1"/>
      <c r="O60" s="103" t="s">
        <v>188</v>
      </c>
      <c r="P60" s="21"/>
      <c r="AK60" s="91"/>
      <c r="AL60" s="91"/>
      <c r="AM60" s="91"/>
    </row>
    <row r="61" spans="1:39">
      <c r="A61" s="1"/>
      <c r="O61" s="103" t="s">
        <v>189</v>
      </c>
      <c r="P61" s="21"/>
      <c r="AK61" s="91"/>
      <c r="AL61" s="91"/>
      <c r="AM61" s="91"/>
    </row>
    <row r="62" spans="1:39">
      <c r="A62" s="1"/>
      <c r="O62" s="103" t="s">
        <v>190</v>
      </c>
      <c r="P62" s="21"/>
      <c r="AK62" s="91"/>
      <c r="AL62" s="91"/>
      <c r="AM62" s="91"/>
    </row>
    <row r="63" spans="1:39">
      <c r="A63" s="1"/>
      <c r="AK63" s="91"/>
      <c r="AL63" s="91"/>
      <c r="AM63" s="91"/>
    </row>
    <row r="64" spans="1:39">
      <c r="A64" s="1"/>
      <c r="AK64" s="91"/>
      <c r="AL64" s="91"/>
      <c r="AM64" s="91"/>
    </row>
    <row r="65" spans="1:39">
      <c r="A65" s="1"/>
      <c r="AK65" s="91"/>
      <c r="AL65" s="91"/>
      <c r="AM65" s="91"/>
    </row>
    <row r="66" spans="1:39">
      <c r="A66" s="1"/>
      <c r="AK66" s="91"/>
      <c r="AL66" s="91"/>
      <c r="AM66" s="91"/>
    </row>
    <row r="67" spans="1:39">
      <c r="A67" s="1"/>
      <c r="AK67" s="109"/>
      <c r="AL67" s="109"/>
      <c r="AM67" s="109"/>
    </row>
    <row r="68" spans="1:39">
      <c r="A68" s="1"/>
      <c r="AK68" s="91"/>
      <c r="AL68" s="91"/>
      <c r="AM68" s="91"/>
    </row>
    <row r="69" spans="1:39">
      <c r="A69" s="1"/>
      <c r="AK69" s="91"/>
      <c r="AL69" s="91"/>
      <c r="AM69" s="91"/>
    </row>
    <row r="70" spans="1:39">
      <c r="A70" s="1"/>
      <c r="AK70" s="91"/>
      <c r="AL70" s="91"/>
      <c r="AM70" s="91"/>
    </row>
    <row r="71" spans="1:39">
      <c r="A71" s="1"/>
      <c r="AK71" s="91"/>
      <c r="AL71" s="91"/>
      <c r="AM71" s="91"/>
    </row>
    <row r="72" spans="1:39">
      <c r="A72" s="1"/>
      <c r="AK72" s="91"/>
      <c r="AL72" s="91"/>
      <c r="AM72" s="91"/>
    </row>
    <row r="73" spans="1:39">
      <c r="A73" s="1"/>
      <c r="AK73" s="91"/>
      <c r="AL73" s="91"/>
      <c r="AM73" s="91"/>
    </row>
    <row r="74" spans="1:39">
      <c r="A74" s="1"/>
      <c r="AK74" s="91"/>
      <c r="AL74" s="91"/>
      <c r="AM74" s="91"/>
    </row>
    <row r="75" spans="1:39">
      <c r="A75" s="1"/>
      <c r="AK75" s="91"/>
      <c r="AL75" s="91"/>
      <c r="AM75" s="91"/>
    </row>
    <row r="76" spans="1:39">
      <c r="A76" s="1"/>
      <c r="AK76" s="91"/>
      <c r="AL76" s="91"/>
      <c r="AM76" s="91"/>
    </row>
    <row r="77" spans="1:39">
      <c r="A77" s="1"/>
      <c r="AK77" s="109"/>
      <c r="AL77" s="109"/>
      <c r="AM77" s="109"/>
    </row>
    <row r="78" spans="1:39">
      <c r="A78" s="1"/>
      <c r="AK78" s="91"/>
      <c r="AL78" s="91"/>
      <c r="AM78" s="91"/>
    </row>
    <row r="79" spans="1:39">
      <c r="A79" s="1"/>
      <c r="AK79" s="91"/>
      <c r="AL79" s="91"/>
      <c r="AM79" s="91"/>
    </row>
    <row r="80" spans="1:39">
      <c r="A80" s="1"/>
      <c r="AK80" s="91"/>
      <c r="AL80" s="91"/>
      <c r="AM80" s="91"/>
    </row>
    <row r="81" spans="1:39">
      <c r="A81" s="1"/>
      <c r="AK81" s="91"/>
      <c r="AL81" s="91"/>
      <c r="AM81" s="91"/>
    </row>
    <row r="82" spans="1:39">
      <c r="A82" s="1"/>
      <c r="AK82" s="91"/>
      <c r="AL82" s="91"/>
      <c r="AM82" s="91"/>
    </row>
    <row r="83" spans="1:39">
      <c r="A83" s="1"/>
      <c r="AK83" s="91"/>
      <c r="AL83" s="91"/>
      <c r="AM83" s="91"/>
    </row>
    <row r="84" spans="1:39">
      <c r="A84" s="1"/>
      <c r="AK84" s="91"/>
      <c r="AL84" s="91"/>
      <c r="AM84" s="91"/>
    </row>
    <row r="85" spans="1:39">
      <c r="A85" s="1"/>
      <c r="AK85" s="91"/>
      <c r="AL85" s="91"/>
      <c r="AM85" s="91"/>
    </row>
    <row r="86" spans="1:39">
      <c r="A86" s="1"/>
      <c r="AK86" s="91"/>
      <c r="AL86" s="91"/>
      <c r="AM86" s="91"/>
    </row>
    <row r="87" spans="1:39">
      <c r="A87" s="1"/>
      <c r="AK87" s="91"/>
      <c r="AL87" s="91"/>
      <c r="AM87" s="91"/>
    </row>
    <row r="88" spans="1:39">
      <c r="A88" s="1"/>
      <c r="AK88" s="91"/>
      <c r="AL88" s="91"/>
      <c r="AM88" s="91"/>
    </row>
    <row r="89" spans="1:39">
      <c r="A89" s="1"/>
      <c r="AK89" s="91"/>
      <c r="AL89" s="91"/>
      <c r="AM89" s="91"/>
    </row>
    <row r="90" spans="1:39">
      <c r="A90" s="1"/>
      <c r="AK90" s="91"/>
      <c r="AL90" s="91"/>
      <c r="AM90" s="91"/>
    </row>
    <row r="91" spans="1:39">
      <c r="A91" s="1"/>
      <c r="AK91" s="91"/>
      <c r="AL91" s="91"/>
      <c r="AM91" s="91"/>
    </row>
    <row r="92" spans="1:39">
      <c r="A92" s="1"/>
      <c r="AK92" s="91"/>
      <c r="AL92" s="91"/>
      <c r="AM92" s="91"/>
    </row>
    <row r="93" spans="1:39">
      <c r="A93" s="1"/>
      <c r="AK93" s="91"/>
      <c r="AL93" s="91"/>
      <c r="AM93" s="91"/>
    </row>
    <row r="94" spans="1:39">
      <c r="A94" s="1"/>
      <c r="AK94" s="91"/>
      <c r="AL94" s="91"/>
      <c r="AM94" s="91"/>
    </row>
    <row r="95" spans="1:39" ht="15.75" thickBot="1">
      <c r="A95" s="1"/>
      <c r="AK95" s="41">
        <f>SUM(AK11:AK94)</f>
        <v>0</v>
      </c>
      <c r="AL95" s="41">
        <f>SUM(AL11:AL94)</f>
        <v>0</v>
      </c>
      <c r="AM95" s="42"/>
    </row>
    <row r="96" spans="1:39" ht="15.75" thickTop="1">
      <c r="A96" s="1"/>
      <c r="AK96" s="30"/>
      <c r="AL96" s="30"/>
      <c r="AM96" s="30"/>
    </row>
    <row r="97" spans="1:39">
      <c r="A97" s="1"/>
      <c r="AK97" s="30"/>
      <c r="AL97" s="30"/>
      <c r="AM97" s="30"/>
    </row>
    <row r="98" spans="1:39">
      <c r="A98" s="1"/>
      <c r="AK98" s="35" t="e">
        <f>+AD98+#REF!+AJ98</f>
        <v>#REF!</v>
      </c>
      <c r="AL98" s="35" t="e">
        <f>+AE98+AJ98+AK98</f>
        <v>#REF!</v>
      </c>
      <c r="AM98" s="43"/>
    </row>
    <row r="99" spans="1:39">
      <c r="A99" s="1"/>
      <c r="AK99" s="35" t="e">
        <f>+AD99+#REF!+AJ99</f>
        <v>#REF!</v>
      </c>
      <c r="AL99" s="35" t="e">
        <f>+AE99+AJ99+AK99</f>
        <v>#REF!</v>
      </c>
      <c r="AM99" s="43"/>
    </row>
    <row r="100" spans="1:39">
      <c r="A100" s="1"/>
    </row>
    <row r="101" spans="1:39">
      <c r="A101" s="1"/>
    </row>
    <row r="102" spans="1:39">
      <c r="A102" s="1"/>
    </row>
  </sheetData>
  <mergeCells count="25">
    <mergeCell ref="AO5:AO6"/>
    <mergeCell ref="B1:D1"/>
    <mergeCell ref="B3:D3"/>
    <mergeCell ref="B4:D4"/>
    <mergeCell ref="AJ5:AJ6"/>
    <mergeCell ref="AI5:AI6"/>
    <mergeCell ref="AH5:AH6"/>
    <mergeCell ref="AG5:AG6"/>
    <mergeCell ref="AE5:AE6"/>
    <mergeCell ref="AD5:AD6"/>
    <mergeCell ref="AC5:AC6"/>
    <mergeCell ref="AB5:AB6"/>
    <mergeCell ref="AF5:AF6"/>
    <mergeCell ref="AK5:AL5"/>
    <mergeCell ref="AN5:AN6"/>
    <mergeCell ref="P5:P6"/>
    <mergeCell ref="O5:O6"/>
    <mergeCell ref="V5:V6"/>
    <mergeCell ref="W5:W6"/>
    <mergeCell ref="AA5:AA6"/>
    <mergeCell ref="X5:X6"/>
    <mergeCell ref="U5:U6"/>
    <mergeCell ref="S5:S6"/>
    <mergeCell ref="Q5:Q6"/>
    <mergeCell ref="Y5:Y6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RowHeight="15"/>
  <cols>
    <col min="2" max="2" width="27.5703125" bestFit="1" customWidth="1"/>
    <col min="5" max="5" width="13.42578125" customWidth="1"/>
    <col min="8" max="8" width="13.42578125" customWidth="1"/>
  </cols>
  <sheetData>
    <row r="1" spans="1:12" s="1" customFormat="1" ht="18" customHeight="1">
      <c r="A1" s="3" t="s">
        <v>0</v>
      </c>
      <c r="B1" s="211" t="s">
        <v>78</v>
      </c>
      <c r="C1" s="212"/>
      <c r="D1" s="212"/>
    </row>
    <row r="2" spans="1:12" s="1" customFormat="1" ht="24.95" customHeight="1">
      <c r="A2" s="4" t="s">
        <v>1</v>
      </c>
      <c r="B2" s="188" t="s">
        <v>232</v>
      </c>
      <c r="C2" s="189"/>
      <c r="D2" s="189"/>
    </row>
    <row r="3" spans="1:12" s="1" customFormat="1" ht="15.75" customHeight="1">
      <c r="A3" s="2"/>
      <c r="B3" s="213" t="s">
        <v>3</v>
      </c>
      <c r="C3" s="213"/>
      <c r="D3" s="213"/>
    </row>
    <row r="4" spans="1:12" s="1" customFormat="1">
      <c r="A4" s="2"/>
      <c r="B4" s="214" t="str">
        <f>+FACTURACIÓN!B4</f>
        <v>Periodo 33 al 33 Semanal del 10/08/2016 al 16/08/2016</v>
      </c>
      <c r="C4" s="212"/>
      <c r="D4" s="212"/>
    </row>
    <row r="5" spans="1:12" ht="15" customHeight="1">
      <c r="A5" s="2"/>
      <c r="B5" s="6" t="s">
        <v>193</v>
      </c>
      <c r="C5" s="1"/>
      <c r="D5" s="1"/>
      <c r="E5" s="1"/>
      <c r="F5" s="1"/>
      <c r="G5" s="1"/>
      <c r="H5" s="1"/>
      <c r="I5" s="1"/>
    </row>
    <row r="9" spans="1:12" ht="35.25" thickBot="1">
      <c r="A9" s="8" t="s">
        <v>5</v>
      </c>
      <c r="B9" s="9" t="s">
        <v>6</v>
      </c>
      <c r="C9" s="9" t="s">
        <v>203</v>
      </c>
      <c r="D9" s="9" t="s">
        <v>203</v>
      </c>
      <c r="E9" s="10" t="s">
        <v>9</v>
      </c>
      <c r="F9" s="9" t="s">
        <v>204</v>
      </c>
      <c r="G9" s="9" t="s">
        <v>13</v>
      </c>
      <c r="H9" s="10" t="s">
        <v>14</v>
      </c>
      <c r="I9" s="11" t="s">
        <v>15</v>
      </c>
    </row>
    <row r="10" spans="1:12" ht="15.75" thickTop="1">
      <c r="A10" s="12" t="s">
        <v>16</v>
      </c>
      <c r="B10" s="1"/>
      <c r="C10" s="1"/>
      <c r="D10" s="1"/>
      <c r="E10" s="1"/>
      <c r="F10" s="1"/>
      <c r="G10" s="1"/>
      <c r="H10" s="1"/>
      <c r="I10" s="1"/>
    </row>
    <row r="11" spans="1:12">
      <c r="A11" s="2"/>
      <c r="B11" s="1"/>
      <c r="C11" s="1"/>
      <c r="D11" s="1"/>
      <c r="E11" s="1"/>
      <c r="F11" s="1"/>
      <c r="G11" s="1"/>
      <c r="H11" s="1"/>
      <c r="I11" s="1"/>
    </row>
    <row r="12" spans="1:12">
      <c r="A12" s="2" t="s">
        <v>17</v>
      </c>
      <c r="B12" s="1" t="s">
        <v>18</v>
      </c>
      <c r="C12" s="76">
        <f>+FACTURACIÓN!K11</f>
        <v>473.66</v>
      </c>
      <c r="D12" s="76">
        <v>0</v>
      </c>
      <c r="E12" s="76">
        <f>SUM(C12:D12)</f>
        <v>473.66</v>
      </c>
      <c r="F12" s="76">
        <f>+C12*0.1</f>
        <v>47.366000000000007</v>
      </c>
      <c r="G12" s="76">
        <v>0</v>
      </c>
      <c r="H12" s="76">
        <f>SUM(F12:G12)</f>
        <v>47.366000000000007</v>
      </c>
      <c r="I12" s="76">
        <f>+E12-H12</f>
        <v>426.29400000000004</v>
      </c>
      <c r="J12" s="1" t="str">
        <f>IF(B12=L12,"si","no")</f>
        <v>si</v>
      </c>
      <c r="K12" s="2" t="s">
        <v>17</v>
      </c>
      <c r="L12" s="1" t="s">
        <v>18</v>
      </c>
    </row>
    <row r="13" spans="1:12">
      <c r="A13" s="2" t="s">
        <v>19</v>
      </c>
      <c r="B13" s="1" t="s">
        <v>20</v>
      </c>
      <c r="C13" s="76">
        <f>+FACTURACIÓN!K12</f>
        <v>0</v>
      </c>
      <c r="D13" s="76">
        <v>0</v>
      </c>
      <c r="E13" s="76">
        <f t="shared" ref="E13:E40" si="0">SUM(C13:D13)</f>
        <v>0</v>
      </c>
      <c r="F13" s="76">
        <f t="shared" ref="F13:F40" si="1">+C13*0.1</f>
        <v>0</v>
      </c>
      <c r="G13" s="76">
        <v>0</v>
      </c>
      <c r="H13" s="76">
        <f t="shared" ref="H13:H40" si="2">SUM(F13:G13)</f>
        <v>0</v>
      </c>
      <c r="I13" s="76">
        <f t="shared" ref="I13:I40" si="3">+E13-H13</f>
        <v>0</v>
      </c>
      <c r="J13" s="1" t="str">
        <f t="shared" ref="J13:J40" si="4">IF(B13=L13,"si","no")</f>
        <v>si</v>
      </c>
      <c r="K13" s="2" t="s">
        <v>19</v>
      </c>
      <c r="L13" s="1" t="s">
        <v>20</v>
      </c>
    </row>
    <row r="14" spans="1:12">
      <c r="A14" s="2" t="s">
        <v>21</v>
      </c>
      <c r="B14" s="1" t="s">
        <v>22</v>
      </c>
      <c r="C14" s="76">
        <f>+FACTURACIÓN!K13</f>
        <v>5736.95</v>
      </c>
      <c r="D14" s="76">
        <v>0</v>
      </c>
      <c r="E14" s="76">
        <f t="shared" si="0"/>
        <v>5736.95</v>
      </c>
      <c r="F14" s="76">
        <f>+C14*0.1</f>
        <v>573.69500000000005</v>
      </c>
      <c r="G14" s="76">
        <v>0</v>
      </c>
      <c r="H14" s="76">
        <f t="shared" si="2"/>
        <v>573.69500000000005</v>
      </c>
      <c r="I14" s="76">
        <f t="shared" si="3"/>
        <v>5163.2550000000001</v>
      </c>
      <c r="J14" s="1" t="str">
        <f t="shared" si="4"/>
        <v>si</v>
      </c>
      <c r="K14" s="2" t="s">
        <v>21</v>
      </c>
      <c r="L14" s="1" t="s">
        <v>22</v>
      </c>
    </row>
    <row r="15" spans="1:12">
      <c r="A15" s="2" t="s">
        <v>23</v>
      </c>
      <c r="B15" s="1" t="s">
        <v>24</v>
      </c>
      <c r="C15" s="76">
        <f>+FACTURACIÓN!K14</f>
        <v>0</v>
      </c>
      <c r="D15" s="76">
        <v>0</v>
      </c>
      <c r="E15" s="76">
        <f t="shared" si="0"/>
        <v>0</v>
      </c>
      <c r="F15" s="76">
        <f t="shared" si="1"/>
        <v>0</v>
      </c>
      <c r="G15" s="76">
        <v>0</v>
      </c>
      <c r="H15" s="76">
        <f t="shared" si="2"/>
        <v>0</v>
      </c>
      <c r="I15" s="76">
        <f t="shared" si="3"/>
        <v>0</v>
      </c>
      <c r="J15" s="1" t="str">
        <f t="shared" si="4"/>
        <v>si</v>
      </c>
      <c r="K15" s="2" t="s">
        <v>23</v>
      </c>
      <c r="L15" s="1" t="s">
        <v>24</v>
      </c>
    </row>
    <row r="16" spans="1:12">
      <c r="A16" s="2" t="s">
        <v>25</v>
      </c>
      <c r="B16" s="1" t="s">
        <v>26</v>
      </c>
      <c r="C16" s="76">
        <f>+FACTURACIÓN!K15</f>
        <v>0</v>
      </c>
      <c r="D16" s="76">
        <v>0</v>
      </c>
      <c r="E16" s="76">
        <f t="shared" si="0"/>
        <v>0</v>
      </c>
      <c r="F16" s="76">
        <f t="shared" si="1"/>
        <v>0</v>
      </c>
      <c r="G16" s="76">
        <v>0</v>
      </c>
      <c r="H16" s="76">
        <f t="shared" si="2"/>
        <v>0</v>
      </c>
      <c r="I16" s="76">
        <f t="shared" si="3"/>
        <v>0</v>
      </c>
      <c r="J16" s="1" t="str">
        <f t="shared" si="4"/>
        <v>si</v>
      </c>
      <c r="K16" s="2" t="s">
        <v>25</v>
      </c>
      <c r="L16" s="1" t="s">
        <v>26</v>
      </c>
    </row>
    <row r="17" spans="1:12">
      <c r="A17" s="2" t="s">
        <v>27</v>
      </c>
      <c r="B17" s="1" t="s">
        <v>28</v>
      </c>
      <c r="C17" s="76">
        <f>+FACTURACIÓN!K16</f>
        <v>2774.76</v>
      </c>
      <c r="D17" s="76">
        <v>0</v>
      </c>
      <c r="E17" s="76">
        <f t="shared" si="0"/>
        <v>2774.76</v>
      </c>
      <c r="F17" s="76">
        <f>+C17*0.1</f>
        <v>277.47600000000006</v>
      </c>
      <c r="G17" s="76">
        <v>0</v>
      </c>
      <c r="H17" s="76">
        <f t="shared" si="2"/>
        <v>277.47600000000006</v>
      </c>
      <c r="I17" s="76">
        <f t="shared" si="3"/>
        <v>2497.2840000000001</v>
      </c>
      <c r="J17" s="1" t="str">
        <f t="shared" si="4"/>
        <v>si</v>
      </c>
      <c r="K17" s="2" t="s">
        <v>27</v>
      </c>
      <c r="L17" s="1" t="s">
        <v>28</v>
      </c>
    </row>
    <row r="18" spans="1:12">
      <c r="A18" s="2" t="s">
        <v>29</v>
      </c>
      <c r="B18" s="1" t="s">
        <v>30</v>
      </c>
      <c r="C18" s="76">
        <f>+FACTURACIÓN!K17</f>
        <v>0</v>
      </c>
      <c r="D18" s="76">
        <v>0</v>
      </c>
      <c r="E18" s="76">
        <f t="shared" si="0"/>
        <v>0</v>
      </c>
      <c r="F18" s="76">
        <f t="shared" si="1"/>
        <v>0</v>
      </c>
      <c r="G18" s="76">
        <v>0</v>
      </c>
      <c r="H18" s="76">
        <f t="shared" si="2"/>
        <v>0</v>
      </c>
      <c r="I18" s="76">
        <f t="shared" si="3"/>
        <v>0</v>
      </c>
      <c r="J18" s="1" t="str">
        <f t="shared" si="4"/>
        <v>si</v>
      </c>
      <c r="K18" s="2" t="s">
        <v>29</v>
      </c>
      <c r="L18" s="1" t="s">
        <v>30</v>
      </c>
    </row>
    <row r="19" spans="1:12">
      <c r="A19" s="2" t="s">
        <v>31</v>
      </c>
      <c r="B19" s="1" t="s">
        <v>32</v>
      </c>
      <c r="C19" s="76">
        <f>+FACTURACIÓN!K18</f>
        <v>0</v>
      </c>
      <c r="D19" s="76">
        <v>0</v>
      </c>
      <c r="E19" s="76">
        <f t="shared" si="0"/>
        <v>0</v>
      </c>
      <c r="F19" s="76">
        <f t="shared" si="1"/>
        <v>0</v>
      </c>
      <c r="G19" s="76">
        <v>0</v>
      </c>
      <c r="H19" s="76">
        <f t="shared" si="2"/>
        <v>0</v>
      </c>
      <c r="I19" s="76">
        <f t="shared" si="3"/>
        <v>0</v>
      </c>
      <c r="J19" s="1" t="str">
        <f t="shared" si="4"/>
        <v>si</v>
      </c>
      <c r="K19" s="2" t="s">
        <v>31</v>
      </c>
      <c r="L19" s="1" t="s">
        <v>32</v>
      </c>
    </row>
    <row r="20" spans="1:12">
      <c r="A20" s="2" t="s">
        <v>33</v>
      </c>
      <c r="B20" s="1" t="s">
        <v>34</v>
      </c>
      <c r="C20" s="76">
        <f>+FACTURACIÓN!K19</f>
        <v>5535.26</v>
      </c>
      <c r="D20" s="76">
        <v>0</v>
      </c>
      <c r="E20" s="76">
        <f t="shared" si="0"/>
        <v>5535.26</v>
      </c>
      <c r="F20" s="76">
        <f>+C20*0.1</f>
        <v>553.52600000000007</v>
      </c>
      <c r="G20" s="76">
        <v>0</v>
      </c>
      <c r="H20" s="76">
        <f t="shared" si="2"/>
        <v>553.52600000000007</v>
      </c>
      <c r="I20" s="76">
        <f t="shared" si="3"/>
        <v>4981.7340000000004</v>
      </c>
      <c r="J20" s="1" t="str">
        <f t="shared" si="4"/>
        <v>si</v>
      </c>
      <c r="K20" s="2" t="s">
        <v>33</v>
      </c>
      <c r="L20" s="1" t="s">
        <v>34</v>
      </c>
    </row>
    <row r="21" spans="1:12">
      <c r="A21" s="2" t="s">
        <v>35</v>
      </c>
      <c r="B21" s="1" t="s">
        <v>36</v>
      </c>
      <c r="C21" s="76">
        <f>+FACTURACIÓN!K20</f>
        <v>2548.54</v>
      </c>
      <c r="D21" s="76">
        <v>0</v>
      </c>
      <c r="E21" s="76">
        <f t="shared" si="0"/>
        <v>2548.54</v>
      </c>
      <c r="F21" s="76">
        <f>+C21*0.1</f>
        <v>254.85400000000001</v>
      </c>
      <c r="G21" s="76">
        <v>0</v>
      </c>
      <c r="H21" s="76">
        <f t="shared" si="2"/>
        <v>254.85400000000001</v>
      </c>
      <c r="I21" s="76">
        <f t="shared" si="3"/>
        <v>2293.6860000000001</v>
      </c>
      <c r="J21" s="1" t="str">
        <f t="shared" si="4"/>
        <v>si</v>
      </c>
      <c r="K21" s="2" t="s">
        <v>35</v>
      </c>
      <c r="L21" s="1" t="s">
        <v>36</v>
      </c>
    </row>
    <row r="22" spans="1:12">
      <c r="A22" s="2" t="s">
        <v>37</v>
      </c>
      <c r="B22" s="1" t="s">
        <v>38</v>
      </c>
      <c r="C22" s="76">
        <f>+FACTURACIÓN!K21</f>
        <v>9432.1299999999992</v>
      </c>
      <c r="D22" s="76">
        <v>0</v>
      </c>
      <c r="E22" s="76">
        <f t="shared" si="0"/>
        <v>9432.1299999999992</v>
      </c>
      <c r="F22" s="76">
        <f>+C22*0.1</f>
        <v>943.21299999999997</v>
      </c>
      <c r="G22" s="76">
        <v>0</v>
      </c>
      <c r="H22" s="76">
        <f t="shared" si="2"/>
        <v>943.21299999999997</v>
      </c>
      <c r="I22" s="76">
        <f t="shared" si="3"/>
        <v>8488.9169999999995</v>
      </c>
      <c r="J22" s="1" t="str">
        <f t="shared" si="4"/>
        <v>si</v>
      </c>
      <c r="K22" s="2" t="s">
        <v>37</v>
      </c>
      <c r="L22" s="1" t="s">
        <v>38</v>
      </c>
    </row>
    <row r="23" spans="1:12">
      <c r="A23" s="2" t="s">
        <v>39</v>
      </c>
      <c r="B23" s="1" t="s">
        <v>40</v>
      </c>
      <c r="C23" s="76">
        <f>+FACTURACIÓN!K22</f>
        <v>2440.34</v>
      </c>
      <c r="D23" s="76">
        <v>0</v>
      </c>
      <c r="E23" s="76">
        <f t="shared" si="0"/>
        <v>2440.34</v>
      </c>
      <c r="F23" s="76">
        <f>+C23*0.1</f>
        <v>244.03400000000002</v>
      </c>
      <c r="G23" s="76">
        <v>0</v>
      </c>
      <c r="H23" s="76">
        <f t="shared" si="2"/>
        <v>244.03400000000002</v>
      </c>
      <c r="I23" s="76">
        <f t="shared" si="3"/>
        <v>2196.306</v>
      </c>
      <c r="J23" s="1" t="str">
        <f t="shared" si="4"/>
        <v>si</v>
      </c>
      <c r="K23" s="2" t="s">
        <v>39</v>
      </c>
      <c r="L23" s="1" t="s">
        <v>40</v>
      </c>
    </row>
    <row r="24" spans="1:12">
      <c r="A24" s="2" t="s">
        <v>41</v>
      </c>
      <c r="B24" s="1" t="s">
        <v>42</v>
      </c>
      <c r="C24" s="76">
        <f>+FACTURACIÓN!K23</f>
        <v>11215.49</v>
      </c>
      <c r="D24" s="76">
        <v>0</v>
      </c>
      <c r="E24" s="76">
        <f t="shared" si="0"/>
        <v>11215.49</v>
      </c>
      <c r="F24" s="76">
        <f>+C24*0.1</f>
        <v>1121.549</v>
      </c>
      <c r="G24" s="76">
        <v>0</v>
      </c>
      <c r="H24" s="76">
        <f t="shared" si="2"/>
        <v>1121.549</v>
      </c>
      <c r="I24" s="76">
        <f t="shared" si="3"/>
        <v>10093.940999999999</v>
      </c>
      <c r="J24" s="1" t="str">
        <f t="shared" si="4"/>
        <v>si</v>
      </c>
      <c r="K24" s="2" t="s">
        <v>41</v>
      </c>
      <c r="L24" s="1" t="s">
        <v>42</v>
      </c>
    </row>
    <row r="25" spans="1:12">
      <c r="A25" s="2" t="s">
        <v>43</v>
      </c>
      <c r="B25" s="1" t="s">
        <v>44</v>
      </c>
      <c r="C25" s="76">
        <f>+FACTURACIÓN!K24</f>
        <v>9157.56</v>
      </c>
      <c r="D25" s="76">
        <v>0</v>
      </c>
      <c r="E25" s="76">
        <f t="shared" si="0"/>
        <v>9157.56</v>
      </c>
      <c r="F25" s="76">
        <f t="shared" si="1"/>
        <v>915.75599999999997</v>
      </c>
      <c r="G25" s="76">
        <v>0</v>
      </c>
      <c r="H25" s="76">
        <f t="shared" si="2"/>
        <v>915.75599999999997</v>
      </c>
      <c r="I25" s="76">
        <f t="shared" si="3"/>
        <v>8241.8040000000001</v>
      </c>
      <c r="J25" s="1" t="str">
        <f t="shared" si="4"/>
        <v>si</v>
      </c>
      <c r="K25" s="2" t="s">
        <v>43</v>
      </c>
      <c r="L25" s="1" t="s">
        <v>44</v>
      </c>
    </row>
    <row r="26" spans="1:12">
      <c r="A26" s="2" t="s">
        <v>45</v>
      </c>
      <c r="B26" s="1" t="s">
        <v>46</v>
      </c>
      <c r="C26" s="76">
        <f>+FACTURACIÓN!K25</f>
        <v>1118.46</v>
      </c>
      <c r="D26" s="76">
        <v>0</v>
      </c>
      <c r="E26" s="76">
        <f t="shared" si="0"/>
        <v>1118.46</v>
      </c>
      <c r="F26" s="76">
        <f t="shared" si="1"/>
        <v>111.846</v>
      </c>
      <c r="G26" s="76">
        <v>0</v>
      </c>
      <c r="H26" s="76">
        <f t="shared" si="2"/>
        <v>111.846</v>
      </c>
      <c r="I26" s="76">
        <f t="shared" si="3"/>
        <v>1006.614</v>
      </c>
      <c r="J26" s="1" t="str">
        <f t="shared" si="4"/>
        <v>si</v>
      </c>
      <c r="K26" s="2" t="s">
        <v>45</v>
      </c>
      <c r="L26" s="1" t="s">
        <v>46</v>
      </c>
    </row>
    <row r="27" spans="1:12">
      <c r="A27" s="2" t="s">
        <v>48</v>
      </c>
      <c r="B27" s="1" t="s">
        <v>49</v>
      </c>
      <c r="C27" s="76">
        <f>+FACTURACIÓN!K26</f>
        <v>0</v>
      </c>
      <c r="D27" s="76">
        <v>0</v>
      </c>
      <c r="E27" s="76">
        <f t="shared" si="0"/>
        <v>0</v>
      </c>
      <c r="F27" s="76">
        <f t="shared" si="1"/>
        <v>0</v>
      </c>
      <c r="G27" s="76">
        <v>0</v>
      </c>
      <c r="H27" s="76">
        <f t="shared" si="2"/>
        <v>0</v>
      </c>
      <c r="I27" s="76">
        <f t="shared" si="3"/>
        <v>0</v>
      </c>
      <c r="J27" s="1" t="str">
        <f t="shared" si="4"/>
        <v>si</v>
      </c>
      <c r="K27" s="2" t="s">
        <v>48</v>
      </c>
      <c r="L27" s="1" t="s">
        <v>49</v>
      </c>
    </row>
    <row r="28" spans="1:12">
      <c r="A28" s="2" t="s">
        <v>50</v>
      </c>
      <c r="B28" s="1" t="s">
        <v>51</v>
      </c>
      <c r="C28" s="76">
        <f>+FACTURACIÓN!K27</f>
        <v>21195.35</v>
      </c>
      <c r="D28" s="76">
        <v>0</v>
      </c>
      <c r="E28" s="76">
        <f t="shared" si="0"/>
        <v>21195.35</v>
      </c>
      <c r="F28" s="76">
        <f t="shared" si="1"/>
        <v>2119.5349999999999</v>
      </c>
      <c r="G28" s="76">
        <v>0</v>
      </c>
      <c r="H28" s="76">
        <f t="shared" si="2"/>
        <v>2119.5349999999999</v>
      </c>
      <c r="I28" s="76">
        <f t="shared" si="3"/>
        <v>19075.814999999999</v>
      </c>
      <c r="J28" s="1" t="str">
        <f t="shared" si="4"/>
        <v>si</v>
      </c>
      <c r="K28" s="2" t="s">
        <v>50</v>
      </c>
      <c r="L28" s="1" t="s">
        <v>51</v>
      </c>
    </row>
    <row r="29" spans="1:12">
      <c r="A29" s="2" t="s">
        <v>52</v>
      </c>
      <c r="B29" s="1" t="s">
        <v>53</v>
      </c>
      <c r="C29" s="76">
        <f>+FACTURACIÓN!K28</f>
        <v>1690.1</v>
      </c>
      <c r="D29" s="76">
        <v>0</v>
      </c>
      <c r="E29" s="76">
        <f t="shared" si="0"/>
        <v>1690.1</v>
      </c>
      <c r="F29" s="76">
        <f t="shared" si="1"/>
        <v>169.01</v>
      </c>
      <c r="G29" s="76">
        <v>0</v>
      </c>
      <c r="H29" s="76">
        <f t="shared" si="2"/>
        <v>169.01</v>
      </c>
      <c r="I29" s="76">
        <f t="shared" si="3"/>
        <v>1521.09</v>
      </c>
      <c r="J29" s="1" t="str">
        <f t="shared" si="4"/>
        <v>si</v>
      </c>
      <c r="K29" s="2" t="s">
        <v>52</v>
      </c>
      <c r="L29" s="1" t="s">
        <v>53</v>
      </c>
    </row>
    <row r="30" spans="1:12">
      <c r="A30" s="2" t="s">
        <v>54</v>
      </c>
      <c r="B30" s="1" t="s">
        <v>55</v>
      </c>
      <c r="C30" s="76">
        <f>+FACTURACIÓN!K29</f>
        <v>3617.38</v>
      </c>
      <c r="D30" s="76">
        <v>0</v>
      </c>
      <c r="E30" s="76">
        <f t="shared" si="0"/>
        <v>3617.38</v>
      </c>
      <c r="F30" s="76">
        <f t="shared" si="1"/>
        <v>361.73800000000006</v>
      </c>
      <c r="G30" s="76">
        <v>0</v>
      </c>
      <c r="H30" s="76">
        <f t="shared" si="2"/>
        <v>361.73800000000006</v>
      </c>
      <c r="I30" s="76">
        <f t="shared" si="3"/>
        <v>3255.6419999999998</v>
      </c>
      <c r="J30" s="1" t="str">
        <f t="shared" si="4"/>
        <v>si</v>
      </c>
      <c r="K30" s="2" t="s">
        <v>54</v>
      </c>
      <c r="L30" s="1" t="s">
        <v>55</v>
      </c>
    </row>
    <row r="31" spans="1:12">
      <c r="A31" s="2" t="s">
        <v>56</v>
      </c>
      <c r="B31" s="1" t="s">
        <v>57</v>
      </c>
      <c r="C31" s="76">
        <f>+FACTURACIÓN!K30</f>
        <v>3575.66</v>
      </c>
      <c r="D31" s="76">
        <v>0</v>
      </c>
      <c r="E31" s="76">
        <f t="shared" si="0"/>
        <v>3575.66</v>
      </c>
      <c r="F31" s="76">
        <f t="shared" si="1"/>
        <v>357.56600000000003</v>
      </c>
      <c r="G31" s="76">
        <v>0</v>
      </c>
      <c r="H31" s="76">
        <f t="shared" si="2"/>
        <v>357.56600000000003</v>
      </c>
      <c r="I31" s="76">
        <f t="shared" si="3"/>
        <v>3218.0940000000001</v>
      </c>
      <c r="J31" s="1" t="str">
        <f t="shared" si="4"/>
        <v>si</v>
      </c>
      <c r="K31" s="2" t="s">
        <v>56</v>
      </c>
      <c r="L31" s="1" t="s">
        <v>57</v>
      </c>
    </row>
    <row r="32" spans="1:12">
      <c r="A32" s="2" t="s">
        <v>58</v>
      </c>
      <c r="B32" s="1" t="s">
        <v>59</v>
      </c>
      <c r="C32" s="76">
        <f>+FACTURACIÓN!K31</f>
        <v>0</v>
      </c>
      <c r="D32" s="76">
        <v>0</v>
      </c>
      <c r="E32" s="76">
        <f t="shared" si="0"/>
        <v>0</v>
      </c>
      <c r="F32" s="76">
        <f t="shared" si="1"/>
        <v>0</v>
      </c>
      <c r="G32" s="76">
        <v>0</v>
      </c>
      <c r="H32" s="76">
        <f t="shared" si="2"/>
        <v>0</v>
      </c>
      <c r="I32" s="76">
        <f t="shared" si="3"/>
        <v>0</v>
      </c>
      <c r="J32" s="1" t="str">
        <f t="shared" si="4"/>
        <v>si</v>
      </c>
      <c r="K32" s="2" t="s">
        <v>58</v>
      </c>
      <c r="L32" s="1" t="s">
        <v>59</v>
      </c>
    </row>
    <row r="33" spans="1:12">
      <c r="A33" s="2" t="s">
        <v>60</v>
      </c>
      <c r="B33" s="1" t="s">
        <v>61</v>
      </c>
      <c r="C33" s="76">
        <f>+FACTURACIÓN!K32</f>
        <v>0</v>
      </c>
      <c r="D33" s="76">
        <v>0</v>
      </c>
      <c r="E33" s="76">
        <f t="shared" si="0"/>
        <v>0</v>
      </c>
      <c r="F33" s="76">
        <f t="shared" si="1"/>
        <v>0</v>
      </c>
      <c r="G33" s="76">
        <v>0</v>
      </c>
      <c r="H33" s="76">
        <f t="shared" si="2"/>
        <v>0</v>
      </c>
      <c r="I33" s="76">
        <f t="shared" si="3"/>
        <v>0</v>
      </c>
      <c r="J33" s="1" t="str">
        <f t="shared" si="4"/>
        <v>si</v>
      </c>
      <c r="K33" s="2" t="s">
        <v>60</v>
      </c>
      <c r="L33" s="1" t="s">
        <v>61</v>
      </c>
    </row>
    <row r="34" spans="1:12">
      <c r="A34" s="2" t="s">
        <v>62</v>
      </c>
      <c r="B34" s="1" t="s">
        <v>63</v>
      </c>
      <c r="C34" s="76">
        <f>+FACTURACIÓN!K33</f>
        <v>0</v>
      </c>
      <c r="D34" s="76">
        <v>0</v>
      </c>
      <c r="E34" s="76">
        <f t="shared" si="0"/>
        <v>0</v>
      </c>
      <c r="F34" s="76">
        <f t="shared" si="1"/>
        <v>0</v>
      </c>
      <c r="G34" s="76">
        <v>0</v>
      </c>
      <c r="H34" s="76">
        <f t="shared" si="2"/>
        <v>0</v>
      </c>
      <c r="I34" s="76">
        <f t="shared" si="3"/>
        <v>0</v>
      </c>
      <c r="J34" s="1" t="str">
        <f t="shared" si="4"/>
        <v>si</v>
      </c>
      <c r="K34" s="2" t="s">
        <v>62</v>
      </c>
      <c r="L34" s="1" t="s">
        <v>63</v>
      </c>
    </row>
    <row r="35" spans="1:12">
      <c r="A35" s="2" t="s">
        <v>64</v>
      </c>
      <c r="B35" s="1" t="s">
        <v>65</v>
      </c>
      <c r="C35" s="76">
        <f>+FACTURACIÓN!K34</f>
        <v>9693.0299999999988</v>
      </c>
      <c r="D35" s="76">
        <v>0</v>
      </c>
      <c r="E35" s="76">
        <f t="shared" si="0"/>
        <v>9693.0299999999988</v>
      </c>
      <c r="F35" s="76">
        <f t="shared" si="1"/>
        <v>969.30299999999988</v>
      </c>
      <c r="G35" s="76">
        <v>0</v>
      </c>
      <c r="H35" s="76">
        <f t="shared" si="2"/>
        <v>969.30299999999988</v>
      </c>
      <c r="I35" s="76">
        <f t="shared" si="3"/>
        <v>8723.726999999999</v>
      </c>
      <c r="J35" s="1" t="str">
        <f t="shared" si="4"/>
        <v>si</v>
      </c>
      <c r="K35" s="2" t="s">
        <v>64</v>
      </c>
      <c r="L35" s="1" t="s">
        <v>65</v>
      </c>
    </row>
    <row r="36" spans="1:12">
      <c r="A36" s="2" t="s">
        <v>66</v>
      </c>
      <c r="B36" s="1" t="s">
        <v>67</v>
      </c>
      <c r="C36" s="76">
        <f>+FACTURACIÓN!K35</f>
        <v>1407.62</v>
      </c>
      <c r="D36" s="76">
        <v>0</v>
      </c>
      <c r="E36" s="76">
        <f t="shared" si="0"/>
        <v>1407.62</v>
      </c>
      <c r="F36" s="76">
        <f t="shared" si="1"/>
        <v>140.762</v>
      </c>
      <c r="G36" s="76">
        <v>0</v>
      </c>
      <c r="H36" s="76">
        <f t="shared" si="2"/>
        <v>140.762</v>
      </c>
      <c r="I36" s="76">
        <f t="shared" si="3"/>
        <v>1266.8579999999999</v>
      </c>
      <c r="J36" s="1" t="str">
        <f t="shared" si="4"/>
        <v>si</v>
      </c>
      <c r="K36" s="2" t="s">
        <v>66</v>
      </c>
      <c r="L36" s="1" t="s">
        <v>67</v>
      </c>
    </row>
    <row r="37" spans="1:12">
      <c r="A37" s="2" t="s">
        <v>68</v>
      </c>
      <c r="B37" s="1" t="s">
        <v>69</v>
      </c>
      <c r="C37" s="76">
        <f>+FACTURACIÓN!K36</f>
        <v>0</v>
      </c>
      <c r="D37" s="76">
        <v>0</v>
      </c>
      <c r="E37" s="76">
        <f t="shared" si="0"/>
        <v>0</v>
      </c>
      <c r="F37" s="76">
        <f t="shared" si="1"/>
        <v>0</v>
      </c>
      <c r="G37" s="76">
        <v>0</v>
      </c>
      <c r="H37" s="76">
        <f t="shared" si="2"/>
        <v>0</v>
      </c>
      <c r="I37" s="76">
        <f t="shared" si="3"/>
        <v>0</v>
      </c>
      <c r="J37" s="1" t="str">
        <f t="shared" si="4"/>
        <v>si</v>
      </c>
      <c r="K37" s="2" t="s">
        <v>68</v>
      </c>
      <c r="L37" s="1" t="s">
        <v>69</v>
      </c>
    </row>
    <row r="38" spans="1:12">
      <c r="A38" s="2" t="s">
        <v>70</v>
      </c>
      <c r="B38" s="1" t="s">
        <v>71</v>
      </c>
      <c r="C38" s="76">
        <f>+FACTURACIÓN!K37</f>
        <v>3307.06</v>
      </c>
      <c r="D38" s="76">
        <v>0</v>
      </c>
      <c r="E38" s="76">
        <f t="shared" si="0"/>
        <v>3307.06</v>
      </c>
      <c r="F38" s="76">
        <f t="shared" si="1"/>
        <v>330.70600000000002</v>
      </c>
      <c r="G38" s="76">
        <v>0</v>
      </c>
      <c r="H38" s="76">
        <f t="shared" si="2"/>
        <v>330.70600000000002</v>
      </c>
      <c r="I38" s="76">
        <f t="shared" si="3"/>
        <v>2976.3539999999998</v>
      </c>
      <c r="J38" s="1" t="str">
        <f t="shared" si="4"/>
        <v>si</v>
      </c>
      <c r="K38" s="2" t="s">
        <v>70</v>
      </c>
      <c r="L38" s="1" t="s">
        <v>71</v>
      </c>
    </row>
    <row r="39" spans="1:12">
      <c r="A39" s="2" t="s">
        <v>72</v>
      </c>
      <c r="B39" s="1" t="s">
        <v>73</v>
      </c>
      <c r="C39" s="76">
        <f>+FACTURACIÓN!K38</f>
        <v>0</v>
      </c>
      <c r="D39" s="76">
        <v>0</v>
      </c>
      <c r="E39" s="76">
        <f t="shared" si="0"/>
        <v>0</v>
      </c>
      <c r="F39" s="76">
        <f t="shared" si="1"/>
        <v>0</v>
      </c>
      <c r="G39" s="76">
        <v>0</v>
      </c>
      <c r="H39" s="76">
        <f t="shared" si="2"/>
        <v>0</v>
      </c>
      <c r="I39" s="76">
        <f t="shared" si="3"/>
        <v>0</v>
      </c>
      <c r="J39" s="1" t="str">
        <f t="shared" si="4"/>
        <v>si</v>
      </c>
      <c r="K39" s="2" t="s">
        <v>72</v>
      </c>
      <c r="L39" s="1" t="s">
        <v>73</v>
      </c>
    </row>
    <row r="40" spans="1:12">
      <c r="A40" s="2" t="s">
        <v>74</v>
      </c>
      <c r="B40" s="1" t="s">
        <v>75</v>
      </c>
      <c r="C40" s="76">
        <f>+FACTURACIÓN!K39</f>
        <v>8013.43</v>
      </c>
      <c r="D40" s="76">
        <v>0</v>
      </c>
      <c r="E40" s="76">
        <f t="shared" si="0"/>
        <v>8013.43</v>
      </c>
      <c r="F40" s="76">
        <f t="shared" si="1"/>
        <v>801.34300000000007</v>
      </c>
      <c r="G40" s="76">
        <v>0</v>
      </c>
      <c r="H40" s="76">
        <f t="shared" si="2"/>
        <v>801.34300000000007</v>
      </c>
      <c r="I40" s="76">
        <f t="shared" si="3"/>
        <v>7212.0870000000004</v>
      </c>
      <c r="J40" s="1" t="str">
        <f t="shared" si="4"/>
        <v>si</v>
      </c>
      <c r="K40" s="2" t="s">
        <v>74</v>
      </c>
      <c r="L40" s="1" t="s">
        <v>75</v>
      </c>
    </row>
    <row r="41" spans="1:12">
      <c r="A41" s="2"/>
      <c r="B41" s="1"/>
      <c r="C41" s="1"/>
      <c r="D41" s="1"/>
      <c r="E41" s="1"/>
      <c r="F41" s="1"/>
      <c r="G41" s="1"/>
      <c r="H41" s="1"/>
      <c r="I41" s="1"/>
    </row>
    <row r="42" spans="1:12">
      <c r="A42" s="2"/>
      <c r="B42" s="1"/>
      <c r="C42" s="1"/>
      <c r="D42" s="1"/>
      <c r="E42" s="1"/>
      <c r="F42" s="1"/>
      <c r="G42" s="1"/>
      <c r="H42" s="1"/>
      <c r="I42" s="1"/>
    </row>
    <row r="43" spans="1:12">
      <c r="A43" s="14"/>
      <c r="B43" s="7"/>
      <c r="C43" s="7" t="s">
        <v>76</v>
      </c>
      <c r="D43" s="7" t="s">
        <v>76</v>
      </c>
      <c r="E43" s="7" t="s">
        <v>76</v>
      </c>
      <c r="F43" s="7" t="s">
        <v>76</v>
      </c>
      <c r="G43" s="7" t="s">
        <v>76</v>
      </c>
      <c r="H43" s="7" t="s">
        <v>76</v>
      </c>
      <c r="I43" s="7" t="s">
        <v>76</v>
      </c>
    </row>
    <row r="44" spans="1:12">
      <c r="A44" s="17" t="s">
        <v>77</v>
      </c>
      <c r="B44" s="1" t="s">
        <v>78</v>
      </c>
      <c r="C44" s="16">
        <f>SUM(C12:C43)</f>
        <v>102932.78</v>
      </c>
      <c r="D44" s="16">
        <f t="shared" ref="D44:I44" si="5">SUM(D12:D43)</f>
        <v>0</v>
      </c>
      <c r="E44" s="16">
        <f t="shared" si="5"/>
        <v>102932.78</v>
      </c>
      <c r="F44" s="16">
        <f t="shared" si="5"/>
        <v>10293.278000000002</v>
      </c>
      <c r="G44" s="16">
        <f t="shared" si="5"/>
        <v>0</v>
      </c>
      <c r="H44" s="16">
        <f t="shared" si="5"/>
        <v>10293.278000000002</v>
      </c>
      <c r="I44" s="16">
        <f t="shared" si="5"/>
        <v>92639.502000000008</v>
      </c>
    </row>
    <row r="45" spans="1:12">
      <c r="A45" s="2"/>
      <c r="B45" s="1"/>
      <c r="C45" s="1">
        <v>0</v>
      </c>
      <c r="D45" s="1"/>
      <c r="E45" s="1"/>
      <c r="F45" s="1"/>
      <c r="G45" s="1"/>
      <c r="H45" s="1"/>
      <c r="I45" s="13"/>
    </row>
  </sheetData>
  <mergeCells count="3">
    <mergeCell ref="B1:D1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4"/>
  <sheetViews>
    <sheetView workbookViewId="0"/>
  </sheetViews>
  <sheetFormatPr baseColWidth="10" defaultRowHeight="15"/>
  <cols>
    <col min="2" max="2" width="35.85546875" customWidth="1"/>
    <col min="7" max="7" width="15.85546875" customWidth="1"/>
    <col min="8" max="8" width="13.7109375" bestFit="1" customWidth="1"/>
    <col min="9" max="9" width="54" style="166" bestFit="1" customWidth="1"/>
    <col min="10" max="10" width="8.42578125" customWidth="1"/>
    <col min="11" max="11" width="17.85546875" customWidth="1"/>
    <col min="12" max="12" width="14.85546875" customWidth="1"/>
    <col min="13" max="14" width="54" bestFit="1" customWidth="1"/>
    <col min="258" max="258" width="35.85546875" customWidth="1"/>
    <col min="264" max="264" width="13.7109375" bestFit="1" customWidth="1"/>
    <col min="265" max="265" width="54" bestFit="1" customWidth="1"/>
    <col min="266" max="266" width="0" hidden="1" customWidth="1"/>
    <col min="268" max="268" width="14.85546875" customWidth="1"/>
    <col min="269" max="270" width="54" bestFit="1" customWidth="1"/>
    <col min="514" max="514" width="35.85546875" customWidth="1"/>
    <col min="520" max="520" width="13.7109375" bestFit="1" customWidth="1"/>
    <col min="521" max="521" width="54" bestFit="1" customWidth="1"/>
    <col min="522" max="522" width="0" hidden="1" customWidth="1"/>
    <col min="524" max="524" width="14.85546875" customWidth="1"/>
    <col min="525" max="526" width="54" bestFit="1" customWidth="1"/>
    <col min="770" max="770" width="35.85546875" customWidth="1"/>
    <col min="776" max="776" width="13.7109375" bestFit="1" customWidth="1"/>
    <col min="777" max="777" width="54" bestFit="1" customWidth="1"/>
    <col min="778" max="778" width="0" hidden="1" customWidth="1"/>
    <col min="780" max="780" width="14.85546875" customWidth="1"/>
    <col min="781" max="782" width="54" bestFit="1" customWidth="1"/>
    <col min="1026" max="1026" width="35.85546875" customWidth="1"/>
    <col min="1032" max="1032" width="13.7109375" bestFit="1" customWidth="1"/>
    <col min="1033" max="1033" width="54" bestFit="1" customWidth="1"/>
    <col min="1034" max="1034" width="0" hidden="1" customWidth="1"/>
    <col min="1036" max="1036" width="14.85546875" customWidth="1"/>
    <col min="1037" max="1038" width="54" bestFit="1" customWidth="1"/>
    <col min="1282" max="1282" width="35.85546875" customWidth="1"/>
    <col min="1288" max="1288" width="13.7109375" bestFit="1" customWidth="1"/>
    <col min="1289" max="1289" width="54" bestFit="1" customWidth="1"/>
    <col min="1290" max="1290" width="0" hidden="1" customWidth="1"/>
    <col min="1292" max="1292" width="14.85546875" customWidth="1"/>
    <col min="1293" max="1294" width="54" bestFit="1" customWidth="1"/>
    <col min="1538" max="1538" width="35.85546875" customWidth="1"/>
    <col min="1544" max="1544" width="13.7109375" bestFit="1" customWidth="1"/>
    <col min="1545" max="1545" width="54" bestFit="1" customWidth="1"/>
    <col min="1546" max="1546" width="0" hidden="1" customWidth="1"/>
    <col min="1548" max="1548" width="14.85546875" customWidth="1"/>
    <col min="1549" max="1550" width="54" bestFit="1" customWidth="1"/>
    <col min="1794" max="1794" width="35.85546875" customWidth="1"/>
    <col min="1800" max="1800" width="13.7109375" bestFit="1" customWidth="1"/>
    <col min="1801" max="1801" width="54" bestFit="1" customWidth="1"/>
    <col min="1802" max="1802" width="0" hidden="1" customWidth="1"/>
    <col min="1804" max="1804" width="14.85546875" customWidth="1"/>
    <col min="1805" max="1806" width="54" bestFit="1" customWidth="1"/>
    <col min="2050" max="2050" width="35.85546875" customWidth="1"/>
    <col min="2056" max="2056" width="13.7109375" bestFit="1" customWidth="1"/>
    <col min="2057" max="2057" width="54" bestFit="1" customWidth="1"/>
    <col min="2058" max="2058" width="0" hidden="1" customWidth="1"/>
    <col min="2060" max="2060" width="14.85546875" customWidth="1"/>
    <col min="2061" max="2062" width="54" bestFit="1" customWidth="1"/>
    <col min="2306" max="2306" width="35.85546875" customWidth="1"/>
    <col min="2312" max="2312" width="13.7109375" bestFit="1" customWidth="1"/>
    <col min="2313" max="2313" width="54" bestFit="1" customWidth="1"/>
    <col min="2314" max="2314" width="0" hidden="1" customWidth="1"/>
    <col min="2316" max="2316" width="14.85546875" customWidth="1"/>
    <col min="2317" max="2318" width="54" bestFit="1" customWidth="1"/>
    <col min="2562" max="2562" width="35.85546875" customWidth="1"/>
    <col min="2568" max="2568" width="13.7109375" bestFit="1" customWidth="1"/>
    <col min="2569" max="2569" width="54" bestFit="1" customWidth="1"/>
    <col min="2570" max="2570" width="0" hidden="1" customWidth="1"/>
    <col min="2572" max="2572" width="14.85546875" customWidth="1"/>
    <col min="2573" max="2574" width="54" bestFit="1" customWidth="1"/>
    <col min="2818" max="2818" width="35.85546875" customWidth="1"/>
    <col min="2824" max="2824" width="13.7109375" bestFit="1" customWidth="1"/>
    <col min="2825" max="2825" width="54" bestFit="1" customWidth="1"/>
    <col min="2826" max="2826" width="0" hidden="1" customWidth="1"/>
    <col min="2828" max="2828" width="14.85546875" customWidth="1"/>
    <col min="2829" max="2830" width="54" bestFit="1" customWidth="1"/>
    <col min="3074" max="3074" width="35.85546875" customWidth="1"/>
    <col min="3080" max="3080" width="13.7109375" bestFit="1" customWidth="1"/>
    <col min="3081" max="3081" width="54" bestFit="1" customWidth="1"/>
    <col min="3082" max="3082" width="0" hidden="1" customWidth="1"/>
    <col min="3084" max="3084" width="14.85546875" customWidth="1"/>
    <col min="3085" max="3086" width="54" bestFit="1" customWidth="1"/>
    <col min="3330" max="3330" width="35.85546875" customWidth="1"/>
    <col min="3336" max="3336" width="13.7109375" bestFit="1" customWidth="1"/>
    <col min="3337" max="3337" width="54" bestFit="1" customWidth="1"/>
    <col min="3338" max="3338" width="0" hidden="1" customWidth="1"/>
    <col min="3340" max="3340" width="14.85546875" customWidth="1"/>
    <col min="3341" max="3342" width="54" bestFit="1" customWidth="1"/>
    <col min="3586" max="3586" width="35.85546875" customWidth="1"/>
    <col min="3592" max="3592" width="13.7109375" bestFit="1" customWidth="1"/>
    <col min="3593" max="3593" width="54" bestFit="1" customWidth="1"/>
    <col min="3594" max="3594" width="0" hidden="1" customWidth="1"/>
    <col min="3596" max="3596" width="14.85546875" customWidth="1"/>
    <col min="3597" max="3598" width="54" bestFit="1" customWidth="1"/>
    <col min="3842" max="3842" width="35.85546875" customWidth="1"/>
    <col min="3848" max="3848" width="13.7109375" bestFit="1" customWidth="1"/>
    <col min="3849" max="3849" width="54" bestFit="1" customWidth="1"/>
    <col min="3850" max="3850" width="0" hidden="1" customWidth="1"/>
    <col min="3852" max="3852" width="14.85546875" customWidth="1"/>
    <col min="3853" max="3854" width="54" bestFit="1" customWidth="1"/>
    <col min="4098" max="4098" width="35.85546875" customWidth="1"/>
    <col min="4104" max="4104" width="13.7109375" bestFit="1" customWidth="1"/>
    <col min="4105" max="4105" width="54" bestFit="1" customWidth="1"/>
    <col min="4106" max="4106" width="0" hidden="1" customWidth="1"/>
    <col min="4108" max="4108" width="14.85546875" customWidth="1"/>
    <col min="4109" max="4110" width="54" bestFit="1" customWidth="1"/>
    <col min="4354" max="4354" width="35.85546875" customWidth="1"/>
    <col min="4360" max="4360" width="13.7109375" bestFit="1" customWidth="1"/>
    <col min="4361" max="4361" width="54" bestFit="1" customWidth="1"/>
    <col min="4362" max="4362" width="0" hidden="1" customWidth="1"/>
    <col min="4364" max="4364" width="14.85546875" customWidth="1"/>
    <col min="4365" max="4366" width="54" bestFit="1" customWidth="1"/>
    <col min="4610" max="4610" width="35.85546875" customWidth="1"/>
    <col min="4616" max="4616" width="13.7109375" bestFit="1" customWidth="1"/>
    <col min="4617" max="4617" width="54" bestFit="1" customWidth="1"/>
    <col min="4618" max="4618" width="0" hidden="1" customWidth="1"/>
    <col min="4620" max="4620" width="14.85546875" customWidth="1"/>
    <col min="4621" max="4622" width="54" bestFit="1" customWidth="1"/>
    <col min="4866" max="4866" width="35.85546875" customWidth="1"/>
    <col min="4872" max="4872" width="13.7109375" bestFit="1" customWidth="1"/>
    <col min="4873" max="4873" width="54" bestFit="1" customWidth="1"/>
    <col min="4874" max="4874" width="0" hidden="1" customWidth="1"/>
    <col min="4876" max="4876" width="14.85546875" customWidth="1"/>
    <col min="4877" max="4878" width="54" bestFit="1" customWidth="1"/>
    <col min="5122" max="5122" width="35.85546875" customWidth="1"/>
    <col min="5128" max="5128" width="13.7109375" bestFit="1" customWidth="1"/>
    <col min="5129" max="5129" width="54" bestFit="1" customWidth="1"/>
    <col min="5130" max="5130" width="0" hidden="1" customWidth="1"/>
    <col min="5132" max="5132" width="14.85546875" customWidth="1"/>
    <col min="5133" max="5134" width="54" bestFit="1" customWidth="1"/>
    <col min="5378" max="5378" width="35.85546875" customWidth="1"/>
    <col min="5384" max="5384" width="13.7109375" bestFit="1" customWidth="1"/>
    <col min="5385" max="5385" width="54" bestFit="1" customWidth="1"/>
    <col min="5386" max="5386" width="0" hidden="1" customWidth="1"/>
    <col min="5388" max="5388" width="14.85546875" customWidth="1"/>
    <col min="5389" max="5390" width="54" bestFit="1" customWidth="1"/>
    <col min="5634" max="5634" width="35.85546875" customWidth="1"/>
    <col min="5640" max="5640" width="13.7109375" bestFit="1" customWidth="1"/>
    <col min="5641" max="5641" width="54" bestFit="1" customWidth="1"/>
    <col min="5642" max="5642" width="0" hidden="1" customWidth="1"/>
    <col min="5644" max="5644" width="14.85546875" customWidth="1"/>
    <col min="5645" max="5646" width="54" bestFit="1" customWidth="1"/>
    <col min="5890" max="5890" width="35.85546875" customWidth="1"/>
    <col min="5896" max="5896" width="13.7109375" bestFit="1" customWidth="1"/>
    <col min="5897" max="5897" width="54" bestFit="1" customWidth="1"/>
    <col min="5898" max="5898" width="0" hidden="1" customWidth="1"/>
    <col min="5900" max="5900" width="14.85546875" customWidth="1"/>
    <col min="5901" max="5902" width="54" bestFit="1" customWidth="1"/>
    <col min="6146" max="6146" width="35.85546875" customWidth="1"/>
    <col min="6152" max="6152" width="13.7109375" bestFit="1" customWidth="1"/>
    <col min="6153" max="6153" width="54" bestFit="1" customWidth="1"/>
    <col min="6154" max="6154" width="0" hidden="1" customWidth="1"/>
    <col min="6156" max="6156" width="14.85546875" customWidth="1"/>
    <col min="6157" max="6158" width="54" bestFit="1" customWidth="1"/>
    <col min="6402" max="6402" width="35.85546875" customWidth="1"/>
    <col min="6408" max="6408" width="13.7109375" bestFit="1" customWidth="1"/>
    <col min="6409" max="6409" width="54" bestFit="1" customWidth="1"/>
    <col min="6410" max="6410" width="0" hidden="1" customWidth="1"/>
    <col min="6412" max="6412" width="14.85546875" customWidth="1"/>
    <col min="6413" max="6414" width="54" bestFit="1" customWidth="1"/>
    <col min="6658" max="6658" width="35.85546875" customWidth="1"/>
    <col min="6664" max="6664" width="13.7109375" bestFit="1" customWidth="1"/>
    <col min="6665" max="6665" width="54" bestFit="1" customWidth="1"/>
    <col min="6666" max="6666" width="0" hidden="1" customWidth="1"/>
    <col min="6668" max="6668" width="14.85546875" customWidth="1"/>
    <col min="6669" max="6670" width="54" bestFit="1" customWidth="1"/>
    <col min="6914" max="6914" width="35.85546875" customWidth="1"/>
    <col min="6920" max="6920" width="13.7109375" bestFit="1" customWidth="1"/>
    <col min="6921" max="6921" width="54" bestFit="1" customWidth="1"/>
    <col min="6922" max="6922" width="0" hidden="1" customWidth="1"/>
    <col min="6924" max="6924" width="14.85546875" customWidth="1"/>
    <col min="6925" max="6926" width="54" bestFit="1" customWidth="1"/>
    <col min="7170" max="7170" width="35.85546875" customWidth="1"/>
    <col min="7176" max="7176" width="13.7109375" bestFit="1" customWidth="1"/>
    <col min="7177" max="7177" width="54" bestFit="1" customWidth="1"/>
    <col min="7178" max="7178" width="0" hidden="1" customWidth="1"/>
    <col min="7180" max="7180" width="14.85546875" customWidth="1"/>
    <col min="7181" max="7182" width="54" bestFit="1" customWidth="1"/>
    <col min="7426" max="7426" width="35.85546875" customWidth="1"/>
    <col min="7432" max="7432" width="13.7109375" bestFit="1" customWidth="1"/>
    <col min="7433" max="7433" width="54" bestFit="1" customWidth="1"/>
    <col min="7434" max="7434" width="0" hidden="1" customWidth="1"/>
    <col min="7436" max="7436" width="14.85546875" customWidth="1"/>
    <col min="7437" max="7438" width="54" bestFit="1" customWidth="1"/>
    <col min="7682" max="7682" width="35.85546875" customWidth="1"/>
    <col min="7688" max="7688" width="13.7109375" bestFit="1" customWidth="1"/>
    <col min="7689" max="7689" width="54" bestFit="1" customWidth="1"/>
    <col min="7690" max="7690" width="0" hidden="1" customWidth="1"/>
    <col min="7692" max="7692" width="14.85546875" customWidth="1"/>
    <col min="7693" max="7694" width="54" bestFit="1" customWidth="1"/>
    <col min="7938" max="7938" width="35.85546875" customWidth="1"/>
    <col min="7944" max="7944" width="13.7109375" bestFit="1" customWidth="1"/>
    <col min="7945" max="7945" width="54" bestFit="1" customWidth="1"/>
    <col min="7946" max="7946" width="0" hidden="1" customWidth="1"/>
    <col min="7948" max="7948" width="14.85546875" customWidth="1"/>
    <col min="7949" max="7950" width="54" bestFit="1" customWidth="1"/>
    <col min="8194" max="8194" width="35.85546875" customWidth="1"/>
    <col min="8200" max="8200" width="13.7109375" bestFit="1" customWidth="1"/>
    <col min="8201" max="8201" width="54" bestFit="1" customWidth="1"/>
    <col min="8202" max="8202" width="0" hidden="1" customWidth="1"/>
    <col min="8204" max="8204" width="14.85546875" customWidth="1"/>
    <col min="8205" max="8206" width="54" bestFit="1" customWidth="1"/>
    <col min="8450" max="8450" width="35.85546875" customWidth="1"/>
    <col min="8456" max="8456" width="13.7109375" bestFit="1" customWidth="1"/>
    <col min="8457" max="8457" width="54" bestFit="1" customWidth="1"/>
    <col min="8458" max="8458" width="0" hidden="1" customWidth="1"/>
    <col min="8460" max="8460" width="14.85546875" customWidth="1"/>
    <col min="8461" max="8462" width="54" bestFit="1" customWidth="1"/>
    <col min="8706" max="8706" width="35.85546875" customWidth="1"/>
    <col min="8712" max="8712" width="13.7109375" bestFit="1" customWidth="1"/>
    <col min="8713" max="8713" width="54" bestFit="1" customWidth="1"/>
    <col min="8714" max="8714" width="0" hidden="1" customWidth="1"/>
    <col min="8716" max="8716" width="14.85546875" customWidth="1"/>
    <col min="8717" max="8718" width="54" bestFit="1" customWidth="1"/>
    <col min="8962" max="8962" width="35.85546875" customWidth="1"/>
    <col min="8968" max="8968" width="13.7109375" bestFit="1" customWidth="1"/>
    <col min="8969" max="8969" width="54" bestFit="1" customWidth="1"/>
    <col min="8970" max="8970" width="0" hidden="1" customWidth="1"/>
    <col min="8972" max="8972" width="14.85546875" customWidth="1"/>
    <col min="8973" max="8974" width="54" bestFit="1" customWidth="1"/>
    <col min="9218" max="9218" width="35.85546875" customWidth="1"/>
    <col min="9224" max="9224" width="13.7109375" bestFit="1" customWidth="1"/>
    <col min="9225" max="9225" width="54" bestFit="1" customWidth="1"/>
    <col min="9226" max="9226" width="0" hidden="1" customWidth="1"/>
    <col min="9228" max="9228" width="14.85546875" customWidth="1"/>
    <col min="9229" max="9230" width="54" bestFit="1" customWidth="1"/>
    <col min="9474" max="9474" width="35.85546875" customWidth="1"/>
    <col min="9480" max="9480" width="13.7109375" bestFit="1" customWidth="1"/>
    <col min="9481" max="9481" width="54" bestFit="1" customWidth="1"/>
    <col min="9482" max="9482" width="0" hidden="1" customWidth="1"/>
    <col min="9484" max="9484" width="14.85546875" customWidth="1"/>
    <col min="9485" max="9486" width="54" bestFit="1" customWidth="1"/>
    <col min="9730" max="9730" width="35.85546875" customWidth="1"/>
    <col min="9736" max="9736" width="13.7109375" bestFit="1" customWidth="1"/>
    <col min="9737" max="9737" width="54" bestFit="1" customWidth="1"/>
    <col min="9738" max="9738" width="0" hidden="1" customWidth="1"/>
    <col min="9740" max="9740" width="14.85546875" customWidth="1"/>
    <col min="9741" max="9742" width="54" bestFit="1" customWidth="1"/>
    <col min="9986" max="9986" width="35.85546875" customWidth="1"/>
    <col min="9992" max="9992" width="13.7109375" bestFit="1" customWidth="1"/>
    <col min="9993" max="9993" width="54" bestFit="1" customWidth="1"/>
    <col min="9994" max="9994" width="0" hidden="1" customWidth="1"/>
    <col min="9996" max="9996" width="14.85546875" customWidth="1"/>
    <col min="9997" max="9998" width="54" bestFit="1" customWidth="1"/>
    <col min="10242" max="10242" width="35.85546875" customWidth="1"/>
    <col min="10248" max="10248" width="13.7109375" bestFit="1" customWidth="1"/>
    <col min="10249" max="10249" width="54" bestFit="1" customWidth="1"/>
    <col min="10250" max="10250" width="0" hidden="1" customWidth="1"/>
    <col min="10252" max="10252" width="14.85546875" customWidth="1"/>
    <col min="10253" max="10254" width="54" bestFit="1" customWidth="1"/>
    <col min="10498" max="10498" width="35.85546875" customWidth="1"/>
    <col min="10504" max="10504" width="13.7109375" bestFit="1" customWidth="1"/>
    <col min="10505" max="10505" width="54" bestFit="1" customWidth="1"/>
    <col min="10506" max="10506" width="0" hidden="1" customWidth="1"/>
    <col min="10508" max="10508" width="14.85546875" customWidth="1"/>
    <col min="10509" max="10510" width="54" bestFit="1" customWidth="1"/>
    <col min="10754" max="10754" width="35.85546875" customWidth="1"/>
    <col min="10760" max="10760" width="13.7109375" bestFit="1" customWidth="1"/>
    <col min="10761" max="10761" width="54" bestFit="1" customWidth="1"/>
    <col min="10762" max="10762" width="0" hidden="1" customWidth="1"/>
    <col min="10764" max="10764" width="14.85546875" customWidth="1"/>
    <col min="10765" max="10766" width="54" bestFit="1" customWidth="1"/>
    <col min="11010" max="11010" width="35.85546875" customWidth="1"/>
    <col min="11016" max="11016" width="13.7109375" bestFit="1" customWidth="1"/>
    <col min="11017" max="11017" width="54" bestFit="1" customWidth="1"/>
    <col min="11018" max="11018" width="0" hidden="1" customWidth="1"/>
    <col min="11020" max="11020" width="14.85546875" customWidth="1"/>
    <col min="11021" max="11022" width="54" bestFit="1" customWidth="1"/>
    <col min="11266" max="11266" width="35.85546875" customWidth="1"/>
    <col min="11272" max="11272" width="13.7109375" bestFit="1" customWidth="1"/>
    <col min="11273" max="11273" width="54" bestFit="1" customWidth="1"/>
    <col min="11274" max="11274" width="0" hidden="1" customWidth="1"/>
    <col min="11276" max="11276" width="14.85546875" customWidth="1"/>
    <col min="11277" max="11278" width="54" bestFit="1" customWidth="1"/>
    <col min="11522" max="11522" width="35.85546875" customWidth="1"/>
    <col min="11528" max="11528" width="13.7109375" bestFit="1" customWidth="1"/>
    <col min="11529" max="11529" width="54" bestFit="1" customWidth="1"/>
    <col min="11530" max="11530" width="0" hidden="1" customWidth="1"/>
    <col min="11532" max="11532" width="14.85546875" customWidth="1"/>
    <col min="11533" max="11534" width="54" bestFit="1" customWidth="1"/>
    <col min="11778" max="11778" width="35.85546875" customWidth="1"/>
    <col min="11784" max="11784" width="13.7109375" bestFit="1" customWidth="1"/>
    <col min="11785" max="11785" width="54" bestFit="1" customWidth="1"/>
    <col min="11786" max="11786" width="0" hidden="1" customWidth="1"/>
    <col min="11788" max="11788" width="14.85546875" customWidth="1"/>
    <col min="11789" max="11790" width="54" bestFit="1" customWidth="1"/>
    <col min="12034" max="12034" width="35.85546875" customWidth="1"/>
    <col min="12040" max="12040" width="13.7109375" bestFit="1" customWidth="1"/>
    <col min="12041" max="12041" width="54" bestFit="1" customWidth="1"/>
    <col min="12042" max="12042" width="0" hidden="1" customWidth="1"/>
    <col min="12044" max="12044" width="14.85546875" customWidth="1"/>
    <col min="12045" max="12046" width="54" bestFit="1" customWidth="1"/>
    <col min="12290" max="12290" width="35.85546875" customWidth="1"/>
    <col min="12296" max="12296" width="13.7109375" bestFit="1" customWidth="1"/>
    <col min="12297" max="12297" width="54" bestFit="1" customWidth="1"/>
    <col min="12298" max="12298" width="0" hidden="1" customWidth="1"/>
    <col min="12300" max="12300" width="14.85546875" customWidth="1"/>
    <col min="12301" max="12302" width="54" bestFit="1" customWidth="1"/>
    <col min="12546" max="12546" width="35.85546875" customWidth="1"/>
    <col min="12552" max="12552" width="13.7109375" bestFit="1" customWidth="1"/>
    <col min="12553" max="12553" width="54" bestFit="1" customWidth="1"/>
    <col min="12554" max="12554" width="0" hidden="1" customWidth="1"/>
    <col min="12556" max="12556" width="14.85546875" customWidth="1"/>
    <col min="12557" max="12558" width="54" bestFit="1" customWidth="1"/>
    <col min="12802" max="12802" width="35.85546875" customWidth="1"/>
    <col min="12808" max="12808" width="13.7109375" bestFit="1" customWidth="1"/>
    <col min="12809" max="12809" width="54" bestFit="1" customWidth="1"/>
    <col min="12810" max="12810" width="0" hidden="1" customWidth="1"/>
    <col min="12812" max="12812" width="14.85546875" customWidth="1"/>
    <col min="12813" max="12814" width="54" bestFit="1" customWidth="1"/>
    <col min="13058" max="13058" width="35.85546875" customWidth="1"/>
    <col min="13064" max="13064" width="13.7109375" bestFit="1" customWidth="1"/>
    <col min="13065" max="13065" width="54" bestFit="1" customWidth="1"/>
    <col min="13066" max="13066" width="0" hidden="1" customWidth="1"/>
    <col min="13068" max="13068" width="14.85546875" customWidth="1"/>
    <col min="13069" max="13070" width="54" bestFit="1" customWidth="1"/>
    <col min="13314" max="13314" width="35.85546875" customWidth="1"/>
    <col min="13320" max="13320" width="13.7109375" bestFit="1" customWidth="1"/>
    <col min="13321" max="13321" width="54" bestFit="1" customWidth="1"/>
    <col min="13322" max="13322" width="0" hidden="1" customWidth="1"/>
    <col min="13324" max="13324" width="14.85546875" customWidth="1"/>
    <col min="13325" max="13326" width="54" bestFit="1" customWidth="1"/>
    <col min="13570" max="13570" width="35.85546875" customWidth="1"/>
    <col min="13576" max="13576" width="13.7109375" bestFit="1" customWidth="1"/>
    <col min="13577" max="13577" width="54" bestFit="1" customWidth="1"/>
    <col min="13578" max="13578" width="0" hidden="1" customWidth="1"/>
    <col min="13580" max="13580" width="14.85546875" customWidth="1"/>
    <col min="13581" max="13582" width="54" bestFit="1" customWidth="1"/>
    <col min="13826" max="13826" width="35.85546875" customWidth="1"/>
    <col min="13832" max="13832" width="13.7109375" bestFit="1" customWidth="1"/>
    <col min="13833" max="13833" width="54" bestFit="1" customWidth="1"/>
    <col min="13834" max="13834" width="0" hidden="1" customWidth="1"/>
    <col min="13836" max="13836" width="14.85546875" customWidth="1"/>
    <col min="13837" max="13838" width="54" bestFit="1" customWidth="1"/>
    <col min="14082" max="14082" width="35.85546875" customWidth="1"/>
    <col min="14088" max="14088" width="13.7109375" bestFit="1" customWidth="1"/>
    <col min="14089" max="14089" width="54" bestFit="1" customWidth="1"/>
    <col min="14090" max="14090" width="0" hidden="1" customWidth="1"/>
    <col min="14092" max="14092" width="14.85546875" customWidth="1"/>
    <col min="14093" max="14094" width="54" bestFit="1" customWidth="1"/>
    <col min="14338" max="14338" width="35.85546875" customWidth="1"/>
    <col min="14344" max="14344" width="13.7109375" bestFit="1" customWidth="1"/>
    <col min="14345" max="14345" width="54" bestFit="1" customWidth="1"/>
    <col min="14346" max="14346" width="0" hidden="1" customWidth="1"/>
    <col min="14348" max="14348" width="14.85546875" customWidth="1"/>
    <col min="14349" max="14350" width="54" bestFit="1" customWidth="1"/>
    <col min="14594" max="14594" width="35.85546875" customWidth="1"/>
    <col min="14600" max="14600" width="13.7109375" bestFit="1" customWidth="1"/>
    <col min="14601" max="14601" width="54" bestFit="1" customWidth="1"/>
    <col min="14602" max="14602" width="0" hidden="1" customWidth="1"/>
    <col min="14604" max="14604" width="14.85546875" customWidth="1"/>
    <col min="14605" max="14606" width="54" bestFit="1" customWidth="1"/>
    <col min="14850" max="14850" width="35.85546875" customWidth="1"/>
    <col min="14856" max="14856" width="13.7109375" bestFit="1" customWidth="1"/>
    <col min="14857" max="14857" width="54" bestFit="1" customWidth="1"/>
    <col min="14858" max="14858" width="0" hidden="1" customWidth="1"/>
    <col min="14860" max="14860" width="14.85546875" customWidth="1"/>
    <col min="14861" max="14862" width="54" bestFit="1" customWidth="1"/>
    <col min="15106" max="15106" width="35.85546875" customWidth="1"/>
    <col min="15112" max="15112" width="13.7109375" bestFit="1" customWidth="1"/>
    <col min="15113" max="15113" width="54" bestFit="1" customWidth="1"/>
    <col min="15114" max="15114" width="0" hidden="1" customWidth="1"/>
    <col min="15116" max="15116" width="14.85546875" customWidth="1"/>
    <col min="15117" max="15118" width="54" bestFit="1" customWidth="1"/>
    <col min="15362" max="15362" width="35.85546875" customWidth="1"/>
    <col min="15368" max="15368" width="13.7109375" bestFit="1" customWidth="1"/>
    <col min="15369" max="15369" width="54" bestFit="1" customWidth="1"/>
    <col min="15370" max="15370" width="0" hidden="1" customWidth="1"/>
    <col min="15372" max="15372" width="14.85546875" customWidth="1"/>
    <col min="15373" max="15374" width="54" bestFit="1" customWidth="1"/>
    <col min="15618" max="15618" width="35.85546875" customWidth="1"/>
    <col min="15624" max="15624" width="13.7109375" bestFit="1" customWidth="1"/>
    <col min="15625" max="15625" width="54" bestFit="1" customWidth="1"/>
    <col min="15626" max="15626" width="0" hidden="1" customWidth="1"/>
    <col min="15628" max="15628" width="14.85546875" customWidth="1"/>
    <col min="15629" max="15630" width="54" bestFit="1" customWidth="1"/>
    <col min="15874" max="15874" width="35.85546875" customWidth="1"/>
    <col min="15880" max="15880" width="13.7109375" bestFit="1" customWidth="1"/>
    <col min="15881" max="15881" width="54" bestFit="1" customWidth="1"/>
    <col min="15882" max="15882" width="0" hidden="1" customWidth="1"/>
    <col min="15884" max="15884" width="14.85546875" customWidth="1"/>
    <col min="15885" max="15886" width="54" bestFit="1" customWidth="1"/>
    <col min="16130" max="16130" width="35.85546875" customWidth="1"/>
    <col min="16136" max="16136" width="13.7109375" bestFit="1" customWidth="1"/>
    <col min="16137" max="16137" width="54" bestFit="1" customWidth="1"/>
    <col min="16138" max="16138" width="0" hidden="1" customWidth="1"/>
    <col min="16140" max="16140" width="14.85546875" customWidth="1"/>
    <col min="16141" max="16142" width="54" bestFit="1" customWidth="1"/>
  </cols>
  <sheetData>
    <row r="1" spans="1:14">
      <c r="A1" s="161"/>
      <c r="B1" s="161"/>
      <c r="G1" s="162" t="s">
        <v>0</v>
      </c>
      <c r="H1" s="161"/>
      <c r="I1" s="163"/>
      <c r="K1" s="162" t="s">
        <v>0</v>
      </c>
      <c r="L1" s="161"/>
      <c r="M1" s="161"/>
      <c r="N1" s="161"/>
    </row>
    <row r="2" spans="1:14">
      <c r="A2" s="161"/>
      <c r="B2" s="161"/>
      <c r="G2" s="164" t="s">
        <v>1</v>
      </c>
      <c r="H2" s="161"/>
      <c r="I2" s="163"/>
      <c r="K2" s="164" t="s">
        <v>1</v>
      </c>
      <c r="L2" s="161"/>
      <c r="M2" s="161"/>
      <c r="N2" s="161"/>
    </row>
    <row r="3" spans="1:14" ht="15.75">
      <c r="A3" s="165" t="s">
        <v>2</v>
      </c>
      <c r="B3" s="161"/>
      <c r="G3" s="161"/>
      <c r="H3" s="165" t="str">
        <f>+INGENIERIA!B2</f>
        <v>05 INGENIERIA FISCAL LABORAL SC -- CELAYA</v>
      </c>
      <c r="I3" s="163"/>
      <c r="K3" s="161"/>
      <c r="L3" s="165" t="str">
        <f>+SIND!B2</f>
        <v>05 SINDICATO ASOCIACIÓN -- CELAYA</v>
      </c>
      <c r="M3" s="161"/>
      <c r="N3" s="161"/>
    </row>
    <row r="4" spans="1:14">
      <c r="A4" s="161"/>
      <c r="B4" s="161"/>
      <c r="G4" s="161" t="str">
        <f>+SIND!B4</f>
        <v>Periodo 33 al 33 Semanal del 10/08/2016 al 16/08/2016</v>
      </c>
      <c r="H4" s="161"/>
      <c r="I4" s="163"/>
      <c r="K4" s="161" t="str">
        <f>+G4</f>
        <v>Periodo 33 al 33 Semanal del 10/08/2016 al 16/08/2016</v>
      </c>
      <c r="L4" s="161"/>
      <c r="M4" s="161"/>
      <c r="N4" s="161"/>
    </row>
    <row r="6" spans="1:14">
      <c r="A6" s="161" t="s">
        <v>216</v>
      </c>
      <c r="B6" s="161" t="s">
        <v>86</v>
      </c>
      <c r="G6" s="161" t="s">
        <v>216</v>
      </c>
      <c r="H6" s="167" t="s">
        <v>217</v>
      </c>
      <c r="I6" s="161" t="s">
        <v>86</v>
      </c>
      <c r="K6" s="161" t="s">
        <v>216</v>
      </c>
      <c r="L6" s="167" t="s">
        <v>217</v>
      </c>
      <c r="M6" s="161" t="s">
        <v>86</v>
      </c>
    </row>
    <row r="7" spans="1:14">
      <c r="A7" s="168" t="s">
        <v>218</v>
      </c>
      <c r="B7" s="168" t="s">
        <v>18</v>
      </c>
      <c r="D7" t="str">
        <f>IF(B7=I7,"SI","NO")</f>
        <v>NO</v>
      </c>
      <c r="F7" t="str">
        <f>IF(I7=M7,"SI","NO")</f>
        <v>SI</v>
      </c>
      <c r="G7" s="168" t="s">
        <v>219</v>
      </c>
      <c r="H7" s="169">
        <v>3348.0699999999997</v>
      </c>
      <c r="I7" s="171" t="s">
        <v>57</v>
      </c>
      <c r="K7" s="168" t="s">
        <v>219</v>
      </c>
      <c r="L7" s="166">
        <v>1777.635</v>
      </c>
      <c r="M7" t="s">
        <v>57</v>
      </c>
    </row>
    <row r="8" spans="1:14">
      <c r="A8" s="168" t="s">
        <v>121</v>
      </c>
      <c r="B8" s="168" t="s">
        <v>20</v>
      </c>
      <c r="D8" t="str">
        <f t="shared" ref="D8:D33" si="0">IF(B8=I8,"SI","NO")</f>
        <v>NO</v>
      </c>
      <c r="F8" t="str">
        <f t="shared" ref="F8:F39" si="1">IF(I8=M8,"SI","NO")</f>
        <v>SI</v>
      </c>
      <c r="G8" s="168" t="s">
        <v>220</v>
      </c>
      <c r="H8" s="169">
        <v>974.67</v>
      </c>
      <c r="I8" s="171" t="s">
        <v>73</v>
      </c>
      <c r="K8" s="168" t="s">
        <v>220</v>
      </c>
      <c r="L8" s="166">
        <v>0</v>
      </c>
      <c r="M8" t="s">
        <v>73</v>
      </c>
    </row>
    <row r="9" spans="1:14">
      <c r="A9" s="168" t="s">
        <v>124</v>
      </c>
      <c r="B9" s="168" t="s">
        <v>22</v>
      </c>
      <c r="D9" t="str">
        <f t="shared" si="0"/>
        <v>NO</v>
      </c>
      <c r="F9" t="str">
        <f t="shared" si="1"/>
        <v>SI</v>
      </c>
      <c r="G9" s="186">
        <v>1156979076</v>
      </c>
      <c r="H9" s="169">
        <v>589.06000000000006</v>
      </c>
      <c r="I9" s="171" t="s">
        <v>61</v>
      </c>
      <c r="K9" s="186">
        <v>1156979076</v>
      </c>
      <c r="L9" s="166">
        <v>0</v>
      </c>
      <c r="M9" t="s">
        <v>61</v>
      </c>
    </row>
    <row r="10" spans="1:14">
      <c r="A10" s="168" t="s">
        <v>128</v>
      </c>
      <c r="B10" s="168" t="s">
        <v>24</v>
      </c>
      <c r="D10" t="str">
        <f t="shared" si="0"/>
        <v>NO</v>
      </c>
      <c r="F10" t="str">
        <f t="shared" si="1"/>
        <v>SI</v>
      </c>
      <c r="G10" s="168" t="s">
        <v>221</v>
      </c>
      <c r="H10" s="169">
        <v>974.47</v>
      </c>
      <c r="I10" s="171" t="s">
        <v>26</v>
      </c>
      <c r="K10" s="168" t="s">
        <v>221</v>
      </c>
      <c r="L10" s="166">
        <v>0</v>
      </c>
      <c r="M10" t="s">
        <v>26</v>
      </c>
    </row>
    <row r="11" spans="1:14">
      <c r="A11" s="168" t="s">
        <v>221</v>
      </c>
      <c r="B11" s="168" t="s">
        <v>26</v>
      </c>
      <c r="D11" t="str">
        <f t="shared" si="0"/>
        <v>NO</v>
      </c>
      <c r="F11" t="str">
        <f t="shared" si="1"/>
        <v>SI</v>
      </c>
      <c r="G11" s="168" t="s">
        <v>222</v>
      </c>
      <c r="H11" s="169">
        <v>974.67</v>
      </c>
      <c r="I11" s="171" t="s">
        <v>59</v>
      </c>
      <c r="K11" s="168" t="s">
        <v>222</v>
      </c>
      <c r="L11" s="166">
        <v>0</v>
      </c>
      <c r="M11" t="s">
        <v>59</v>
      </c>
    </row>
    <row r="12" spans="1:14">
      <c r="A12" s="168" t="s">
        <v>133</v>
      </c>
      <c r="B12" s="168" t="s">
        <v>28</v>
      </c>
      <c r="D12" t="str">
        <f t="shared" si="0"/>
        <v>NO</v>
      </c>
      <c r="F12" t="str">
        <f t="shared" si="1"/>
        <v>SI</v>
      </c>
      <c r="G12" s="168" t="s">
        <v>223</v>
      </c>
      <c r="H12" s="169">
        <v>974.67</v>
      </c>
      <c r="I12" s="172" t="s">
        <v>47</v>
      </c>
      <c r="K12" s="168" t="s">
        <v>223</v>
      </c>
      <c r="L12" s="166">
        <v>0</v>
      </c>
      <c r="M12" t="s">
        <v>47</v>
      </c>
    </row>
    <row r="13" spans="1:14">
      <c r="A13" s="168" t="s">
        <v>224</v>
      </c>
      <c r="B13" s="168" t="s">
        <v>30</v>
      </c>
      <c r="D13" t="str">
        <f t="shared" si="0"/>
        <v>NO</v>
      </c>
      <c r="F13" t="str">
        <f t="shared" si="1"/>
        <v>SI</v>
      </c>
      <c r="G13" s="168" t="s">
        <v>225</v>
      </c>
      <c r="H13" s="169">
        <v>974.67</v>
      </c>
      <c r="I13" s="171" t="s">
        <v>69</v>
      </c>
      <c r="K13" s="168" t="s">
        <v>225</v>
      </c>
      <c r="L13" s="166">
        <v>360.76499999999999</v>
      </c>
      <c r="M13" t="s">
        <v>69</v>
      </c>
    </row>
    <row r="14" spans="1:14">
      <c r="A14" s="168" t="s">
        <v>137</v>
      </c>
      <c r="B14" s="168" t="s">
        <v>32</v>
      </c>
      <c r="D14" t="str">
        <f t="shared" si="0"/>
        <v>NO</v>
      </c>
      <c r="F14" t="str">
        <f t="shared" si="1"/>
        <v>SI</v>
      </c>
      <c r="G14" s="168" t="s">
        <v>224</v>
      </c>
      <c r="H14" s="169">
        <v>974.67</v>
      </c>
      <c r="I14" s="171" t="s">
        <v>30</v>
      </c>
      <c r="K14" s="168" t="s">
        <v>224</v>
      </c>
      <c r="L14" s="166">
        <v>0</v>
      </c>
      <c r="M14" t="s">
        <v>30</v>
      </c>
    </row>
    <row r="15" spans="1:14">
      <c r="A15" s="168" t="s">
        <v>140</v>
      </c>
      <c r="B15" s="168" t="s">
        <v>34</v>
      </c>
      <c r="D15" t="str">
        <f t="shared" si="0"/>
        <v>NO</v>
      </c>
      <c r="F15" t="str">
        <f t="shared" si="1"/>
        <v>SI</v>
      </c>
      <c r="G15" s="168" t="s">
        <v>156</v>
      </c>
      <c r="H15" s="169">
        <v>974.47</v>
      </c>
      <c r="I15" s="171" t="s">
        <v>49</v>
      </c>
      <c r="K15" s="168" t="s">
        <v>156</v>
      </c>
      <c r="L15" s="166">
        <v>2660.2649999999999</v>
      </c>
      <c r="M15" t="s">
        <v>49</v>
      </c>
    </row>
    <row r="16" spans="1:14">
      <c r="A16" s="168" t="s">
        <v>145</v>
      </c>
      <c r="B16" s="168" t="s">
        <v>36</v>
      </c>
      <c r="D16" t="str">
        <f t="shared" si="0"/>
        <v>NO</v>
      </c>
      <c r="F16" t="str">
        <f t="shared" si="1"/>
        <v>SI</v>
      </c>
      <c r="G16" s="168" t="s">
        <v>183</v>
      </c>
      <c r="H16" s="169">
        <v>974.67</v>
      </c>
      <c r="I16" s="171" t="s">
        <v>75</v>
      </c>
      <c r="K16" s="168" t="s">
        <v>183</v>
      </c>
      <c r="L16" s="166">
        <v>0</v>
      </c>
      <c r="M16" t="s">
        <v>75</v>
      </c>
    </row>
    <row r="17" spans="1:13">
      <c r="A17" s="168" t="s">
        <v>148</v>
      </c>
      <c r="B17" s="168" t="s">
        <v>38</v>
      </c>
      <c r="D17" t="str">
        <f t="shared" si="0"/>
        <v>NO</v>
      </c>
      <c r="F17" t="str">
        <f t="shared" si="1"/>
        <v>SI</v>
      </c>
      <c r="G17" s="168" t="s">
        <v>124</v>
      </c>
      <c r="H17" s="169">
        <v>290.30000000000007</v>
      </c>
      <c r="I17" s="171" t="s">
        <v>22</v>
      </c>
      <c r="K17" s="168" t="s">
        <v>124</v>
      </c>
      <c r="L17" s="166">
        <v>5927.625</v>
      </c>
      <c r="M17" t="s">
        <v>22</v>
      </c>
    </row>
    <row r="18" spans="1:13">
      <c r="A18" s="168" t="s">
        <v>150</v>
      </c>
      <c r="B18" s="173" t="s">
        <v>40</v>
      </c>
      <c r="D18" t="str">
        <f t="shared" si="0"/>
        <v>NO</v>
      </c>
      <c r="F18" t="str">
        <f t="shared" si="1"/>
        <v>SI</v>
      </c>
      <c r="G18" s="168" t="s">
        <v>207</v>
      </c>
      <c r="H18" s="169">
        <v>1005.27</v>
      </c>
      <c r="I18" s="171" t="s">
        <v>46</v>
      </c>
      <c r="K18" s="168" t="s">
        <v>207</v>
      </c>
      <c r="L18" s="166">
        <v>1737.0719999999999</v>
      </c>
      <c r="M18" t="s">
        <v>46</v>
      </c>
    </row>
    <row r="19" spans="1:13">
      <c r="A19" s="168" t="s">
        <v>153</v>
      </c>
      <c r="B19" s="168" t="s">
        <v>42</v>
      </c>
      <c r="D19" t="str">
        <f t="shared" si="0"/>
        <v>NO</v>
      </c>
      <c r="F19" t="str">
        <f t="shared" si="1"/>
        <v>SI</v>
      </c>
      <c r="G19" s="168" t="s">
        <v>128</v>
      </c>
      <c r="H19" s="169">
        <v>1515.87</v>
      </c>
      <c r="I19" s="170" t="s">
        <v>24</v>
      </c>
      <c r="K19" s="168" t="s">
        <v>128</v>
      </c>
      <c r="L19" s="166">
        <v>0</v>
      </c>
      <c r="M19" t="s">
        <v>24</v>
      </c>
    </row>
    <row r="20" spans="1:13">
      <c r="A20">
        <v>2866078516</v>
      </c>
      <c r="B20" t="s">
        <v>44</v>
      </c>
      <c r="D20" t="str">
        <f t="shared" si="0"/>
        <v>NO</v>
      </c>
      <c r="F20" t="str">
        <f t="shared" si="1"/>
        <v>SI</v>
      </c>
      <c r="G20" s="168" t="s">
        <v>137</v>
      </c>
      <c r="H20" s="169">
        <v>3750.2700000000004</v>
      </c>
      <c r="I20" s="170" t="s">
        <v>32</v>
      </c>
      <c r="K20" s="168" t="s">
        <v>137</v>
      </c>
      <c r="L20" s="166">
        <v>3230.2619999999997</v>
      </c>
      <c r="M20" t="s">
        <v>32</v>
      </c>
    </row>
    <row r="21" spans="1:13">
      <c r="A21" s="168" t="s">
        <v>207</v>
      </c>
      <c r="B21" s="168" t="s">
        <v>46</v>
      </c>
      <c r="D21" t="str">
        <f t="shared" si="0"/>
        <v>NO</v>
      </c>
      <c r="F21" t="str">
        <f t="shared" si="1"/>
        <v>SI</v>
      </c>
      <c r="G21" s="168" t="s">
        <v>162</v>
      </c>
      <c r="H21" s="169">
        <v>1089.07</v>
      </c>
      <c r="I21" s="171" t="s">
        <v>53</v>
      </c>
      <c r="K21" s="168" t="s">
        <v>162</v>
      </c>
      <c r="L21" s="166">
        <v>2220.6240000000003</v>
      </c>
      <c r="M21" t="s">
        <v>53</v>
      </c>
    </row>
    <row r="22" spans="1:13">
      <c r="A22" s="168" t="s">
        <v>156</v>
      </c>
      <c r="B22" s="168" t="s">
        <v>49</v>
      </c>
      <c r="D22" t="str">
        <f t="shared" si="0"/>
        <v>NO</v>
      </c>
      <c r="F22" t="str">
        <f t="shared" si="1"/>
        <v>SI</v>
      </c>
      <c r="G22" s="168" t="s">
        <v>133</v>
      </c>
      <c r="H22" s="169">
        <v>974.47</v>
      </c>
      <c r="I22" s="171" t="s">
        <v>28</v>
      </c>
      <c r="K22" s="168" t="s">
        <v>133</v>
      </c>
      <c r="L22" s="166">
        <v>1237.4100000000001</v>
      </c>
      <c r="M22" t="s">
        <v>28</v>
      </c>
    </row>
    <row r="23" spans="1:13">
      <c r="A23" s="168" t="s">
        <v>159</v>
      </c>
      <c r="B23" s="168" t="s">
        <v>51</v>
      </c>
      <c r="D23" t="str">
        <f t="shared" si="0"/>
        <v>NO</v>
      </c>
      <c r="F23" t="str">
        <f t="shared" si="1"/>
        <v>SI</v>
      </c>
      <c r="G23" s="168" t="s">
        <v>150</v>
      </c>
      <c r="H23" s="169">
        <v>974.67</v>
      </c>
      <c r="I23" s="174" t="s">
        <v>40</v>
      </c>
      <c r="K23" s="168" t="s">
        <v>150</v>
      </c>
      <c r="L23" s="166">
        <v>802.24199999999996</v>
      </c>
      <c r="M23" t="s">
        <v>40</v>
      </c>
    </row>
    <row r="24" spans="1:13">
      <c r="A24" s="168" t="s">
        <v>162</v>
      </c>
      <c r="B24" s="168" t="s">
        <v>53</v>
      </c>
      <c r="D24" t="str">
        <f t="shared" si="0"/>
        <v>NO</v>
      </c>
      <c r="F24" t="str">
        <f t="shared" si="1"/>
        <v>SI</v>
      </c>
      <c r="G24" s="168" t="s">
        <v>148</v>
      </c>
      <c r="H24" s="169">
        <v>974.47</v>
      </c>
      <c r="I24" s="171" t="s">
        <v>38</v>
      </c>
      <c r="K24" s="168" t="s">
        <v>148</v>
      </c>
      <c r="L24" s="166">
        <v>751.62599999999998</v>
      </c>
      <c r="M24" t="s">
        <v>38</v>
      </c>
    </row>
    <row r="25" spans="1:13">
      <c r="A25" s="168" t="s">
        <v>226</v>
      </c>
      <c r="B25" s="168" t="s">
        <v>55</v>
      </c>
      <c r="D25" t="str">
        <f t="shared" si="0"/>
        <v>NO</v>
      </c>
      <c r="F25" t="str">
        <f t="shared" si="1"/>
        <v>SI</v>
      </c>
      <c r="G25" s="186">
        <v>2866078516</v>
      </c>
      <c r="H25" s="169">
        <v>3400.6699999999996</v>
      </c>
      <c r="I25" s="187" t="s">
        <v>44</v>
      </c>
      <c r="J25" s="186"/>
      <c r="K25" s="186">
        <v>2866078516</v>
      </c>
      <c r="L25" s="166">
        <v>600.21899999999994</v>
      </c>
      <c r="M25" t="s">
        <v>44</v>
      </c>
    </row>
    <row r="26" spans="1:13">
      <c r="A26" s="168" t="s">
        <v>219</v>
      </c>
      <c r="B26" s="168" t="s">
        <v>57</v>
      </c>
      <c r="D26" t="str">
        <f t="shared" si="0"/>
        <v>NO</v>
      </c>
      <c r="F26" t="str">
        <f t="shared" si="1"/>
        <v>SI</v>
      </c>
      <c r="G26" s="168" t="s">
        <v>159</v>
      </c>
      <c r="H26" s="169">
        <v>974.47</v>
      </c>
      <c r="I26" s="171" t="s">
        <v>51</v>
      </c>
      <c r="K26" s="168" t="s">
        <v>159</v>
      </c>
      <c r="L26" s="166">
        <v>3174.444</v>
      </c>
      <c r="M26" t="s">
        <v>51</v>
      </c>
    </row>
    <row r="27" spans="1:13">
      <c r="A27" s="168" t="s">
        <v>222</v>
      </c>
      <c r="B27" s="168" t="s">
        <v>59</v>
      </c>
      <c r="D27" t="str">
        <f t="shared" si="0"/>
        <v>NO</v>
      </c>
      <c r="F27" t="str">
        <f t="shared" si="1"/>
        <v>SI</v>
      </c>
      <c r="G27" s="168" t="s">
        <v>153</v>
      </c>
      <c r="H27" s="169">
        <v>974.47</v>
      </c>
      <c r="I27" s="172" t="s">
        <v>42</v>
      </c>
      <c r="K27" s="168" t="s">
        <v>153</v>
      </c>
      <c r="L27" s="166">
        <v>1117.3320000000001</v>
      </c>
      <c r="M27" t="s">
        <v>42</v>
      </c>
    </row>
    <row r="28" spans="1:13">
      <c r="A28">
        <v>1156979076</v>
      </c>
      <c r="B28" t="s">
        <v>169</v>
      </c>
      <c r="D28" t="str">
        <f t="shared" si="0"/>
        <v>NO</v>
      </c>
      <c r="F28" t="str">
        <f t="shared" si="1"/>
        <v>SI</v>
      </c>
      <c r="G28" s="168" t="s">
        <v>174</v>
      </c>
      <c r="H28" s="169">
        <v>974.47</v>
      </c>
      <c r="I28" s="171" t="s">
        <v>65</v>
      </c>
      <c r="K28" s="168" t="s">
        <v>174</v>
      </c>
      <c r="L28" s="166">
        <v>6956.8109999999997</v>
      </c>
      <c r="M28" t="s">
        <v>65</v>
      </c>
    </row>
    <row r="29" spans="1:13">
      <c r="A29" s="168" t="s">
        <v>172</v>
      </c>
      <c r="B29" s="168" t="s">
        <v>63</v>
      </c>
      <c r="D29" t="str">
        <f t="shared" si="0"/>
        <v>NO</v>
      </c>
      <c r="F29" t="str">
        <f t="shared" si="1"/>
        <v>SI</v>
      </c>
      <c r="G29" s="168" t="s">
        <v>176</v>
      </c>
      <c r="H29" s="169">
        <v>397.12</v>
      </c>
      <c r="I29" s="171" t="s">
        <v>67</v>
      </c>
      <c r="K29" s="168" t="s">
        <v>176</v>
      </c>
      <c r="L29" s="166">
        <v>0</v>
      </c>
      <c r="M29" t="s">
        <v>67</v>
      </c>
    </row>
    <row r="30" spans="1:13">
      <c r="A30" s="168" t="s">
        <v>174</v>
      </c>
      <c r="B30" s="168" t="s">
        <v>65</v>
      </c>
      <c r="D30" t="str">
        <f t="shared" si="0"/>
        <v>NO</v>
      </c>
      <c r="F30" t="str">
        <f t="shared" si="1"/>
        <v>SI</v>
      </c>
      <c r="G30" s="168" t="s">
        <v>121</v>
      </c>
      <c r="H30" s="169">
        <v>974.67</v>
      </c>
      <c r="I30" s="170" t="s">
        <v>20</v>
      </c>
      <c r="K30" s="168" t="s">
        <v>121</v>
      </c>
      <c r="L30" s="166">
        <v>0</v>
      </c>
      <c r="M30" t="s">
        <v>20</v>
      </c>
    </row>
    <row r="31" spans="1:13">
      <c r="A31" s="168" t="s">
        <v>176</v>
      </c>
      <c r="B31" s="168" t="s">
        <v>67</v>
      </c>
      <c r="D31" t="str">
        <f t="shared" si="0"/>
        <v>NO</v>
      </c>
      <c r="F31" t="str">
        <f t="shared" si="1"/>
        <v>SI</v>
      </c>
      <c r="G31" s="168" t="s">
        <v>140</v>
      </c>
      <c r="H31" s="169">
        <v>974.47</v>
      </c>
      <c r="I31" s="171" t="s">
        <v>34</v>
      </c>
      <c r="K31" s="168" t="s">
        <v>140</v>
      </c>
      <c r="L31" s="166">
        <v>3778.5419999999999</v>
      </c>
      <c r="M31" t="s">
        <v>34</v>
      </c>
    </row>
    <row r="32" spans="1:13">
      <c r="A32" s="168" t="s">
        <v>225</v>
      </c>
      <c r="B32" s="168" t="s">
        <v>69</v>
      </c>
      <c r="D32" t="str">
        <f t="shared" si="0"/>
        <v>NO</v>
      </c>
      <c r="F32" t="str">
        <f t="shared" si="1"/>
        <v>SI</v>
      </c>
      <c r="G32" s="168" t="s">
        <v>227</v>
      </c>
      <c r="H32" s="169">
        <v>559.47</v>
      </c>
      <c r="I32" s="171" t="s">
        <v>71</v>
      </c>
      <c r="K32" s="168" t="s">
        <v>227</v>
      </c>
      <c r="L32" s="166">
        <v>0</v>
      </c>
      <c r="M32" t="s">
        <v>71</v>
      </c>
    </row>
    <row r="33" spans="1:16">
      <c r="A33" s="168" t="s">
        <v>227</v>
      </c>
      <c r="B33" s="168" t="s">
        <v>71</v>
      </c>
      <c r="D33" t="str">
        <f t="shared" si="0"/>
        <v>NO</v>
      </c>
      <c r="F33" t="str">
        <f t="shared" si="1"/>
        <v>SI</v>
      </c>
      <c r="G33" s="168" t="s">
        <v>172</v>
      </c>
      <c r="H33" s="169">
        <v>974.67</v>
      </c>
      <c r="I33" s="179" t="s">
        <v>63</v>
      </c>
      <c r="K33" s="168" t="s">
        <v>172</v>
      </c>
      <c r="L33" s="166">
        <v>618.19200000000001</v>
      </c>
      <c r="M33" t="s">
        <v>63</v>
      </c>
    </row>
    <row r="34" spans="1:16" ht="18.75" thickBot="1">
      <c r="A34" s="168" t="s">
        <v>220</v>
      </c>
      <c r="B34" s="168" t="s">
        <v>73</v>
      </c>
      <c r="D34" t="str">
        <f>IF(B34=I37,"SI","NO")</f>
        <v>NO</v>
      </c>
      <c r="F34" t="str">
        <f t="shared" si="1"/>
        <v>SI</v>
      </c>
      <c r="G34" s="181"/>
      <c r="H34" s="175">
        <f>SUM(H7:H33)</f>
        <v>32512.959999999999</v>
      </c>
      <c r="I34" s="183"/>
      <c r="J34" s="184"/>
      <c r="K34" s="181"/>
      <c r="L34" s="175">
        <f>SUM(L7:L33)</f>
        <v>36951.065999999999</v>
      </c>
      <c r="M34" s="184"/>
      <c r="N34" s="184"/>
      <c r="O34" s="184"/>
      <c r="P34" s="184"/>
    </row>
    <row r="35" spans="1:16" ht="15.75" thickTop="1">
      <c r="A35" s="168" t="s">
        <v>183</v>
      </c>
      <c r="B35" s="168" t="s">
        <v>75</v>
      </c>
      <c r="D35" t="str">
        <f>IF(B35=I38,"SI","NO")</f>
        <v>NO</v>
      </c>
      <c r="F35" t="str">
        <f t="shared" si="1"/>
        <v>SI</v>
      </c>
      <c r="G35" s="181"/>
      <c r="H35" s="182"/>
      <c r="I35" s="183"/>
      <c r="J35" s="184"/>
      <c r="K35" s="181"/>
      <c r="L35" s="185"/>
      <c r="M35" s="184"/>
      <c r="N35" s="184"/>
      <c r="O35" s="184"/>
      <c r="P35" s="184"/>
    </row>
    <row r="36" spans="1:16">
      <c r="F36" t="str">
        <f t="shared" si="1"/>
        <v>SI</v>
      </c>
      <c r="G36" s="181"/>
      <c r="H36" s="182"/>
      <c r="I36" s="183"/>
      <c r="J36" s="184"/>
      <c r="K36" s="181"/>
      <c r="L36" s="185"/>
      <c r="M36" s="184"/>
      <c r="N36" s="184"/>
      <c r="O36" s="184"/>
      <c r="P36" s="184"/>
    </row>
    <row r="37" spans="1:16">
      <c r="F37" t="str">
        <f t="shared" si="1"/>
        <v>SI</v>
      </c>
      <c r="G37" s="168" t="s">
        <v>226</v>
      </c>
      <c r="H37" s="169">
        <v>974.47</v>
      </c>
      <c r="I37" s="180" t="s">
        <v>55</v>
      </c>
      <c r="K37" s="168" t="s">
        <v>226</v>
      </c>
      <c r="L37" s="166">
        <v>3168.3960000000002</v>
      </c>
      <c r="M37" t="s">
        <v>55</v>
      </c>
    </row>
    <row r="38" spans="1:16">
      <c r="A38" s="176"/>
      <c r="B38" s="176"/>
      <c r="F38" t="str">
        <f t="shared" si="1"/>
        <v>SI</v>
      </c>
      <c r="G38" s="168" t="s">
        <v>218</v>
      </c>
      <c r="H38" s="169">
        <v>974.47</v>
      </c>
      <c r="I38" s="170" t="s">
        <v>18</v>
      </c>
      <c r="K38" s="168" t="s">
        <v>218</v>
      </c>
      <c r="L38" s="166">
        <v>4008.42</v>
      </c>
      <c r="M38" t="s">
        <v>18</v>
      </c>
    </row>
    <row r="39" spans="1:16" ht="19.5" thickBot="1">
      <c r="F39" t="str">
        <f t="shared" si="1"/>
        <v>SI</v>
      </c>
      <c r="H39" s="177">
        <f>SUM(H37:H38)</f>
        <v>1948.94</v>
      </c>
      <c r="I39"/>
      <c r="L39" s="177">
        <f>SUM(L37:L38)</f>
        <v>7176.8160000000007</v>
      </c>
    </row>
    <row r="40" spans="1:16" ht="15.75" thickTop="1">
      <c r="I40"/>
    </row>
    <row r="41" spans="1:16">
      <c r="G41" t="s">
        <v>228</v>
      </c>
      <c r="H41" s="178">
        <f>+H34</f>
        <v>32512.959999999999</v>
      </c>
      <c r="I41"/>
      <c r="K41" t="s">
        <v>228</v>
      </c>
      <c r="L41" s="178">
        <f>+L34</f>
        <v>36951.065999999999</v>
      </c>
    </row>
    <row r="42" spans="1:16">
      <c r="G42" s="168" t="s">
        <v>218</v>
      </c>
      <c r="H42" s="178">
        <f>+H39</f>
        <v>1948.94</v>
      </c>
      <c r="I42"/>
      <c r="K42" s="168" t="s">
        <v>218</v>
      </c>
      <c r="L42" s="178">
        <f>+L39</f>
        <v>7176.8160000000007</v>
      </c>
    </row>
    <row r="43" spans="1:16" ht="19.5" thickBot="1">
      <c r="H43" s="177">
        <f>SUM(H41:H42)</f>
        <v>34461.9</v>
      </c>
      <c r="I43"/>
      <c r="L43" s="177">
        <f>SUM(L41:L42)</f>
        <v>44127.881999999998</v>
      </c>
    </row>
    <row r="44" spans="1:16" ht="15.75" thickTop="1">
      <c r="A44" s="166"/>
      <c r="B44" s="166"/>
      <c r="I44"/>
    </row>
    <row r="45" spans="1:16" s="166" customFormat="1">
      <c r="A45" s="168" t="s">
        <v>229</v>
      </c>
      <c r="B45" s="173" t="s">
        <v>230</v>
      </c>
      <c r="C45"/>
      <c r="G45"/>
      <c r="H45"/>
      <c r="I45"/>
      <c r="J45"/>
      <c r="K45"/>
      <c r="L45"/>
      <c r="M45"/>
    </row>
    <row r="46" spans="1:16" s="166" customFormat="1">
      <c r="G46"/>
      <c r="H46"/>
      <c r="I46"/>
      <c r="J46"/>
      <c r="K46"/>
      <c r="L46"/>
      <c r="M46"/>
    </row>
    <row r="47" spans="1:16" s="166" customFormat="1">
      <c r="G47"/>
      <c r="H47"/>
      <c r="I47"/>
      <c r="J47"/>
      <c r="K47"/>
      <c r="L47"/>
      <c r="M47"/>
    </row>
    <row r="48" spans="1:16" s="166" customFormat="1">
      <c r="A48"/>
      <c r="B48"/>
    </row>
    <row r="49" spans="7:13">
      <c r="G49" s="166"/>
      <c r="H49" s="166"/>
      <c r="J49" s="166"/>
      <c r="K49" s="166"/>
      <c r="L49" s="166"/>
      <c r="M49" s="166"/>
    </row>
    <row r="50" spans="7:13">
      <c r="G50" s="166"/>
      <c r="H50" s="166"/>
      <c r="J50" s="166"/>
      <c r="K50" s="166"/>
      <c r="L50" s="166"/>
      <c r="M50" s="166"/>
    </row>
    <row r="51" spans="7:13">
      <c r="G51" s="166"/>
      <c r="H51" s="166"/>
      <c r="J51" s="166"/>
      <c r="K51" s="166"/>
      <c r="L51" s="166"/>
      <c r="M51" s="166"/>
    </row>
    <row r="52" spans="7:13">
      <c r="I52"/>
    </row>
    <row r="53" spans="7:13">
      <c r="I53"/>
    </row>
    <row r="54" spans="7:13">
      <c r="G54" s="166"/>
      <c r="H54" s="166"/>
      <c r="J54" s="166"/>
      <c r="K54" s="166"/>
      <c r="L54" s="166"/>
      <c r="M54" s="166"/>
    </row>
  </sheetData>
  <sortState ref="G7:N52">
    <sortCondition ref="G7:G52"/>
  </sortState>
  <pageMargins left="0.7" right="0.7" top="0.75" bottom="0.75" header="0.3" footer="0.3"/>
  <pageSetup scale="95" orientation="portrait" r:id="rId1"/>
  <colBreaks count="1" manualBreakCount="1">
    <brk id="9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A2" sqref="A2"/>
    </sheetView>
  </sheetViews>
  <sheetFormatPr baseColWidth="10" defaultRowHeight="15"/>
  <cols>
    <col min="1" max="1" width="20.5703125" customWidth="1"/>
    <col min="2" max="2" width="11.5703125" bestFit="1" customWidth="1"/>
  </cols>
  <sheetData>
    <row r="1" spans="1:6">
      <c r="A1" s="215" t="s">
        <v>234</v>
      </c>
      <c r="B1" s="215"/>
      <c r="C1" s="216"/>
      <c r="D1" s="217"/>
      <c r="E1" s="217"/>
      <c r="F1" s="218"/>
    </row>
    <row r="2" spans="1:6">
      <c r="A2" s="215" t="s">
        <v>245</v>
      </c>
      <c r="B2" s="215"/>
      <c r="C2" s="216"/>
      <c r="D2" s="217"/>
      <c r="E2" s="217"/>
      <c r="F2" s="218"/>
    </row>
    <row r="3" spans="1:6">
      <c r="A3" s="215" t="s">
        <v>235</v>
      </c>
      <c r="B3" s="219" t="s">
        <v>246</v>
      </c>
      <c r="C3" s="216"/>
      <c r="D3" s="217"/>
      <c r="E3" s="217"/>
      <c r="F3" s="218"/>
    </row>
    <row r="4" spans="1:6">
      <c r="A4" s="216"/>
      <c r="B4" s="216"/>
      <c r="C4" s="216"/>
      <c r="D4" s="217"/>
      <c r="E4" s="217"/>
      <c r="F4" s="218"/>
    </row>
    <row r="5" spans="1:6">
      <c r="A5" s="216" t="s">
        <v>236</v>
      </c>
      <c r="B5" s="216" t="s">
        <v>237</v>
      </c>
      <c r="C5" s="216"/>
      <c r="D5" s="217"/>
      <c r="E5" s="217"/>
      <c r="F5" s="218"/>
    </row>
    <row r="6" spans="1:6">
      <c r="A6" s="217" t="s">
        <v>238</v>
      </c>
      <c r="B6" s="220">
        <v>29145.26</v>
      </c>
      <c r="C6" s="217"/>
      <c r="D6" s="217"/>
      <c r="E6" s="217"/>
      <c r="F6" s="218"/>
    </row>
    <row r="7" spans="1:6">
      <c r="A7" s="217" t="s">
        <v>239</v>
      </c>
      <c r="B7" s="220">
        <v>10731.61</v>
      </c>
      <c r="C7" s="217"/>
      <c r="D7" s="217"/>
      <c r="E7" s="217"/>
      <c r="F7" s="218"/>
    </row>
    <row r="8" spans="1:6">
      <c r="A8" s="217" t="s">
        <v>240</v>
      </c>
      <c r="B8" s="220">
        <v>0</v>
      </c>
      <c r="C8" s="217"/>
      <c r="D8" s="217"/>
      <c r="E8" s="217"/>
      <c r="F8" s="218"/>
    </row>
    <row r="9" spans="1:6">
      <c r="A9" s="217" t="s">
        <v>241</v>
      </c>
      <c r="B9" s="220">
        <v>1916.25</v>
      </c>
      <c r="C9" s="217"/>
      <c r="D9" s="217"/>
      <c r="E9" s="217"/>
      <c r="F9" s="218"/>
    </row>
    <row r="10" spans="1:6">
      <c r="A10" s="217" t="s">
        <v>242</v>
      </c>
      <c r="B10" s="220">
        <v>0</v>
      </c>
      <c r="C10" s="217"/>
      <c r="D10" s="217"/>
      <c r="E10" s="217"/>
      <c r="F10" s="218"/>
    </row>
    <row r="11" spans="1:6">
      <c r="A11" s="217" t="s">
        <v>243</v>
      </c>
      <c r="B11" s="220">
        <v>3832.81</v>
      </c>
      <c r="C11" s="217"/>
      <c r="D11" s="217"/>
      <c r="E11" s="217"/>
      <c r="F11" s="218"/>
    </row>
    <row r="12" spans="1:6" ht="15.75" thickBot="1">
      <c r="A12" s="217" t="s">
        <v>244</v>
      </c>
      <c r="B12" s="221">
        <v>0</v>
      </c>
      <c r="C12" s="217"/>
      <c r="D12" s="217"/>
      <c r="E12" s="217"/>
      <c r="F12" s="218"/>
    </row>
    <row r="13" spans="1:6">
      <c r="A13" s="217"/>
      <c r="B13" s="222">
        <f>SUM(B6:B12)</f>
        <v>45625.929999999993</v>
      </c>
      <c r="C13" s="217"/>
      <c r="D13" s="217"/>
      <c r="E13" s="217"/>
      <c r="F13" s="218"/>
    </row>
    <row r="14" spans="1:6" ht="15.75" thickBot="1">
      <c r="A14" s="217"/>
      <c r="B14" s="223">
        <f>B13*0.16</f>
        <v>7300.148799999999</v>
      </c>
      <c r="C14" s="217"/>
      <c r="D14" s="217"/>
      <c r="E14" s="217"/>
      <c r="F14" s="218"/>
    </row>
    <row r="15" spans="1:6" ht="15.75" thickTop="1">
      <c r="A15" s="217"/>
      <c r="B15" s="224">
        <f>+B13+B14</f>
        <v>52926.078799999988</v>
      </c>
      <c r="C15" s="217"/>
      <c r="D15" s="217"/>
      <c r="E15" s="217"/>
      <c r="F15" s="218"/>
    </row>
    <row r="16" spans="1:6">
      <c r="A16" s="217"/>
      <c r="B16" s="220">
        <v>52926.080000000002</v>
      </c>
      <c r="C16" s="217"/>
      <c r="D16" s="217"/>
      <c r="E16" s="217"/>
      <c r="F16" s="218"/>
    </row>
    <row r="17" spans="1:6">
      <c r="A17" s="217"/>
      <c r="B17" s="220">
        <f>B16-B15</f>
        <v>1.2000000133411959E-3</v>
      </c>
      <c r="C17" s="217"/>
      <c r="D17" s="217"/>
      <c r="E17" s="217"/>
      <c r="F17" s="218"/>
    </row>
    <row r="18" spans="1:6">
      <c r="A18" s="217"/>
      <c r="B18" s="220"/>
      <c r="C18" s="217"/>
      <c r="D18" s="217"/>
      <c r="E18" s="217"/>
      <c r="F18" s="218"/>
    </row>
    <row r="19" spans="1:6">
      <c r="A19" s="217"/>
      <c r="B19" s="217"/>
      <c r="C19" s="217"/>
      <c r="D19" s="217"/>
      <c r="E19" s="217"/>
      <c r="F19" s="218"/>
    </row>
    <row r="22" spans="1:6">
      <c r="A22" s="215" t="s">
        <v>234</v>
      </c>
      <c r="B22" s="215"/>
      <c r="C22" s="216"/>
      <c r="D22" s="217"/>
      <c r="E22" s="217"/>
      <c r="F22" s="218"/>
    </row>
    <row r="23" spans="1:6">
      <c r="A23" s="215" t="s">
        <v>245</v>
      </c>
      <c r="B23" s="215"/>
      <c r="C23" s="216"/>
      <c r="D23" s="217"/>
      <c r="E23" s="217"/>
      <c r="F23" s="218"/>
    </row>
    <row r="24" spans="1:6">
      <c r="A24" s="215" t="s">
        <v>235</v>
      </c>
      <c r="B24" s="219" t="s">
        <v>246</v>
      </c>
      <c r="C24" s="216"/>
      <c r="D24" s="217"/>
      <c r="E24" s="217"/>
      <c r="F24" s="218"/>
    </row>
    <row r="25" spans="1:6">
      <c r="A25" s="216"/>
      <c r="B25" s="216"/>
      <c r="C25" s="216"/>
      <c r="D25" s="217"/>
      <c r="E25" s="217"/>
      <c r="F25" s="218"/>
    </row>
    <row r="26" spans="1:6">
      <c r="A26" s="216" t="s">
        <v>236</v>
      </c>
      <c r="B26" s="216" t="s">
        <v>237</v>
      </c>
      <c r="C26" s="216"/>
      <c r="D26" s="217"/>
      <c r="E26" s="217"/>
      <c r="F26" s="218"/>
    </row>
    <row r="27" spans="1:6">
      <c r="A27" s="217" t="s">
        <v>238</v>
      </c>
      <c r="B27" s="220">
        <v>80124.61</v>
      </c>
      <c r="C27" s="217"/>
      <c r="D27" s="217"/>
      <c r="E27" s="217"/>
      <c r="F27" s="218"/>
    </row>
    <row r="28" spans="1:6">
      <c r="A28" s="217" t="s">
        <v>239</v>
      </c>
      <c r="B28" s="220">
        <v>17451.07</v>
      </c>
      <c r="C28" s="217"/>
      <c r="D28" s="217"/>
      <c r="E28" s="217"/>
      <c r="F28" s="218"/>
    </row>
    <row r="29" spans="1:6">
      <c r="A29" s="217" t="s">
        <v>240</v>
      </c>
      <c r="B29" s="220">
        <v>0</v>
      </c>
      <c r="C29" s="217"/>
      <c r="D29" s="217"/>
      <c r="E29" s="217"/>
      <c r="F29" s="218"/>
    </row>
    <row r="30" spans="1:6">
      <c r="A30" s="217" t="s">
        <v>241</v>
      </c>
      <c r="B30" s="220">
        <v>0</v>
      </c>
      <c r="C30" s="217"/>
      <c r="D30" s="217"/>
      <c r="E30" s="217"/>
      <c r="F30" s="218"/>
    </row>
    <row r="31" spans="1:6">
      <c r="A31" s="217" t="s">
        <v>242</v>
      </c>
      <c r="B31" s="220">
        <v>0</v>
      </c>
      <c r="C31" s="217"/>
      <c r="D31" s="217"/>
      <c r="E31" s="217"/>
      <c r="F31" s="218"/>
    </row>
    <row r="32" spans="1:6">
      <c r="A32" s="217" t="s">
        <v>243</v>
      </c>
      <c r="B32" s="220">
        <v>5357.1</v>
      </c>
      <c r="C32" s="217"/>
      <c r="D32" s="217"/>
      <c r="E32" s="217"/>
      <c r="F32" s="218"/>
    </row>
    <row r="33" spans="1:6" ht="15.75" thickBot="1">
      <c r="A33" s="217" t="s">
        <v>244</v>
      </c>
      <c r="B33" s="221">
        <v>0</v>
      </c>
      <c r="C33" s="217"/>
      <c r="D33" s="217"/>
      <c r="E33" s="217"/>
      <c r="F33" s="218"/>
    </row>
    <row r="34" spans="1:6">
      <c r="A34" s="217"/>
      <c r="B34" s="222">
        <f>SUM(B27:B33)</f>
        <v>102932.78</v>
      </c>
      <c r="C34" s="217"/>
      <c r="D34" s="217"/>
      <c r="E34" s="217"/>
      <c r="F34" s="218"/>
    </row>
    <row r="35" spans="1:6" ht="15.75" thickBot="1">
      <c r="A35" s="217"/>
      <c r="B35" s="223">
        <f>B34*0.16</f>
        <v>16469.2448</v>
      </c>
      <c r="C35" s="217"/>
      <c r="D35" s="217"/>
      <c r="E35" s="217"/>
      <c r="F35" s="218"/>
    </row>
    <row r="36" spans="1:6" ht="15.75" thickTop="1">
      <c r="A36" s="217"/>
      <c r="B36" s="224">
        <f>+B34+B35</f>
        <v>119402.0248</v>
      </c>
      <c r="C36" s="217"/>
      <c r="D36" s="217"/>
      <c r="E36" s="217"/>
      <c r="F36" s="218"/>
    </row>
    <row r="37" spans="1:6">
      <c r="A37" s="217"/>
      <c r="B37" s="220">
        <v>119402.02</v>
      </c>
      <c r="C37" s="217"/>
      <c r="D37" s="217"/>
      <c r="E37" s="217"/>
      <c r="F37" s="218"/>
    </row>
    <row r="38" spans="1:6">
      <c r="A38" s="217"/>
      <c r="B38" s="220">
        <f>B37-B36</f>
        <v>-4.7999999951571226E-3</v>
      </c>
      <c r="C38" s="217"/>
      <c r="D38" s="217"/>
      <c r="E38" s="217"/>
      <c r="F38" s="218"/>
    </row>
    <row r="39" spans="1:6">
      <c r="A39" s="217"/>
      <c r="B39" s="220"/>
      <c r="C39" s="217"/>
      <c r="D39" s="217"/>
      <c r="E39" s="217"/>
      <c r="F39" s="218"/>
    </row>
    <row r="40" spans="1:6">
      <c r="A40" s="217"/>
      <c r="B40" s="217"/>
      <c r="C40" s="217"/>
      <c r="D40" s="217"/>
      <c r="E40" s="217"/>
      <c r="F40" s="2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FACTURACIÓN</vt:lpstr>
      <vt:lpstr>INGENIERIA</vt:lpstr>
      <vt:lpstr>SIND</vt:lpstr>
      <vt:lpstr>Hoja1</vt:lpstr>
      <vt:lpstr>POLIZA</vt:lpstr>
      <vt:lpstr>Hoja1!Área_de_impresión</vt:lpstr>
      <vt:lpstr>INGENIERIA!Área_de_impresión</vt:lpstr>
      <vt:lpstr>SIND!Área_de_impresión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2016-08-12T21:15:32Z</cp:lastPrinted>
  <dcterms:created xsi:type="dcterms:W3CDTF">2016-08-09T00:02:05Z</dcterms:created>
  <dcterms:modified xsi:type="dcterms:W3CDTF">2016-08-31T14:16:27Z</dcterms:modified>
</cp:coreProperties>
</file>