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CELAYA/NOMINA CELAYA/2016/NOMINA INGENIERIA/Consultores/Quincenal/"/>
    </mc:Choice>
  </mc:AlternateContent>
  <bookViews>
    <workbookView xWindow="0" yWindow="0" windowWidth="28800" windowHeight="11835" firstSheet="2" activeTab="3"/>
  </bookViews>
  <sheets>
    <sheet name="Hoja1" sheetId="1" state="hidden" r:id="rId1"/>
    <sheet name="Hoja1 (2)" sheetId="2" state="hidden" r:id="rId2"/>
    <sheet name="FACTURACIÓN" sheetId="4" r:id="rId3"/>
    <sheet name="GLOBAL" sheetId="10" r:id="rId4"/>
    <sheet name="INGENIERIA" sheetId="3" r:id="rId5"/>
    <sheet name="SINDICATO" sheetId="5" r:id="rId6"/>
    <sheet name="DISPERSIONES" sheetId="6" r:id="rId7"/>
    <sheet name="POLIZA" sheetId="7" r:id="rId8"/>
  </sheets>
  <externalReferences>
    <externalReference r:id="rId9"/>
    <externalReference r:id="rId10"/>
  </externalReferences>
  <definedNames>
    <definedName name="_xlnm._FilterDatabase" localSheetId="2" hidden="1">FACTURACIÓN!$P$11:$AP$52</definedName>
    <definedName name="_xlnm._FilterDatabase" localSheetId="0" hidden="1">Hoja1!$A$5:$AB$57</definedName>
    <definedName name="_xlnm._FilterDatabase" localSheetId="1" hidden="1">'Hoja1 (2)'!$A$5:$AB$44</definedName>
  </definedNames>
  <calcPr calcId="152511"/>
</workbook>
</file>

<file path=xl/calcChain.xml><?xml version="1.0" encoding="utf-8"?>
<calcChain xmlns="http://schemas.openxmlformats.org/spreadsheetml/2006/main">
  <c r="B11" i="7" l="1"/>
  <c r="B36" i="7" l="1"/>
  <c r="B14" i="7"/>
  <c r="A43" i="6"/>
  <c r="A44" i="6"/>
  <c r="A45" i="6"/>
  <c r="A46" i="6"/>
  <c r="A47" i="6"/>
  <c r="A48" i="6"/>
  <c r="A49" i="6"/>
  <c r="A50" i="6"/>
  <c r="A51" i="6"/>
  <c r="A52" i="6"/>
  <c r="A53" i="6"/>
  <c r="A42" i="6"/>
  <c r="A38" i="6"/>
  <c r="A39" i="6"/>
  <c r="A40" i="6"/>
  <c r="A41" i="6"/>
  <c r="A28" i="6"/>
  <c r="A29" i="6"/>
  <c r="A30" i="6"/>
  <c r="A31" i="6"/>
  <c r="A32" i="6"/>
  <c r="A33" i="6"/>
  <c r="A34" i="6"/>
  <c r="A35" i="6"/>
  <c r="A36" i="6"/>
  <c r="A37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3" i="6"/>
  <c r="B37" i="7" l="1"/>
  <c r="B38" i="7" s="1"/>
  <c r="B40" i="7" s="1"/>
  <c r="B15" i="7"/>
  <c r="B16" i="7" s="1"/>
  <c r="B18" i="7" s="1"/>
  <c r="E68" i="3" l="1"/>
  <c r="E71" i="3" s="1"/>
  <c r="C68" i="3"/>
  <c r="F66" i="3"/>
  <c r="F65" i="3"/>
  <c r="F64" i="3"/>
  <c r="F63" i="3"/>
  <c r="F62" i="3"/>
  <c r="F61" i="3"/>
  <c r="F60" i="3"/>
  <c r="F59" i="3"/>
  <c r="N59" i="3" s="1"/>
  <c r="B46" i="6" s="1"/>
  <c r="D46" i="6" s="1"/>
  <c r="G46" i="6" s="1"/>
  <c r="F58" i="3"/>
  <c r="N58" i="3" s="1"/>
  <c r="B45" i="6" s="1"/>
  <c r="D45" i="6" s="1"/>
  <c r="G45" i="6" s="1"/>
  <c r="F57" i="3"/>
  <c r="N57" i="3" s="1"/>
  <c r="B44" i="6" s="1"/>
  <c r="D44" i="6" s="1"/>
  <c r="G44" i="6" s="1"/>
  <c r="F56" i="3"/>
  <c r="N56" i="3" s="1"/>
  <c r="B43" i="6" s="1"/>
  <c r="D43" i="6" s="1"/>
  <c r="G43" i="6" s="1"/>
  <c r="F55" i="3"/>
  <c r="N55" i="3" s="1"/>
  <c r="B42" i="6" s="1"/>
  <c r="D42" i="6" s="1"/>
  <c r="G42" i="6" s="1"/>
  <c r="M66" i="3"/>
  <c r="N66" i="3" s="1"/>
  <c r="B53" i="6" s="1"/>
  <c r="D53" i="6" s="1"/>
  <c r="G53" i="6" s="1"/>
  <c r="M65" i="3"/>
  <c r="M64" i="3"/>
  <c r="N64" i="3" s="1"/>
  <c r="B51" i="6" s="1"/>
  <c r="D51" i="6" s="1"/>
  <c r="G51" i="6" s="1"/>
  <c r="M63" i="3"/>
  <c r="M61" i="3"/>
  <c r="M60" i="3"/>
  <c r="N60" i="3" s="1"/>
  <c r="B47" i="6" s="1"/>
  <c r="D47" i="6" s="1"/>
  <c r="G47" i="6" s="1"/>
  <c r="M59" i="3"/>
  <c r="M58" i="3"/>
  <c r="M57" i="3"/>
  <c r="M56" i="3"/>
  <c r="M55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12" i="3"/>
  <c r="D52" i="3"/>
  <c r="E52" i="3"/>
  <c r="G52" i="3"/>
  <c r="H52" i="3"/>
  <c r="I52" i="3"/>
  <c r="J52" i="3"/>
  <c r="K52" i="3"/>
  <c r="L52" i="3"/>
  <c r="C52" i="3"/>
  <c r="C71" i="3" s="1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N12" i="3" s="1"/>
  <c r="B3" i="6" s="1"/>
  <c r="F18" i="3"/>
  <c r="E68" i="4"/>
  <c r="C68" i="4"/>
  <c r="AB67" i="4"/>
  <c r="AG67" i="4"/>
  <c r="D68" i="3"/>
  <c r="D71" i="3" s="1"/>
  <c r="G68" i="3"/>
  <c r="G71" i="3" s="1"/>
  <c r="H68" i="3"/>
  <c r="H71" i="3" s="1"/>
  <c r="I68" i="3"/>
  <c r="I71" i="3" s="1"/>
  <c r="K68" i="3"/>
  <c r="K71" i="3" s="1"/>
  <c r="L68" i="3"/>
  <c r="J62" i="3"/>
  <c r="M62" i="3" s="1"/>
  <c r="N18" i="3" l="1"/>
  <c r="B9" i="6" s="1"/>
  <c r="N63" i="3"/>
  <c r="B50" i="6" s="1"/>
  <c r="D50" i="6" s="1"/>
  <c r="G50" i="6" s="1"/>
  <c r="N61" i="3"/>
  <c r="B48" i="6" s="1"/>
  <c r="D48" i="6" s="1"/>
  <c r="G48" i="6" s="1"/>
  <c r="L71" i="3"/>
  <c r="N65" i="3"/>
  <c r="B52" i="6" s="1"/>
  <c r="D52" i="6" s="1"/>
  <c r="G52" i="6" s="1"/>
  <c r="N62" i="3"/>
  <c r="N49" i="3"/>
  <c r="B40" i="6" s="1"/>
  <c r="N47" i="3"/>
  <c r="B38" i="6" s="1"/>
  <c r="N45" i="3"/>
  <c r="B36" i="6" s="1"/>
  <c r="N43" i="3"/>
  <c r="B34" i="6" s="1"/>
  <c r="N41" i="3"/>
  <c r="B32" i="6" s="1"/>
  <c r="N39" i="3"/>
  <c r="B30" i="6" s="1"/>
  <c r="N37" i="3"/>
  <c r="B28" i="6" s="1"/>
  <c r="N35" i="3"/>
  <c r="B26" i="6" s="1"/>
  <c r="N33" i="3"/>
  <c r="B24" i="6" s="1"/>
  <c r="N31" i="3"/>
  <c r="B22" i="6" s="1"/>
  <c r="N29" i="3"/>
  <c r="B20" i="6" s="1"/>
  <c r="N27" i="3"/>
  <c r="B18" i="6" s="1"/>
  <c r="N25" i="3"/>
  <c r="B16" i="6" s="1"/>
  <c r="N23" i="3"/>
  <c r="B14" i="6" s="1"/>
  <c r="N19" i="3"/>
  <c r="F52" i="3"/>
  <c r="N50" i="3"/>
  <c r="B41" i="6" s="1"/>
  <c r="N48" i="3"/>
  <c r="B39" i="6" s="1"/>
  <c r="N46" i="3"/>
  <c r="B37" i="6" s="1"/>
  <c r="N44" i="3"/>
  <c r="B35" i="6" s="1"/>
  <c r="N42" i="3"/>
  <c r="B33" i="6" s="1"/>
  <c r="N40" i="3"/>
  <c r="B31" i="6" s="1"/>
  <c r="N38" i="3"/>
  <c r="B29" i="6" s="1"/>
  <c r="N36" i="3"/>
  <c r="B27" i="6" s="1"/>
  <c r="N34" i="3"/>
  <c r="B25" i="6" s="1"/>
  <c r="N32" i="3"/>
  <c r="B23" i="6" s="1"/>
  <c r="N30" i="3"/>
  <c r="B21" i="6" s="1"/>
  <c r="N28" i="3"/>
  <c r="B19" i="6" s="1"/>
  <c r="N26" i="3"/>
  <c r="B17" i="6" s="1"/>
  <c r="N24" i="3"/>
  <c r="B15" i="6" s="1"/>
  <c r="N22" i="3"/>
  <c r="B13" i="6" s="1"/>
  <c r="N20" i="3"/>
  <c r="B11" i="6" s="1"/>
  <c r="N21" i="3"/>
  <c r="B12" i="6" s="1"/>
  <c r="N17" i="3"/>
  <c r="B8" i="6" s="1"/>
  <c r="N15" i="3"/>
  <c r="B6" i="6" s="1"/>
  <c r="N13" i="3"/>
  <c r="B4" i="6" s="1"/>
  <c r="N16" i="3"/>
  <c r="B7" i="6" s="1"/>
  <c r="N14" i="3"/>
  <c r="B5" i="6" s="1"/>
  <c r="F68" i="3"/>
  <c r="M52" i="3"/>
  <c r="M68" i="3"/>
  <c r="M71" i="3" s="1"/>
  <c r="J68" i="3"/>
  <c r="J71" i="3" s="1"/>
  <c r="Z67" i="4"/>
  <c r="AA67" i="4"/>
  <c r="AD67" i="4"/>
  <c r="AE67" i="4"/>
  <c r="AF67" i="4"/>
  <c r="AH67" i="4"/>
  <c r="AI67" i="4"/>
  <c r="AJ67" i="4"/>
  <c r="AQ67" i="4"/>
  <c r="AR67" i="4"/>
  <c r="AT67" i="4"/>
  <c r="AU67" i="4"/>
  <c r="Y67" i="4"/>
  <c r="D52" i="4"/>
  <c r="I66" i="4"/>
  <c r="I65" i="4"/>
  <c r="I64" i="4"/>
  <c r="I63" i="4"/>
  <c r="I62" i="4"/>
  <c r="I61" i="4"/>
  <c r="I60" i="4"/>
  <c r="I59" i="4"/>
  <c r="I58" i="4"/>
  <c r="I57" i="4"/>
  <c r="I56" i="4"/>
  <c r="I55" i="4"/>
  <c r="J66" i="4"/>
  <c r="J65" i="4"/>
  <c r="J64" i="4"/>
  <c r="J63" i="4"/>
  <c r="J62" i="4"/>
  <c r="J61" i="4"/>
  <c r="J60" i="4"/>
  <c r="J59" i="4"/>
  <c r="J58" i="4"/>
  <c r="J57" i="4"/>
  <c r="J56" i="4"/>
  <c r="J55" i="4"/>
  <c r="D53" i="5"/>
  <c r="B4" i="5"/>
  <c r="S66" i="4"/>
  <c r="S65" i="4"/>
  <c r="S64" i="4"/>
  <c r="S63" i="4"/>
  <c r="S62" i="4"/>
  <c r="S61" i="4"/>
  <c r="S60" i="4"/>
  <c r="S59" i="4"/>
  <c r="S58" i="4"/>
  <c r="S57" i="4"/>
  <c r="S56" i="4"/>
  <c r="S55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12" i="4"/>
  <c r="P68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12" i="4"/>
  <c r="C13" i="4"/>
  <c r="H13" i="4" s="1"/>
  <c r="K13" i="4" s="1"/>
  <c r="C14" i="4"/>
  <c r="H14" i="4" s="1"/>
  <c r="K14" i="4" s="1"/>
  <c r="C15" i="4"/>
  <c r="H15" i="4" s="1"/>
  <c r="K15" i="4" s="1"/>
  <c r="C16" i="4"/>
  <c r="H16" i="4" s="1"/>
  <c r="K16" i="4" s="1"/>
  <c r="C17" i="4"/>
  <c r="H17" i="4" s="1"/>
  <c r="K17" i="4" s="1"/>
  <c r="C18" i="4"/>
  <c r="H18" i="4" s="1"/>
  <c r="K18" i="4" s="1"/>
  <c r="C19" i="4"/>
  <c r="H19" i="4" s="1"/>
  <c r="K19" i="4" s="1"/>
  <c r="C20" i="4"/>
  <c r="H20" i="4" s="1"/>
  <c r="C21" i="4"/>
  <c r="H21" i="4" s="1"/>
  <c r="K21" i="4" s="1"/>
  <c r="C22" i="4"/>
  <c r="H22" i="4" s="1"/>
  <c r="K22" i="4" s="1"/>
  <c r="C23" i="4"/>
  <c r="H23" i="4" s="1"/>
  <c r="K23" i="4" s="1"/>
  <c r="C24" i="4"/>
  <c r="H24" i="4" s="1"/>
  <c r="K24" i="4" s="1"/>
  <c r="C25" i="4"/>
  <c r="H25" i="4" s="1"/>
  <c r="K25" i="4" s="1"/>
  <c r="C26" i="4"/>
  <c r="H26" i="4" s="1"/>
  <c r="K26" i="4" s="1"/>
  <c r="C27" i="4"/>
  <c r="H27" i="4" s="1"/>
  <c r="K27" i="4" s="1"/>
  <c r="C28" i="4"/>
  <c r="H28" i="4" s="1"/>
  <c r="C29" i="4"/>
  <c r="H29" i="4" s="1"/>
  <c r="K29" i="4" s="1"/>
  <c r="C30" i="4"/>
  <c r="H30" i="4" s="1"/>
  <c r="K30" i="4" s="1"/>
  <c r="C31" i="4"/>
  <c r="H31" i="4" s="1"/>
  <c r="K31" i="4" s="1"/>
  <c r="C32" i="4"/>
  <c r="H32" i="4" s="1"/>
  <c r="C33" i="4"/>
  <c r="H33" i="4" s="1"/>
  <c r="C34" i="4"/>
  <c r="H34" i="4" s="1"/>
  <c r="C35" i="4"/>
  <c r="H35" i="4" s="1"/>
  <c r="C36" i="4"/>
  <c r="H36" i="4" s="1"/>
  <c r="C37" i="4"/>
  <c r="H37" i="4" s="1"/>
  <c r="C38" i="4"/>
  <c r="H38" i="4" s="1"/>
  <c r="C39" i="4"/>
  <c r="H39" i="4" s="1"/>
  <c r="C40" i="4"/>
  <c r="H40" i="4" s="1"/>
  <c r="C41" i="4"/>
  <c r="H41" i="4" s="1"/>
  <c r="C42" i="4"/>
  <c r="H42" i="4" s="1"/>
  <c r="C43" i="4"/>
  <c r="H43" i="4" s="1"/>
  <c r="C44" i="4"/>
  <c r="H44" i="4" s="1"/>
  <c r="C45" i="4"/>
  <c r="H45" i="4" s="1"/>
  <c r="C46" i="4"/>
  <c r="H46" i="4" s="1"/>
  <c r="C47" i="4"/>
  <c r="H47" i="4" s="1"/>
  <c r="C48" i="4"/>
  <c r="H48" i="4" s="1"/>
  <c r="C49" i="4"/>
  <c r="H49" i="4" s="1"/>
  <c r="C50" i="4"/>
  <c r="H50" i="4" s="1"/>
  <c r="C12" i="4"/>
  <c r="H12" i="4" s="1"/>
  <c r="AI51" i="4"/>
  <c r="AI69" i="4" s="1"/>
  <c r="AH51" i="4"/>
  <c r="AG51" i="4"/>
  <c r="AG69" i="4" s="1"/>
  <c r="AF51" i="4"/>
  <c r="AF69" i="4" s="1"/>
  <c r="AE51" i="4"/>
  <c r="AE69" i="4" s="1"/>
  <c r="AD51" i="4"/>
  <c r="AD69" i="4" s="1"/>
  <c r="AB51" i="4"/>
  <c r="AB69" i="4" s="1"/>
  <c r="AA51" i="4"/>
  <c r="AA69" i="4" s="1"/>
  <c r="Z51" i="4"/>
  <c r="Z69" i="4" s="1"/>
  <c r="Y51" i="4"/>
  <c r="AO79" i="4"/>
  <c r="AC79" i="4"/>
  <c r="AK79" i="4" s="1"/>
  <c r="AO78" i="4"/>
  <c r="AC78" i="4"/>
  <c r="AK78" i="4" s="1"/>
  <c r="AO77" i="4"/>
  <c r="AC77" i="4"/>
  <c r="AK77" i="4" s="1"/>
  <c r="AO76" i="4"/>
  <c r="AC76" i="4"/>
  <c r="AK76" i="4" s="1"/>
  <c r="AV66" i="4"/>
  <c r="AO66" i="4"/>
  <c r="AC66" i="4"/>
  <c r="AK66" i="4" s="1"/>
  <c r="AV65" i="4"/>
  <c r="AO65" i="4"/>
  <c r="AC65" i="4"/>
  <c r="AK65" i="4" s="1"/>
  <c r="AV64" i="4"/>
  <c r="AO64" i="4"/>
  <c r="AC64" i="4"/>
  <c r="AK64" i="4" s="1"/>
  <c r="AV63" i="4"/>
  <c r="AO63" i="4"/>
  <c r="AC63" i="4"/>
  <c r="AK63" i="4" s="1"/>
  <c r="AV62" i="4"/>
  <c r="AC62" i="4"/>
  <c r="AK62" i="4" s="1"/>
  <c r="AV61" i="4"/>
  <c r="AO61" i="4"/>
  <c r="AC61" i="4"/>
  <c r="AK61" i="4" s="1"/>
  <c r="AV60" i="4"/>
  <c r="AO60" i="4"/>
  <c r="AC60" i="4"/>
  <c r="AK60" i="4" s="1"/>
  <c r="AV59" i="4"/>
  <c r="AO59" i="4"/>
  <c r="AC59" i="4"/>
  <c r="AK59" i="4" s="1"/>
  <c r="AV58" i="4"/>
  <c r="AO58" i="4"/>
  <c r="AC58" i="4"/>
  <c r="AK58" i="4" s="1"/>
  <c r="AV57" i="4"/>
  <c r="AO57" i="4"/>
  <c r="AC57" i="4"/>
  <c r="AK57" i="4" s="1"/>
  <c r="AV56" i="4"/>
  <c r="AO56" i="4"/>
  <c r="AC56" i="4"/>
  <c r="AK56" i="4" s="1"/>
  <c r="AV55" i="4"/>
  <c r="AO55" i="4"/>
  <c r="AC55" i="4"/>
  <c r="AV50" i="4"/>
  <c r="AO50" i="4"/>
  <c r="AC50" i="4"/>
  <c r="AK50" i="4" s="1"/>
  <c r="AV49" i="4"/>
  <c r="AO49" i="4"/>
  <c r="AC49" i="4"/>
  <c r="AK49" i="4" s="1"/>
  <c r="AV48" i="4"/>
  <c r="AC48" i="4"/>
  <c r="AK48" i="4" s="1"/>
  <c r="AV47" i="4"/>
  <c r="AO47" i="4"/>
  <c r="AC47" i="4"/>
  <c r="AK47" i="4" s="1"/>
  <c r="AV46" i="4"/>
  <c r="AO46" i="4"/>
  <c r="AC46" i="4"/>
  <c r="AK46" i="4" s="1"/>
  <c r="AV45" i="4"/>
  <c r="AC45" i="4"/>
  <c r="AK45" i="4" s="1"/>
  <c r="AM45" i="4" s="1"/>
  <c r="AV44" i="4"/>
  <c r="AO44" i="4"/>
  <c r="AC44" i="4"/>
  <c r="AK44" i="4" s="1"/>
  <c r="AV43" i="4"/>
  <c r="AO43" i="4"/>
  <c r="AC43" i="4"/>
  <c r="AK43" i="4" s="1"/>
  <c r="AV42" i="4"/>
  <c r="AO42" i="4"/>
  <c r="AC42" i="4"/>
  <c r="AK42" i="4" s="1"/>
  <c r="AV41" i="4"/>
  <c r="AO41" i="4"/>
  <c r="AC41" i="4"/>
  <c r="AK41" i="4" s="1"/>
  <c r="AV40" i="4"/>
  <c r="AC40" i="4"/>
  <c r="AN40" i="4" s="1"/>
  <c r="AV39" i="4"/>
  <c r="AO39" i="4"/>
  <c r="AC39" i="4"/>
  <c r="AK39" i="4" s="1"/>
  <c r="AV38" i="4"/>
  <c r="AO38" i="4"/>
  <c r="AC38" i="4"/>
  <c r="AK38" i="4" s="1"/>
  <c r="AV37" i="4"/>
  <c r="AC37" i="4"/>
  <c r="AK37" i="4" s="1"/>
  <c r="AM37" i="4" s="1"/>
  <c r="AV36" i="4"/>
  <c r="AO36" i="4"/>
  <c r="AC36" i="4"/>
  <c r="AK36" i="4" s="1"/>
  <c r="AV35" i="4"/>
  <c r="AO35" i="4"/>
  <c r="AC35" i="4"/>
  <c r="AK35" i="4" s="1"/>
  <c r="AV34" i="4"/>
  <c r="AO34" i="4"/>
  <c r="AC34" i="4"/>
  <c r="AK34" i="4" s="1"/>
  <c r="AV33" i="4"/>
  <c r="AO33" i="4"/>
  <c r="AC33" i="4"/>
  <c r="AK33" i="4" s="1"/>
  <c r="AV32" i="4"/>
  <c r="AO32" i="4"/>
  <c r="AC32" i="4"/>
  <c r="AK32" i="4" s="1"/>
  <c r="AV31" i="4"/>
  <c r="AO31" i="4"/>
  <c r="AC31" i="4"/>
  <c r="AK31" i="4" s="1"/>
  <c r="AV30" i="4"/>
  <c r="AO30" i="4"/>
  <c r="AC30" i="4"/>
  <c r="AK30" i="4" s="1"/>
  <c r="AV29" i="4"/>
  <c r="AC29" i="4"/>
  <c r="AK29" i="4" s="1"/>
  <c r="AM29" i="4" s="1"/>
  <c r="AV28" i="4"/>
  <c r="AO28" i="4"/>
  <c r="AC28" i="4"/>
  <c r="AK28" i="4" s="1"/>
  <c r="AV27" i="4"/>
  <c r="AO27" i="4"/>
  <c r="AC27" i="4"/>
  <c r="AK27" i="4" s="1"/>
  <c r="AV26" i="4"/>
  <c r="AO26" i="4"/>
  <c r="AJ26" i="4"/>
  <c r="AJ51" i="4" s="1"/>
  <c r="AJ69" i="4" s="1"/>
  <c r="AC26" i="4"/>
  <c r="AV25" i="4"/>
  <c r="AO25" i="4"/>
  <c r="AC25" i="4"/>
  <c r="AK25" i="4" s="1"/>
  <c r="AV24" i="4"/>
  <c r="AC24" i="4"/>
  <c r="AK24" i="4" s="1"/>
  <c r="AM24" i="4" s="1"/>
  <c r="AV23" i="4"/>
  <c r="AC23" i="4"/>
  <c r="AN23" i="4" s="1"/>
  <c r="AV22" i="4"/>
  <c r="AO22" i="4"/>
  <c r="AC22" i="4"/>
  <c r="AK22" i="4" s="1"/>
  <c r="AV21" i="4"/>
  <c r="AC21" i="4"/>
  <c r="AK21" i="4" s="1"/>
  <c r="AM21" i="4" s="1"/>
  <c r="AV20" i="4"/>
  <c r="AC20" i="4"/>
  <c r="AK20" i="4" s="1"/>
  <c r="AM20" i="4" s="1"/>
  <c r="AV19" i="4"/>
  <c r="AO19" i="4"/>
  <c r="AC19" i="4"/>
  <c r="AK19" i="4" s="1"/>
  <c r="AV18" i="4"/>
  <c r="AC18" i="4"/>
  <c r="AL18" i="4" s="1"/>
  <c r="AV17" i="4"/>
  <c r="AO17" i="4"/>
  <c r="AC17" i="4"/>
  <c r="AK17" i="4" s="1"/>
  <c r="AV16" i="4"/>
  <c r="AC16" i="4"/>
  <c r="AK16" i="4" s="1"/>
  <c r="AM16" i="4" s="1"/>
  <c r="AV15" i="4"/>
  <c r="AO15" i="4"/>
  <c r="AC15" i="4"/>
  <c r="AK15" i="4" s="1"/>
  <c r="AV14" i="4"/>
  <c r="AO14" i="4"/>
  <c r="AC14" i="4"/>
  <c r="AK14" i="4" s="1"/>
  <c r="AV13" i="4"/>
  <c r="AO13" i="4"/>
  <c r="AC13" i="4"/>
  <c r="AK13" i="4" s="1"/>
  <c r="AV12" i="4"/>
  <c r="AC12" i="4"/>
  <c r="AK12" i="4" s="1"/>
  <c r="AM12" i="4" s="1"/>
  <c r="Q66" i="4"/>
  <c r="R66" i="4" s="1"/>
  <c r="Q65" i="4"/>
  <c r="R65" i="4" s="1"/>
  <c r="Q64" i="4"/>
  <c r="R64" i="4" s="1"/>
  <c r="Q63" i="4"/>
  <c r="R63" i="4" s="1"/>
  <c r="Q62" i="4"/>
  <c r="R62" i="4" s="1"/>
  <c r="Q61" i="4"/>
  <c r="R61" i="4" s="1"/>
  <c r="Q60" i="4"/>
  <c r="R60" i="4" s="1"/>
  <c r="Q59" i="4"/>
  <c r="R59" i="4" s="1"/>
  <c r="Q58" i="4"/>
  <c r="R58" i="4" s="1"/>
  <c r="Q57" i="4"/>
  <c r="R57" i="4" s="1"/>
  <c r="Q56" i="4"/>
  <c r="R56" i="4" s="1"/>
  <c r="Q55" i="4"/>
  <c r="D63" i="4"/>
  <c r="F63" i="4" s="1"/>
  <c r="D64" i="4"/>
  <c r="F64" i="4" s="1"/>
  <c r="D65" i="4"/>
  <c r="F65" i="4" s="1"/>
  <c r="D66" i="4"/>
  <c r="F66" i="4" s="1"/>
  <c r="H66" i="4" s="1"/>
  <c r="K66" i="4" s="1"/>
  <c r="D56" i="4"/>
  <c r="F56" i="4" s="1"/>
  <c r="D57" i="4"/>
  <c r="F57" i="4" s="1"/>
  <c r="D58" i="4"/>
  <c r="F58" i="4" s="1"/>
  <c r="D59" i="4"/>
  <c r="F59" i="4" s="1"/>
  <c r="D60" i="4"/>
  <c r="F60" i="4" s="1"/>
  <c r="D61" i="4"/>
  <c r="F61" i="4" s="1"/>
  <c r="D62" i="4"/>
  <c r="F62" i="4" s="1"/>
  <c r="D55" i="4"/>
  <c r="E13" i="4"/>
  <c r="P13" i="4" s="1"/>
  <c r="E14" i="4"/>
  <c r="P14" i="4" s="1"/>
  <c r="E15" i="4"/>
  <c r="P15" i="4" s="1"/>
  <c r="E16" i="4"/>
  <c r="P16" i="4" s="1"/>
  <c r="E17" i="4"/>
  <c r="P17" i="4" s="1"/>
  <c r="E18" i="4"/>
  <c r="P18" i="4" s="1"/>
  <c r="E19" i="4"/>
  <c r="P19" i="4" s="1"/>
  <c r="E20" i="4"/>
  <c r="P20" i="4" s="1"/>
  <c r="E21" i="4"/>
  <c r="P21" i="4" s="1"/>
  <c r="E22" i="4"/>
  <c r="P22" i="4" s="1"/>
  <c r="E23" i="4"/>
  <c r="P23" i="4" s="1"/>
  <c r="E24" i="4"/>
  <c r="P24" i="4" s="1"/>
  <c r="E25" i="4"/>
  <c r="P25" i="4" s="1"/>
  <c r="E26" i="4"/>
  <c r="P26" i="4" s="1"/>
  <c r="E27" i="4"/>
  <c r="P27" i="4" s="1"/>
  <c r="E28" i="4"/>
  <c r="P28" i="4" s="1"/>
  <c r="E29" i="4"/>
  <c r="P29" i="4" s="1"/>
  <c r="E30" i="4"/>
  <c r="P30" i="4" s="1"/>
  <c r="E31" i="4"/>
  <c r="P31" i="4" s="1"/>
  <c r="E32" i="4"/>
  <c r="P32" i="4" s="1"/>
  <c r="E33" i="4"/>
  <c r="P33" i="4" s="1"/>
  <c r="E34" i="4"/>
  <c r="P34" i="4" s="1"/>
  <c r="E35" i="4"/>
  <c r="P35" i="4" s="1"/>
  <c r="E36" i="4"/>
  <c r="P36" i="4" s="1"/>
  <c r="E37" i="4"/>
  <c r="P37" i="4" s="1"/>
  <c r="E38" i="4"/>
  <c r="P38" i="4" s="1"/>
  <c r="E39" i="4"/>
  <c r="P39" i="4" s="1"/>
  <c r="E40" i="4"/>
  <c r="P40" i="4" s="1"/>
  <c r="E41" i="4"/>
  <c r="P41" i="4" s="1"/>
  <c r="E42" i="4"/>
  <c r="P42" i="4" s="1"/>
  <c r="E43" i="4"/>
  <c r="P43" i="4" s="1"/>
  <c r="E44" i="4"/>
  <c r="P44" i="4" s="1"/>
  <c r="E45" i="4"/>
  <c r="P45" i="4" s="1"/>
  <c r="E46" i="4"/>
  <c r="P46" i="4" s="1"/>
  <c r="E47" i="4"/>
  <c r="P47" i="4" s="1"/>
  <c r="E48" i="4"/>
  <c r="P48" i="4" s="1"/>
  <c r="E49" i="4"/>
  <c r="P49" i="4" s="1"/>
  <c r="E50" i="4"/>
  <c r="P50" i="4" s="1"/>
  <c r="E12" i="4"/>
  <c r="P12" i="4" s="1"/>
  <c r="AC59" i="2"/>
  <c r="AC58" i="2"/>
  <c r="AC57" i="2"/>
  <c r="AC56" i="2"/>
  <c r="AC55" i="2"/>
  <c r="AC54" i="2"/>
  <c r="AC53" i="2"/>
  <c r="AC52" i="2"/>
  <c r="AC51" i="2"/>
  <c r="AC50" i="2"/>
  <c r="AC49" i="2"/>
  <c r="AC48" i="2"/>
  <c r="AC45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7" i="2"/>
  <c r="V72" i="2"/>
  <c r="J72" i="2"/>
  <c r="R72" i="2" s="1"/>
  <c r="V71" i="2"/>
  <c r="J71" i="2"/>
  <c r="R71" i="2" s="1"/>
  <c r="V70" i="2"/>
  <c r="J70" i="2"/>
  <c r="R70" i="2" s="1"/>
  <c r="V69" i="2"/>
  <c r="J69" i="2"/>
  <c r="R69" i="2" s="1"/>
  <c r="J55" i="2"/>
  <c r="R55" i="2" s="1"/>
  <c r="V59" i="2"/>
  <c r="J59" i="2"/>
  <c r="R59" i="2" s="1"/>
  <c r="V45" i="2"/>
  <c r="J45" i="2"/>
  <c r="R45" i="2" s="1"/>
  <c r="V44" i="2"/>
  <c r="J44" i="2"/>
  <c r="R44" i="2" s="1"/>
  <c r="J43" i="2"/>
  <c r="R43" i="2" s="1"/>
  <c r="V42" i="2"/>
  <c r="J42" i="2"/>
  <c r="R42" i="2" s="1"/>
  <c r="V41" i="2"/>
  <c r="J41" i="2"/>
  <c r="R41" i="2" s="1"/>
  <c r="J40" i="2"/>
  <c r="R40" i="2" s="1"/>
  <c r="T40" i="2" s="1"/>
  <c r="V39" i="2"/>
  <c r="J39" i="2"/>
  <c r="R39" i="2" s="1"/>
  <c r="V38" i="2"/>
  <c r="J38" i="2"/>
  <c r="R38" i="2" s="1"/>
  <c r="V58" i="2"/>
  <c r="J58" i="2"/>
  <c r="R58" i="2" s="1"/>
  <c r="V37" i="2"/>
  <c r="J37" i="2"/>
  <c r="R37" i="2" s="1"/>
  <c r="V57" i="2"/>
  <c r="J57" i="2"/>
  <c r="R57" i="2" s="1"/>
  <c r="V56" i="2"/>
  <c r="J56" i="2"/>
  <c r="R56" i="2" s="1"/>
  <c r="V36" i="2"/>
  <c r="J36" i="2"/>
  <c r="R36" i="2" s="1"/>
  <c r="V54" i="2"/>
  <c r="J54" i="2"/>
  <c r="R54" i="2" s="1"/>
  <c r="J35" i="2"/>
  <c r="U35" i="2" s="1"/>
  <c r="V34" i="2"/>
  <c r="J34" i="2"/>
  <c r="R34" i="2" s="1"/>
  <c r="V33" i="2"/>
  <c r="J33" i="2"/>
  <c r="R33" i="2" s="1"/>
  <c r="J32" i="2"/>
  <c r="R32" i="2" s="1"/>
  <c r="T32" i="2" s="1"/>
  <c r="V31" i="2"/>
  <c r="J31" i="2"/>
  <c r="R31" i="2" s="1"/>
  <c r="V30" i="2"/>
  <c r="J30" i="2"/>
  <c r="R30" i="2" s="1"/>
  <c r="V29" i="2"/>
  <c r="J29" i="2"/>
  <c r="R29" i="2" s="1"/>
  <c r="V28" i="2"/>
  <c r="J28" i="2"/>
  <c r="R28" i="2" s="1"/>
  <c r="V53" i="2"/>
  <c r="J53" i="2"/>
  <c r="R53" i="2" s="1"/>
  <c r="V52" i="2"/>
  <c r="J52" i="2"/>
  <c r="R52" i="2" s="1"/>
  <c r="V27" i="2"/>
  <c r="J27" i="2"/>
  <c r="R27" i="2" s="1"/>
  <c r="V51" i="2"/>
  <c r="J51" i="2"/>
  <c r="V26" i="2"/>
  <c r="J26" i="2"/>
  <c r="V25" i="2"/>
  <c r="J25" i="2"/>
  <c r="R25" i="2" s="1"/>
  <c r="J24" i="2"/>
  <c r="R24" i="2" s="1"/>
  <c r="T24" i="2" s="1"/>
  <c r="V23" i="2"/>
  <c r="J23" i="2"/>
  <c r="R23" i="2" s="1"/>
  <c r="V50" i="2"/>
  <c r="J50" i="2"/>
  <c r="R50" i="2" s="1"/>
  <c r="V22" i="2"/>
  <c r="J22" i="2"/>
  <c r="R22" i="2" s="1"/>
  <c r="V21" i="2"/>
  <c r="Q21" i="2"/>
  <c r="J21" i="2"/>
  <c r="V49" i="2"/>
  <c r="J49" i="2"/>
  <c r="R49" i="2" s="1"/>
  <c r="V48" i="2"/>
  <c r="J48" i="2"/>
  <c r="R48" i="2" s="1"/>
  <c r="V20" i="2"/>
  <c r="J20" i="2"/>
  <c r="R20" i="2" s="1"/>
  <c r="J19" i="2"/>
  <c r="R19" i="2" s="1"/>
  <c r="T19" i="2" s="1"/>
  <c r="J18" i="2"/>
  <c r="R18" i="2" s="1"/>
  <c r="V17" i="2"/>
  <c r="J17" i="2"/>
  <c r="R17" i="2" s="1"/>
  <c r="J16" i="2"/>
  <c r="R16" i="2" s="1"/>
  <c r="T16" i="2" s="1"/>
  <c r="J15" i="2"/>
  <c r="R15" i="2" s="1"/>
  <c r="T15" i="2" s="1"/>
  <c r="V14" i="2"/>
  <c r="J14" i="2"/>
  <c r="R14" i="2" s="1"/>
  <c r="J13" i="2"/>
  <c r="S13" i="2" s="1"/>
  <c r="V12" i="2"/>
  <c r="J12" i="2"/>
  <c r="R12" i="2" s="1"/>
  <c r="J11" i="2"/>
  <c r="R11" i="2" s="1"/>
  <c r="T11" i="2" s="1"/>
  <c r="V10" i="2"/>
  <c r="J10" i="2"/>
  <c r="R10" i="2" s="1"/>
  <c r="V9" i="2"/>
  <c r="J9" i="2"/>
  <c r="R9" i="2" s="1"/>
  <c r="V8" i="2"/>
  <c r="J8" i="2"/>
  <c r="R8" i="2" s="1"/>
  <c r="J7" i="2"/>
  <c r="F59" i="1"/>
  <c r="I59" i="1"/>
  <c r="F71" i="3" l="1"/>
  <c r="N52" i="3"/>
  <c r="B10" i="6"/>
  <c r="Y69" i="4"/>
  <c r="I68" i="4"/>
  <c r="N68" i="3"/>
  <c r="B49" i="6"/>
  <c r="D49" i="6" s="1"/>
  <c r="G49" i="6" s="1"/>
  <c r="AK55" i="4"/>
  <c r="AK67" i="4" s="1"/>
  <c r="AK69" i="4" s="1"/>
  <c r="AC67" i="4"/>
  <c r="AO67" i="4"/>
  <c r="Q68" i="4"/>
  <c r="AH69" i="4"/>
  <c r="D68" i="4"/>
  <c r="D71" i="4" s="1"/>
  <c r="C49" i="5"/>
  <c r="C45" i="5"/>
  <c r="C41" i="5"/>
  <c r="C37" i="5"/>
  <c r="C33" i="5"/>
  <c r="C29" i="5"/>
  <c r="C25" i="5"/>
  <c r="C21" i="5"/>
  <c r="C17" i="5"/>
  <c r="C13" i="5"/>
  <c r="C50" i="5"/>
  <c r="C46" i="5"/>
  <c r="C42" i="5"/>
  <c r="C38" i="5"/>
  <c r="C34" i="5"/>
  <c r="C30" i="5"/>
  <c r="C26" i="5"/>
  <c r="C22" i="5"/>
  <c r="C18" i="5"/>
  <c r="C14" i="5"/>
  <c r="E52" i="4"/>
  <c r="E71" i="4" s="1"/>
  <c r="C12" i="5"/>
  <c r="E12" i="5" s="1"/>
  <c r="C47" i="5"/>
  <c r="C43" i="5"/>
  <c r="C39" i="5"/>
  <c r="C35" i="5"/>
  <c r="C31" i="5"/>
  <c r="C27" i="5"/>
  <c r="C23" i="5"/>
  <c r="C19" i="5"/>
  <c r="C15" i="5"/>
  <c r="C48" i="5"/>
  <c r="C44" i="5"/>
  <c r="C40" i="5"/>
  <c r="C36" i="5"/>
  <c r="C32" i="5"/>
  <c r="C28" i="5"/>
  <c r="C24" i="5"/>
  <c r="C20" i="5"/>
  <c r="C16" i="5"/>
  <c r="C52" i="4"/>
  <c r="C71" i="4" s="1"/>
  <c r="N71" i="3"/>
  <c r="K28" i="4"/>
  <c r="L28" i="4" s="1"/>
  <c r="M28" i="4" s="1"/>
  <c r="N28" i="4" s="1"/>
  <c r="K20" i="4"/>
  <c r="L20" i="4" s="1"/>
  <c r="M20" i="4" s="1"/>
  <c r="N20" i="4" s="1"/>
  <c r="L31" i="4"/>
  <c r="M31" i="4" s="1"/>
  <c r="N31" i="4" s="1"/>
  <c r="L29" i="4"/>
  <c r="M29" i="4" s="1"/>
  <c r="N29" i="4" s="1"/>
  <c r="L27" i="4"/>
  <c r="M27" i="4" s="1"/>
  <c r="N27" i="4" s="1"/>
  <c r="L25" i="4"/>
  <c r="L23" i="4"/>
  <c r="M23" i="4" s="1"/>
  <c r="N23" i="4" s="1"/>
  <c r="L21" i="4"/>
  <c r="M21" i="4" s="1"/>
  <c r="N21" i="4" s="1"/>
  <c r="L19" i="4"/>
  <c r="M19" i="4" s="1"/>
  <c r="N19" i="4" s="1"/>
  <c r="L17" i="4"/>
  <c r="M17" i="4" s="1"/>
  <c r="N17" i="4" s="1"/>
  <c r="L15" i="4"/>
  <c r="M15" i="4" s="1"/>
  <c r="N15" i="4" s="1"/>
  <c r="L13" i="4"/>
  <c r="M13" i="4" s="1"/>
  <c r="N13" i="4" s="1"/>
  <c r="J68" i="4"/>
  <c r="L30" i="4"/>
  <c r="M30" i="4" s="1"/>
  <c r="N30" i="4" s="1"/>
  <c r="L26" i="4"/>
  <c r="M26" i="4" s="1"/>
  <c r="N26" i="4" s="1"/>
  <c r="L24" i="4"/>
  <c r="M24" i="4" s="1"/>
  <c r="N24" i="4" s="1"/>
  <c r="L22" i="4"/>
  <c r="M22" i="4" s="1"/>
  <c r="N22" i="4" s="1"/>
  <c r="L18" i="4"/>
  <c r="M18" i="4" s="1"/>
  <c r="N18" i="4" s="1"/>
  <c r="L16" i="4"/>
  <c r="M16" i="4" s="1"/>
  <c r="N16" i="4" s="1"/>
  <c r="L14" i="4"/>
  <c r="M14" i="4" s="1"/>
  <c r="N14" i="4" s="1"/>
  <c r="K50" i="4"/>
  <c r="K46" i="4"/>
  <c r="K42" i="4"/>
  <c r="K38" i="4"/>
  <c r="K34" i="4"/>
  <c r="Q12" i="4"/>
  <c r="R12" i="4" s="1"/>
  <c r="H61" i="4"/>
  <c r="K61" i="4" s="1"/>
  <c r="H59" i="4"/>
  <c r="K59" i="4" s="1"/>
  <c r="H57" i="4"/>
  <c r="K57" i="4" s="1"/>
  <c r="H64" i="4"/>
  <c r="K64" i="4" s="1"/>
  <c r="AK23" i="4"/>
  <c r="H62" i="4"/>
  <c r="L61" i="4"/>
  <c r="M61" i="4" s="1"/>
  <c r="N61" i="4" s="1"/>
  <c r="H60" i="4"/>
  <c r="L59" i="4"/>
  <c r="M59" i="4" s="1"/>
  <c r="N59" i="4" s="1"/>
  <c r="H58" i="4"/>
  <c r="H56" i="4"/>
  <c r="K56" i="4" s="1"/>
  <c r="L66" i="4"/>
  <c r="M66" i="4" s="1"/>
  <c r="N66" i="4" s="1"/>
  <c r="H65" i="4"/>
  <c r="L64" i="4"/>
  <c r="M64" i="4" s="1"/>
  <c r="N64" i="4" s="1"/>
  <c r="H63" i="4"/>
  <c r="AC51" i="4"/>
  <c r="K49" i="4"/>
  <c r="K47" i="4"/>
  <c r="L47" i="4" s="1"/>
  <c r="K45" i="4"/>
  <c r="K43" i="4"/>
  <c r="L43" i="4" s="1"/>
  <c r="K41" i="4"/>
  <c r="K39" i="4"/>
  <c r="L39" i="4" s="1"/>
  <c r="K37" i="4"/>
  <c r="K35" i="4"/>
  <c r="L35" i="4" s="1"/>
  <c r="K33" i="4"/>
  <c r="K48" i="4"/>
  <c r="L48" i="4" s="1"/>
  <c r="K44" i="4"/>
  <c r="K40" i="4"/>
  <c r="L40" i="4" s="1"/>
  <c r="K36" i="4"/>
  <c r="K32" i="4"/>
  <c r="L32" i="4" s="1"/>
  <c r="M25" i="4"/>
  <c r="N25" i="4" s="1"/>
  <c r="J52" i="4"/>
  <c r="AL14" i="4"/>
  <c r="AM14" i="4" s="1"/>
  <c r="AS14" i="4" s="1"/>
  <c r="AK18" i="4"/>
  <c r="AM18" i="4" s="1"/>
  <c r="AL77" i="4"/>
  <c r="AM77" i="4" s="1"/>
  <c r="AS77" i="4" s="1"/>
  <c r="AL36" i="4"/>
  <c r="AM36" i="4" s="1"/>
  <c r="AS36" i="4" s="1"/>
  <c r="AK40" i="4"/>
  <c r="AL58" i="4"/>
  <c r="AL59" i="4"/>
  <c r="AM59" i="4" s="1"/>
  <c r="AS59" i="4" s="1"/>
  <c r="AL61" i="4"/>
  <c r="AM61" i="4" s="1"/>
  <c r="AS61" i="4" s="1"/>
  <c r="AL79" i="4"/>
  <c r="AN17" i="4"/>
  <c r="AP17" i="4" s="1"/>
  <c r="AN19" i="4"/>
  <c r="AP19" i="4" s="1"/>
  <c r="AN26" i="4"/>
  <c r="AP26" i="4" s="1"/>
  <c r="AL26" i="4"/>
  <c r="AK26" i="4"/>
  <c r="AN14" i="4"/>
  <c r="AP14" i="4" s="1"/>
  <c r="AL17" i="4"/>
  <c r="AM17" i="4" s="1"/>
  <c r="AS17" i="4" s="1"/>
  <c r="AL19" i="4"/>
  <c r="AM19" i="4" s="1"/>
  <c r="AS19" i="4" s="1"/>
  <c r="AL27" i="4"/>
  <c r="AM27" i="4" s="1"/>
  <c r="AS27" i="4" s="1"/>
  <c r="AN27" i="4"/>
  <c r="AP27" i="4" s="1"/>
  <c r="AL30" i="4"/>
  <c r="AM30" i="4" s="1"/>
  <c r="AN30" i="4"/>
  <c r="AP30" i="4" s="1"/>
  <c r="AL31" i="4"/>
  <c r="AM31" i="4" s="1"/>
  <c r="AS31" i="4" s="1"/>
  <c r="AN31" i="4"/>
  <c r="AP31" i="4" s="1"/>
  <c r="AL33" i="4"/>
  <c r="AM33" i="4" s="1"/>
  <c r="AS33" i="4" s="1"/>
  <c r="AN33" i="4"/>
  <c r="AP33" i="4" s="1"/>
  <c r="AL35" i="4"/>
  <c r="AM35" i="4" s="1"/>
  <c r="AS35" i="4" s="1"/>
  <c r="AN35" i="4"/>
  <c r="AP35" i="4" s="1"/>
  <c r="AN39" i="4"/>
  <c r="AP39" i="4" s="1"/>
  <c r="AN42" i="4"/>
  <c r="AP42" i="4" s="1"/>
  <c r="AN44" i="4"/>
  <c r="AP44" i="4" s="1"/>
  <c r="AN48" i="4"/>
  <c r="AN49" i="4"/>
  <c r="AP49" i="4" s="1"/>
  <c r="AN55" i="4"/>
  <c r="AN62" i="4"/>
  <c r="AL62" i="4"/>
  <c r="AP62" i="4"/>
  <c r="AN63" i="4"/>
  <c r="AP63" i="4" s="1"/>
  <c r="AN65" i="4"/>
  <c r="AP65" i="4" s="1"/>
  <c r="AN76" i="4"/>
  <c r="AP76" i="4" s="1"/>
  <c r="AN78" i="4"/>
  <c r="AP78" i="4" s="1"/>
  <c r="AL13" i="4"/>
  <c r="AM13" i="4" s="1"/>
  <c r="AS13" i="4" s="1"/>
  <c r="AN13" i="4"/>
  <c r="AP13" i="4" s="1"/>
  <c r="AL15" i="4"/>
  <c r="AM15" i="4" s="1"/>
  <c r="AS15" i="4" s="1"/>
  <c r="AN15" i="4"/>
  <c r="AP15" i="4" s="1"/>
  <c r="AL22" i="4"/>
  <c r="AM22" i="4" s="1"/>
  <c r="AN22" i="4"/>
  <c r="AP22" i="4" s="1"/>
  <c r="AL23" i="4"/>
  <c r="AL25" i="4"/>
  <c r="AM25" i="4" s="1"/>
  <c r="AS25" i="4" s="1"/>
  <c r="AN25" i="4"/>
  <c r="AP25" i="4" s="1"/>
  <c r="AL28" i="4"/>
  <c r="AM28" i="4" s="1"/>
  <c r="AS28" i="4" s="1"/>
  <c r="AN28" i="4"/>
  <c r="AP28" i="4" s="1"/>
  <c r="AL32" i="4"/>
  <c r="AM32" i="4" s="1"/>
  <c r="AS32" i="4" s="1"/>
  <c r="AN32" i="4"/>
  <c r="AP32" i="4" s="1"/>
  <c r="AL34" i="4"/>
  <c r="AM34" i="4" s="1"/>
  <c r="AS34" i="4" s="1"/>
  <c r="AN34" i="4"/>
  <c r="AP34" i="4" s="1"/>
  <c r="AN36" i="4"/>
  <c r="AP36" i="4" s="1"/>
  <c r="AL39" i="4"/>
  <c r="AM39" i="4" s="1"/>
  <c r="AS39" i="4" s="1"/>
  <c r="AL42" i="4"/>
  <c r="AM42" i="4" s="1"/>
  <c r="AS42" i="4" s="1"/>
  <c r="AL44" i="4"/>
  <c r="AM44" i="4" s="1"/>
  <c r="AS44" i="4" s="1"/>
  <c r="AL48" i="4"/>
  <c r="AM48" i="4" s="1"/>
  <c r="AL49" i="4"/>
  <c r="AM49" i="4" s="1"/>
  <c r="AS49" i="4" s="1"/>
  <c r="AL55" i="4"/>
  <c r="AM58" i="4"/>
  <c r="AN58" i="4"/>
  <c r="AP58" i="4" s="1"/>
  <c r="AN59" i="4"/>
  <c r="AP59" i="4" s="1"/>
  <c r="AN61" i="4"/>
  <c r="AP61" i="4" s="1"/>
  <c r="AM62" i="4"/>
  <c r="AL63" i="4"/>
  <c r="AM63" i="4" s="1"/>
  <c r="AS63" i="4" s="1"/>
  <c r="AL65" i="4"/>
  <c r="AM65" i="4" s="1"/>
  <c r="AS65" i="4" s="1"/>
  <c r="AL76" i="4"/>
  <c r="AM76" i="4" s="1"/>
  <c r="AS76" i="4" s="1"/>
  <c r="AN77" i="4"/>
  <c r="AP77" i="4" s="1"/>
  <c r="AL78" i="4"/>
  <c r="AM78" i="4" s="1"/>
  <c r="AS78" i="4" s="1"/>
  <c r="AM79" i="4"/>
  <c r="AS79" i="4" s="1"/>
  <c r="AN79" i="4"/>
  <c r="AP79" i="4" s="1"/>
  <c r="AL38" i="4"/>
  <c r="AM38" i="4" s="1"/>
  <c r="AS38" i="4" s="1"/>
  <c r="AN38" i="4"/>
  <c r="AP38" i="4" s="1"/>
  <c r="AL40" i="4"/>
  <c r="AL41" i="4"/>
  <c r="AM41" i="4" s="1"/>
  <c r="AS41" i="4" s="1"/>
  <c r="AN41" i="4"/>
  <c r="AP41" i="4" s="1"/>
  <c r="AL43" i="4"/>
  <c r="AM43" i="4" s="1"/>
  <c r="AS43" i="4" s="1"/>
  <c r="AN43" i="4"/>
  <c r="AP43" i="4" s="1"/>
  <c r="AL46" i="4"/>
  <c r="AM46" i="4" s="1"/>
  <c r="AN46" i="4"/>
  <c r="AP46" i="4" s="1"/>
  <c r="AL47" i="4"/>
  <c r="AM47" i="4" s="1"/>
  <c r="AS47" i="4" s="1"/>
  <c r="AN47" i="4"/>
  <c r="AP47" i="4" s="1"/>
  <c r="AL50" i="4"/>
  <c r="AM50" i="4" s="1"/>
  <c r="AS50" i="4" s="1"/>
  <c r="AN50" i="4"/>
  <c r="AP50" i="4" s="1"/>
  <c r="AL56" i="4"/>
  <c r="AM56" i="4" s="1"/>
  <c r="AN56" i="4"/>
  <c r="AP56" i="4" s="1"/>
  <c r="AL57" i="4"/>
  <c r="AM57" i="4" s="1"/>
  <c r="AS57" i="4" s="1"/>
  <c r="AN57" i="4"/>
  <c r="AP57" i="4" s="1"/>
  <c r="AL60" i="4"/>
  <c r="AM60" i="4" s="1"/>
  <c r="AS60" i="4" s="1"/>
  <c r="AN60" i="4"/>
  <c r="AP60" i="4" s="1"/>
  <c r="AL64" i="4"/>
  <c r="AM64" i="4" s="1"/>
  <c r="AS64" i="4" s="1"/>
  <c r="AN64" i="4"/>
  <c r="AP64" i="4" s="1"/>
  <c r="AL66" i="4"/>
  <c r="AM66" i="4" s="1"/>
  <c r="AS66" i="4" s="1"/>
  <c r="AN66" i="4"/>
  <c r="AP66" i="4" s="1"/>
  <c r="I52" i="4"/>
  <c r="I71" i="4" s="1"/>
  <c r="P52" i="4"/>
  <c r="P71" i="4" s="1"/>
  <c r="F55" i="4"/>
  <c r="Q13" i="4"/>
  <c r="R13" i="4" s="1"/>
  <c r="Q14" i="4"/>
  <c r="R14" i="4" s="1"/>
  <c r="Q15" i="4"/>
  <c r="R15" i="4" s="1"/>
  <c r="Q16" i="4"/>
  <c r="R16" i="4" s="1"/>
  <c r="Q17" i="4"/>
  <c r="R17" i="4" s="1"/>
  <c r="Q18" i="4"/>
  <c r="R18" i="4" s="1"/>
  <c r="Q19" i="4"/>
  <c r="R19" i="4" s="1"/>
  <c r="Q20" i="4"/>
  <c r="R20" i="4" s="1"/>
  <c r="Q21" i="4"/>
  <c r="R21" i="4" s="1"/>
  <c r="Q22" i="4"/>
  <c r="R22" i="4" s="1"/>
  <c r="Q23" i="4"/>
  <c r="R23" i="4" s="1"/>
  <c r="Q24" i="4"/>
  <c r="R24" i="4" s="1"/>
  <c r="Q25" i="4"/>
  <c r="R25" i="4" s="1"/>
  <c r="Q26" i="4"/>
  <c r="R26" i="4" s="1"/>
  <c r="Q27" i="4"/>
  <c r="R27" i="4" s="1"/>
  <c r="Q28" i="4"/>
  <c r="R28" i="4" s="1"/>
  <c r="Q29" i="4"/>
  <c r="R29" i="4" s="1"/>
  <c r="Q30" i="4"/>
  <c r="R30" i="4" s="1"/>
  <c r="Q31" i="4"/>
  <c r="R31" i="4" s="1"/>
  <c r="Q32" i="4"/>
  <c r="R32" i="4" s="1"/>
  <c r="Q33" i="4"/>
  <c r="R33" i="4" s="1"/>
  <c r="Q34" i="4"/>
  <c r="R34" i="4" s="1"/>
  <c r="Q35" i="4"/>
  <c r="R35" i="4" s="1"/>
  <c r="Q36" i="4"/>
  <c r="R36" i="4" s="1"/>
  <c r="Q37" i="4"/>
  <c r="R37" i="4" s="1"/>
  <c r="Q38" i="4"/>
  <c r="R38" i="4" s="1"/>
  <c r="Q39" i="4"/>
  <c r="R39" i="4" s="1"/>
  <c r="Q40" i="4"/>
  <c r="R40" i="4" s="1"/>
  <c r="Q41" i="4"/>
  <c r="R41" i="4" s="1"/>
  <c r="Q42" i="4"/>
  <c r="R42" i="4" s="1"/>
  <c r="Q43" i="4"/>
  <c r="R43" i="4" s="1"/>
  <c r="Q44" i="4"/>
  <c r="R44" i="4" s="1"/>
  <c r="Q45" i="4"/>
  <c r="R45" i="4" s="1"/>
  <c r="Q46" i="4"/>
  <c r="R46" i="4" s="1"/>
  <c r="Q47" i="4"/>
  <c r="R47" i="4" s="1"/>
  <c r="Q48" i="4"/>
  <c r="R48" i="4" s="1"/>
  <c r="Q49" i="4"/>
  <c r="R49" i="4" s="1"/>
  <c r="Q50" i="4"/>
  <c r="R50" i="4" s="1"/>
  <c r="R55" i="4"/>
  <c r="R68" i="4" s="1"/>
  <c r="S22" i="2"/>
  <c r="T22" i="2" s="1"/>
  <c r="Z22" i="2" s="1"/>
  <c r="S20" i="2"/>
  <c r="T20" i="2" s="1"/>
  <c r="Z20" i="2" s="1"/>
  <c r="R21" i="2"/>
  <c r="S30" i="2"/>
  <c r="T30" i="2" s="1"/>
  <c r="Z30" i="2" s="1"/>
  <c r="U21" i="2"/>
  <c r="W21" i="2" s="1"/>
  <c r="R13" i="2"/>
  <c r="T13" i="2" s="1"/>
  <c r="S49" i="2"/>
  <c r="T49" i="2" s="1"/>
  <c r="S21" i="2"/>
  <c r="S23" i="2"/>
  <c r="T23" i="2" s="1"/>
  <c r="Z23" i="2" s="1"/>
  <c r="R35" i="2"/>
  <c r="R7" i="2"/>
  <c r="S8" i="2"/>
  <c r="T8" i="2" s="1"/>
  <c r="Z8" i="2" s="1"/>
  <c r="U8" i="2"/>
  <c r="W8" i="2" s="1"/>
  <c r="S9" i="2"/>
  <c r="U9" i="2"/>
  <c r="S10" i="2"/>
  <c r="T10" i="2" s="1"/>
  <c r="Z10" i="2" s="1"/>
  <c r="U10" i="2"/>
  <c r="W10" i="2" s="1"/>
  <c r="S18" i="2"/>
  <c r="T18" i="2" s="1"/>
  <c r="U20" i="2"/>
  <c r="W20" i="2" s="1"/>
  <c r="S48" i="2"/>
  <c r="T48" i="2" s="1"/>
  <c r="Z48" i="2" s="1"/>
  <c r="U49" i="2"/>
  <c r="W49" i="2" s="1"/>
  <c r="U22" i="2"/>
  <c r="W22" i="2" s="1"/>
  <c r="S50" i="2"/>
  <c r="T50" i="2" s="1"/>
  <c r="Z50" i="2" s="1"/>
  <c r="U23" i="2"/>
  <c r="W23" i="2" s="1"/>
  <c r="U18" i="2"/>
  <c r="U48" i="2"/>
  <c r="W48" i="2" s="1"/>
  <c r="U50" i="2"/>
  <c r="W50" i="2" s="1"/>
  <c r="S12" i="2"/>
  <c r="T12" i="2" s="1"/>
  <c r="Z12" i="2" s="1"/>
  <c r="U12" i="2"/>
  <c r="W12" i="2" s="1"/>
  <c r="S14" i="2"/>
  <c r="T14" i="2" s="1"/>
  <c r="Z14" i="2" s="1"/>
  <c r="U14" i="2"/>
  <c r="W14" i="2" s="1"/>
  <c r="S17" i="2"/>
  <c r="T17" i="2" s="1"/>
  <c r="U17" i="2"/>
  <c r="W17" i="2" s="1"/>
  <c r="S25" i="2"/>
  <c r="T25" i="2" s="1"/>
  <c r="U25" i="2"/>
  <c r="W25" i="2" s="1"/>
  <c r="R26" i="2"/>
  <c r="R51" i="2"/>
  <c r="S27" i="2"/>
  <c r="T27" i="2" s="1"/>
  <c r="Z27" i="2" s="1"/>
  <c r="U27" i="2"/>
  <c r="W27" i="2" s="1"/>
  <c r="S52" i="2"/>
  <c r="T52" i="2" s="1"/>
  <c r="Z52" i="2" s="1"/>
  <c r="U52" i="2"/>
  <c r="W52" i="2" s="1"/>
  <c r="S53" i="2"/>
  <c r="T53" i="2" s="1"/>
  <c r="Z53" i="2" s="1"/>
  <c r="U53" i="2"/>
  <c r="W53" i="2" s="1"/>
  <c r="S28" i="2"/>
  <c r="T28" i="2" s="1"/>
  <c r="Z28" i="2" s="1"/>
  <c r="U28" i="2"/>
  <c r="W28" i="2" s="1"/>
  <c r="S29" i="2"/>
  <c r="T29" i="2" s="1"/>
  <c r="Z29" i="2" s="1"/>
  <c r="U30" i="2"/>
  <c r="W30" i="2" s="1"/>
  <c r="S31" i="2"/>
  <c r="T31" i="2" s="1"/>
  <c r="Z31" i="2" s="1"/>
  <c r="S54" i="2"/>
  <c r="T54" i="2" s="1"/>
  <c r="Z54" i="2" s="1"/>
  <c r="T55" i="2"/>
  <c r="U55" i="2"/>
  <c r="W55" i="2" s="1"/>
  <c r="S55" i="2"/>
  <c r="S26" i="2"/>
  <c r="U26" i="2"/>
  <c r="W26" i="2" s="1"/>
  <c r="S51" i="2"/>
  <c r="U51" i="2"/>
  <c r="W51" i="2" s="1"/>
  <c r="U29" i="2"/>
  <c r="W29" i="2" s="1"/>
  <c r="U31" i="2"/>
  <c r="W31" i="2" s="1"/>
  <c r="U54" i="2"/>
  <c r="W54" i="2" s="1"/>
  <c r="S36" i="2"/>
  <c r="T36" i="2" s="1"/>
  <c r="Z36" i="2" s="1"/>
  <c r="U36" i="2"/>
  <c r="W36" i="2" s="1"/>
  <c r="S56" i="2"/>
  <c r="T56" i="2" s="1"/>
  <c r="Z56" i="2" s="1"/>
  <c r="U56" i="2"/>
  <c r="W56" i="2" s="1"/>
  <c r="S57" i="2"/>
  <c r="T57" i="2" s="1"/>
  <c r="Z57" i="2" s="1"/>
  <c r="U57" i="2"/>
  <c r="W57" i="2" s="1"/>
  <c r="S37" i="2"/>
  <c r="T37" i="2" s="1"/>
  <c r="Z37" i="2" s="1"/>
  <c r="U37" i="2"/>
  <c r="W37" i="2" s="1"/>
  <c r="S58" i="2"/>
  <c r="T58" i="2" s="1"/>
  <c r="Z58" i="2" s="1"/>
  <c r="U58" i="2"/>
  <c r="W58" i="2" s="1"/>
  <c r="S38" i="2"/>
  <c r="T38" i="2" s="1"/>
  <c r="Z38" i="2" s="1"/>
  <c r="U38" i="2"/>
  <c r="W38" i="2" s="1"/>
  <c r="S39" i="2"/>
  <c r="T39" i="2" s="1"/>
  <c r="Z39" i="2" s="1"/>
  <c r="U39" i="2"/>
  <c r="W39" i="2" s="1"/>
  <c r="S42" i="2"/>
  <c r="T42" i="2" s="1"/>
  <c r="Z42" i="2" s="1"/>
  <c r="U42" i="2"/>
  <c r="W42" i="2" s="1"/>
  <c r="S43" i="2"/>
  <c r="T43" i="2" s="1"/>
  <c r="U43" i="2"/>
  <c r="S69" i="2"/>
  <c r="T69" i="2" s="1"/>
  <c r="Z69" i="2" s="1"/>
  <c r="U69" i="2"/>
  <c r="W69" i="2" s="1"/>
  <c r="S70" i="2"/>
  <c r="T70" i="2" s="1"/>
  <c r="Z70" i="2" s="1"/>
  <c r="U70" i="2"/>
  <c r="W70" i="2" s="1"/>
  <c r="S71" i="2"/>
  <c r="T71" i="2" s="1"/>
  <c r="Z71" i="2" s="1"/>
  <c r="U71" i="2"/>
  <c r="W71" i="2" s="1"/>
  <c r="S72" i="2"/>
  <c r="T72" i="2" s="1"/>
  <c r="Z72" i="2" s="1"/>
  <c r="U72" i="2"/>
  <c r="W72" i="2" s="1"/>
  <c r="S33" i="2"/>
  <c r="T33" i="2" s="1"/>
  <c r="Z33" i="2" s="1"/>
  <c r="U33" i="2"/>
  <c r="W33" i="2" s="1"/>
  <c r="S34" i="2"/>
  <c r="T34" i="2" s="1"/>
  <c r="Z34" i="2" s="1"/>
  <c r="U34" i="2"/>
  <c r="W34" i="2" s="1"/>
  <c r="S35" i="2"/>
  <c r="S41" i="2"/>
  <c r="T41" i="2" s="1"/>
  <c r="U41" i="2"/>
  <c r="W41" i="2" s="1"/>
  <c r="S44" i="2"/>
  <c r="T44" i="2" s="1"/>
  <c r="Z44" i="2" s="1"/>
  <c r="U44" i="2"/>
  <c r="W44" i="2" s="1"/>
  <c r="S45" i="2"/>
  <c r="T45" i="2" s="1"/>
  <c r="Z45" i="2" s="1"/>
  <c r="U45" i="2"/>
  <c r="W45" i="2" s="1"/>
  <c r="S59" i="2"/>
  <c r="T59" i="2" s="1"/>
  <c r="Z59" i="2" s="1"/>
  <c r="U59" i="2"/>
  <c r="W59" i="2" s="1"/>
  <c r="AF8" i="1"/>
  <c r="AG8" i="1"/>
  <c r="AH8" i="1"/>
  <c r="AF9" i="1"/>
  <c r="AG9" i="1"/>
  <c r="AH9" i="1"/>
  <c r="AF10" i="1"/>
  <c r="AG10" i="1"/>
  <c r="AH10" i="1"/>
  <c r="AF11" i="1"/>
  <c r="AG11" i="1"/>
  <c r="AH11" i="1"/>
  <c r="AF12" i="1"/>
  <c r="AG12" i="1"/>
  <c r="AH12" i="1"/>
  <c r="AF13" i="1"/>
  <c r="AG13" i="1"/>
  <c r="AH13" i="1"/>
  <c r="AF14" i="1"/>
  <c r="AG14" i="1"/>
  <c r="AH14" i="1"/>
  <c r="AF15" i="1"/>
  <c r="AG15" i="1"/>
  <c r="AH15" i="1"/>
  <c r="AF16" i="1"/>
  <c r="AG16" i="1"/>
  <c r="AH16" i="1"/>
  <c r="AF17" i="1"/>
  <c r="AG17" i="1"/>
  <c r="AH17" i="1"/>
  <c r="AF18" i="1"/>
  <c r="AG18" i="1"/>
  <c r="AH18" i="1"/>
  <c r="AF19" i="1"/>
  <c r="AG19" i="1"/>
  <c r="AH19" i="1"/>
  <c r="AF20" i="1"/>
  <c r="AG20" i="1"/>
  <c r="AH20" i="1"/>
  <c r="AF21" i="1"/>
  <c r="AG21" i="1"/>
  <c r="AH21" i="1"/>
  <c r="AF22" i="1"/>
  <c r="AG22" i="1"/>
  <c r="AH22" i="1"/>
  <c r="AF23" i="1"/>
  <c r="AG23" i="1"/>
  <c r="AF24" i="1"/>
  <c r="AG24" i="1"/>
  <c r="AH24" i="1"/>
  <c r="AF25" i="1"/>
  <c r="AG25" i="1"/>
  <c r="AH25" i="1"/>
  <c r="AF26" i="1"/>
  <c r="AG26" i="1"/>
  <c r="AH26" i="1"/>
  <c r="AF27" i="1"/>
  <c r="AG27" i="1"/>
  <c r="AH27" i="1"/>
  <c r="AF28" i="1"/>
  <c r="AG28" i="1"/>
  <c r="AH28" i="1"/>
  <c r="AF29" i="1"/>
  <c r="AG29" i="1"/>
  <c r="AH29" i="1"/>
  <c r="AF30" i="1"/>
  <c r="AG30" i="1"/>
  <c r="AH30" i="1"/>
  <c r="AF31" i="1"/>
  <c r="AG31" i="1"/>
  <c r="AH31" i="1"/>
  <c r="AF32" i="1"/>
  <c r="AG32" i="1"/>
  <c r="AH32" i="1"/>
  <c r="AF33" i="1"/>
  <c r="AG33" i="1"/>
  <c r="AH33" i="1"/>
  <c r="AF34" i="1"/>
  <c r="AG34" i="1"/>
  <c r="AH34" i="1"/>
  <c r="AF35" i="1"/>
  <c r="AG35" i="1"/>
  <c r="AH35" i="1"/>
  <c r="AF36" i="1"/>
  <c r="AG36" i="1"/>
  <c r="AH36" i="1"/>
  <c r="AF37" i="1"/>
  <c r="AG37" i="1"/>
  <c r="AH37" i="1"/>
  <c r="AF38" i="1"/>
  <c r="AG38" i="1"/>
  <c r="AH38" i="1"/>
  <c r="AF39" i="1"/>
  <c r="AG39" i="1"/>
  <c r="AH39" i="1"/>
  <c r="AF40" i="1"/>
  <c r="AG40" i="1"/>
  <c r="AH40" i="1"/>
  <c r="AF41" i="1"/>
  <c r="AG41" i="1"/>
  <c r="AH41" i="1"/>
  <c r="AF42" i="1"/>
  <c r="AG42" i="1"/>
  <c r="AH42" i="1"/>
  <c r="AF43" i="1"/>
  <c r="AG43" i="1"/>
  <c r="AH43" i="1"/>
  <c r="AF44" i="1"/>
  <c r="AG44" i="1"/>
  <c r="AH44" i="1"/>
  <c r="AF45" i="1"/>
  <c r="AG45" i="1"/>
  <c r="AH45" i="1"/>
  <c r="AF46" i="1"/>
  <c r="AG46" i="1"/>
  <c r="AH46" i="1"/>
  <c r="AF47" i="1"/>
  <c r="AG47" i="1"/>
  <c r="AH47" i="1"/>
  <c r="AF48" i="1"/>
  <c r="AG48" i="1"/>
  <c r="AH48" i="1"/>
  <c r="AF49" i="1"/>
  <c r="AG49" i="1"/>
  <c r="AH49" i="1"/>
  <c r="AF50" i="1"/>
  <c r="AG50" i="1"/>
  <c r="AH50" i="1"/>
  <c r="AF51" i="1"/>
  <c r="AG51" i="1"/>
  <c r="AH51" i="1"/>
  <c r="AF52" i="1"/>
  <c r="AG52" i="1"/>
  <c r="AH52" i="1"/>
  <c r="AF53" i="1"/>
  <c r="AG53" i="1"/>
  <c r="AH53" i="1"/>
  <c r="AF54" i="1"/>
  <c r="AG54" i="1"/>
  <c r="AH54" i="1"/>
  <c r="AF55" i="1"/>
  <c r="AG55" i="1"/>
  <c r="AH55" i="1"/>
  <c r="AF56" i="1"/>
  <c r="AG56" i="1"/>
  <c r="AH56" i="1"/>
  <c r="AH6" i="1"/>
  <c r="AH5" i="1"/>
  <c r="AG6" i="1"/>
  <c r="AG5" i="1"/>
  <c r="AF5" i="1"/>
  <c r="AF6" i="1"/>
  <c r="AH7" i="1"/>
  <c r="AG7" i="1"/>
  <c r="AF7" i="1"/>
  <c r="AC47" i="1"/>
  <c r="L57" i="4" l="1"/>
  <c r="M57" i="4" s="1"/>
  <c r="N57" i="4" s="1"/>
  <c r="AM55" i="4"/>
  <c r="AL67" i="4"/>
  <c r="AP55" i="4"/>
  <c r="AN67" i="4"/>
  <c r="AC69" i="4"/>
  <c r="AP67" i="4"/>
  <c r="AM23" i="4"/>
  <c r="AM40" i="4"/>
  <c r="E28" i="5"/>
  <c r="F28" i="5"/>
  <c r="G28" i="5" s="1"/>
  <c r="E44" i="5"/>
  <c r="F44" i="5"/>
  <c r="G44" i="5" s="1"/>
  <c r="F23" i="5"/>
  <c r="G23" i="5" s="1"/>
  <c r="E23" i="5"/>
  <c r="E26" i="5"/>
  <c r="F26" i="5"/>
  <c r="G26" i="5" s="1"/>
  <c r="E42" i="5"/>
  <c r="F42" i="5"/>
  <c r="G42" i="5" s="1"/>
  <c r="F17" i="5"/>
  <c r="G17" i="5" s="1"/>
  <c r="E17" i="5"/>
  <c r="F33" i="5"/>
  <c r="G33" i="5" s="1"/>
  <c r="E33" i="5"/>
  <c r="F49" i="5"/>
  <c r="G49" i="5" s="1"/>
  <c r="E49" i="5"/>
  <c r="F39" i="5"/>
  <c r="G39" i="5" s="1"/>
  <c r="E39" i="5"/>
  <c r="L63" i="4"/>
  <c r="M63" i="4" s="1"/>
  <c r="N63" i="4" s="1"/>
  <c r="K63" i="4"/>
  <c r="K60" i="4"/>
  <c r="L60" i="4" s="1"/>
  <c r="M60" i="4" s="1"/>
  <c r="N60" i="4" s="1"/>
  <c r="F24" i="5"/>
  <c r="G24" i="5" s="1"/>
  <c r="E24" i="5"/>
  <c r="F40" i="5"/>
  <c r="G40" i="5" s="1"/>
  <c r="E40" i="5"/>
  <c r="F19" i="5"/>
  <c r="G19" i="5" s="1"/>
  <c r="E19" i="5"/>
  <c r="F35" i="5"/>
  <c r="G35" i="5" s="1"/>
  <c r="E35" i="5"/>
  <c r="C53" i="5"/>
  <c r="F12" i="5"/>
  <c r="E22" i="5"/>
  <c r="F22" i="5"/>
  <c r="G22" i="5" s="1"/>
  <c r="E38" i="5"/>
  <c r="F38" i="5"/>
  <c r="G38" i="5" s="1"/>
  <c r="F13" i="5"/>
  <c r="G13" i="5" s="1"/>
  <c r="E13" i="5"/>
  <c r="F29" i="5"/>
  <c r="G29" i="5" s="1"/>
  <c r="E29" i="5"/>
  <c r="F45" i="5"/>
  <c r="G45" i="5" s="1"/>
  <c r="E45" i="5"/>
  <c r="J71" i="4"/>
  <c r="E20" i="5"/>
  <c r="F20" i="5"/>
  <c r="G20" i="5" s="1"/>
  <c r="E36" i="5"/>
  <c r="F36" i="5"/>
  <c r="G36" i="5" s="1"/>
  <c r="F15" i="5"/>
  <c r="G15" i="5" s="1"/>
  <c r="E15" i="5"/>
  <c r="F31" i="5"/>
  <c r="G31" i="5" s="1"/>
  <c r="E31" i="5"/>
  <c r="F47" i="5"/>
  <c r="G47" i="5" s="1"/>
  <c r="E47" i="5"/>
  <c r="E18" i="5"/>
  <c r="F18" i="5"/>
  <c r="G18" i="5" s="1"/>
  <c r="E34" i="5"/>
  <c r="F34" i="5"/>
  <c r="G34" i="5" s="1"/>
  <c r="E50" i="5"/>
  <c r="F50" i="5"/>
  <c r="G50" i="5" s="1"/>
  <c r="F25" i="5"/>
  <c r="G25" i="5" s="1"/>
  <c r="E25" i="5"/>
  <c r="F41" i="5"/>
  <c r="G41" i="5" s="1"/>
  <c r="E41" i="5"/>
  <c r="H55" i="4"/>
  <c r="F68" i="4"/>
  <c r="F71" i="4" s="1"/>
  <c r="K65" i="4"/>
  <c r="L65" i="4" s="1"/>
  <c r="M65" i="4" s="1"/>
  <c r="N65" i="4" s="1"/>
  <c r="K58" i="4"/>
  <c r="L58" i="4" s="1"/>
  <c r="M58" i="4" s="1"/>
  <c r="N58" i="4" s="1"/>
  <c r="L62" i="4"/>
  <c r="M62" i="4" s="1"/>
  <c r="N62" i="4" s="1"/>
  <c r="K62" i="4"/>
  <c r="E16" i="5"/>
  <c r="F16" i="5"/>
  <c r="G16" i="5" s="1"/>
  <c r="F32" i="5"/>
  <c r="G32" i="5" s="1"/>
  <c r="E32" i="5"/>
  <c r="F48" i="5"/>
  <c r="G48" i="5" s="1"/>
  <c r="E48" i="5"/>
  <c r="F27" i="5"/>
  <c r="G27" i="5" s="1"/>
  <c r="E27" i="5"/>
  <c r="F43" i="5"/>
  <c r="G43" i="5" s="1"/>
  <c r="E43" i="5"/>
  <c r="E14" i="5"/>
  <c r="F14" i="5"/>
  <c r="G14" i="5" s="1"/>
  <c r="E30" i="5"/>
  <c r="F30" i="5"/>
  <c r="G30" i="5" s="1"/>
  <c r="E46" i="5"/>
  <c r="F46" i="5"/>
  <c r="G46" i="5" s="1"/>
  <c r="F21" i="5"/>
  <c r="G21" i="5" s="1"/>
  <c r="E21" i="5"/>
  <c r="F37" i="5"/>
  <c r="G37" i="5" s="1"/>
  <c r="E37" i="5"/>
  <c r="H52" i="4"/>
  <c r="L36" i="4"/>
  <c r="M36" i="4" s="1"/>
  <c r="N36" i="4" s="1"/>
  <c r="L44" i="4"/>
  <c r="M44" i="4" s="1"/>
  <c r="N44" i="4" s="1"/>
  <c r="M32" i="4"/>
  <c r="N32" i="4" s="1"/>
  <c r="M40" i="4"/>
  <c r="N40" i="4" s="1"/>
  <c r="M48" i="4"/>
  <c r="N48" i="4" s="1"/>
  <c r="M35" i="4"/>
  <c r="N35" i="4" s="1"/>
  <c r="M39" i="4"/>
  <c r="N39" i="4" s="1"/>
  <c r="M43" i="4"/>
  <c r="N43" i="4" s="1"/>
  <c r="M47" i="4"/>
  <c r="N47" i="4" s="1"/>
  <c r="L33" i="4"/>
  <c r="M33" i="4" s="1"/>
  <c r="N33" i="4" s="1"/>
  <c r="L37" i="4"/>
  <c r="M37" i="4" s="1"/>
  <c r="N37" i="4" s="1"/>
  <c r="L41" i="4"/>
  <c r="M41" i="4" s="1"/>
  <c r="N41" i="4" s="1"/>
  <c r="L45" i="4"/>
  <c r="M45" i="4" s="1"/>
  <c r="N45" i="4" s="1"/>
  <c r="L49" i="4"/>
  <c r="M49" i="4" s="1"/>
  <c r="N49" i="4" s="1"/>
  <c r="L34" i="4"/>
  <c r="M34" i="4" s="1"/>
  <c r="N34" i="4" s="1"/>
  <c r="L38" i="4"/>
  <c r="M38" i="4" s="1"/>
  <c r="N38" i="4" s="1"/>
  <c r="L42" i="4"/>
  <c r="M42" i="4" s="1"/>
  <c r="N42" i="4" s="1"/>
  <c r="L46" i="4"/>
  <c r="M46" i="4" s="1"/>
  <c r="N46" i="4" s="1"/>
  <c r="L50" i="4"/>
  <c r="M50" i="4" s="1"/>
  <c r="N50" i="4" s="1"/>
  <c r="K12" i="4"/>
  <c r="K52" i="4" s="1"/>
  <c r="AM26" i="4"/>
  <c r="AS26" i="4" s="1"/>
  <c r="Q52" i="4"/>
  <c r="Q71" i="4" s="1"/>
  <c r="R52" i="4"/>
  <c r="R71" i="4" s="1"/>
  <c r="T21" i="2"/>
  <c r="Z21" i="2" s="1"/>
  <c r="T35" i="2"/>
  <c r="T26" i="2"/>
  <c r="Z26" i="2" s="1"/>
  <c r="T7" i="2"/>
  <c r="T51" i="2"/>
  <c r="T9" i="2"/>
  <c r="Z9" i="2" s="1"/>
  <c r="W9" i="2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8" i="1"/>
  <c r="AC49" i="1"/>
  <c r="AC50" i="1"/>
  <c r="AC51" i="1"/>
  <c r="AC52" i="1"/>
  <c r="AC53" i="1"/>
  <c r="AC54" i="1"/>
  <c r="AC55" i="1"/>
  <c r="AC56" i="1"/>
  <c r="AC7" i="1"/>
  <c r="AC62" i="1"/>
  <c r="H38" i="5" l="1"/>
  <c r="C29" i="6" s="1"/>
  <c r="D29" i="6" s="1"/>
  <c r="G29" i="6" s="1"/>
  <c r="AS55" i="4"/>
  <c r="AS67" i="4" s="1"/>
  <c r="AM67" i="4"/>
  <c r="H39" i="5"/>
  <c r="C30" i="6" s="1"/>
  <c r="D30" i="6" s="1"/>
  <c r="G30" i="6" s="1"/>
  <c r="H33" i="5"/>
  <c r="C24" i="6" s="1"/>
  <c r="D24" i="6" s="1"/>
  <c r="G24" i="6" s="1"/>
  <c r="H23" i="5"/>
  <c r="C14" i="6" s="1"/>
  <c r="D14" i="6" s="1"/>
  <c r="G14" i="6" s="1"/>
  <c r="H45" i="5"/>
  <c r="C36" i="6" s="1"/>
  <c r="D36" i="6" s="1"/>
  <c r="G36" i="6" s="1"/>
  <c r="H13" i="5"/>
  <c r="C4" i="6" s="1"/>
  <c r="D4" i="6" s="1"/>
  <c r="G4" i="6" s="1"/>
  <c r="H35" i="5"/>
  <c r="C26" i="6" s="1"/>
  <c r="D26" i="6" s="1"/>
  <c r="G26" i="6" s="1"/>
  <c r="H40" i="5"/>
  <c r="C31" i="6" s="1"/>
  <c r="D31" i="6" s="1"/>
  <c r="G31" i="6" s="1"/>
  <c r="H46" i="5"/>
  <c r="C37" i="6" s="1"/>
  <c r="D37" i="6" s="1"/>
  <c r="G37" i="6" s="1"/>
  <c r="H14" i="5"/>
  <c r="C5" i="6" s="1"/>
  <c r="D5" i="6" s="1"/>
  <c r="G5" i="6" s="1"/>
  <c r="H26" i="5"/>
  <c r="C17" i="6" s="1"/>
  <c r="D17" i="6" s="1"/>
  <c r="G17" i="6" s="1"/>
  <c r="H44" i="5"/>
  <c r="C35" i="6" s="1"/>
  <c r="D35" i="6" s="1"/>
  <c r="G35" i="6" s="1"/>
  <c r="E53" i="5"/>
  <c r="H21" i="5"/>
  <c r="C12" i="6" s="1"/>
  <c r="D12" i="6" s="1"/>
  <c r="G12" i="6" s="1"/>
  <c r="H48" i="5"/>
  <c r="C39" i="6" s="1"/>
  <c r="D39" i="6" s="1"/>
  <c r="G39" i="6" s="1"/>
  <c r="H50" i="5"/>
  <c r="C41" i="6" s="1"/>
  <c r="D41" i="6" s="1"/>
  <c r="G41" i="6" s="1"/>
  <c r="H18" i="5"/>
  <c r="C9" i="6" s="1"/>
  <c r="D9" i="6" s="1"/>
  <c r="G9" i="6" s="1"/>
  <c r="H36" i="5"/>
  <c r="C27" i="6" s="1"/>
  <c r="D27" i="6" s="1"/>
  <c r="G27" i="6" s="1"/>
  <c r="H43" i="5"/>
  <c r="C34" i="6" s="1"/>
  <c r="D34" i="6" s="1"/>
  <c r="G34" i="6" s="1"/>
  <c r="H25" i="5"/>
  <c r="C16" i="6" s="1"/>
  <c r="D16" i="6" s="1"/>
  <c r="G16" i="6" s="1"/>
  <c r="H47" i="5"/>
  <c r="C38" i="6" s="1"/>
  <c r="D38" i="6" s="1"/>
  <c r="G38" i="6" s="1"/>
  <c r="H15" i="5"/>
  <c r="C6" i="6" s="1"/>
  <c r="D6" i="6" s="1"/>
  <c r="G6" i="6" s="1"/>
  <c r="H37" i="5"/>
  <c r="C28" i="6" s="1"/>
  <c r="D28" i="6" s="1"/>
  <c r="G28" i="6" s="1"/>
  <c r="H32" i="5"/>
  <c r="C23" i="6" s="1"/>
  <c r="D23" i="6" s="1"/>
  <c r="G23" i="6" s="1"/>
  <c r="H41" i="5"/>
  <c r="C32" i="6" s="1"/>
  <c r="D32" i="6" s="1"/>
  <c r="G32" i="6" s="1"/>
  <c r="H22" i="5"/>
  <c r="C13" i="6" s="1"/>
  <c r="D13" i="6" s="1"/>
  <c r="G13" i="6" s="1"/>
  <c r="H42" i="5"/>
  <c r="C33" i="6" s="1"/>
  <c r="D33" i="6" s="1"/>
  <c r="G33" i="6" s="1"/>
  <c r="H28" i="5"/>
  <c r="C19" i="6" s="1"/>
  <c r="D19" i="6" s="1"/>
  <c r="G19" i="6" s="1"/>
  <c r="H68" i="4"/>
  <c r="K55" i="4"/>
  <c r="K68" i="4" s="1"/>
  <c r="G12" i="5"/>
  <c r="F53" i="5"/>
  <c r="H27" i="5"/>
  <c r="C18" i="6" s="1"/>
  <c r="D18" i="6" s="1"/>
  <c r="G18" i="6" s="1"/>
  <c r="H31" i="5"/>
  <c r="C22" i="6" s="1"/>
  <c r="D22" i="6" s="1"/>
  <c r="G22" i="6" s="1"/>
  <c r="K71" i="4"/>
  <c r="H71" i="4"/>
  <c r="H30" i="5"/>
  <c r="C21" i="6" s="1"/>
  <c r="D21" i="6" s="1"/>
  <c r="G21" i="6" s="1"/>
  <c r="H16" i="5"/>
  <c r="C7" i="6" s="1"/>
  <c r="D7" i="6" s="1"/>
  <c r="G7" i="6" s="1"/>
  <c r="H34" i="5"/>
  <c r="C25" i="6" s="1"/>
  <c r="D25" i="6" s="1"/>
  <c r="G25" i="6" s="1"/>
  <c r="H20" i="5"/>
  <c r="C11" i="6" s="1"/>
  <c r="D11" i="6" s="1"/>
  <c r="G11" i="6" s="1"/>
  <c r="H29" i="5"/>
  <c r="C20" i="6" s="1"/>
  <c r="D20" i="6" s="1"/>
  <c r="G20" i="6" s="1"/>
  <c r="H19" i="5"/>
  <c r="C10" i="6" s="1"/>
  <c r="D10" i="6" s="1"/>
  <c r="G10" i="6" s="1"/>
  <c r="H24" i="5"/>
  <c r="C15" i="6" s="1"/>
  <c r="D15" i="6" s="1"/>
  <c r="G15" i="6" s="1"/>
  <c r="H49" i="5"/>
  <c r="C40" i="6" s="1"/>
  <c r="D40" i="6" s="1"/>
  <c r="G40" i="6" s="1"/>
  <c r="H17" i="5"/>
  <c r="C8" i="6" s="1"/>
  <c r="D8" i="6" s="1"/>
  <c r="G8" i="6" s="1"/>
  <c r="L12" i="4"/>
  <c r="L52" i="4" s="1"/>
  <c r="L56" i="4"/>
  <c r="J13" i="1"/>
  <c r="S13" i="1" s="1"/>
  <c r="M12" i="4" l="1"/>
  <c r="M52" i="4" s="1"/>
  <c r="G53" i="5"/>
  <c r="H12" i="5"/>
  <c r="L55" i="4"/>
  <c r="N12" i="4"/>
  <c r="N52" i="4" s="1"/>
  <c r="M56" i="4"/>
  <c r="R13" i="1"/>
  <c r="T13" i="1" s="1"/>
  <c r="P59" i="1"/>
  <c r="J16" i="1"/>
  <c r="R16" i="1" s="1"/>
  <c r="T16" i="1" s="1"/>
  <c r="J19" i="1"/>
  <c r="R19" i="1" s="1"/>
  <c r="T19" i="1" s="1"/>
  <c r="H53" i="5" l="1"/>
  <c r="C3" i="6"/>
  <c r="D3" i="6" s="1"/>
  <c r="G3" i="6" s="1"/>
  <c r="M55" i="4"/>
  <c r="M68" i="4" s="1"/>
  <c r="M71" i="4" s="1"/>
  <c r="L68" i="4"/>
  <c r="L71" i="4" s="1"/>
  <c r="N56" i="4"/>
  <c r="V85" i="1"/>
  <c r="K59" i="1"/>
  <c r="J30" i="1"/>
  <c r="U30" i="1" s="1"/>
  <c r="J53" i="1"/>
  <c r="S53" i="1" s="1"/>
  <c r="V30" i="1"/>
  <c r="V22" i="1"/>
  <c r="J22" i="1"/>
  <c r="N55" i="4" l="1"/>
  <c r="N68" i="4"/>
  <c r="N71" i="4" s="1"/>
  <c r="U22" i="1"/>
  <c r="W22" i="1" s="1"/>
  <c r="R22" i="1"/>
  <c r="R30" i="1"/>
  <c r="S22" i="1"/>
  <c r="U53" i="1"/>
  <c r="S30" i="1"/>
  <c r="W30" i="1"/>
  <c r="R53" i="1"/>
  <c r="T53" i="1" s="1"/>
  <c r="J50" i="1"/>
  <c r="R50" i="1" s="1"/>
  <c r="T50" i="1" s="1"/>
  <c r="J41" i="1"/>
  <c r="J27" i="1"/>
  <c r="J11" i="1"/>
  <c r="R11" i="1" s="1"/>
  <c r="T11" i="1" s="1"/>
  <c r="J18" i="1"/>
  <c r="R18" i="1" s="1"/>
  <c r="J7" i="1"/>
  <c r="J38" i="1"/>
  <c r="R38" i="1" s="1"/>
  <c r="T38" i="1" s="1"/>
  <c r="J15" i="1"/>
  <c r="R15" i="1" s="1"/>
  <c r="T15" i="1" s="1"/>
  <c r="R7" i="1" l="1"/>
  <c r="T7" i="1" s="1"/>
  <c r="U41" i="1"/>
  <c r="R41" i="1"/>
  <c r="T30" i="1"/>
  <c r="T22" i="1"/>
  <c r="R27" i="1"/>
  <c r="T27" i="1" s="1"/>
  <c r="S18" i="1"/>
  <c r="T18" i="1" s="1"/>
  <c r="S41" i="1"/>
  <c r="U18" i="1"/>
  <c r="T41" i="1" l="1"/>
  <c r="V28" i="1"/>
  <c r="J28" i="1"/>
  <c r="V51" i="1"/>
  <c r="J51" i="1"/>
  <c r="U51" i="1" l="1"/>
  <c r="R51" i="1"/>
  <c r="S28" i="1"/>
  <c r="R28" i="1"/>
  <c r="W51" i="1"/>
  <c r="U28" i="1"/>
  <c r="W28" i="1" s="1"/>
  <c r="S51" i="1"/>
  <c r="T28" i="1" l="1"/>
  <c r="T51" i="1"/>
  <c r="J63" i="1"/>
  <c r="R63" i="1" s="1"/>
  <c r="T63" i="1" s="1"/>
  <c r="J62" i="1"/>
  <c r="R62" i="1" s="1"/>
  <c r="T62" i="1" s="1"/>
  <c r="O59" i="1"/>
  <c r="N59" i="1"/>
  <c r="M59" i="1"/>
  <c r="L59" i="1"/>
  <c r="H59" i="1"/>
  <c r="G59" i="1"/>
  <c r="V56" i="1"/>
  <c r="J56" i="1"/>
  <c r="R56" i="1" s="1"/>
  <c r="V55" i="1"/>
  <c r="J55" i="1"/>
  <c r="R55" i="1" s="1"/>
  <c r="V54" i="1"/>
  <c r="J54" i="1"/>
  <c r="R54" i="1" s="1"/>
  <c r="J85" i="1"/>
  <c r="R85" i="1" s="1"/>
  <c r="V84" i="1"/>
  <c r="J84" i="1"/>
  <c r="R84" i="1" s="1"/>
  <c r="V52" i="1"/>
  <c r="J52" i="1"/>
  <c r="R52" i="1" s="1"/>
  <c r="V49" i="1"/>
  <c r="J49" i="1"/>
  <c r="R49" i="1" s="1"/>
  <c r="V48" i="1"/>
  <c r="J48" i="1"/>
  <c r="R48" i="1" s="1"/>
  <c r="V47" i="1"/>
  <c r="J47" i="1"/>
  <c r="R47" i="1" s="1"/>
  <c r="V46" i="1"/>
  <c r="J46" i="1"/>
  <c r="V45" i="1"/>
  <c r="J45" i="1"/>
  <c r="R45" i="1" s="1"/>
  <c r="V44" i="1"/>
  <c r="J44" i="1"/>
  <c r="R44" i="1" s="1"/>
  <c r="V83" i="1"/>
  <c r="J83" i="1"/>
  <c r="R83" i="1" s="1"/>
  <c r="V43" i="1"/>
  <c r="J43" i="1"/>
  <c r="R43" i="1" s="1"/>
  <c r="V42" i="1"/>
  <c r="J42" i="1"/>
  <c r="R42" i="1" s="1"/>
  <c r="V40" i="1"/>
  <c r="J40" i="1"/>
  <c r="R40" i="1" s="1"/>
  <c r="V39" i="1"/>
  <c r="J39" i="1"/>
  <c r="R39" i="1" s="1"/>
  <c r="V37" i="1"/>
  <c r="J37" i="1"/>
  <c r="R37" i="1" s="1"/>
  <c r="V36" i="1"/>
  <c r="J36" i="1"/>
  <c r="U36" i="1" s="1"/>
  <c r="V35" i="1"/>
  <c r="J35" i="1"/>
  <c r="U35" i="1" s="1"/>
  <c r="V82" i="1"/>
  <c r="J82" i="1"/>
  <c r="U82" i="1" s="1"/>
  <c r="V34" i="1"/>
  <c r="J34" i="1"/>
  <c r="U34" i="1" s="1"/>
  <c r="V33" i="1"/>
  <c r="J33" i="1"/>
  <c r="R33" i="1" s="1"/>
  <c r="V32" i="1"/>
  <c r="J32" i="1"/>
  <c r="U32" i="1" s="1"/>
  <c r="V31" i="1"/>
  <c r="J31" i="1"/>
  <c r="U31" i="1" s="1"/>
  <c r="V29" i="1"/>
  <c r="J29" i="1"/>
  <c r="U29" i="1" s="1"/>
  <c r="V26" i="1"/>
  <c r="J26" i="1"/>
  <c r="R26" i="1" s="1"/>
  <c r="V25" i="1"/>
  <c r="J25" i="1"/>
  <c r="V24" i="1"/>
  <c r="J24" i="1"/>
  <c r="V23" i="1"/>
  <c r="Q23" i="1"/>
  <c r="J23" i="1"/>
  <c r="V21" i="1"/>
  <c r="J21" i="1"/>
  <c r="V20" i="1"/>
  <c r="J20" i="1"/>
  <c r="R20" i="1" s="1"/>
  <c r="V17" i="1"/>
  <c r="J17" i="1"/>
  <c r="V14" i="1"/>
  <c r="J14" i="1"/>
  <c r="V12" i="1"/>
  <c r="J12" i="1"/>
  <c r="V10" i="1"/>
  <c r="J10" i="1"/>
  <c r="U10" i="1" s="1"/>
  <c r="V9" i="1"/>
  <c r="J9" i="1"/>
  <c r="U9" i="1" s="1"/>
  <c r="V8" i="1"/>
  <c r="J8" i="1"/>
  <c r="Q59" i="1" l="1"/>
  <c r="AH23" i="1"/>
  <c r="J59" i="1"/>
  <c r="R23" i="1"/>
  <c r="U14" i="1"/>
  <c r="R14" i="1"/>
  <c r="U12" i="1"/>
  <c r="W12" i="1" s="1"/>
  <c r="R12" i="1"/>
  <c r="U17" i="1"/>
  <c r="W17" i="1" s="1"/>
  <c r="R17" i="1"/>
  <c r="U25" i="1"/>
  <c r="W25" i="1" s="1"/>
  <c r="R25" i="1"/>
  <c r="U21" i="1"/>
  <c r="W21" i="1" s="1"/>
  <c r="R21" i="1"/>
  <c r="U24" i="1"/>
  <c r="W24" i="1" s="1"/>
  <c r="R24" i="1"/>
  <c r="R46" i="1"/>
  <c r="U33" i="1"/>
  <c r="W33" i="1" s="1"/>
  <c r="U55" i="1"/>
  <c r="W55" i="1" s="1"/>
  <c r="U56" i="1"/>
  <c r="W56" i="1" s="1"/>
  <c r="R29" i="1"/>
  <c r="S55" i="1"/>
  <c r="T55" i="1" s="1"/>
  <c r="Z55" i="1" s="1"/>
  <c r="S56" i="1"/>
  <c r="T56" i="1" s="1"/>
  <c r="Z56" i="1" s="1"/>
  <c r="R34" i="1"/>
  <c r="R36" i="1"/>
  <c r="R32" i="1"/>
  <c r="R35" i="1"/>
  <c r="R9" i="1"/>
  <c r="S10" i="1"/>
  <c r="S12" i="1"/>
  <c r="S14" i="1"/>
  <c r="S17" i="1"/>
  <c r="S9" i="1"/>
  <c r="U26" i="1"/>
  <c r="W26" i="1" s="1"/>
  <c r="R10" i="1"/>
  <c r="R8" i="1"/>
  <c r="S8" i="1"/>
  <c r="W9" i="1"/>
  <c r="W10" i="1"/>
  <c r="W14" i="1"/>
  <c r="V59" i="1"/>
  <c r="U20" i="1"/>
  <c r="W20" i="1" s="1"/>
  <c r="S24" i="1"/>
  <c r="W31" i="1"/>
  <c r="S31" i="1"/>
  <c r="W82" i="1"/>
  <c r="S82" i="1"/>
  <c r="U8" i="1"/>
  <c r="S21" i="1"/>
  <c r="S23" i="1"/>
  <c r="U23" i="1"/>
  <c r="W23" i="1" s="1"/>
  <c r="R31" i="1"/>
  <c r="R82" i="1"/>
  <c r="S54" i="1"/>
  <c r="T54" i="1" s="1"/>
  <c r="Z54" i="1" s="1"/>
  <c r="S26" i="1"/>
  <c r="S33" i="1"/>
  <c r="T33" i="1" s="1"/>
  <c r="Z33" i="1" s="1"/>
  <c r="S37" i="1"/>
  <c r="T37" i="1" s="1"/>
  <c r="Z37" i="1" s="1"/>
  <c r="U37" i="1"/>
  <c r="W37" i="1" s="1"/>
  <c r="S20" i="1"/>
  <c r="T20" i="1" s="1"/>
  <c r="S25" i="1"/>
  <c r="W29" i="1"/>
  <c r="S29" i="1"/>
  <c r="W32" i="1"/>
  <c r="S32" i="1"/>
  <c r="W34" i="1"/>
  <c r="S34" i="1"/>
  <c r="W35" i="1"/>
  <c r="S35" i="1"/>
  <c r="W36" i="1"/>
  <c r="S36" i="1"/>
  <c r="U54" i="1"/>
  <c r="W54" i="1" s="1"/>
  <c r="S62" i="1"/>
  <c r="U62" i="1"/>
  <c r="W62" i="1" s="1"/>
  <c r="U63" i="1"/>
  <c r="W63" i="1" s="1"/>
  <c r="S63" i="1"/>
  <c r="U39" i="1"/>
  <c r="W39" i="1" s="1"/>
  <c r="U40" i="1"/>
  <c r="W40" i="1" s="1"/>
  <c r="U42" i="1"/>
  <c r="W42" i="1" s="1"/>
  <c r="U43" i="1"/>
  <c r="W43" i="1" s="1"/>
  <c r="U83" i="1"/>
  <c r="W8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2" i="1"/>
  <c r="W52" i="1" s="1"/>
  <c r="U84" i="1"/>
  <c r="W84" i="1" s="1"/>
  <c r="U85" i="1"/>
  <c r="W85" i="1" s="1"/>
  <c r="S39" i="1"/>
  <c r="S40" i="1"/>
  <c r="S42" i="1"/>
  <c r="S43" i="1"/>
  <c r="T43" i="1" s="1"/>
  <c r="Z43" i="1" s="1"/>
  <c r="S83" i="1"/>
  <c r="T83" i="1" s="1"/>
  <c r="Z83" i="1" s="1"/>
  <c r="S44" i="1"/>
  <c r="T44" i="1" s="1"/>
  <c r="Z44" i="1" s="1"/>
  <c r="S45" i="1"/>
  <c r="T45" i="1" s="1"/>
  <c r="Z45" i="1" s="1"/>
  <c r="S46" i="1"/>
  <c r="S47" i="1"/>
  <c r="T47" i="1" s="1"/>
  <c r="Z47" i="1" s="1"/>
  <c r="S48" i="1"/>
  <c r="T48" i="1" s="1"/>
  <c r="Z48" i="1" s="1"/>
  <c r="S49" i="1"/>
  <c r="T49" i="1" s="1"/>
  <c r="Z49" i="1" s="1"/>
  <c r="S52" i="1"/>
  <c r="T52" i="1" s="1"/>
  <c r="S84" i="1"/>
  <c r="T84" i="1" s="1"/>
  <c r="S85" i="1"/>
  <c r="T85" i="1" s="1"/>
  <c r="Z85" i="1" s="1"/>
  <c r="T23" i="1" l="1"/>
  <c r="T46" i="1"/>
  <c r="Z46" i="1" s="1"/>
  <c r="T34" i="1"/>
  <c r="Z34" i="1" s="1"/>
  <c r="T29" i="1"/>
  <c r="Z29" i="1" s="1"/>
  <c r="T24" i="1"/>
  <c r="Z24" i="1" s="1"/>
  <c r="T25" i="1"/>
  <c r="Z25" i="1" s="1"/>
  <c r="T17" i="1"/>
  <c r="Z84" i="1"/>
  <c r="T40" i="1"/>
  <c r="Z40" i="1" s="1"/>
  <c r="T14" i="1"/>
  <c r="Z14" i="1" s="1"/>
  <c r="T26" i="1"/>
  <c r="Z26" i="1" s="1"/>
  <c r="T12" i="1"/>
  <c r="Z12" i="1" s="1"/>
  <c r="T42" i="1"/>
  <c r="Z42" i="1" s="1"/>
  <c r="T21" i="1"/>
  <c r="Z21" i="1" s="1"/>
  <c r="Z52" i="1"/>
  <c r="T39" i="1"/>
  <c r="Z39" i="1" s="1"/>
  <c r="R59" i="1"/>
  <c r="T36" i="1"/>
  <c r="Z36" i="1" s="1"/>
  <c r="Z23" i="1"/>
  <c r="W64" i="1"/>
  <c r="W65" i="1" s="1"/>
  <c r="W66" i="1" s="1"/>
  <c r="T35" i="1"/>
  <c r="Z35" i="1" s="1"/>
  <c r="T9" i="1"/>
  <c r="T31" i="1"/>
  <c r="Z31" i="1" s="1"/>
  <c r="T32" i="1"/>
  <c r="Z32" i="1" s="1"/>
  <c r="T82" i="1"/>
  <c r="Z82" i="1" s="1"/>
  <c r="T10" i="1"/>
  <c r="Z10" i="1" s="1"/>
  <c r="T8" i="1"/>
  <c r="S59" i="1"/>
  <c r="S61" i="1" s="1"/>
  <c r="U59" i="1"/>
  <c r="W8" i="1"/>
  <c r="W59" i="1" s="1"/>
  <c r="Z20" i="1"/>
  <c r="Z8" i="1" l="1"/>
  <c r="T59" i="1"/>
  <c r="Z9" i="1"/>
</calcChain>
</file>

<file path=xl/sharedStrings.xml><?xml version="1.0" encoding="utf-8"?>
<sst xmlns="http://schemas.openxmlformats.org/spreadsheetml/2006/main" count="1710" uniqueCount="347">
  <si>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</si>
  <si>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</si>
  <si>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</si>
  <si>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</si>
  <si>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</si>
  <si>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</si>
  <si>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</si>
  <si>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</si>
  <si>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</si>
  <si>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</si>
  <si>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</si>
  <si>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</si>
  <si>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</si>
  <si>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</si>
  <si>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</si>
  <si>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</si>
  <si>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</si>
  <si>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</si>
  <si>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</si>
  <si>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</si>
  <si>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</si>
  <si>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</si>
  <si>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</si>
  <si>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</si>
  <si>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</si>
  <si>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</si>
  <si>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</si>
  <si>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</si>
  <si>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</si>
  <si>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</si>
  <si>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</si>
  <si>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</si>
  <si>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</si>
  <si>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</si>
  <si>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</si>
  <si>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</si>
  <si>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</si>
  <si>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</si>
  <si>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</si>
  <si>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</si>
  <si>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</si>
  <si>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</si>
  <si>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</si>
  <si>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</si>
  <si>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</si>
  <si>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</si>
  <si>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</si>
  <si>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</si>
  <si>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</si>
  <si>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</si>
  <si>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</si>
  <si>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</si>
  <si>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</si>
  <si>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</si>
  <si>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</si>
  <si>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</si>
  <si>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</si>
  <si>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</si>
  <si>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HE04</t>
  </si>
  <si>
    <t>GERENTE GENERAL</t>
  </si>
  <si>
    <t>HERNANDEZ PEREZ JOSE RICARDO</t>
  </si>
  <si>
    <t>HP29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</si>
  <si>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</si>
  <si>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</si>
  <si>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</si>
  <si>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</si>
  <si>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</si>
  <si>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</si>
  <si>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</si>
  <si>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ME05</t>
  </si>
  <si>
    <t>GREETER</t>
  </si>
  <si>
    <t>ADMON SERVICIO</t>
  </si>
  <si>
    <t>MARTINEZ DIAZ LEOBARDO ADRIAN</t>
  </si>
  <si>
    <t>MARTINEZ HERRERA CRISTIAN</t>
  </si>
  <si>
    <t>MH02</t>
  </si>
  <si>
    <t>SISTEMAS</t>
  </si>
  <si>
    <t>MARTINEZ ORTIZ JOSUE ALEJANDRO</t>
  </si>
  <si>
    <t>ENCARGADO DE SISTEMAS</t>
  </si>
  <si>
    <t>MEDINA PUGA SANDRA</t>
  </si>
  <si>
    <t>MP11</t>
  </si>
  <si>
    <t>MEJIA VILLEGAS NALLELY BEATRIZ</t>
  </si>
  <si>
    <t>MV23</t>
  </si>
  <si>
    <t>CITAS</t>
  </si>
  <si>
    <t>LAVADOR PREVIADOR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</si>
  <si>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</si>
  <si>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</si>
  <si>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</si>
  <si>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</si>
  <si>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</si>
  <si>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</si>
  <si>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</si>
  <si>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ADMON VENTAS</t>
  </si>
  <si>
    <t>NAVARRETE RODRIGUEZ MARIA TERESA</t>
  </si>
  <si>
    <t>INTERCAMBIOS</t>
  </si>
  <si>
    <t>NIEVES OSORNIO SILVESTRE</t>
  </si>
  <si>
    <t>NO05</t>
  </si>
  <si>
    <t>ESTETICAS</t>
  </si>
  <si>
    <t>F&amp;I</t>
  </si>
  <si>
    <t>PATIÑO MUÑOZ ANA LAURA</t>
  </si>
  <si>
    <t>GERENTE POST-VENTA</t>
  </si>
  <si>
    <t>RODRIGUEZ CRUZ FERNANDO ANTONIO</t>
  </si>
  <si>
    <t>RC27</t>
  </si>
  <si>
    <t>PREVIADOR</t>
  </si>
  <si>
    <t>REFACCIONES</t>
  </si>
  <si>
    <t>AUXILIAR DE REFACCIO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</si>
  <si>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</si>
  <si>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</si>
  <si>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</si>
  <si>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</si>
  <si>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</si>
  <si>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</si>
  <si>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</si>
  <si>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</si>
  <si>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</si>
  <si>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</si>
  <si>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</si>
  <si>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</si>
  <si>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TOLEDO MORENO ELIZABETH VICTORIA</t>
  </si>
  <si>
    <t>TM19</t>
  </si>
  <si>
    <t>SEGUROS</t>
  </si>
  <si>
    <t>TOLEDO PEREZ JOSE FRANCISCO</t>
  </si>
  <si>
    <t>TP12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</si>
  <si>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</si>
  <si>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</si>
  <si>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</si>
  <si>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</si>
  <si>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</si>
  <si>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</si>
  <si>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</si>
  <si>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</si>
  <si>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</si>
  <si>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</si>
  <si>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</si>
  <si>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</si>
  <si>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</si>
  <si>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</si>
  <si>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LIZARDI URZUA ARIZBETH</t>
  </si>
  <si>
    <t>SOLORZANO JUAREZ MONICA ELISA</t>
  </si>
  <si>
    <t>RECURSOS HUMANOS</t>
  </si>
  <si>
    <t>DIAZ ROJAS ROCIO JANET</t>
  </si>
  <si>
    <t>MUÑOZ MARTINEZ PATRICIA VANESSA</t>
  </si>
  <si>
    <t>GALLEGOS RIOS OCTAVIO ALBERTO</t>
  </si>
  <si>
    <t>CORPORATIVO</t>
  </si>
  <si>
    <t>CAMPOS SANCEN LUIS FELIPE</t>
  </si>
  <si>
    <t>CS27</t>
  </si>
  <si>
    <t>AUX CONTABLE</t>
  </si>
  <si>
    <t>JIMENEZ SUAREZ LUDIVINA</t>
  </si>
  <si>
    <t>GERENTE ADMINISTRATIVO</t>
  </si>
  <si>
    <t>NM17</t>
  </si>
  <si>
    <t>AUX ADMINISTRATIVO</t>
  </si>
  <si>
    <t>SANTANA ANAYA GILDARDO ENRIQUE</t>
  </si>
  <si>
    <t>SA03</t>
  </si>
  <si>
    <t>GERENTE DE SISTEMAS</t>
  </si>
  <si>
    <t>FACTURACION</t>
  </si>
  <si>
    <t>RODRIGUEZ NUÑEZ JOSE ANTONIO</t>
  </si>
  <si>
    <t>JEFE DE SERVICIO</t>
  </si>
  <si>
    <t>ESCAMILLA LOPEZ ROGELIO</t>
  </si>
  <si>
    <t>GUERRERO MARTINEZ JUAN PABLO</t>
  </si>
  <si>
    <t>MALDONADO CRUZ CARLOS IVAN</t>
  </si>
  <si>
    <t>VAZQUEZ AMEZCUA GILBERTO RAMON</t>
  </si>
  <si>
    <t>GERENTE DE VENTAS</t>
  </si>
  <si>
    <t>GAYTAN MARTINEZ RAUL</t>
  </si>
  <si>
    <t>VIGILANTE MATUTINO</t>
  </si>
  <si>
    <t>Periodo 1RA QUINCENA</t>
  </si>
  <si>
    <t>01/09/2016 AL 15/09/2016</t>
  </si>
  <si>
    <t>BAJA 05/09/16</t>
  </si>
  <si>
    <t>BAJA 02/09/16</t>
  </si>
  <si>
    <t>BAJA 09/09/16</t>
  </si>
  <si>
    <t>CRUZ MENDOZA SALOMON</t>
  </si>
  <si>
    <t>NUEVO INGRESO 29/08/2016 CTA 2896758940</t>
  </si>
  <si>
    <t>2896758940</t>
  </si>
  <si>
    <t>MDT</t>
  </si>
  <si>
    <t>KAIZEN</t>
  </si>
  <si>
    <t>BAJA</t>
  </si>
  <si>
    <t>0AJ28</t>
  </si>
  <si>
    <t>Avendaño Jauregui Mauricio</t>
  </si>
  <si>
    <t>BM29</t>
  </si>
  <si>
    <t>Baez Monroy Elizabeth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</si>
  <si>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</si>
  <si>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</si>
  <si>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</si>
  <si>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</si>
  <si>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</si>
  <si>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</si>
  <si>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0CG02</t>
  </si>
  <si>
    <t>Castillo Galindo Marlene Samantha Graciela</t>
  </si>
  <si>
    <t>CMS29</t>
  </si>
  <si>
    <t>Cruz Mendoza Salomon</t>
  </si>
  <si>
    <t>0AC03</t>
  </si>
  <si>
    <t>Del Alto Castellanos Xochitl</t>
  </si>
  <si>
    <t>DRR01</t>
  </si>
  <si>
    <t>Diaz Rojas Rocio Janet</t>
  </si>
  <si>
    <t>ELR26</t>
  </si>
  <si>
    <t>Escamilla Lopez Rogelio</t>
  </si>
  <si>
    <t>GMR01</t>
  </si>
  <si>
    <t>Gallegos Morales Roberto</t>
  </si>
  <si>
    <t>GRO05</t>
  </si>
  <si>
    <t>Gallegos Rios Octavio Alberto</t>
  </si>
  <si>
    <t>0GM14</t>
  </si>
  <si>
    <t>Gaytan Martinez Raul</t>
  </si>
  <si>
    <t>0GA21</t>
  </si>
  <si>
    <t>Guerra Aguilar Alejandro</t>
  </si>
  <si>
    <t>GHJ29</t>
  </si>
  <si>
    <t>Guerrero Hernandez Juan Carlos</t>
  </si>
  <si>
    <t>GMJ15</t>
  </si>
  <si>
    <t>Guerrero Martinez Juan Pablo</t>
  </si>
  <si>
    <t>GA003</t>
  </si>
  <si>
    <t>Guillen Ayala Juan Carlos</t>
  </si>
  <si>
    <t>0HE04</t>
  </si>
  <si>
    <t>Hernandez Espinoza Victor Benjami</t>
  </si>
  <si>
    <t>0HP29</t>
  </si>
  <si>
    <t>Hernandez Perez Jose Ricardo</t>
  </si>
  <si>
    <t>0HA01</t>
  </si>
  <si>
    <t>Herrera Almaraz Blanca Sofia</t>
  </si>
  <si>
    <t>00003</t>
  </si>
  <si>
    <t>Jimenez Suarez Ludivina</t>
  </si>
  <si>
    <t>0LU18</t>
  </si>
  <si>
    <t>Lizardi Urzua Arizbeth</t>
  </si>
  <si>
    <t>00LA2</t>
  </si>
  <si>
    <t>Loyola Acosta Carlos Alberto</t>
  </si>
  <si>
    <t>MCC15</t>
  </si>
  <si>
    <t>Maldonado Cruz Carlos Ivan</t>
  </si>
  <si>
    <t>0ME05</t>
  </si>
  <si>
    <t>Mandujano Estrada  Ilse Georgina</t>
  </si>
  <si>
    <t>MDL04</t>
  </si>
  <si>
    <t>Martinez Diaz Leobardo Adrian</t>
  </si>
  <si>
    <t>0MH02</t>
  </si>
  <si>
    <t>Martinez Herrera Cristian</t>
  </si>
  <si>
    <t>MOJ09</t>
  </si>
  <si>
    <t>Martinez Ortiz Josue Alejandro</t>
  </si>
  <si>
    <t>0MV23</t>
  </si>
  <si>
    <t>Mejia Villegas Nallely Beatriz</t>
  </si>
  <si>
    <t>0MM25</t>
  </si>
  <si>
    <t>Meza Muñiz Jose Angel</t>
  </si>
  <si>
    <t>0MN09</t>
  </si>
  <si>
    <t>Morales Naif Diana</t>
  </si>
  <si>
    <t>00056</t>
  </si>
  <si>
    <t>Muñoz Macias Marco Alfredo</t>
  </si>
  <si>
    <t>MMP08</t>
  </si>
  <si>
    <t>Muñoz Martinez Patricia Vanessa</t>
  </si>
  <si>
    <t>0NA28</t>
  </si>
  <si>
    <t>Nava Ambriz Thania</t>
  </si>
  <si>
    <t>00012</t>
  </si>
  <si>
    <t>Navarrete Rodriguez Maria Teresa</t>
  </si>
  <si>
    <t>0NM17</t>
  </si>
  <si>
    <t>Navarro Macias Jennifer</t>
  </si>
  <si>
    <t>0NO05</t>
  </si>
  <si>
    <t>Nieves Osornio Silvestre</t>
  </si>
  <si>
    <t>009</t>
  </si>
  <si>
    <t>Patiño Muñoz Ana Laura</t>
  </si>
  <si>
    <t>PLL19</t>
  </si>
  <si>
    <t>Prieto Lopez Leobigildo</t>
  </si>
  <si>
    <t>00033</t>
  </si>
  <si>
    <t>Rodriguez Nuñez Jose Antonio</t>
  </si>
  <si>
    <t>SCV29</t>
  </si>
  <si>
    <t>Salas Correa Victor Eduardo</t>
  </si>
  <si>
    <t>0SM06</t>
  </si>
  <si>
    <t>Salcedo Moreno Janitzy Xochitl</t>
  </si>
  <si>
    <t>0SV03</t>
  </si>
  <si>
    <t xml:space="preserve">Sambrano Villarreal Hernan Andres 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</si>
  <si>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</si>
  <si>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</si>
  <si>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</si>
  <si>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</si>
  <si>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</si>
  <si>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</si>
  <si>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SJM18</t>
  </si>
  <si>
    <t>Solorzano Juarez Monica Elisa</t>
  </si>
  <si>
    <t>00018</t>
  </si>
  <si>
    <t>Tierrablanca Sanchez Victor Hugo</t>
  </si>
  <si>
    <t>TML01</t>
  </si>
  <si>
    <t>Torres Martinez Luis Alberto</t>
  </si>
  <si>
    <t>VAG26</t>
  </si>
  <si>
    <t>Vazquez Amezcua Gilberto Ramon</t>
  </si>
  <si>
    <t>0VF00</t>
  </si>
  <si>
    <t>Vega Fernandez Amalia</t>
  </si>
  <si>
    <t>YMC14</t>
  </si>
  <si>
    <t>Yerena Martinez Cinthia Guadalupe</t>
  </si>
  <si>
    <t>0YV27</t>
  </si>
  <si>
    <t>Yerena Vazquez Alejandro</t>
  </si>
  <si>
    <t>AVENDAÑO JAUREGUI MAURICIO</t>
  </si>
  <si>
    <t>HERNANDEZ ESPINOZA VICTOR BENJAMI</t>
  </si>
  <si>
    <t>MANDUJANO ESTRADA  ILSE GEORGINA</t>
  </si>
  <si>
    <t>NAVARRO MACIAS JENNIFER</t>
  </si>
  <si>
    <t>PRIETO LOPEZ LEOBIGILDO</t>
  </si>
  <si>
    <t>CONTPAQ i</t>
  </si>
  <si>
    <t xml:space="preserve"> </t>
  </si>
  <si>
    <t xml:space="preserve">      NÓMINAS</t>
  </si>
  <si>
    <t>05 INGENIERIA FISCAL LABORAL SC</t>
  </si>
  <si>
    <t>Lista de Raya (forma tabular)</t>
  </si>
  <si>
    <t>Periodo 17 al 17 Quincenal del 01/09/2016 al 15/09/2016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</si>
  <si>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</si>
  <si>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</si>
  <si>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</si>
  <si>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</si>
  <si>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</si>
  <si>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</si>
  <si>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</si>
  <si>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Subsidio al Empleo (sp)</t>
  </si>
  <si>
    <t>I.S.R. (sp)</t>
  </si>
  <si>
    <t>I.M.S.S.</t>
  </si>
  <si>
    <t>Préstamo Infonavit</t>
  </si>
  <si>
    <t>Deduccion general</t>
  </si>
  <si>
    <t>Ajuste al neto</t>
  </si>
  <si>
    <t>*TOTAL* *DEDUCCIONES*</t>
  </si>
  <si>
    <t>*NETO*</t>
  </si>
  <si>
    <t xml:space="preserve">    Reg. Pat. IMSS:  Z3422423106</t>
  </si>
  <si>
    <t>Departamento 1 1200X05</t>
  </si>
  <si>
    <t>Total Depto</t>
  </si>
  <si>
    <t xml:space="preserve">  -----------------------</t>
  </si>
  <si>
    <t>Departamento 2 1200X05 SERVICIOS</t>
  </si>
  <si>
    <t xml:space="preserve">  =============</t>
  </si>
  <si>
    <t>Total Gral.</t>
  </si>
  <si>
    <t>Sambrano Villarreal Hernan Andres</t>
  </si>
  <si>
    <t>Comisión x sindicato</t>
  </si>
  <si>
    <t>NOTA: SE REALIZARAN DOS DEPOSITOS Y FACURAS</t>
  </si>
  <si>
    <t>FACTURA 1</t>
  </si>
  <si>
    <t>FACTURA 2</t>
  </si>
  <si>
    <t>SGV Y SGMM</t>
  </si>
  <si>
    <t>2% NOMINA</t>
  </si>
  <si>
    <t>7.5 % COMISIÓN</t>
  </si>
  <si>
    <t>SUBTOTAL</t>
  </si>
  <si>
    <t>IVA</t>
  </si>
  <si>
    <t>TOTAL</t>
  </si>
  <si>
    <t>COMIONES</t>
  </si>
  <si>
    <t>Reg Pat IMSS: Z3422423106</t>
  </si>
  <si>
    <t>05 SINDICATO ASOCIACIÓN</t>
  </si>
  <si>
    <t>APOYO</t>
  </si>
  <si>
    <t>OTROS</t>
  </si>
  <si>
    <t>Días periodo anterior</t>
  </si>
  <si>
    <t>NOMBRE</t>
  </si>
  <si>
    <t>NOMINA</t>
  </si>
  <si>
    <t>DISPERSIONES</t>
  </si>
  <si>
    <t>INGENIERIA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</si>
  <si>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</si>
  <si>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</si>
  <si>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</si>
  <si>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</si>
  <si>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</si>
  <si>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</si>
  <si>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</si>
  <si>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</si>
  <si>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</si>
  <si>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</si>
  <si>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</si>
  <si>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</si>
  <si>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1RA QUINCENA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</si>
</sst>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b/>
      <sz val="12"/>
      <color indexed="40"/>
      <name val="Calibri"/>
      <family val="2"/>
    </font>
    <font>
      <b/>
      <sz val="12"/>
      <name val="Calibri  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300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Fill="1"/>
    <xf numFmtId="0" fontId="4" fillId="0" borderId="7" xfId="0" applyFont="1" applyBorder="1"/>
    <xf numFmtId="0" fontId="4" fillId="3" borderId="7" xfId="0" applyFont="1" applyFill="1" applyBorder="1"/>
    <xf numFmtId="0" fontId="4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/>
    </xf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1" fillId="0" borderId="7" xfId="1" applyFont="1" applyBorder="1"/>
    <xf numFmtId="43" fontId="11" fillId="0" borderId="7" xfId="1" applyFont="1" applyBorder="1"/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4" fontId="8" fillId="0" borderId="7" xfId="0" applyNumberFormat="1" applyFont="1" applyFill="1" applyBorder="1"/>
    <xf numFmtId="4" fontId="12" fillId="0" borderId="7" xfId="0" applyNumberFormat="1" applyFont="1" applyFill="1" applyBorder="1"/>
    <xf numFmtId="0" fontId="10" fillId="0" borderId="7" xfId="0" applyNumberFormat="1" applyFont="1" applyFill="1" applyBorder="1"/>
    <xf numFmtId="0" fontId="13" fillId="3" borderId="0" xfId="0" applyFont="1" applyFill="1"/>
    <xf numFmtId="0" fontId="5" fillId="0" borderId="7" xfId="0" applyFont="1" applyFill="1" applyBorder="1" applyAlignment="1">
      <alignment horizontal="center"/>
    </xf>
    <xf numFmtId="4" fontId="12" fillId="0" borderId="7" xfId="0" applyNumberFormat="1" applyFont="1" applyBorder="1"/>
    <xf numFmtId="0" fontId="10" fillId="3" borderId="0" xfId="0" applyFont="1" applyFill="1"/>
    <xf numFmtId="0" fontId="14" fillId="3" borderId="0" xfId="0" applyFont="1" applyFill="1"/>
    <xf numFmtId="0" fontId="4" fillId="11" borderId="0" xfId="0" applyFont="1" applyFill="1"/>
    <xf numFmtId="0" fontId="4" fillId="10" borderId="0" xfId="0" applyFont="1" applyFill="1"/>
    <xf numFmtId="0" fontId="14" fillId="0" borderId="0" xfId="0" applyFont="1" applyFill="1"/>
    <xf numFmtId="49" fontId="8" fillId="0" borderId="7" xfId="0" applyNumberFormat="1" applyFont="1" applyFill="1" applyBorder="1"/>
    <xf numFmtId="0" fontId="4" fillId="4" borderId="7" xfId="0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5" fillId="0" borderId="7" xfId="1" applyFont="1" applyBorder="1"/>
    <xf numFmtId="43" fontId="1" fillId="0" borderId="7" xfId="1" applyBorder="1"/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5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9" borderId="0" xfId="0" applyFont="1" applyFill="1"/>
    <xf numFmtId="0" fontId="6" fillId="9" borderId="0" xfId="0" applyFont="1" applyFill="1"/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4" fillId="0" borderId="7" xfId="4" applyFont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0" fontId="4" fillId="12" borderId="7" xfId="0" applyFont="1" applyFill="1" applyBorder="1"/>
    <xf numFmtId="43" fontId="0" fillId="0" borderId="7" xfId="1" applyFont="1" applyBorder="1"/>
    <xf numFmtId="0" fontId="10" fillId="0" borderId="7" xfId="0" applyFont="1" applyBorder="1"/>
    <xf numFmtId="0" fontId="8" fillId="0" borderId="7" xfId="0" applyNumberFormat="1" applyFont="1" applyFill="1" applyBorder="1"/>
    <xf numFmtId="0" fontId="4" fillId="13" borderId="7" xfId="0" applyFont="1" applyFill="1" applyBorder="1"/>
    <xf numFmtId="164" fontId="8" fillId="13" borderId="7" xfId="0" applyNumberFormat="1" applyFont="1" applyFill="1" applyBorder="1" applyAlignment="1">
      <alignment horizontal="left" vertical="center"/>
    </xf>
    <xf numFmtId="44" fontId="4" fillId="13" borderId="7" xfId="4" applyFont="1" applyFill="1" applyBorder="1"/>
    <xf numFmtId="43" fontId="4" fillId="13" borderId="7" xfId="1" applyFont="1" applyFill="1" applyBorder="1"/>
    <xf numFmtId="43" fontId="9" fillId="13" borderId="7" xfId="1" applyFont="1" applyFill="1" applyBorder="1"/>
    <xf numFmtId="43" fontId="5" fillId="13" borderId="7" xfId="1" applyFont="1" applyFill="1" applyBorder="1"/>
    <xf numFmtId="0" fontId="4" fillId="13" borderId="7" xfId="1" applyNumberFormat="1" applyFont="1" applyFill="1" applyBorder="1" applyAlignment="1">
      <alignment horizontal="center"/>
    </xf>
    <xf numFmtId="43" fontId="4" fillId="13" borderId="7" xfId="1" applyFont="1" applyFill="1" applyBorder="1" applyAlignment="1">
      <alignment horizontal="center"/>
    </xf>
    <xf numFmtId="43" fontId="1" fillId="13" borderId="7" xfId="1" applyFont="1" applyFill="1" applyBorder="1"/>
    <xf numFmtId="43" fontId="11" fillId="13" borderId="7" xfId="1" applyFont="1" applyFill="1" applyBorder="1"/>
    <xf numFmtId="4" fontId="8" fillId="13" borderId="7" xfId="0" applyNumberFormat="1" applyFont="1" applyFill="1" applyBorder="1" applyAlignment="1">
      <alignment wrapText="1"/>
    </xf>
    <xf numFmtId="4" fontId="12" fillId="13" borderId="7" xfId="0" applyNumberFormat="1" applyFont="1" applyFill="1" applyBorder="1" applyAlignment="1">
      <alignment horizontal="right" wrapText="1"/>
    </xf>
    <xf numFmtId="43" fontId="8" fillId="13" borderId="7" xfId="0" applyNumberFormat="1" applyFont="1" applyFill="1" applyBorder="1"/>
    <xf numFmtId="0" fontId="5" fillId="13" borderId="7" xfId="0" applyFont="1" applyFill="1" applyBorder="1" applyAlignment="1"/>
    <xf numFmtId="0" fontId="4" fillId="13" borderId="0" xfId="0" applyFont="1" applyFill="1"/>
    <xf numFmtId="0" fontId="6" fillId="13" borderId="0" xfId="0" applyFont="1" applyFill="1"/>
    <xf numFmtId="0" fontId="5" fillId="13" borderId="7" xfId="1" applyNumberFormat="1" applyFont="1" applyFill="1" applyBorder="1" applyAlignment="1">
      <alignment horizontal="center"/>
    </xf>
    <xf numFmtId="0" fontId="14" fillId="13" borderId="0" xfId="0" applyFont="1" applyFill="1"/>
    <xf numFmtId="0" fontId="4" fillId="13" borderId="7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164" fontId="8" fillId="3" borderId="7" xfId="0" applyNumberFormat="1" applyFont="1" applyFill="1" applyBorder="1" applyAlignment="1">
      <alignment horizontal="left" vertical="center"/>
    </xf>
    <xf numFmtId="44" fontId="4" fillId="3" borderId="7" xfId="4" applyFont="1" applyFill="1" applyBorder="1"/>
    <xf numFmtId="43" fontId="4" fillId="3" borderId="7" xfId="1" applyFont="1" applyFill="1" applyBorder="1"/>
    <xf numFmtId="0" fontId="4" fillId="3" borderId="7" xfId="1" applyNumberFormat="1" applyFont="1" applyFill="1" applyBorder="1" applyAlignment="1">
      <alignment horizontal="center"/>
    </xf>
    <xf numFmtId="43" fontId="4" fillId="3" borderId="7" xfId="1" applyFont="1" applyFill="1" applyBorder="1" applyAlignment="1">
      <alignment horizontal="center"/>
    </xf>
    <xf numFmtId="43" fontId="11" fillId="3" borderId="7" xfId="1" applyFont="1" applyFill="1" applyBorder="1"/>
    <xf numFmtId="0" fontId="4" fillId="9" borderId="7" xfId="0" applyFont="1" applyFill="1" applyBorder="1"/>
    <xf numFmtId="0" fontId="4" fillId="9" borderId="7" xfId="0" applyFont="1" applyFill="1" applyBorder="1" applyAlignment="1">
      <alignment horizontal="right"/>
    </xf>
    <xf numFmtId="164" fontId="8" fillId="9" borderId="7" xfId="0" applyNumberFormat="1" applyFont="1" applyFill="1" applyBorder="1" applyAlignment="1">
      <alignment horizontal="left" vertical="center"/>
    </xf>
    <xf numFmtId="44" fontId="4" fillId="9" borderId="7" xfId="4" applyFont="1" applyFill="1" applyBorder="1"/>
    <xf numFmtId="43" fontId="4" fillId="9" borderId="7" xfId="1" applyFont="1" applyFill="1" applyBorder="1"/>
    <xf numFmtId="0" fontId="4" fillId="9" borderId="7" xfId="1" applyNumberFormat="1" applyFont="1" applyFill="1" applyBorder="1" applyAlignment="1">
      <alignment horizontal="center"/>
    </xf>
    <xf numFmtId="43" fontId="4" fillId="9" borderId="7" xfId="1" applyFont="1" applyFill="1" applyBorder="1" applyAlignment="1">
      <alignment horizontal="center"/>
    </xf>
    <xf numFmtId="43" fontId="1" fillId="9" borderId="7" xfId="1" applyFont="1" applyFill="1" applyBorder="1"/>
    <xf numFmtId="43" fontId="11" fillId="9" borderId="7" xfId="1" applyFont="1" applyFill="1" applyBorder="1"/>
    <xf numFmtId="0" fontId="5" fillId="9" borderId="7" xfId="0" applyFont="1" applyFill="1" applyBorder="1"/>
    <xf numFmtId="49" fontId="16" fillId="9" borderId="7" xfId="0" applyNumberFormat="1" applyFont="1" applyFill="1" applyBorder="1"/>
    <xf numFmtId="0" fontId="5" fillId="13" borderId="7" xfId="0" applyFont="1" applyFill="1" applyBorder="1"/>
    <xf numFmtId="43" fontId="4" fillId="0" borderId="0" xfId="0" applyNumberFormat="1" applyFont="1" applyFill="1"/>
    <xf numFmtId="0" fontId="17" fillId="0" borderId="0" xfId="0" applyFont="1"/>
    <xf numFmtId="49" fontId="17" fillId="0" borderId="0" xfId="0" applyNumberFormat="1" applyFont="1"/>
    <xf numFmtId="43" fontId="5" fillId="2" borderId="2" xfId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43" fontId="1" fillId="2" borderId="2" xfId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2" fontId="4" fillId="3" borderId="7" xfId="1" applyNumberFormat="1" applyFont="1" applyFill="1" applyBorder="1"/>
    <xf numFmtId="43" fontId="9" fillId="3" borderId="7" xfId="1" applyFont="1" applyFill="1" applyBorder="1"/>
    <xf numFmtId="43" fontId="5" fillId="3" borderId="7" xfId="1" applyFont="1" applyFill="1" applyBorder="1"/>
    <xf numFmtId="43" fontId="1" fillId="3" borderId="7" xfId="1" applyFont="1" applyFill="1" applyBorder="1"/>
    <xf numFmtId="4" fontId="8" fillId="3" borderId="7" xfId="0" applyNumberFormat="1" applyFont="1" applyFill="1" applyBorder="1" applyAlignment="1">
      <alignment wrapText="1"/>
    </xf>
    <xf numFmtId="0" fontId="12" fillId="3" borderId="7" xfId="0" applyFont="1" applyFill="1" applyBorder="1" applyAlignment="1">
      <alignment horizontal="right" wrapText="1"/>
    </xf>
    <xf numFmtId="43" fontId="8" fillId="3" borderId="7" xfId="0" applyNumberFormat="1" applyFont="1" applyFill="1" applyBorder="1"/>
    <xf numFmtId="0" fontId="4" fillId="3" borderId="0" xfId="0" applyFont="1" applyFill="1"/>
    <xf numFmtId="49" fontId="17" fillId="3" borderId="0" xfId="0" applyNumberFormat="1" applyFont="1" applyFill="1"/>
    <xf numFmtId="0" fontId="17" fillId="3" borderId="0" xfId="0" applyFont="1" applyFill="1"/>
    <xf numFmtId="43" fontId="4" fillId="3" borderId="0" xfId="0" applyNumberFormat="1" applyFont="1" applyFill="1"/>
    <xf numFmtId="0" fontId="5" fillId="3" borderId="7" xfId="1" applyNumberFormat="1" applyFont="1" applyFill="1" applyBorder="1" applyAlignment="1">
      <alignment horizontal="center"/>
    </xf>
    <xf numFmtId="4" fontId="12" fillId="3" borderId="7" xfId="0" applyNumberFormat="1" applyFont="1" applyFill="1" applyBorder="1" applyAlignment="1">
      <alignment horizontal="right" wrapText="1"/>
    </xf>
    <xf numFmtId="0" fontId="5" fillId="3" borderId="7" xfId="0" applyFont="1" applyFill="1" applyBorder="1" applyAlignment="1"/>
    <xf numFmtId="0" fontId="10" fillId="3" borderId="8" xfId="3" applyFont="1" applyFill="1" applyBorder="1"/>
    <xf numFmtId="43" fontId="1" fillId="3" borderId="7" xfId="1" applyFill="1" applyBorder="1"/>
    <xf numFmtId="0" fontId="5" fillId="0" borderId="0" xfId="0" applyFont="1" applyFill="1" applyBorder="1"/>
    <xf numFmtId="0" fontId="4" fillId="0" borderId="10" xfId="0" applyFont="1" applyBorder="1"/>
    <xf numFmtId="0" fontId="4" fillId="0" borderId="0" xfId="0" applyFont="1" applyFill="1" applyBorder="1"/>
    <xf numFmtId="0" fontId="4" fillId="4" borderId="10" xfId="0" applyFont="1" applyFill="1" applyBorder="1"/>
    <xf numFmtId="44" fontId="4" fillId="0" borderId="10" xfId="4" applyFont="1" applyBorder="1"/>
    <xf numFmtId="44" fontId="4" fillId="0" borderId="0" xfId="4" applyFont="1" applyFill="1" applyBorder="1"/>
    <xf numFmtId="43" fontId="4" fillId="0" borderId="10" xfId="1" applyFont="1" applyBorder="1"/>
    <xf numFmtId="43" fontId="4" fillId="0" borderId="0" xfId="1" applyFont="1" applyFill="1" applyBorder="1"/>
    <xf numFmtId="43" fontId="9" fillId="4" borderId="10" xfId="1" applyFont="1" applyFill="1" applyBorder="1"/>
    <xf numFmtId="43" fontId="9" fillId="4" borderId="6" xfId="1" applyFont="1" applyFill="1" applyBorder="1"/>
    <xf numFmtId="43" fontId="5" fillId="5" borderId="10" xfId="1" applyFont="1" applyFill="1" applyBorder="1"/>
    <xf numFmtId="43" fontId="5" fillId="0" borderId="0" xfId="1" applyFont="1" applyFill="1" applyBorder="1"/>
    <xf numFmtId="43" fontId="4" fillId="6" borderId="10" xfId="1" applyFont="1" applyFill="1" applyBorder="1"/>
    <xf numFmtId="0" fontId="4" fillId="6" borderId="10" xfId="1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4" fillId="7" borderId="10" xfId="1" applyFont="1" applyFill="1" applyBorder="1" applyAlignment="1">
      <alignment horizontal="center"/>
    </xf>
    <xf numFmtId="43" fontId="4" fillId="0" borderId="10" xfId="1" applyFont="1" applyFill="1" applyBorder="1" applyAlignment="1">
      <alignment horizontal="center"/>
    </xf>
    <xf numFmtId="43" fontId="5" fillId="5" borderId="6" xfId="1" applyFont="1" applyFill="1" applyBorder="1"/>
    <xf numFmtId="43" fontId="4" fillId="8" borderId="10" xfId="1" applyFont="1" applyFill="1" applyBorder="1" applyAlignment="1">
      <alignment horizontal="center"/>
    </xf>
    <xf numFmtId="4" fontId="8" fillId="0" borderId="0" xfId="0" applyNumberFormat="1" applyFont="1" applyBorder="1" applyAlignment="1">
      <alignment wrapText="1"/>
    </xf>
    <xf numFmtId="43" fontId="8" fillId="0" borderId="0" xfId="1" applyFont="1" applyFill="1" applyBorder="1"/>
    <xf numFmtId="0" fontId="12" fillId="4" borderId="0" xfId="0" applyFont="1" applyFill="1" applyBorder="1" applyAlignment="1">
      <alignment horizontal="right" wrapText="1"/>
    </xf>
    <xf numFmtId="43" fontId="8" fillId="0" borderId="0" xfId="0" applyNumberFormat="1" applyFont="1" applyFill="1" applyBorder="1"/>
    <xf numFmtId="0" fontId="10" fillId="3" borderId="7" xfId="3" applyFont="1" applyFill="1" applyBorder="1"/>
    <xf numFmtId="43" fontId="8" fillId="0" borderId="8" xfId="0" applyNumberFormat="1" applyFont="1" applyFill="1" applyBorder="1"/>
    <xf numFmtId="0" fontId="4" fillId="0" borderId="9" xfId="0" applyFont="1" applyBorder="1"/>
    <xf numFmtId="0" fontId="4" fillId="0" borderId="6" xfId="0" applyFont="1" applyBorder="1"/>
    <xf numFmtId="164" fontId="8" fillId="0" borderId="6" xfId="0" applyNumberFormat="1" applyFont="1" applyBorder="1" applyAlignment="1">
      <alignment horizontal="left" vertical="center"/>
    </xf>
    <xf numFmtId="44" fontId="4" fillId="0" borderId="6" xfId="4" applyFont="1" applyBorder="1"/>
    <xf numFmtId="43" fontId="4" fillId="6" borderId="6" xfId="1" applyFont="1" applyFill="1" applyBorder="1"/>
    <xf numFmtId="0" fontId="4" fillId="6" borderId="6" xfId="1" applyNumberFormat="1" applyFont="1" applyFill="1" applyBorder="1" applyAlignment="1">
      <alignment horizontal="center"/>
    </xf>
    <xf numFmtId="43" fontId="1" fillId="0" borderId="9" xfId="1" applyFont="1" applyBorder="1"/>
    <xf numFmtId="43" fontId="11" fillId="0" borderId="9" xfId="1" applyFont="1" applyBorder="1"/>
    <xf numFmtId="49" fontId="8" fillId="0" borderId="0" xfId="0" applyNumberFormat="1" applyFont="1" applyFill="1" applyBorder="1"/>
    <xf numFmtId="0" fontId="0" fillId="0" borderId="0" xfId="0"/>
    <xf numFmtId="0" fontId="17" fillId="0" borderId="0" xfId="0" applyFont="1"/>
    <xf numFmtId="49" fontId="17" fillId="0" borderId="0" xfId="0" applyNumberFormat="1" applyFont="1"/>
    <xf numFmtId="49" fontId="18" fillId="0" borderId="0" xfId="0" applyNumberFormat="1" applyFont="1" applyAlignment="1">
      <alignment horizontal="centerContinuous"/>
    </xf>
    <xf numFmtId="49" fontId="19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49" fontId="24" fillId="0" borderId="0" xfId="0" applyNumberFormat="1" applyFont="1"/>
    <xf numFmtId="49" fontId="26" fillId="0" borderId="0" xfId="0" applyNumberFormat="1" applyFont="1"/>
    <xf numFmtId="165" fontId="17" fillId="0" borderId="0" xfId="0" applyNumberFormat="1" applyFont="1"/>
    <xf numFmtId="49" fontId="17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165" fontId="24" fillId="0" borderId="0" xfId="0" applyNumberFormat="1" applyFont="1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/>
    <xf numFmtId="0" fontId="23" fillId="0" borderId="0" xfId="0" applyFont="1" applyAlignment="1"/>
    <xf numFmtId="49" fontId="24" fillId="14" borderId="11" xfId="0" applyNumberFormat="1" applyFont="1" applyFill="1" applyBorder="1" applyAlignment="1">
      <alignment horizontal="center" vertical="center" wrapText="1"/>
    </xf>
    <xf numFmtId="0" fontId="24" fillId="14" borderId="11" xfId="0" applyFont="1" applyFill="1" applyBorder="1" applyAlignment="1">
      <alignment horizontal="center" vertical="center" wrapText="1"/>
    </xf>
    <xf numFmtId="0" fontId="25" fillId="14" borderId="11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 vertical="top"/>
    </xf>
    <xf numFmtId="0" fontId="0" fillId="0" borderId="0" xfId="0"/>
    <xf numFmtId="0" fontId="17" fillId="0" borderId="0" xfId="0" applyFont="1"/>
    <xf numFmtId="49" fontId="17" fillId="0" borderId="0" xfId="0" applyNumberFormat="1" applyFont="1"/>
    <xf numFmtId="49" fontId="18" fillId="0" borderId="0" xfId="0" applyNumberFormat="1" applyFont="1" applyAlignment="1">
      <alignment horizontal="centerContinuous"/>
    </xf>
    <xf numFmtId="49" fontId="19" fillId="0" borderId="0" xfId="0" applyNumberFormat="1" applyFont="1" applyAlignment="1">
      <alignment horizontal="centerContinuous" vertical="top"/>
    </xf>
    <xf numFmtId="0" fontId="17" fillId="0" borderId="0" xfId="0" applyFont="1" applyAlignment="1">
      <alignment horizontal="center"/>
    </xf>
    <xf numFmtId="0" fontId="0" fillId="0" borderId="0" xfId="0" applyAlignment="1"/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49" fontId="24" fillId="0" borderId="0" xfId="0" applyNumberFormat="1" applyFont="1"/>
    <xf numFmtId="49" fontId="26" fillId="0" borderId="0" xfId="0" applyNumberFormat="1" applyFont="1"/>
    <xf numFmtId="165" fontId="17" fillId="0" borderId="0" xfId="0" applyNumberFormat="1" applyFont="1"/>
    <xf numFmtId="165" fontId="27" fillId="0" borderId="0" xfId="0" applyNumberFormat="1" applyFont="1"/>
    <xf numFmtId="49" fontId="17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165" fontId="24" fillId="0" borderId="0" xfId="0" applyNumberFormat="1" applyFont="1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5" fillId="14" borderId="16" xfId="0" applyFont="1" applyFill="1" applyBorder="1" applyAlignment="1">
      <alignment horizontal="center" vertical="center" wrapText="1"/>
    </xf>
    <xf numFmtId="43" fontId="17" fillId="0" borderId="0" xfId="0" applyNumberFormat="1" applyFont="1"/>
    <xf numFmtId="43" fontId="17" fillId="0" borderId="0" xfId="1" applyFont="1"/>
    <xf numFmtId="3" fontId="5" fillId="2" borderId="0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 wrapText="1"/>
    </xf>
    <xf numFmtId="44" fontId="5" fillId="2" borderId="17" xfId="4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43" fontId="1" fillId="2" borderId="0" xfId="1" applyFill="1" applyBorder="1" applyAlignment="1">
      <alignment horizontal="center" vertical="center" wrapText="1"/>
    </xf>
    <xf numFmtId="0" fontId="4" fillId="0" borderId="0" xfId="0" applyFont="1" applyBorder="1"/>
    <xf numFmtId="0" fontId="4" fillId="4" borderId="0" xfId="0" applyFont="1" applyFill="1" applyBorder="1"/>
    <xf numFmtId="43" fontId="5" fillId="5" borderId="0" xfId="1" applyFont="1" applyFill="1" applyBorder="1"/>
    <xf numFmtId="43" fontId="4" fillId="8" borderId="0" xfId="1" applyFont="1" applyFill="1" applyBorder="1" applyAlignment="1">
      <alignment horizontal="center"/>
    </xf>
    <xf numFmtId="0" fontId="26" fillId="14" borderId="11" xfId="0" applyFont="1" applyFill="1" applyBorder="1" applyAlignment="1">
      <alignment horizontal="center" vertical="center" wrapText="1"/>
    </xf>
    <xf numFmtId="43" fontId="1" fillId="0" borderId="0" xfId="1" applyFont="1"/>
    <xf numFmtId="43" fontId="0" fillId="0" borderId="0" xfId="0" applyNumberFormat="1"/>
    <xf numFmtId="43" fontId="30" fillId="0" borderId="18" xfId="0" applyNumberFormat="1" applyFont="1" applyBorder="1"/>
    <xf numFmtId="0" fontId="0" fillId="12" borderId="7" xfId="0" applyFill="1" applyBorder="1" applyAlignment="1">
      <alignment horizontal="center"/>
    </xf>
    <xf numFmtId="0" fontId="0" fillId="0" borderId="7" xfId="0" applyBorder="1"/>
    <xf numFmtId="44" fontId="0" fillId="0" borderId="7" xfId="4" applyFont="1" applyBorder="1"/>
    <xf numFmtId="0" fontId="32" fillId="0" borderId="19" xfId="0" applyFont="1" applyBorder="1"/>
    <xf numFmtId="0" fontId="31" fillId="0" borderId="19" xfId="0" applyFont="1" applyBorder="1"/>
    <xf numFmtId="0" fontId="0" fillId="0" borderId="19" xfId="0" applyFont="1" applyBorder="1"/>
    <xf numFmtId="14" fontId="32" fillId="0" borderId="19" xfId="0" applyNumberFormat="1" applyFont="1" applyBorder="1"/>
    <xf numFmtId="43" fontId="1" fillId="0" borderId="19" xfId="1" applyFont="1" applyBorder="1"/>
    <xf numFmtId="0" fontId="0" fillId="0" borderId="19" xfId="0" applyBorder="1"/>
    <xf numFmtId="43" fontId="1" fillId="0" borderId="20" xfId="1" applyFont="1" applyBorder="1"/>
    <xf numFmtId="43" fontId="1" fillId="0" borderId="21" xfId="1" applyFont="1" applyBorder="1"/>
    <xf numFmtId="43" fontId="1" fillId="0" borderId="22" xfId="1" applyFont="1" applyBorder="1"/>
    <xf numFmtId="43" fontId="1" fillId="0" borderId="23" xfId="1" applyFont="1" applyBorder="1"/>
    <xf numFmtId="43" fontId="31" fillId="0" borderId="22" xfId="1" applyFont="1" applyBorder="1"/>
    <xf numFmtId="43" fontId="5" fillId="2" borderId="2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43" fontId="1" fillId="2" borderId="3" xfId="1" applyFill="1" applyBorder="1" applyAlignment="1">
      <alignment horizontal="center" vertical="center" wrapText="1"/>
    </xf>
    <xf numFmtId="43" fontId="1" fillId="2" borderId="4" xfId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44" fontId="5" fillId="2" borderId="2" xfId="4" applyFont="1" applyFill="1" applyBorder="1" applyAlignment="1">
      <alignment horizontal="center" vertical="center" wrapText="1"/>
    </xf>
    <xf numFmtId="44" fontId="5" fillId="2" borderId="12" xfId="4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Alignment="1"/>
    <xf numFmtId="0" fontId="28" fillId="0" borderId="0" xfId="0" applyFont="1" applyAlignment="1">
      <alignment horizontal="center" vertical="center"/>
    </xf>
    <xf numFmtId="0" fontId="29" fillId="0" borderId="13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0" fillId="12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7" xfId="0" applyFill="1" applyBorder="1" applyAlignment="1">
      <alignment horizontal="center" vertical="center"/>
    </xf>
    <xf numFmtId="43" fontId="0" fillId="0" borderId="0" xfId="1" applyFont="1"/>
    <xf numFmtId="0" fontId="31" fillId="0" borderId="0" xfId="0" applyFont="1" applyAlignment="1">
      <alignment horizontal="center"/>
    </xf>
    <xf numFmtId="43" fontId="31" fillId="0" borderId="0" xfId="1" applyFont="1" applyAlignment="1">
      <alignment horizontal="center"/>
    </xf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s%20c&amp;a\Respaldos_Claudia\enero12\RESPALDO_CLAUDIA\C&amp;A\N%20INGENIERIA%20FISCAL%20LABORAL%20SC%20Y%20SINDICATO%20ASOCIACI&#211;N\QUINCENAL\LEAL\2Q%20AGOSTO_2016\LUDY\2Q%20AGOSTO%20CELAYA_2016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2">
          <cell r="D22">
            <v>1095.5999999999999</v>
          </cell>
        </row>
        <row r="23">
          <cell r="D23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6">
          <cell r="D26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1">
          <cell r="D31">
            <v>1095.5999999999999</v>
          </cell>
        </row>
        <row r="32">
          <cell r="D32">
            <v>1095.5999999999999</v>
          </cell>
        </row>
        <row r="33">
          <cell r="D33">
            <v>1095.5999999999999</v>
          </cell>
        </row>
        <row r="34">
          <cell r="D34">
            <v>1095.5999999999999</v>
          </cell>
        </row>
        <row r="35">
          <cell r="D35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3">
          <cell r="D43">
            <v>1095.5999999999999</v>
          </cell>
        </row>
        <row r="44">
          <cell r="D44">
            <v>1095.5999999999999</v>
          </cell>
        </row>
        <row r="48">
          <cell r="D48">
            <v>1095.5999999999999</v>
          </cell>
        </row>
        <row r="49">
          <cell r="D49">
            <v>1095.5999999999999</v>
          </cell>
        </row>
        <row r="51">
          <cell r="D51">
            <v>1095.5999999999999</v>
          </cell>
        </row>
        <row r="52">
          <cell r="D52">
            <v>1095.5999999999999</v>
          </cell>
        </row>
        <row r="53">
          <cell r="D53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59">
          <cell r="D59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  <row r="63">
          <cell r="D63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CIÓN"/>
      <sheetName val="RAMAHA"/>
      <sheetName val="RAMAHA (2)"/>
      <sheetName val="SINDICATO"/>
      <sheetName val="SINDICATO (2)"/>
      <sheetName val="Hoja1"/>
    </sheetNames>
    <sheetDataSet>
      <sheetData sheetId="0"/>
      <sheetData sheetId="1">
        <row r="4">
          <cell r="B4" t="str">
            <v>Periodo 16 al 16 Quincenal del 16/08/2016 al 31/08/2016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29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4.42578125" style="16" customWidth="1"/>
    <col min="5" max="5" width="36" style="16" bestFit="1" customWidth="1"/>
    <col min="6" max="6" width="13.85546875" style="89" bestFit="1" customWidth="1"/>
    <col min="7" max="7" width="15.28515625" style="13" customWidth="1"/>
    <col min="8" max="8" width="8.7109375" style="13" customWidth="1"/>
    <col min="9" max="9" width="15.7109375" style="13" customWidth="1"/>
    <col min="10" max="10" width="17" style="14" customWidth="1"/>
    <col min="11" max="11" width="13.5703125" style="13" customWidth="1"/>
    <col min="12" max="12" width="13.5703125" style="78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4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8.28515625" style="16" bestFit="1" customWidth="1"/>
    <col min="28" max="28" width="51" style="16" bestFit="1" customWidth="1"/>
    <col min="29" max="30" width="11.42578125" style="16"/>
    <col min="31" max="31" width="31.140625" style="16" bestFit="1" customWidth="1"/>
    <col min="32" max="32" width="21.5703125" style="16" bestFit="1" customWidth="1"/>
    <col min="33" max="33" width="20.140625" style="16" bestFit="1" customWidth="1"/>
    <col min="34" max="34" width="21.28515625" style="16" bestFit="1" customWidth="1"/>
    <col min="35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88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139" t="s">
        <v>232</v>
      </c>
      <c r="AE1" s="138" t="s">
        <v>233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88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139" t="s">
        <v>270</v>
      </c>
      <c r="AE2" s="138" t="s">
        <v>271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163</v>
      </c>
      <c r="B3" s="10" t="s">
        <v>164</v>
      </c>
      <c r="C3" s="10"/>
      <c r="D3" s="10"/>
      <c r="E3" s="11"/>
      <c r="F3" s="88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89"/>
      <c r="G4" s="13"/>
      <c r="H4" s="13"/>
      <c r="I4" s="13"/>
      <c r="J4" s="14"/>
      <c r="K4" s="13"/>
      <c r="L4" s="78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147" customFormat="1" ht="15.75" customHeight="1">
      <c r="A5" s="281" t="s">
        <v>3</v>
      </c>
      <c r="B5" s="281" t="s">
        <v>4</v>
      </c>
      <c r="C5" s="282" t="s">
        <v>5</v>
      </c>
      <c r="D5" s="284" t="s">
        <v>26</v>
      </c>
      <c r="E5" s="282" t="s">
        <v>6</v>
      </c>
      <c r="F5" s="286" t="s">
        <v>27</v>
      </c>
      <c r="G5" s="275" t="s">
        <v>7</v>
      </c>
      <c r="H5" s="275" t="s">
        <v>8</v>
      </c>
      <c r="I5" s="275" t="s">
        <v>9</v>
      </c>
      <c r="J5" s="275" t="s">
        <v>10</v>
      </c>
      <c r="K5" s="275" t="s">
        <v>11</v>
      </c>
      <c r="L5" s="140"/>
      <c r="M5" s="275" t="s">
        <v>12</v>
      </c>
      <c r="N5" s="275" t="s">
        <v>13</v>
      </c>
      <c r="O5" s="275" t="s">
        <v>14</v>
      </c>
      <c r="P5" s="275" t="s">
        <v>15</v>
      </c>
      <c r="Q5" s="275" t="s">
        <v>16</v>
      </c>
      <c r="R5" s="275" t="s">
        <v>17</v>
      </c>
      <c r="S5" s="275" t="s">
        <v>18</v>
      </c>
      <c r="T5" s="275" t="s">
        <v>19</v>
      </c>
      <c r="U5" s="275" t="s">
        <v>20</v>
      </c>
      <c r="V5" s="275" t="s">
        <v>21</v>
      </c>
      <c r="W5" s="275" t="s">
        <v>22</v>
      </c>
      <c r="X5" s="277" t="s">
        <v>23</v>
      </c>
      <c r="Y5" s="278"/>
      <c r="Z5" s="279" t="s">
        <v>24</v>
      </c>
      <c r="AA5" s="141"/>
      <c r="AB5" s="141" t="s">
        <v>25</v>
      </c>
      <c r="AC5" s="144"/>
      <c r="AD5" s="144"/>
      <c r="AE5" s="144"/>
      <c r="AF5" s="145" t="str">
        <f>+I5</f>
        <v>SEGURO DE VIDA (-)</v>
      </c>
      <c r="AG5" s="145" t="str">
        <f t="shared" ref="AG5:AG6" si="0">+J5</f>
        <v>Total Percepciones</v>
      </c>
      <c r="AH5" s="145" t="str">
        <f t="shared" ref="AH5:AH6" si="1">+K5</f>
        <v>Descuentos Cta 254</v>
      </c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6"/>
    </row>
    <row r="6" spans="1:45" s="18" customFormat="1">
      <c r="A6" s="282"/>
      <c r="B6" s="282"/>
      <c r="C6" s="283"/>
      <c r="D6" s="285"/>
      <c r="E6" s="283"/>
      <c r="F6" s="287"/>
      <c r="G6" s="276"/>
      <c r="H6" s="276"/>
      <c r="I6" s="276"/>
      <c r="J6" s="276"/>
      <c r="K6" s="276"/>
      <c r="L6" s="142" t="s">
        <v>28</v>
      </c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143" t="s">
        <v>29</v>
      </c>
      <c r="Y6" s="143" t="s">
        <v>30</v>
      </c>
      <c r="Z6" s="275"/>
      <c r="AA6" s="141" t="s">
        <v>31</v>
      </c>
      <c r="AB6" s="141"/>
      <c r="AC6" s="144"/>
      <c r="AD6" s="144"/>
      <c r="AE6" s="144"/>
      <c r="AF6" s="145">
        <f>+I6</f>
        <v>0</v>
      </c>
      <c r="AG6" s="145">
        <f t="shared" si="0"/>
        <v>0</v>
      </c>
      <c r="AH6" s="145">
        <f t="shared" si="1"/>
        <v>0</v>
      </c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6"/>
    </row>
    <row r="7" spans="1:45" s="36" customFormat="1">
      <c r="A7" s="20" t="s">
        <v>35</v>
      </c>
      <c r="B7" s="20" t="s">
        <v>280</v>
      </c>
      <c r="C7" s="22"/>
      <c r="D7" s="23">
        <v>40691</v>
      </c>
      <c r="E7" s="20" t="s">
        <v>49</v>
      </c>
      <c r="F7" s="90">
        <v>0</v>
      </c>
      <c r="G7" s="42"/>
      <c r="H7" s="25"/>
      <c r="I7" s="26">
        <v>45.13</v>
      </c>
      <c r="J7" s="30">
        <f t="shared" ref="J7:J42" si="2">SUM(F7:H7)-I7</f>
        <v>-45.13</v>
      </c>
      <c r="K7" s="37"/>
      <c r="L7" s="79"/>
      <c r="M7" s="27"/>
      <c r="N7" s="27"/>
      <c r="O7" s="27"/>
      <c r="P7" s="28"/>
      <c r="Q7" s="29"/>
      <c r="R7" s="30">
        <f>+J7-SUM(K7:Q7)</f>
        <v>-45.13</v>
      </c>
      <c r="S7" s="31"/>
      <c r="T7" s="30">
        <f>+R7-S7</f>
        <v>-45.13</v>
      </c>
      <c r="U7" s="32"/>
      <c r="V7" s="31"/>
      <c r="W7" s="30"/>
      <c r="X7" s="33"/>
      <c r="Y7" s="34"/>
      <c r="Z7" s="35"/>
      <c r="AA7" s="35"/>
      <c r="AB7" s="38"/>
      <c r="AC7" s="17" t="str">
        <f>IF(B7=AE7,"SI","NO")</f>
        <v>SI</v>
      </c>
      <c r="AD7" s="139" t="s">
        <v>174</v>
      </c>
      <c r="AE7" s="138" t="s">
        <v>175</v>
      </c>
      <c r="AF7" s="137">
        <f>+I7</f>
        <v>45.13</v>
      </c>
      <c r="AG7" s="137">
        <f>+P7</f>
        <v>0</v>
      </c>
      <c r="AH7" s="137">
        <f>+Q7</f>
        <v>0</v>
      </c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36" customFormat="1">
      <c r="A8" s="20" t="s">
        <v>32</v>
      </c>
      <c r="B8" s="20" t="s">
        <v>33</v>
      </c>
      <c r="C8" s="22"/>
      <c r="D8" s="43">
        <v>42409</v>
      </c>
      <c r="E8" s="20" t="s">
        <v>34</v>
      </c>
      <c r="F8" s="90">
        <v>1802</v>
      </c>
      <c r="G8" s="42"/>
      <c r="H8" s="25"/>
      <c r="I8" s="26">
        <v>45.13</v>
      </c>
      <c r="J8" s="30">
        <f t="shared" si="2"/>
        <v>1756.87</v>
      </c>
      <c r="K8" s="37"/>
      <c r="L8" s="79"/>
      <c r="M8" s="27"/>
      <c r="N8" s="27"/>
      <c r="O8" s="27"/>
      <c r="P8" s="28"/>
      <c r="Q8" s="29">
        <v>0</v>
      </c>
      <c r="R8" s="30">
        <f>+J8-SUM(K8:Q8)</f>
        <v>1756.87</v>
      </c>
      <c r="S8" s="31">
        <f>IF(J8&gt;4500,J8*0.1,0)</f>
        <v>0</v>
      </c>
      <c r="T8" s="30">
        <f>+R8-S8</f>
        <v>1756.87</v>
      </c>
      <c r="U8" s="32">
        <f>IF(J8&lt;4500,J8*0.1,0)</f>
        <v>175.68700000000001</v>
      </c>
      <c r="V8" s="31">
        <f>+'[1]C&amp;A'!D12*0.02</f>
        <v>21.911999999999999</v>
      </c>
      <c r="W8" s="30">
        <f>+J8+U8+V8</f>
        <v>1954.4689999999998</v>
      </c>
      <c r="X8" s="33"/>
      <c r="Y8" s="34"/>
      <c r="Z8" s="35">
        <f>+X8+Y8-T8</f>
        <v>-1756.87</v>
      </c>
      <c r="AA8" s="98"/>
      <c r="AB8" s="38"/>
      <c r="AC8" s="17" t="str">
        <f t="shared" ref="AC8:AC56" si="3">IF(B8=AE8,"SI","NO")</f>
        <v>SI</v>
      </c>
      <c r="AD8" s="139" t="s">
        <v>176</v>
      </c>
      <c r="AE8" s="138" t="s">
        <v>177</v>
      </c>
      <c r="AF8" s="137">
        <f t="shared" ref="AF8:AF56" si="4">+I8</f>
        <v>45.13</v>
      </c>
      <c r="AG8" s="137">
        <f t="shared" ref="AG8:AG56" si="5">+P8</f>
        <v>0</v>
      </c>
      <c r="AH8" s="137">
        <f t="shared" ref="AH8:AH56" si="6">+Q8</f>
        <v>0</v>
      </c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36" customFormat="1">
      <c r="A9" s="20" t="s">
        <v>35</v>
      </c>
      <c r="B9" s="20" t="s">
        <v>36</v>
      </c>
      <c r="C9" s="22" t="s">
        <v>37</v>
      </c>
      <c r="D9" s="23">
        <v>42072</v>
      </c>
      <c r="E9" s="20" t="s">
        <v>153</v>
      </c>
      <c r="F9" s="90">
        <v>3500</v>
      </c>
      <c r="G9" s="25"/>
      <c r="H9" s="25"/>
      <c r="I9" s="26">
        <v>45.13</v>
      </c>
      <c r="J9" s="30">
        <f t="shared" si="2"/>
        <v>3454.87</v>
      </c>
      <c r="K9" s="37"/>
      <c r="L9" s="80"/>
      <c r="M9" s="27"/>
      <c r="N9" s="27"/>
      <c r="O9" s="27"/>
      <c r="P9" s="28"/>
      <c r="Q9" s="29">
        <v>902.31</v>
      </c>
      <c r="R9" s="30">
        <f>+J9-SUM(K9:Q9)</f>
        <v>2552.56</v>
      </c>
      <c r="S9" s="31">
        <f>IF(J9&gt;4500,J9*0.1,0)</f>
        <v>0</v>
      </c>
      <c r="T9" s="30">
        <f>+R9-S9</f>
        <v>2552.56</v>
      </c>
      <c r="U9" s="32">
        <f>IF(J9&lt;4500,J9*0.1,0)</f>
        <v>345.48700000000002</v>
      </c>
      <c r="V9" s="31">
        <f>+'[1]C&amp;A'!D14*0.02</f>
        <v>21.911999999999999</v>
      </c>
      <c r="W9" s="30">
        <f>+J9+U9+V9</f>
        <v>3822.2689999999998</v>
      </c>
      <c r="X9" s="33"/>
      <c r="Y9" s="34"/>
      <c r="Z9" s="35">
        <f>+X9+Y9-T9</f>
        <v>-2552.56</v>
      </c>
      <c r="AA9" s="35"/>
      <c r="AB9" s="38"/>
      <c r="AC9" s="17" t="str">
        <f t="shared" si="3"/>
        <v>SI</v>
      </c>
      <c r="AD9" s="139" t="s">
        <v>178</v>
      </c>
      <c r="AE9" s="138" t="s">
        <v>179</v>
      </c>
      <c r="AF9" s="137">
        <f t="shared" si="4"/>
        <v>45.13</v>
      </c>
      <c r="AG9" s="137">
        <f t="shared" si="5"/>
        <v>0</v>
      </c>
      <c r="AH9" s="137">
        <f t="shared" si="6"/>
        <v>902.31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36" customFormat="1">
      <c r="A10" s="20" t="s">
        <v>71</v>
      </c>
      <c r="B10" s="20" t="s">
        <v>39</v>
      </c>
      <c r="C10" s="22" t="s">
        <v>40</v>
      </c>
      <c r="D10" s="23">
        <v>42298</v>
      </c>
      <c r="E10" s="20" t="s">
        <v>41</v>
      </c>
      <c r="F10" s="90">
        <v>7159.64</v>
      </c>
      <c r="G10" s="25"/>
      <c r="H10" s="25"/>
      <c r="I10" s="26">
        <v>45.13</v>
      </c>
      <c r="J10" s="30">
        <f t="shared" si="2"/>
        <v>7114.51</v>
      </c>
      <c r="K10" s="37"/>
      <c r="L10" s="79"/>
      <c r="M10" s="27"/>
      <c r="N10" s="27"/>
      <c r="O10" s="27"/>
      <c r="P10" s="28"/>
      <c r="Q10" s="29"/>
      <c r="R10" s="30">
        <f>+J10-SUM(K10:Q10)</f>
        <v>7114.51</v>
      </c>
      <c r="S10" s="31">
        <f>IF(J10&gt;4500,J10*0.1,0)</f>
        <v>711.45100000000002</v>
      </c>
      <c r="T10" s="30">
        <f>+R10-S10</f>
        <v>6403.0590000000002</v>
      </c>
      <c r="U10" s="32">
        <f>IF(J10&lt;4500,J10*0.1,0)</f>
        <v>0</v>
      </c>
      <c r="V10" s="31">
        <f>+'[1]C&amp;A'!D15*0.02</f>
        <v>21.911999999999999</v>
      </c>
      <c r="W10" s="30">
        <f>+J10+U10+V10</f>
        <v>7136.4220000000005</v>
      </c>
      <c r="X10" s="33"/>
      <c r="Y10" s="39"/>
      <c r="Z10" s="35">
        <f>+X10+Y10-T10</f>
        <v>-6403.0590000000002</v>
      </c>
      <c r="AA10" s="35"/>
      <c r="AB10" s="38"/>
      <c r="AC10" s="17" t="str">
        <f t="shared" si="3"/>
        <v>SI</v>
      </c>
      <c r="AD10" s="139" t="s">
        <v>180</v>
      </c>
      <c r="AE10" s="138" t="s">
        <v>181</v>
      </c>
      <c r="AF10" s="137">
        <f t="shared" si="4"/>
        <v>45.13</v>
      </c>
      <c r="AG10" s="137">
        <f t="shared" si="5"/>
        <v>0</v>
      </c>
      <c r="AH10" s="137">
        <f t="shared" si="6"/>
        <v>0</v>
      </c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36" customFormat="1">
      <c r="A11" s="20" t="s">
        <v>142</v>
      </c>
      <c r="B11" s="95" t="s">
        <v>143</v>
      </c>
      <c r="C11" s="22" t="s">
        <v>144</v>
      </c>
      <c r="D11" s="23">
        <v>41939</v>
      </c>
      <c r="E11" s="20" t="s">
        <v>145</v>
      </c>
      <c r="F11" s="90"/>
      <c r="G11" s="25"/>
      <c r="H11" s="25"/>
      <c r="I11" s="26">
        <v>45.13</v>
      </c>
      <c r="J11" s="30">
        <f t="shared" si="2"/>
        <v>-45.13</v>
      </c>
      <c r="K11" s="37"/>
      <c r="L11" s="79"/>
      <c r="M11" s="27"/>
      <c r="N11" s="27"/>
      <c r="O11" s="27"/>
      <c r="P11" s="28">
        <v>177.91</v>
      </c>
      <c r="Q11" s="29"/>
      <c r="R11" s="30">
        <f t="shared" ref="R11:R28" si="7">+J11-SUM(K11:Q11)</f>
        <v>-223.04</v>
      </c>
      <c r="S11" s="31"/>
      <c r="T11" s="30">
        <f t="shared" ref="T11:T27" si="8">+R11-S11</f>
        <v>-223.04</v>
      </c>
      <c r="U11" s="32"/>
      <c r="V11" s="31"/>
      <c r="W11" s="30"/>
      <c r="X11" s="33"/>
      <c r="Y11" s="39"/>
      <c r="Z11" s="35"/>
      <c r="AA11" s="35"/>
      <c r="AB11" s="38"/>
      <c r="AC11" s="17" t="str">
        <f t="shared" si="3"/>
        <v>SI</v>
      </c>
      <c r="AD11" s="139" t="s">
        <v>182</v>
      </c>
      <c r="AE11" s="138" t="s">
        <v>183</v>
      </c>
      <c r="AF11" s="137">
        <f t="shared" si="4"/>
        <v>45.13</v>
      </c>
      <c r="AG11" s="137">
        <f t="shared" si="5"/>
        <v>177.91</v>
      </c>
      <c r="AH11" s="137">
        <f t="shared" si="6"/>
        <v>0</v>
      </c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36" customFormat="1">
      <c r="A12" s="20" t="s">
        <v>35</v>
      </c>
      <c r="B12" s="20" t="s">
        <v>43</v>
      </c>
      <c r="C12" s="22" t="s">
        <v>44</v>
      </c>
      <c r="D12" s="23">
        <v>41822</v>
      </c>
      <c r="E12" s="20" t="s">
        <v>45</v>
      </c>
      <c r="F12" s="90"/>
      <c r="G12" s="25"/>
      <c r="H12" s="25"/>
      <c r="I12" s="26">
        <v>45.13</v>
      </c>
      <c r="J12" s="30">
        <f t="shared" si="2"/>
        <v>-45.13</v>
      </c>
      <c r="K12" s="37"/>
      <c r="L12" s="79"/>
      <c r="M12" s="27"/>
      <c r="N12" s="27"/>
      <c r="O12" s="27"/>
      <c r="P12" s="28"/>
      <c r="Q12" s="29">
        <v>0</v>
      </c>
      <c r="R12" s="30">
        <f t="shared" si="7"/>
        <v>-45.13</v>
      </c>
      <c r="S12" s="31">
        <f>IF(J12&gt;4500,J12*0.1,0)</f>
        <v>0</v>
      </c>
      <c r="T12" s="30">
        <f t="shared" si="8"/>
        <v>-45.13</v>
      </c>
      <c r="U12" s="32">
        <f>IF(J12&lt;4500,J12*0.1,0)</f>
        <v>-4.5130000000000008</v>
      </c>
      <c r="V12" s="31">
        <f>+'[1]C&amp;A'!D17*0.02</f>
        <v>21.911999999999999</v>
      </c>
      <c r="W12" s="30">
        <f>+J12+U12+V12</f>
        <v>-27.731000000000002</v>
      </c>
      <c r="X12" s="33"/>
      <c r="Y12" s="34"/>
      <c r="Z12" s="35">
        <f>+X12+Y12-T12</f>
        <v>45.13</v>
      </c>
      <c r="AA12" s="35"/>
      <c r="AB12" s="38"/>
      <c r="AC12" s="17" t="str">
        <f t="shared" si="3"/>
        <v>SI</v>
      </c>
      <c r="AD12" s="139" t="s">
        <v>184</v>
      </c>
      <c r="AE12" s="138" t="s">
        <v>185</v>
      </c>
      <c r="AF12" s="137">
        <f t="shared" si="4"/>
        <v>45.13</v>
      </c>
      <c r="AG12" s="137">
        <f t="shared" si="5"/>
        <v>0</v>
      </c>
      <c r="AH12" s="137">
        <f t="shared" si="6"/>
        <v>0</v>
      </c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36" customFormat="1">
      <c r="A13" s="125"/>
      <c r="B13" s="125" t="s">
        <v>168</v>
      </c>
      <c r="C13" s="126"/>
      <c r="D13" s="127">
        <v>42611</v>
      </c>
      <c r="E13" s="125" t="s">
        <v>172</v>
      </c>
      <c r="F13" s="128"/>
      <c r="G13" s="129"/>
      <c r="H13" s="129"/>
      <c r="I13" s="26"/>
      <c r="J13" s="30">
        <f t="shared" si="2"/>
        <v>0</v>
      </c>
      <c r="K13" s="129"/>
      <c r="L13" s="130"/>
      <c r="M13" s="131"/>
      <c r="N13" s="131"/>
      <c r="O13" s="131"/>
      <c r="P13" s="132"/>
      <c r="Q13" s="133"/>
      <c r="R13" s="30">
        <f t="shared" si="7"/>
        <v>0</v>
      </c>
      <c r="S13" s="31">
        <f>IF(J13&gt;4500,J13*0.1,0)</f>
        <v>0</v>
      </c>
      <c r="T13" s="30">
        <f t="shared" ref="T13" si="9">+R13-S13</f>
        <v>0</v>
      </c>
      <c r="U13" s="32"/>
      <c r="V13" s="31"/>
      <c r="W13" s="30"/>
      <c r="X13" s="33"/>
      <c r="Y13" s="34"/>
      <c r="Z13" s="35"/>
      <c r="AA13" s="135" t="s">
        <v>170</v>
      </c>
      <c r="AB13" s="134" t="s">
        <v>169</v>
      </c>
      <c r="AC13" s="17" t="str">
        <f t="shared" si="3"/>
        <v>SI</v>
      </c>
      <c r="AD13" s="139" t="s">
        <v>186</v>
      </c>
      <c r="AE13" s="138" t="s">
        <v>187</v>
      </c>
      <c r="AF13" s="137">
        <f t="shared" si="4"/>
        <v>0</v>
      </c>
      <c r="AG13" s="137">
        <f t="shared" si="5"/>
        <v>0</v>
      </c>
      <c r="AH13" s="137">
        <f t="shared" si="6"/>
        <v>0</v>
      </c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s="87" customFormat="1">
      <c r="A14" s="20" t="s">
        <v>35</v>
      </c>
      <c r="B14" s="38" t="s">
        <v>46</v>
      </c>
      <c r="C14" s="22" t="s">
        <v>47</v>
      </c>
      <c r="D14" s="23">
        <v>41474</v>
      </c>
      <c r="E14" s="20" t="s">
        <v>45</v>
      </c>
      <c r="F14" s="90"/>
      <c r="G14" s="25"/>
      <c r="H14" s="25"/>
      <c r="I14" s="26">
        <v>45.13</v>
      </c>
      <c r="J14" s="30">
        <f t="shared" si="2"/>
        <v>-45.13</v>
      </c>
      <c r="K14" s="37"/>
      <c r="L14" s="79"/>
      <c r="M14" s="27"/>
      <c r="N14" s="27"/>
      <c r="O14" s="27"/>
      <c r="P14" s="28"/>
      <c r="Q14" s="29">
        <v>0</v>
      </c>
      <c r="R14" s="30">
        <f t="shared" si="7"/>
        <v>-45.13</v>
      </c>
      <c r="S14" s="31">
        <f>IF(J14&gt;4500,J14*0.1,0)</f>
        <v>0</v>
      </c>
      <c r="T14" s="30">
        <f t="shared" si="8"/>
        <v>-45.13</v>
      </c>
      <c r="U14" s="32">
        <f>IF(J14&lt;4500,J14*0.1,0)</f>
        <v>-4.5130000000000008</v>
      </c>
      <c r="V14" s="31">
        <f>+'[1]C&amp;A'!D18*0.02</f>
        <v>21.911999999999999</v>
      </c>
      <c r="W14" s="30">
        <f>+J14+U14+V14</f>
        <v>-27.731000000000002</v>
      </c>
      <c r="X14" s="33"/>
      <c r="Y14" s="34"/>
      <c r="Z14" s="35">
        <f>+X14+Y14-T14</f>
        <v>45.13</v>
      </c>
      <c r="AA14" s="35"/>
      <c r="AB14" s="40"/>
      <c r="AC14" s="17" t="str">
        <f t="shared" si="3"/>
        <v>SI</v>
      </c>
      <c r="AD14" s="139" t="s">
        <v>188</v>
      </c>
      <c r="AE14" s="138" t="s">
        <v>189</v>
      </c>
      <c r="AF14" s="137">
        <f t="shared" si="4"/>
        <v>45.13</v>
      </c>
      <c r="AG14" s="137">
        <f t="shared" si="5"/>
        <v>0</v>
      </c>
      <c r="AH14" s="137">
        <f t="shared" si="6"/>
        <v>0</v>
      </c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</row>
    <row r="15" spans="1:45" s="87" customFormat="1">
      <c r="A15" s="20" t="s">
        <v>35</v>
      </c>
      <c r="B15" s="38" t="s">
        <v>139</v>
      </c>
      <c r="C15" s="22"/>
      <c r="D15" s="23">
        <v>42583</v>
      </c>
      <c r="E15" s="20" t="s">
        <v>99</v>
      </c>
      <c r="F15" s="90">
        <v>27754.3</v>
      </c>
      <c r="G15" s="25"/>
      <c r="H15" s="25"/>
      <c r="I15" s="26">
        <v>45.13</v>
      </c>
      <c r="J15" s="30">
        <f t="shared" si="2"/>
        <v>27709.17</v>
      </c>
      <c r="K15" s="37"/>
      <c r="L15" s="79"/>
      <c r="M15" s="27"/>
      <c r="N15" s="27"/>
      <c r="O15" s="27"/>
      <c r="P15" s="28"/>
      <c r="Q15" s="29"/>
      <c r="R15" s="30">
        <f t="shared" si="7"/>
        <v>27709.17</v>
      </c>
      <c r="S15" s="31"/>
      <c r="T15" s="30">
        <f t="shared" si="8"/>
        <v>27709.17</v>
      </c>
      <c r="U15" s="32"/>
      <c r="V15" s="31"/>
      <c r="W15" s="30"/>
      <c r="X15" s="33"/>
      <c r="Y15" s="34"/>
      <c r="Z15" s="35"/>
      <c r="AA15" s="35"/>
      <c r="AB15" s="40"/>
      <c r="AC15" s="17" t="str">
        <f t="shared" si="3"/>
        <v>SI</v>
      </c>
      <c r="AD15" s="139" t="s">
        <v>190</v>
      </c>
      <c r="AE15" s="138" t="s">
        <v>191</v>
      </c>
      <c r="AF15" s="137">
        <f t="shared" si="4"/>
        <v>45.13</v>
      </c>
      <c r="AG15" s="137">
        <f t="shared" si="5"/>
        <v>0</v>
      </c>
      <c r="AH15" s="137">
        <f t="shared" si="6"/>
        <v>0</v>
      </c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</row>
    <row r="16" spans="1:45" s="87" customFormat="1">
      <c r="A16" s="20" t="s">
        <v>35</v>
      </c>
      <c r="B16" s="38" t="s">
        <v>156</v>
      </c>
      <c r="C16" s="22"/>
      <c r="D16" s="23">
        <v>42608</v>
      </c>
      <c r="E16" s="20" t="s">
        <v>49</v>
      </c>
      <c r="F16" s="90"/>
      <c r="G16" s="25"/>
      <c r="H16" s="25"/>
      <c r="I16" s="26">
        <v>45.13</v>
      </c>
      <c r="J16" s="30">
        <f t="shared" si="2"/>
        <v>-45.13</v>
      </c>
      <c r="K16" s="37"/>
      <c r="L16" s="79"/>
      <c r="M16" s="27"/>
      <c r="N16" s="27"/>
      <c r="O16" s="27"/>
      <c r="P16" s="28"/>
      <c r="Q16" s="29"/>
      <c r="R16" s="30">
        <f t="shared" si="7"/>
        <v>-45.13</v>
      </c>
      <c r="S16" s="31"/>
      <c r="T16" s="30">
        <f t="shared" si="8"/>
        <v>-45.13</v>
      </c>
      <c r="U16" s="32"/>
      <c r="V16" s="31"/>
      <c r="W16" s="30"/>
      <c r="X16" s="33"/>
      <c r="Y16" s="34"/>
      <c r="Z16" s="35"/>
      <c r="AA16" s="35"/>
      <c r="AB16" s="40"/>
      <c r="AC16" s="17" t="str">
        <f t="shared" si="3"/>
        <v>SI</v>
      </c>
      <c r="AD16" s="139" t="s">
        <v>192</v>
      </c>
      <c r="AE16" s="138" t="s">
        <v>193</v>
      </c>
      <c r="AF16" s="137">
        <f t="shared" si="4"/>
        <v>45.13</v>
      </c>
      <c r="AG16" s="137">
        <f t="shared" si="5"/>
        <v>0</v>
      </c>
      <c r="AH16" s="137">
        <f t="shared" si="6"/>
        <v>0</v>
      </c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</row>
    <row r="17" spans="1:45" s="36" customFormat="1">
      <c r="A17" s="20" t="s">
        <v>35</v>
      </c>
      <c r="B17" s="38" t="s">
        <v>48</v>
      </c>
      <c r="C17" s="22"/>
      <c r="D17" s="23">
        <v>42552</v>
      </c>
      <c r="E17" s="20" t="s">
        <v>49</v>
      </c>
      <c r="F17" s="90"/>
      <c r="G17" s="25"/>
      <c r="H17" s="25"/>
      <c r="I17" s="26">
        <v>45.13</v>
      </c>
      <c r="J17" s="30">
        <f t="shared" si="2"/>
        <v>-45.13</v>
      </c>
      <c r="K17" s="37"/>
      <c r="L17" s="79"/>
      <c r="M17" s="27"/>
      <c r="N17" s="27"/>
      <c r="O17" s="27"/>
      <c r="P17" s="28"/>
      <c r="Q17" s="29">
        <v>0</v>
      </c>
      <c r="R17" s="30">
        <f t="shared" si="7"/>
        <v>-45.13</v>
      </c>
      <c r="S17" s="31">
        <f t="shared" ref="S17:S37" si="10">IF(J17&gt;4500,J17*0.1,0)</f>
        <v>0</v>
      </c>
      <c r="T17" s="30">
        <f t="shared" si="8"/>
        <v>-45.13</v>
      </c>
      <c r="U17" s="32">
        <f t="shared" ref="U17:U37" si="11">IF(J17&lt;4500,J17*0.1,0)</f>
        <v>-4.5130000000000008</v>
      </c>
      <c r="V17" s="31">
        <f>+'[1]C&amp;A'!D19*0.02</f>
        <v>21.911999999999999</v>
      </c>
      <c r="W17" s="30">
        <f>+J17+U17+V17</f>
        <v>-27.731000000000002</v>
      </c>
      <c r="X17" s="33"/>
      <c r="Y17" s="34"/>
      <c r="Z17" s="35"/>
      <c r="AA17" s="35"/>
      <c r="AB17" s="40"/>
      <c r="AC17" s="17" t="str">
        <f t="shared" si="3"/>
        <v>SI</v>
      </c>
      <c r="AD17" s="139" t="s">
        <v>194</v>
      </c>
      <c r="AE17" s="138" t="s">
        <v>195</v>
      </c>
      <c r="AF17" s="137">
        <f t="shared" si="4"/>
        <v>45.13</v>
      </c>
      <c r="AG17" s="137">
        <f t="shared" si="5"/>
        <v>0</v>
      </c>
      <c r="AH17" s="137">
        <f t="shared" si="6"/>
        <v>0</v>
      </c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</row>
    <row r="18" spans="1:45" s="36" customFormat="1">
      <c r="A18" s="20" t="s">
        <v>35</v>
      </c>
      <c r="B18" s="38" t="s">
        <v>141</v>
      </c>
      <c r="C18" s="22"/>
      <c r="D18" s="23">
        <v>38873</v>
      </c>
      <c r="E18" s="97" t="s">
        <v>160</v>
      </c>
      <c r="F18" s="90">
        <v>74253.52</v>
      </c>
      <c r="G18" s="25"/>
      <c r="H18" s="25"/>
      <c r="I18" s="26">
        <v>45.13</v>
      </c>
      <c r="J18" s="30">
        <f t="shared" si="2"/>
        <v>74208.39</v>
      </c>
      <c r="K18" s="37"/>
      <c r="L18" s="79"/>
      <c r="M18" s="27"/>
      <c r="N18" s="27"/>
      <c r="O18" s="27"/>
      <c r="P18" s="28"/>
      <c r="Q18" s="29"/>
      <c r="R18" s="30">
        <f t="shared" si="7"/>
        <v>74208.39</v>
      </c>
      <c r="S18" s="31">
        <f t="shared" si="10"/>
        <v>7420.8389999999999</v>
      </c>
      <c r="T18" s="30">
        <f t="shared" si="8"/>
        <v>66787.551000000007</v>
      </c>
      <c r="U18" s="32">
        <f t="shared" si="11"/>
        <v>0</v>
      </c>
      <c r="V18" s="31"/>
      <c r="W18" s="30"/>
      <c r="X18" s="33"/>
      <c r="Y18" s="34"/>
      <c r="Z18" s="35"/>
      <c r="AA18" s="35"/>
      <c r="AB18" s="40"/>
      <c r="AC18" s="17" t="str">
        <f t="shared" si="3"/>
        <v>SI</v>
      </c>
      <c r="AD18" s="139" t="s">
        <v>196</v>
      </c>
      <c r="AE18" s="138" t="s">
        <v>197</v>
      </c>
      <c r="AF18" s="137">
        <f t="shared" si="4"/>
        <v>45.13</v>
      </c>
      <c r="AG18" s="137">
        <f t="shared" si="5"/>
        <v>0</v>
      </c>
      <c r="AH18" s="137">
        <f t="shared" si="6"/>
        <v>0</v>
      </c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36" customFormat="1">
      <c r="A19" s="20" t="s">
        <v>35</v>
      </c>
      <c r="B19" s="95" t="s">
        <v>161</v>
      </c>
      <c r="C19" s="22"/>
      <c r="D19" s="23"/>
      <c r="E19" s="97" t="s">
        <v>162</v>
      </c>
      <c r="F19" s="90"/>
      <c r="G19" s="25"/>
      <c r="H19" s="25"/>
      <c r="I19" s="26">
        <v>45.13</v>
      </c>
      <c r="J19" s="30">
        <f t="shared" si="2"/>
        <v>-45.13</v>
      </c>
      <c r="K19" s="37"/>
      <c r="L19" s="79"/>
      <c r="M19" s="27"/>
      <c r="N19" s="27"/>
      <c r="O19" s="27"/>
      <c r="P19" s="28"/>
      <c r="Q19" s="29"/>
      <c r="R19" s="30">
        <f t="shared" si="7"/>
        <v>-45.13</v>
      </c>
      <c r="S19" s="31"/>
      <c r="T19" s="30">
        <f t="shared" si="8"/>
        <v>-45.13</v>
      </c>
      <c r="U19" s="32"/>
      <c r="V19" s="31"/>
      <c r="W19" s="30"/>
      <c r="X19" s="33"/>
      <c r="Y19" s="34"/>
      <c r="Z19" s="35"/>
      <c r="AA19" s="35"/>
      <c r="AB19" s="40"/>
      <c r="AC19" s="17" t="str">
        <f t="shared" si="3"/>
        <v>SI</v>
      </c>
      <c r="AD19" s="139" t="s">
        <v>198</v>
      </c>
      <c r="AE19" s="138" t="s">
        <v>199</v>
      </c>
      <c r="AF19" s="137">
        <f t="shared" si="4"/>
        <v>45.13</v>
      </c>
      <c r="AG19" s="137">
        <f t="shared" si="5"/>
        <v>0</v>
      </c>
      <c r="AH19" s="137">
        <f t="shared" si="6"/>
        <v>0</v>
      </c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36" customFormat="1">
      <c r="A20" s="20" t="s">
        <v>35</v>
      </c>
      <c r="B20" s="38" t="s">
        <v>50</v>
      </c>
      <c r="C20" s="22" t="s">
        <v>51</v>
      </c>
      <c r="D20" s="23">
        <v>42298</v>
      </c>
      <c r="E20" s="20" t="s">
        <v>52</v>
      </c>
      <c r="F20" s="90">
        <v>11287.9</v>
      </c>
      <c r="G20" s="42"/>
      <c r="H20" s="25"/>
      <c r="I20" s="26">
        <v>45.13</v>
      </c>
      <c r="J20" s="30">
        <f t="shared" si="2"/>
        <v>11242.77</v>
      </c>
      <c r="K20" s="37"/>
      <c r="L20" s="79"/>
      <c r="M20" s="27"/>
      <c r="N20" s="27"/>
      <c r="O20" s="27"/>
      <c r="P20" s="28"/>
      <c r="Q20" s="29">
        <v>0</v>
      </c>
      <c r="R20" s="30">
        <f t="shared" si="7"/>
        <v>11242.77</v>
      </c>
      <c r="S20" s="31">
        <f t="shared" si="10"/>
        <v>1124.277</v>
      </c>
      <c r="T20" s="30">
        <f t="shared" si="8"/>
        <v>10118.493</v>
      </c>
      <c r="U20" s="32">
        <f t="shared" si="11"/>
        <v>0</v>
      </c>
      <c r="V20" s="31">
        <f>+'[1]C&amp;A'!D22*0.02</f>
        <v>21.911999999999999</v>
      </c>
      <c r="W20" s="30">
        <f t="shared" ref="W20:W37" si="12">+J20+U20+V20</f>
        <v>11264.682000000001</v>
      </c>
      <c r="X20" s="33"/>
      <c r="Y20" s="39"/>
      <c r="Z20" s="35">
        <f t="shared" ref="Z20:Z26" si="13">+X20+Y20-T20</f>
        <v>-10118.493</v>
      </c>
      <c r="AA20" s="35"/>
      <c r="AB20" s="38"/>
      <c r="AC20" s="17" t="str">
        <f t="shared" si="3"/>
        <v>SI</v>
      </c>
      <c r="AD20" s="139" t="s">
        <v>200</v>
      </c>
      <c r="AE20" s="138" t="s">
        <v>201</v>
      </c>
      <c r="AF20" s="137">
        <f t="shared" si="4"/>
        <v>45.13</v>
      </c>
      <c r="AG20" s="137">
        <f t="shared" si="5"/>
        <v>0</v>
      </c>
      <c r="AH20" s="137">
        <f t="shared" si="6"/>
        <v>0</v>
      </c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s="36" customFormat="1">
      <c r="A21" s="21" t="s">
        <v>42</v>
      </c>
      <c r="B21" s="21" t="s">
        <v>53</v>
      </c>
      <c r="C21" s="118"/>
      <c r="D21" s="119">
        <v>42429</v>
      </c>
      <c r="E21" s="21" t="s">
        <v>54</v>
      </c>
      <c r="F21" s="120">
        <v>1800</v>
      </c>
      <c r="G21" s="148"/>
      <c r="H21" s="121"/>
      <c r="I21" s="149">
        <v>45.13</v>
      </c>
      <c r="J21" s="150">
        <f t="shared" si="2"/>
        <v>1754.87</v>
      </c>
      <c r="K21" s="121"/>
      <c r="L21" s="122"/>
      <c r="M21" s="123"/>
      <c r="N21" s="123"/>
      <c r="O21" s="123"/>
      <c r="P21" s="151"/>
      <c r="Q21" s="124"/>
      <c r="R21" s="150">
        <f t="shared" si="7"/>
        <v>1754.87</v>
      </c>
      <c r="S21" s="123">
        <f t="shared" si="10"/>
        <v>0</v>
      </c>
      <c r="T21" s="150">
        <f t="shared" si="8"/>
        <v>1754.87</v>
      </c>
      <c r="U21" s="123">
        <f t="shared" si="11"/>
        <v>175.48699999999999</v>
      </c>
      <c r="V21" s="123">
        <f>+'[1]C&amp;A'!D23*0.02</f>
        <v>21.911999999999999</v>
      </c>
      <c r="W21" s="150">
        <f t="shared" si="12"/>
        <v>1952.269</v>
      </c>
      <c r="X21" s="152"/>
      <c r="Y21" s="153"/>
      <c r="Z21" s="154">
        <f t="shared" si="13"/>
        <v>-1754.87</v>
      </c>
      <c r="AA21" s="154"/>
      <c r="AB21" s="21"/>
      <c r="AC21" s="155" t="str">
        <f t="shared" si="3"/>
        <v>SI</v>
      </c>
      <c r="AD21" s="156" t="s">
        <v>202</v>
      </c>
      <c r="AE21" s="157" t="s">
        <v>203</v>
      </c>
      <c r="AF21" s="158">
        <f t="shared" si="4"/>
        <v>45.13</v>
      </c>
      <c r="AG21" s="158">
        <f t="shared" si="5"/>
        <v>0</v>
      </c>
      <c r="AH21" s="158">
        <f t="shared" si="6"/>
        <v>0</v>
      </c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</row>
    <row r="22" spans="1:45" s="36" customFormat="1">
      <c r="A22" s="21" t="s">
        <v>42</v>
      </c>
      <c r="B22" s="21" t="s">
        <v>157</v>
      </c>
      <c r="C22" s="118"/>
      <c r="D22" s="119">
        <v>42599</v>
      </c>
      <c r="E22" s="21" t="s">
        <v>54</v>
      </c>
      <c r="F22" s="120">
        <v>1800</v>
      </c>
      <c r="G22" s="148"/>
      <c r="H22" s="121"/>
      <c r="I22" s="149">
        <v>45.13</v>
      </c>
      <c r="J22" s="150">
        <f t="shared" si="2"/>
        <v>1754.87</v>
      </c>
      <c r="K22" s="121"/>
      <c r="L22" s="122"/>
      <c r="M22" s="123"/>
      <c r="N22" s="123"/>
      <c r="O22" s="123"/>
      <c r="P22" s="151"/>
      <c r="Q22" s="124"/>
      <c r="R22" s="150">
        <f t="shared" si="7"/>
        <v>1754.87</v>
      </c>
      <c r="S22" s="123">
        <f t="shared" ref="S22" si="14">IF(J22&gt;4500,J22*0.1,0)</f>
        <v>0</v>
      </c>
      <c r="T22" s="150">
        <f t="shared" si="8"/>
        <v>1754.87</v>
      </c>
      <c r="U22" s="123">
        <f t="shared" ref="U22" si="15">IF(J22&lt;4500,J22*0.1,0)</f>
        <v>175.48699999999999</v>
      </c>
      <c r="V22" s="123">
        <f>+'[1]C&amp;A'!D24*0.02</f>
        <v>21.911999999999999</v>
      </c>
      <c r="W22" s="150">
        <f t="shared" ref="W22" si="16">+J22+U22+V22</f>
        <v>1952.269</v>
      </c>
      <c r="X22" s="152"/>
      <c r="Y22" s="153"/>
      <c r="Z22" s="154"/>
      <c r="AA22" s="154"/>
      <c r="AB22" s="21"/>
      <c r="AC22" s="155" t="str">
        <f t="shared" si="3"/>
        <v>SI</v>
      </c>
      <c r="AD22" s="156" t="s">
        <v>204</v>
      </c>
      <c r="AE22" s="157" t="s">
        <v>205</v>
      </c>
      <c r="AF22" s="158">
        <f t="shared" si="4"/>
        <v>45.13</v>
      </c>
      <c r="AG22" s="158">
        <f t="shared" si="5"/>
        <v>0</v>
      </c>
      <c r="AH22" s="158">
        <f t="shared" si="6"/>
        <v>0</v>
      </c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</row>
    <row r="23" spans="1:45" s="36" customFormat="1">
      <c r="A23" s="20" t="s">
        <v>55</v>
      </c>
      <c r="B23" s="20" t="s">
        <v>56</v>
      </c>
      <c r="C23" s="22"/>
      <c r="D23" s="23">
        <v>42038</v>
      </c>
      <c r="E23" s="20" t="s">
        <v>57</v>
      </c>
      <c r="F23" s="90">
        <v>28600</v>
      </c>
      <c r="G23" s="42"/>
      <c r="H23" s="25"/>
      <c r="I23" s="26">
        <v>45.13</v>
      </c>
      <c r="J23" s="30">
        <f t="shared" si="2"/>
        <v>28554.87</v>
      </c>
      <c r="K23" s="37"/>
      <c r="L23" s="79"/>
      <c r="M23" s="27"/>
      <c r="N23" s="27"/>
      <c r="O23" s="27"/>
      <c r="P23" s="28"/>
      <c r="Q23" s="29">
        <f>115.26*2</f>
        <v>230.52</v>
      </c>
      <c r="R23" s="30">
        <f t="shared" si="7"/>
        <v>28324.35</v>
      </c>
      <c r="S23" s="31">
        <f t="shared" si="10"/>
        <v>2855.4870000000001</v>
      </c>
      <c r="T23" s="30">
        <f t="shared" si="8"/>
        <v>25468.862999999998</v>
      </c>
      <c r="U23" s="32">
        <f t="shared" si="11"/>
        <v>0</v>
      </c>
      <c r="V23" s="31">
        <f>+'[1]C&amp;A'!D24*0.02</f>
        <v>21.911999999999999</v>
      </c>
      <c r="W23" s="30">
        <f t="shared" si="12"/>
        <v>28576.781999999999</v>
      </c>
      <c r="X23" s="33"/>
      <c r="Y23" s="39"/>
      <c r="Z23" s="35">
        <f t="shared" si="13"/>
        <v>-25468.862999999998</v>
      </c>
      <c r="AA23" s="35"/>
      <c r="AB23" s="38"/>
      <c r="AC23" s="17" t="str">
        <f t="shared" si="3"/>
        <v>SI</v>
      </c>
      <c r="AD23" s="139" t="s">
        <v>206</v>
      </c>
      <c r="AE23" s="138" t="s">
        <v>207</v>
      </c>
      <c r="AF23" s="137">
        <f t="shared" si="4"/>
        <v>45.13</v>
      </c>
      <c r="AG23" s="137">
        <f t="shared" si="5"/>
        <v>0</v>
      </c>
      <c r="AH23" s="137">
        <f t="shared" si="6"/>
        <v>230.52</v>
      </c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36" customFormat="1">
      <c r="A24" s="20" t="s">
        <v>55</v>
      </c>
      <c r="B24" s="20" t="s">
        <v>281</v>
      </c>
      <c r="C24" s="20" t="s">
        <v>58</v>
      </c>
      <c r="D24" s="23">
        <v>41582</v>
      </c>
      <c r="E24" s="20" t="s">
        <v>59</v>
      </c>
      <c r="F24" s="90">
        <v>165713.09</v>
      </c>
      <c r="G24" s="25"/>
      <c r="H24" s="25"/>
      <c r="I24" s="26">
        <v>45.13</v>
      </c>
      <c r="J24" s="30">
        <f t="shared" si="2"/>
        <v>165667.96</v>
      </c>
      <c r="K24" s="37"/>
      <c r="L24" s="79"/>
      <c r="M24" s="27"/>
      <c r="N24" s="27"/>
      <c r="O24" s="27"/>
      <c r="P24" s="28"/>
      <c r="Q24" s="29">
        <v>0</v>
      </c>
      <c r="R24" s="30">
        <f t="shared" si="7"/>
        <v>165667.96</v>
      </c>
      <c r="S24" s="31">
        <f t="shared" si="10"/>
        <v>16566.795999999998</v>
      </c>
      <c r="T24" s="30">
        <f t="shared" si="8"/>
        <v>149101.16399999999</v>
      </c>
      <c r="U24" s="32">
        <f t="shared" si="11"/>
        <v>0</v>
      </c>
      <c r="V24" s="31">
        <f>+'[1]C&amp;A'!D25*0.02</f>
        <v>21.911999999999999</v>
      </c>
      <c r="W24" s="30">
        <f t="shared" si="12"/>
        <v>165689.872</v>
      </c>
      <c r="X24" s="33"/>
      <c r="Y24" s="39"/>
      <c r="Z24" s="35">
        <f t="shared" si="13"/>
        <v>-149101.16399999999</v>
      </c>
      <c r="AA24" s="35"/>
      <c r="AB24" s="38"/>
      <c r="AC24" s="17" t="str">
        <f t="shared" si="3"/>
        <v>SI</v>
      </c>
      <c r="AD24" s="139" t="s">
        <v>208</v>
      </c>
      <c r="AE24" s="138" t="s">
        <v>209</v>
      </c>
      <c r="AF24" s="137">
        <f t="shared" si="4"/>
        <v>45.13</v>
      </c>
      <c r="AG24" s="137">
        <f t="shared" si="5"/>
        <v>0</v>
      </c>
      <c r="AH24" s="137">
        <f t="shared" si="6"/>
        <v>0</v>
      </c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36" customFormat="1">
      <c r="A25" s="21" t="s">
        <v>42</v>
      </c>
      <c r="B25" s="21" t="s">
        <v>60</v>
      </c>
      <c r="C25" s="118" t="s">
        <v>61</v>
      </c>
      <c r="D25" s="119">
        <v>42337</v>
      </c>
      <c r="E25" s="21" t="s">
        <v>62</v>
      </c>
      <c r="F25" s="120">
        <v>1162.5</v>
      </c>
      <c r="G25" s="121"/>
      <c r="H25" s="121"/>
      <c r="I25" s="149">
        <v>45.13</v>
      </c>
      <c r="J25" s="150">
        <f t="shared" si="2"/>
        <v>1117.3699999999999</v>
      </c>
      <c r="K25" s="121"/>
      <c r="L25" s="159"/>
      <c r="M25" s="123"/>
      <c r="N25" s="123"/>
      <c r="O25" s="123"/>
      <c r="P25" s="151"/>
      <c r="Q25" s="124">
        <v>0</v>
      </c>
      <c r="R25" s="150">
        <f t="shared" si="7"/>
        <v>1117.3699999999999</v>
      </c>
      <c r="S25" s="123">
        <f t="shared" si="10"/>
        <v>0</v>
      </c>
      <c r="T25" s="150">
        <f t="shared" si="8"/>
        <v>1117.3699999999999</v>
      </c>
      <c r="U25" s="123">
        <f t="shared" si="11"/>
        <v>111.73699999999999</v>
      </c>
      <c r="V25" s="123">
        <f>+'[1]C&amp;A'!D26*0.02</f>
        <v>21.911999999999999</v>
      </c>
      <c r="W25" s="150">
        <f t="shared" si="12"/>
        <v>1251.019</v>
      </c>
      <c r="X25" s="152"/>
      <c r="Y25" s="160"/>
      <c r="Z25" s="154">
        <f t="shared" si="13"/>
        <v>-1117.3699999999999</v>
      </c>
      <c r="AA25" s="154"/>
      <c r="AB25" s="161"/>
      <c r="AC25" s="155" t="str">
        <f t="shared" si="3"/>
        <v>SI</v>
      </c>
      <c r="AD25" s="156" t="s">
        <v>210</v>
      </c>
      <c r="AE25" s="157" t="s">
        <v>211</v>
      </c>
      <c r="AF25" s="158">
        <f t="shared" si="4"/>
        <v>45.13</v>
      </c>
      <c r="AG25" s="158">
        <f t="shared" si="5"/>
        <v>0</v>
      </c>
      <c r="AH25" s="158">
        <f t="shared" si="6"/>
        <v>0</v>
      </c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</row>
    <row r="26" spans="1:45" s="36" customFormat="1">
      <c r="A26" s="20" t="s">
        <v>55</v>
      </c>
      <c r="B26" s="38" t="s">
        <v>63</v>
      </c>
      <c r="C26" s="22" t="s">
        <v>64</v>
      </c>
      <c r="D26" s="23">
        <v>42380</v>
      </c>
      <c r="E26" s="20" t="s">
        <v>65</v>
      </c>
      <c r="F26" s="90">
        <v>4664</v>
      </c>
      <c r="G26" s="25"/>
      <c r="H26" s="25"/>
      <c r="I26" s="26">
        <v>45.13</v>
      </c>
      <c r="J26" s="30">
        <f t="shared" si="2"/>
        <v>4618.87</v>
      </c>
      <c r="K26" s="37"/>
      <c r="L26" s="79"/>
      <c r="M26" s="27"/>
      <c r="N26" s="27"/>
      <c r="O26" s="27"/>
      <c r="P26" s="28"/>
      <c r="Q26" s="29">
        <v>0</v>
      </c>
      <c r="R26" s="30">
        <f t="shared" si="7"/>
        <v>4618.87</v>
      </c>
      <c r="S26" s="31">
        <f t="shared" si="10"/>
        <v>461.887</v>
      </c>
      <c r="T26" s="30">
        <f t="shared" si="8"/>
        <v>4156.9830000000002</v>
      </c>
      <c r="U26" s="32">
        <f t="shared" si="11"/>
        <v>0</v>
      </c>
      <c r="V26" s="31">
        <f>+'[1]C&amp;A'!D27*0.02</f>
        <v>21.911999999999999</v>
      </c>
      <c r="W26" s="30">
        <f t="shared" si="12"/>
        <v>4640.7820000000002</v>
      </c>
      <c r="X26" s="33"/>
      <c r="Y26" s="39"/>
      <c r="Z26" s="35">
        <f t="shared" si="13"/>
        <v>-4156.9830000000002</v>
      </c>
      <c r="AA26" s="35"/>
      <c r="AB26" s="38"/>
      <c r="AC26" s="17" t="str">
        <f t="shared" si="3"/>
        <v>SI</v>
      </c>
      <c r="AD26" s="139" t="s">
        <v>212</v>
      </c>
      <c r="AE26" s="138" t="s">
        <v>213</v>
      </c>
      <c r="AF26" s="137">
        <f t="shared" si="4"/>
        <v>45.13</v>
      </c>
      <c r="AG26" s="137">
        <f t="shared" si="5"/>
        <v>0</v>
      </c>
      <c r="AH26" s="137">
        <f t="shared" si="6"/>
        <v>0</v>
      </c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36" customFormat="1">
      <c r="A27" s="20" t="s">
        <v>142</v>
      </c>
      <c r="B27" s="95" t="s">
        <v>146</v>
      </c>
      <c r="C27" s="22">
        <v>3</v>
      </c>
      <c r="D27" s="23">
        <v>39465</v>
      </c>
      <c r="E27" s="20" t="s">
        <v>147</v>
      </c>
      <c r="F27" s="90">
        <v>15000</v>
      </c>
      <c r="G27" s="25"/>
      <c r="H27" s="25"/>
      <c r="I27" s="26">
        <v>45.13</v>
      </c>
      <c r="J27" s="30">
        <f t="shared" si="2"/>
        <v>14954.87</v>
      </c>
      <c r="K27" s="37"/>
      <c r="L27" s="79"/>
      <c r="M27" s="27"/>
      <c r="N27" s="27"/>
      <c r="O27" s="27"/>
      <c r="P27" s="96">
        <v>479.28</v>
      </c>
      <c r="Q27" s="29">
        <v>323.91000000000003</v>
      </c>
      <c r="R27" s="30">
        <f t="shared" si="7"/>
        <v>14151.68</v>
      </c>
      <c r="S27" s="31"/>
      <c r="T27" s="30">
        <f t="shared" si="8"/>
        <v>14151.68</v>
      </c>
      <c r="U27" s="32"/>
      <c r="V27" s="31"/>
      <c r="W27" s="30"/>
      <c r="X27" s="33"/>
      <c r="Y27" s="39"/>
      <c r="Z27" s="35"/>
      <c r="AA27" s="35"/>
      <c r="AB27" s="38"/>
      <c r="AC27" s="17" t="str">
        <f t="shared" si="3"/>
        <v>SI</v>
      </c>
      <c r="AD27" s="139" t="s">
        <v>214</v>
      </c>
      <c r="AE27" s="138" t="s">
        <v>215</v>
      </c>
      <c r="AF27" s="137">
        <f t="shared" si="4"/>
        <v>45.13</v>
      </c>
      <c r="AG27" s="137">
        <f t="shared" si="5"/>
        <v>479.28</v>
      </c>
      <c r="AH27" s="137">
        <f t="shared" si="6"/>
        <v>323.91000000000003</v>
      </c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s="36" customFormat="1">
      <c r="A28" s="20" t="s">
        <v>35</v>
      </c>
      <c r="B28" s="38" t="s">
        <v>136</v>
      </c>
      <c r="C28" s="22"/>
      <c r="D28" s="23">
        <v>40530</v>
      </c>
      <c r="E28" s="20" t="s">
        <v>90</v>
      </c>
      <c r="F28" s="90">
        <v>13327.65</v>
      </c>
      <c r="G28" s="25"/>
      <c r="H28" s="25"/>
      <c r="I28" s="26">
        <v>45.13</v>
      </c>
      <c r="J28" s="30">
        <f t="shared" si="2"/>
        <v>13282.52</v>
      </c>
      <c r="K28" s="37"/>
      <c r="L28" s="79"/>
      <c r="M28" s="27"/>
      <c r="N28" s="27"/>
      <c r="O28" s="27"/>
      <c r="P28" s="28"/>
      <c r="Q28" s="29">
        <v>1200.08</v>
      </c>
      <c r="R28" s="30">
        <f t="shared" si="7"/>
        <v>12082.44</v>
      </c>
      <c r="S28" s="31">
        <f t="shared" si="10"/>
        <v>1328.2520000000002</v>
      </c>
      <c r="T28" s="30">
        <f t="shared" ref="T28:T42" si="17">+R28-S28</f>
        <v>10754.188</v>
      </c>
      <c r="U28" s="32">
        <f t="shared" si="11"/>
        <v>0</v>
      </c>
      <c r="V28" s="31">
        <f>+'[1]C&amp;A'!D28*0.02</f>
        <v>21.911999999999999</v>
      </c>
      <c r="W28" s="30">
        <f t="shared" si="12"/>
        <v>13304.432000000001</v>
      </c>
      <c r="X28" s="33"/>
      <c r="Y28" s="34"/>
      <c r="Z28" s="35"/>
      <c r="AA28" s="35"/>
      <c r="AB28" s="38"/>
      <c r="AC28" s="17" t="str">
        <f t="shared" si="3"/>
        <v>SI</v>
      </c>
      <c r="AD28" s="139" t="s">
        <v>216</v>
      </c>
      <c r="AE28" s="138" t="s">
        <v>217</v>
      </c>
      <c r="AF28" s="137">
        <f t="shared" si="4"/>
        <v>45.13</v>
      </c>
      <c r="AG28" s="137">
        <f t="shared" si="5"/>
        <v>0</v>
      </c>
      <c r="AH28" s="137">
        <f t="shared" si="6"/>
        <v>1200.08</v>
      </c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36" customFormat="1">
      <c r="A29" s="20" t="s">
        <v>35</v>
      </c>
      <c r="B29" s="38" t="s">
        <v>66</v>
      </c>
      <c r="C29" s="20" t="s">
        <v>67</v>
      </c>
      <c r="D29" s="23">
        <v>42310</v>
      </c>
      <c r="E29" s="20" t="s">
        <v>68</v>
      </c>
      <c r="F29" s="90"/>
      <c r="G29" s="25"/>
      <c r="H29" s="25"/>
      <c r="I29" s="26">
        <v>45.13</v>
      </c>
      <c r="J29" s="30">
        <f t="shared" si="2"/>
        <v>-45.13</v>
      </c>
      <c r="K29" s="37"/>
      <c r="L29" s="79"/>
      <c r="M29" s="27"/>
      <c r="N29" s="27"/>
      <c r="O29" s="27"/>
      <c r="P29" s="28"/>
      <c r="Q29" s="29">
        <v>0</v>
      </c>
      <c r="R29" s="30">
        <f t="shared" ref="R29:R41" si="18">+J29-SUM(K29:Q29)</f>
        <v>-45.13</v>
      </c>
      <c r="S29" s="31">
        <f t="shared" si="10"/>
        <v>0</v>
      </c>
      <c r="T29" s="30">
        <f t="shared" si="17"/>
        <v>-45.13</v>
      </c>
      <c r="U29" s="32">
        <f t="shared" si="11"/>
        <v>-4.5130000000000008</v>
      </c>
      <c r="V29" s="31">
        <f>+'[1]C&amp;A'!D29*0.02</f>
        <v>21.911999999999999</v>
      </c>
      <c r="W29" s="30">
        <f t="shared" si="12"/>
        <v>-27.731000000000002</v>
      </c>
      <c r="X29" s="33"/>
      <c r="Y29" s="39"/>
      <c r="Z29" s="35">
        <f t="shared" ref="Z29:Z37" si="19">+X29+Y29-T29</f>
        <v>45.13</v>
      </c>
      <c r="AA29" s="35"/>
      <c r="AB29" s="38"/>
      <c r="AC29" s="17" t="str">
        <f t="shared" si="3"/>
        <v>SI</v>
      </c>
      <c r="AD29" s="139" t="s">
        <v>218</v>
      </c>
      <c r="AE29" s="138" t="s">
        <v>219</v>
      </c>
      <c r="AF29" s="137">
        <f t="shared" si="4"/>
        <v>45.13</v>
      </c>
      <c r="AG29" s="137">
        <f t="shared" si="5"/>
        <v>0</v>
      </c>
      <c r="AH29" s="137">
        <f t="shared" si="6"/>
        <v>0</v>
      </c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36" customFormat="1">
      <c r="A30" s="21" t="s">
        <v>42</v>
      </c>
      <c r="B30" s="21" t="s">
        <v>158</v>
      </c>
      <c r="C30" s="21"/>
      <c r="D30" s="119">
        <v>42598</v>
      </c>
      <c r="E30" s="21" t="s">
        <v>96</v>
      </c>
      <c r="F30" s="120">
        <v>2110</v>
      </c>
      <c r="G30" s="121"/>
      <c r="H30" s="121"/>
      <c r="I30" s="149">
        <v>45.13</v>
      </c>
      <c r="J30" s="150">
        <f t="shared" si="2"/>
        <v>2064.87</v>
      </c>
      <c r="K30" s="121"/>
      <c r="L30" s="122"/>
      <c r="M30" s="123"/>
      <c r="N30" s="123"/>
      <c r="O30" s="123"/>
      <c r="P30" s="151"/>
      <c r="Q30" s="124"/>
      <c r="R30" s="150">
        <f t="shared" ref="R30" si="20">+J30-SUM(K30:Q30)</f>
        <v>2064.87</v>
      </c>
      <c r="S30" s="123">
        <f t="shared" ref="S30" si="21">IF(J30&gt;4500,J30*0.1,0)</f>
        <v>0</v>
      </c>
      <c r="T30" s="150">
        <f t="shared" ref="T30" si="22">+R30-S30</f>
        <v>2064.87</v>
      </c>
      <c r="U30" s="123">
        <f t="shared" ref="U30" si="23">IF(J30&lt;4500,J30*0.1,0)</f>
        <v>206.48699999999999</v>
      </c>
      <c r="V30" s="123">
        <f>+'[1]C&amp;A'!D30*0.02</f>
        <v>21.911999999999999</v>
      </c>
      <c r="W30" s="150">
        <f t="shared" ref="W30" si="24">+J30+U30+V30</f>
        <v>2293.2689999999998</v>
      </c>
      <c r="X30" s="152"/>
      <c r="Y30" s="160"/>
      <c r="Z30" s="154"/>
      <c r="AA30" s="154"/>
      <c r="AB30" s="21"/>
      <c r="AC30" s="155" t="str">
        <f t="shared" si="3"/>
        <v>SI</v>
      </c>
      <c r="AD30" s="156" t="s">
        <v>220</v>
      </c>
      <c r="AE30" s="157" t="s">
        <v>221</v>
      </c>
      <c r="AF30" s="158">
        <f t="shared" si="4"/>
        <v>45.13</v>
      </c>
      <c r="AG30" s="158">
        <f t="shared" si="5"/>
        <v>0</v>
      </c>
      <c r="AH30" s="158">
        <f t="shared" si="6"/>
        <v>0</v>
      </c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</row>
    <row r="31" spans="1:45" s="36" customFormat="1">
      <c r="A31" s="20" t="s">
        <v>55</v>
      </c>
      <c r="B31" s="38" t="s">
        <v>282</v>
      </c>
      <c r="C31" s="22" t="s">
        <v>69</v>
      </c>
      <c r="D31" s="23">
        <v>42374</v>
      </c>
      <c r="E31" s="20" t="s">
        <v>70</v>
      </c>
      <c r="F31" s="90">
        <v>1802</v>
      </c>
      <c r="G31" s="25"/>
      <c r="H31" s="25"/>
      <c r="I31" s="26">
        <v>45.13</v>
      </c>
      <c r="J31" s="30">
        <f t="shared" si="2"/>
        <v>1756.87</v>
      </c>
      <c r="K31" s="37"/>
      <c r="L31" s="79"/>
      <c r="M31" s="27"/>
      <c r="N31" s="27"/>
      <c r="O31" s="27"/>
      <c r="P31" s="28"/>
      <c r="Q31" s="29">
        <v>0</v>
      </c>
      <c r="R31" s="30">
        <f t="shared" si="18"/>
        <v>1756.87</v>
      </c>
      <c r="S31" s="31">
        <f t="shared" si="10"/>
        <v>0</v>
      </c>
      <c r="T31" s="30">
        <f t="shared" si="17"/>
        <v>1756.87</v>
      </c>
      <c r="U31" s="32">
        <f t="shared" si="11"/>
        <v>175.68700000000001</v>
      </c>
      <c r="V31" s="31">
        <f>+'[1]C&amp;A'!D30*0.02</f>
        <v>21.911999999999999</v>
      </c>
      <c r="W31" s="30">
        <f t="shared" si="12"/>
        <v>1954.4689999999998</v>
      </c>
      <c r="X31" s="33"/>
      <c r="Y31" s="34"/>
      <c r="Z31" s="35">
        <f t="shared" si="19"/>
        <v>-1756.87</v>
      </c>
      <c r="AA31" s="35"/>
      <c r="AB31" s="41"/>
      <c r="AC31" s="17" t="str">
        <f t="shared" si="3"/>
        <v>SI</v>
      </c>
      <c r="AD31" s="139" t="s">
        <v>222</v>
      </c>
      <c r="AE31" s="138" t="s">
        <v>223</v>
      </c>
      <c r="AF31" s="137">
        <f t="shared" si="4"/>
        <v>45.13</v>
      </c>
      <c r="AG31" s="137">
        <f t="shared" si="5"/>
        <v>0</v>
      </c>
      <c r="AH31" s="137">
        <f t="shared" si="6"/>
        <v>0</v>
      </c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36" customFormat="1">
      <c r="A32" s="21" t="s">
        <v>42</v>
      </c>
      <c r="B32" s="21" t="s">
        <v>72</v>
      </c>
      <c r="C32" s="118"/>
      <c r="D32" s="119">
        <v>5</v>
      </c>
      <c r="E32" s="21" t="s">
        <v>62</v>
      </c>
      <c r="F32" s="120">
        <v>3652.5</v>
      </c>
      <c r="G32" s="121"/>
      <c r="H32" s="121"/>
      <c r="I32" s="149">
        <v>45.13</v>
      </c>
      <c r="J32" s="150">
        <f t="shared" si="2"/>
        <v>3607.37</v>
      </c>
      <c r="K32" s="121"/>
      <c r="L32" s="122"/>
      <c r="M32" s="123"/>
      <c r="N32" s="123"/>
      <c r="O32" s="123"/>
      <c r="P32" s="124"/>
      <c r="Q32" s="124">
        <v>0</v>
      </c>
      <c r="R32" s="150">
        <f t="shared" si="18"/>
        <v>3607.37</v>
      </c>
      <c r="S32" s="123">
        <f t="shared" si="10"/>
        <v>0</v>
      </c>
      <c r="T32" s="150">
        <f t="shared" si="17"/>
        <v>3607.37</v>
      </c>
      <c r="U32" s="123">
        <f t="shared" si="11"/>
        <v>360.73700000000002</v>
      </c>
      <c r="V32" s="123">
        <f>+'[1]C&amp;A'!D31*0.02</f>
        <v>21.911999999999999</v>
      </c>
      <c r="W32" s="150">
        <f t="shared" si="12"/>
        <v>3990.0189999999998</v>
      </c>
      <c r="X32" s="152"/>
      <c r="Y32" s="160"/>
      <c r="Z32" s="154">
        <f t="shared" si="19"/>
        <v>-3607.37</v>
      </c>
      <c r="AA32" s="162"/>
      <c r="AB32" s="21"/>
      <c r="AC32" s="155" t="str">
        <f t="shared" si="3"/>
        <v>SI</v>
      </c>
      <c r="AD32" s="156" t="s">
        <v>224</v>
      </c>
      <c r="AE32" s="157" t="s">
        <v>225</v>
      </c>
      <c r="AF32" s="158">
        <f t="shared" si="4"/>
        <v>45.13</v>
      </c>
      <c r="AG32" s="158">
        <f t="shared" si="5"/>
        <v>0</v>
      </c>
      <c r="AH32" s="158">
        <f t="shared" si="6"/>
        <v>0</v>
      </c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</row>
    <row r="33" spans="1:181" s="36" customFormat="1">
      <c r="A33" s="21" t="s">
        <v>42</v>
      </c>
      <c r="B33" s="21" t="s">
        <v>73</v>
      </c>
      <c r="C33" s="118" t="s">
        <v>74</v>
      </c>
      <c r="D33" s="119">
        <v>41852</v>
      </c>
      <c r="E33" s="21" t="s">
        <v>54</v>
      </c>
      <c r="F33" s="120">
        <v>4312.5</v>
      </c>
      <c r="G33" s="121"/>
      <c r="H33" s="121"/>
      <c r="I33" s="149">
        <v>45.13</v>
      </c>
      <c r="J33" s="150">
        <f t="shared" si="2"/>
        <v>4267.37</v>
      </c>
      <c r="K33" s="121"/>
      <c r="L33" s="122"/>
      <c r="M33" s="123"/>
      <c r="N33" s="123"/>
      <c r="O33" s="123"/>
      <c r="P33" s="151"/>
      <c r="Q33" s="124">
        <v>0</v>
      </c>
      <c r="R33" s="150">
        <f t="shared" si="18"/>
        <v>4267.37</v>
      </c>
      <c r="S33" s="123">
        <f t="shared" si="10"/>
        <v>0</v>
      </c>
      <c r="T33" s="150">
        <f t="shared" si="17"/>
        <v>4267.37</v>
      </c>
      <c r="U33" s="123">
        <f t="shared" si="11"/>
        <v>426.73700000000002</v>
      </c>
      <c r="V33" s="123">
        <f>+'[1]C&amp;A'!D32*0.02</f>
        <v>21.911999999999999</v>
      </c>
      <c r="W33" s="150">
        <f t="shared" si="12"/>
        <v>4716.0190000000002</v>
      </c>
      <c r="X33" s="152"/>
      <c r="Y33" s="160"/>
      <c r="Z33" s="154">
        <f t="shared" si="19"/>
        <v>-4267.37</v>
      </c>
      <c r="AA33" s="154"/>
      <c r="AB33" s="21"/>
      <c r="AC33" s="155" t="str">
        <f t="shared" si="3"/>
        <v>SI</v>
      </c>
      <c r="AD33" s="156" t="s">
        <v>226</v>
      </c>
      <c r="AE33" s="157" t="s">
        <v>227</v>
      </c>
      <c r="AF33" s="158">
        <f t="shared" si="4"/>
        <v>45.13</v>
      </c>
      <c r="AG33" s="158">
        <f t="shared" si="5"/>
        <v>0</v>
      </c>
      <c r="AH33" s="158">
        <f t="shared" si="6"/>
        <v>0</v>
      </c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</row>
    <row r="34" spans="1:181" s="36" customFormat="1">
      <c r="A34" s="38" t="s">
        <v>75</v>
      </c>
      <c r="B34" s="38" t="s">
        <v>76</v>
      </c>
      <c r="C34" s="44"/>
      <c r="D34" s="43">
        <v>42499</v>
      </c>
      <c r="E34" s="38" t="s">
        <v>77</v>
      </c>
      <c r="F34" s="91">
        <v>1826.8</v>
      </c>
      <c r="G34" s="25"/>
      <c r="H34" s="25"/>
      <c r="I34" s="26">
        <v>45.13</v>
      </c>
      <c r="J34" s="30">
        <f t="shared" si="2"/>
        <v>1781.6699999999998</v>
      </c>
      <c r="K34" s="37"/>
      <c r="L34" s="79"/>
      <c r="M34" s="27"/>
      <c r="N34" s="27"/>
      <c r="O34" s="27"/>
      <c r="P34" s="28"/>
      <c r="Q34" s="29">
        <v>0</v>
      </c>
      <c r="R34" s="30">
        <f t="shared" si="18"/>
        <v>1781.6699999999998</v>
      </c>
      <c r="S34" s="31">
        <f t="shared" si="10"/>
        <v>0</v>
      </c>
      <c r="T34" s="30">
        <f t="shared" si="17"/>
        <v>1781.6699999999998</v>
      </c>
      <c r="U34" s="32">
        <f t="shared" si="11"/>
        <v>178.167</v>
      </c>
      <c r="V34" s="31">
        <f>+'[1]C&amp;A'!D33*0.02</f>
        <v>21.911999999999999</v>
      </c>
      <c r="W34" s="30">
        <f t="shared" si="12"/>
        <v>1981.7489999999998</v>
      </c>
      <c r="X34" s="46"/>
      <c r="Y34" s="47"/>
      <c r="Z34" s="35">
        <f t="shared" si="19"/>
        <v>-1781.6699999999998</v>
      </c>
      <c r="AA34" s="48"/>
      <c r="AB34" s="41"/>
      <c r="AC34" s="17" t="str">
        <f t="shared" si="3"/>
        <v>SI</v>
      </c>
      <c r="AD34" s="139" t="s">
        <v>228</v>
      </c>
      <c r="AE34" s="138" t="s">
        <v>229</v>
      </c>
      <c r="AF34" s="137">
        <f t="shared" si="4"/>
        <v>45.13</v>
      </c>
      <c r="AG34" s="137">
        <f t="shared" si="5"/>
        <v>0</v>
      </c>
      <c r="AH34" s="137">
        <f t="shared" si="6"/>
        <v>0</v>
      </c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181" s="36" customFormat="1">
      <c r="A35" s="38" t="s">
        <v>71</v>
      </c>
      <c r="B35" s="38" t="s">
        <v>80</v>
      </c>
      <c r="C35" s="44" t="s">
        <v>81</v>
      </c>
      <c r="D35" s="23">
        <v>42086</v>
      </c>
      <c r="E35" s="38" t="s">
        <v>82</v>
      </c>
      <c r="F35" s="91">
        <v>2455</v>
      </c>
      <c r="G35" s="25"/>
      <c r="H35" s="25"/>
      <c r="I35" s="26">
        <v>45.13</v>
      </c>
      <c r="J35" s="30">
        <f t="shared" si="2"/>
        <v>2409.87</v>
      </c>
      <c r="K35" s="37"/>
      <c r="L35" s="79"/>
      <c r="M35" s="27"/>
      <c r="N35" s="27"/>
      <c r="O35" s="27"/>
      <c r="P35" s="45"/>
      <c r="Q35" s="45">
        <v>0</v>
      </c>
      <c r="R35" s="30">
        <f t="shared" si="18"/>
        <v>2409.87</v>
      </c>
      <c r="S35" s="31">
        <f t="shared" si="10"/>
        <v>0</v>
      </c>
      <c r="T35" s="30">
        <f t="shared" si="17"/>
        <v>2409.87</v>
      </c>
      <c r="U35" s="32">
        <f t="shared" si="11"/>
        <v>240.98699999999999</v>
      </c>
      <c r="V35" s="31">
        <f>+'[1]C&amp;A'!D35*0.02</f>
        <v>21.911999999999999</v>
      </c>
      <c r="W35" s="30">
        <f t="shared" si="12"/>
        <v>2672.7689999999998</v>
      </c>
      <c r="X35" s="33"/>
      <c r="Y35" s="39"/>
      <c r="Z35" s="35">
        <f t="shared" si="19"/>
        <v>-2409.87</v>
      </c>
      <c r="AA35" s="35"/>
      <c r="AB35" s="38"/>
      <c r="AC35" s="17" t="str">
        <f t="shared" si="3"/>
        <v>SI</v>
      </c>
      <c r="AD35" s="139" t="s">
        <v>230</v>
      </c>
      <c r="AE35" s="138" t="s">
        <v>231</v>
      </c>
      <c r="AF35" s="137">
        <f t="shared" si="4"/>
        <v>45.13</v>
      </c>
      <c r="AG35" s="137">
        <f t="shared" si="5"/>
        <v>0</v>
      </c>
      <c r="AH35" s="137">
        <f t="shared" si="6"/>
        <v>0</v>
      </c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181" s="49" customFormat="1">
      <c r="A36" s="20" t="s">
        <v>55</v>
      </c>
      <c r="B36" s="38" t="s">
        <v>84</v>
      </c>
      <c r="C36" s="22" t="s">
        <v>85</v>
      </c>
      <c r="D36" s="23">
        <v>41464</v>
      </c>
      <c r="E36" s="20" t="s">
        <v>70</v>
      </c>
      <c r="F36" s="90">
        <v>1802</v>
      </c>
      <c r="G36" s="25"/>
      <c r="H36" s="25"/>
      <c r="I36" s="26">
        <v>45.13</v>
      </c>
      <c r="J36" s="30">
        <f t="shared" si="2"/>
        <v>1756.87</v>
      </c>
      <c r="K36" s="37"/>
      <c r="L36" s="79"/>
      <c r="M36" s="27"/>
      <c r="N36" s="27"/>
      <c r="O36" s="27"/>
      <c r="P36" s="28"/>
      <c r="Q36" s="29">
        <v>313.89999999999998</v>
      </c>
      <c r="R36" s="30">
        <f t="shared" si="18"/>
        <v>1442.9699999999998</v>
      </c>
      <c r="S36" s="31">
        <f t="shared" si="10"/>
        <v>0</v>
      </c>
      <c r="T36" s="30">
        <f t="shared" si="17"/>
        <v>1442.9699999999998</v>
      </c>
      <c r="U36" s="32">
        <f t="shared" si="11"/>
        <v>175.68700000000001</v>
      </c>
      <c r="V36" s="31">
        <f>+'[1]C&amp;A'!D37*0.02</f>
        <v>21.911999999999999</v>
      </c>
      <c r="W36" s="30">
        <f t="shared" si="12"/>
        <v>1954.4689999999998</v>
      </c>
      <c r="X36" s="33"/>
      <c r="Y36" s="34"/>
      <c r="Z36" s="35">
        <f t="shared" si="19"/>
        <v>-1442.9699999999998</v>
      </c>
      <c r="AA36" s="35"/>
      <c r="AB36" s="38"/>
      <c r="AC36" s="17" t="str">
        <f t="shared" si="3"/>
        <v>SI</v>
      </c>
      <c r="AD36" s="139" t="s">
        <v>234</v>
      </c>
      <c r="AE36" s="138" t="s">
        <v>235</v>
      </c>
      <c r="AF36" s="137">
        <f t="shared" si="4"/>
        <v>45.13</v>
      </c>
      <c r="AG36" s="137">
        <f t="shared" si="5"/>
        <v>0</v>
      </c>
      <c r="AH36" s="137">
        <f t="shared" si="6"/>
        <v>313.89999999999998</v>
      </c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</row>
    <row r="37" spans="1:181" s="49" customFormat="1">
      <c r="A37" s="20" t="s">
        <v>35</v>
      </c>
      <c r="B37" s="20" t="s">
        <v>86</v>
      </c>
      <c r="C37" s="22">
        <v>56</v>
      </c>
      <c r="D37" s="23">
        <v>40033</v>
      </c>
      <c r="E37" s="20" t="s">
        <v>87</v>
      </c>
      <c r="F37" s="90">
        <v>1601</v>
      </c>
      <c r="G37" s="25"/>
      <c r="H37" s="25"/>
      <c r="I37" s="26">
        <v>45.13</v>
      </c>
      <c r="J37" s="30">
        <f t="shared" si="2"/>
        <v>1555.87</v>
      </c>
      <c r="K37" s="37"/>
      <c r="L37" s="79"/>
      <c r="M37" s="27"/>
      <c r="N37" s="27"/>
      <c r="O37" s="27"/>
      <c r="P37" s="28"/>
      <c r="Q37" s="29">
        <v>0</v>
      </c>
      <c r="R37" s="30">
        <f t="shared" si="18"/>
        <v>1555.87</v>
      </c>
      <c r="S37" s="31">
        <f t="shared" si="10"/>
        <v>0</v>
      </c>
      <c r="T37" s="30">
        <f t="shared" si="17"/>
        <v>1555.87</v>
      </c>
      <c r="U37" s="32">
        <f t="shared" si="11"/>
        <v>155.58699999999999</v>
      </c>
      <c r="V37" s="31">
        <f>+'[1]C&amp;A'!D38*0.02</f>
        <v>21.911999999999999</v>
      </c>
      <c r="W37" s="30">
        <f t="shared" si="12"/>
        <v>1733.3689999999999</v>
      </c>
      <c r="X37" s="33"/>
      <c r="Y37" s="34"/>
      <c r="Z37" s="35">
        <f t="shared" si="19"/>
        <v>-1555.87</v>
      </c>
      <c r="AA37" s="35"/>
      <c r="AB37" s="38"/>
      <c r="AC37" s="17" t="str">
        <f t="shared" si="3"/>
        <v>SI</v>
      </c>
      <c r="AD37" s="139" t="s">
        <v>236</v>
      </c>
      <c r="AE37" s="138" t="s">
        <v>237</v>
      </c>
      <c r="AF37" s="137">
        <f t="shared" si="4"/>
        <v>45.13</v>
      </c>
      <c r="AG37" s="137">
        <f t="shared" si="5"/>
        <v>0</v>
      </c>
      <c r="AH37" s="137">
        <f t="shared" si="6"/>
        <v>0</v>
      </c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181" s="49" customFormat="1">
      <c r="A38" s="20" t="s">
        <v>35</v>
      </c>
      <c r="B38" s="20" t="s">
        <v>140</v>
      </c>
      <c r="C38" s="22"/>
      <c r="D38" s="23">
        <v>42591</v>
      </c>
      <c r="E38" s="20" t="s">
        <v>38</v>
      </c>
      <c r="F38" s="90"/>
      <c r="G38" s="25"/>
      <c r="H38" s="25"/>
      <c r="I38" s="26">
        <v>45.13</v>
      </c>
      <c r="J38" s="30">
        <f t="shared" si="2"/>
        <v>-45.13</v>
      </c>
      <c r="K38" s="37"/>
      <c r="L38" s="79"/>
      <c r="M38" s="27"/>
      <c r="N38" s="27"/>
      <c r="O38" s="27"/>
      <c r="P38" s="28"/>
      <c r="Q38" s="29"/>
      <c r="R38" s="30">
        <f t="shared" si="18"/>
        <v>-45.13</v>
      </c>
      <c r="S38" s="31"/>
      <c r="T38" s="30">
        <f t="shared" si="17"/>
        <v>-45.13</v>
      </c>
      <c r="U38" s="32"/>
      <c r="V38" s="31"/>
      <c r="W38" s="30"/>
      <c r="X38" s="33"/>
      <c r="Y38" s="34"/>
      <c r="Z38" s="35"/>
      <c r="AA38" s="35"/>
      <c r="AB38" s="38"/>
      <c r="AC38" s="17" t="str">
        <f t="shared" si="3"/>
        <v>SI</v>
      </c>
      <c r="AD38" s="139" t="s">
        <v>238</v>
      </c>
      <c r="AE38" s="138" t="s">
        <v>239</v>
      </c>
      <c r="AF38" s="137">
        <f t="shared" si="4"/>
        <v>45.13</v>
      </c>
      <c r="AG38" s="137">
        <f t="shared" si="5"/>
        <v>0</v>
      </c>
      <c r="AH38" s="137">
        <f t="shared" si="6"/>
        <v>0</v>
      </c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181" s="36" customFormat="1">
      <c r="A39" s="20" t="s">
        <v>35</v>
      </c>
      <c r="B39" s="38" t="s">
        <v>88</v>
      </c>
      <c r="C39" s="22" t="s">
        <v>89</v>
      </c>
      <c r="D39" s="23">
        <v>42275</v>
      </c>
      <c r="E39" s="20" t="s">
        <v>90</v>
      </c>
      <c r="F39" s="90">
        <v>6029.77</v>
      </c>
      <c r="G39" s="25"/>
      <c r="H39" s="25"/>
      <c r="I39" s="26">
        <v>45.13</v>
      </c>
      <c r="J39" s="30">
        <f t="shared" si="2"/>
        <v>5984.64</v>
      </c>
      <c r="K39" s="37"/>
      <c r="L39" s="79"/>
      <c r="M39" s="27"/>
      <c r="N39" s="27"/>
      <c r="O39" s="27"/>
      <c r="P39" s="28"/>
      <c r="Q39" s="29">
        <v>0</v>
      </c>
      <c r="R39" s="30">
        <f t="shared" si="18"/>
        <v>5984.64</v>
      </c>
      <c r="S39" s="31">
        <f t="shared" ref="S39:S56" si="25">IF(J39&gt;4500,J39*0.1,0)</f>
        <v>598.46400000000006</v>
      </c>
      <c r="T39" s="30">
        <f t="shared" si="17"/>
        <v>5386.1760000000004</v>
      </c>
      <c r="U39" s="32">
        <f t="shared" ref="U39:U56" si="26">IF(J39&lt;4500,J39*0.1,0)</f>
        <v>0</v>
      </c>
      <c r="V39" s="31">
        <f>+'[1]C&amp;A'!D39*0.02</f>
        <v>21.911999999999999</v>
      </c>
      <c r="W39" s="30">
        <f t="shared" ref="W39:W56" si="27">+J39+U39+V39</f>
        <v>6006.5520000000006</v>
      </c>
      <c r="X39" s="33"/>
      <c r="Y39" s="39"/>
      <c r="Z39" s="35">
        <f t="shared" ref="Z39:Z49" si="28">+X39+Y39-T39</f>
        <v>-5386.1760000000004</v>
      </c>
      <c r="AA39" s="35"/>
      <c r="AB39" s="50"/>
      <c r="AC39" s="17" t="str">
        <f t="shared" si="3"/>
        <v>SI</v>
      </c>
      <c r="AD39" s="139" t="s">
        <v>240</v>
      </c>
      <c r="AE39" s="138" t="s">
        <v>241</v>
      </c>
      <c r="AF39" s="137">
        <f t="shared" si="4"/>
        <v>45.13</v>
      </c>
      <c r="AG39" s="137">
        <f t="shared" si="5"/>
        <v>0</v>
      </c>
      <c r="AH39" s="137">
        <f t="shared" si="6"/>
        <v>0</v>
      </c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181" s="36" customFormat="1">
      <c r="A40" s="20" t="s">
        <v>91</v>
      </c>
      <c r="B40" s="20" t="s">
        <v>92</v>
      </c>
      <c r="C40" s="20">
        <v>23</v>
      </c>
      <c r="D40" s="23">
        <v>39114</v>
      </c>
      <c r="E40" s="20" t="s">
        <v>93</v>
      </c>
      <c r="F40" s="90">
        <v>29664.71</v>
      </c>
      <c r="G40" s="25"/>
      <c r="H40" s="25"/>
      <c r="I40" s="26">
        <v>45.13</v>
      </c>
      <c r="J40" s="30">
        <f t="shared" si="2"/>
        <v>29619.579999999998</v>
      </c>
      <c r="K40" s="37"/>
      <c r="L40" s="79"/>
      <c r="M40" s="27"/>
      <c r="N40" s="27"/>
      <c r="O40" s="27"/>
      <c r="P40" s="28"/>
      <c r="Q40" s="29">
        <v>357.22</v>
      </c>
      <c r="R40" s="30">
        <f t="shared" si="18"/>
        <v>29262.359999999997</v>
      </c>
      <c r="S40" s="31">
        <f t="shared" si="25"/>
        <v>2961.9580000000001</v>
      </c>
      <c r="T40" s="30">
        <f t="shared" si="17"/>
        <v>26300.401999999998</v>
      </c>
      <c r="U40" s="32">
        <f t="shared" si="26"/>
        <v>0</v>
      </c>
      <c r="V40" s="31">
        <f>+'[1]C&amp;A'!D40*0.02</f>
        <v>21.911999999999999</v>
      </c>
      <c r="W40" s="30">
        <f t="shared" si="27"/>
        <v>29641.491999999998</v>
      </c>
      <c r="X40" s="33"/>
      <c r="Y40" s="51"/>
      <c r="Z40" s="35">
        <f t="shared" si="28"/>
        <v>-26300.401999999998</v>
      </c>
      <c r="AA40" s="35"/>
      <c r="AB40" s="38"/>
      <c r="AC40" s="17" t="str">
        <f t="shared" si="3"/>
        <v>SI</v>
      </c>
      <c r="AD40" s="139" t="s">
        <v>242</v>
      </c>
      <c r="AE40" s="138" t="s">
        <v>243</v>
      </c>
      <c r="AF40" s="137">
        <f t="shared" si="4"/>
        <v>45.13</v>
      </c>
      <c r="AG40" s="137">
        <f t="shared" si="5"/>
        <v>0</v>
      </c>
      <c r="AH40" s="137">
        <f t="shared" si="6"/>
        <v>357.22</v>
      </c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181" s="36" customFormat="1">
      <c r="A41" s="38" t="s">
        <v>142</v>
      </c>
      <c r="B41" s="95" t="s">
        <v>283</v>
      </c>
      <c r="C41" s="58" t="s">
        <v>148</v>
      </c>
      <c r="D41" s="23">
        <v>42325</v>
      </c>
      <c r="E41" s="20" t="s">
        <v>149</v>
      </c>
      <c r="F41" s="91"/>
      <c r="G41" s="38"/>
      <c r="H41" s="25"/>
      <c r="I41" s="26">
        <v>45.13</v>
      </c>
      <c r="J41" s="30">
        <f t="shared" si="2"/>
        <v>-45.13</v>
      </c>
      <c r="K41" s="37"/>
      <c r="L41" s="79"/>
      <c r="M41" s="27"/>
      <c r="N41" s="27"/>
      <c r="O41" s="27"/>
      <c r="P41" s="45"/>
      <c r="Q41" s="45"/>
      <c r="R41" s="30">
        <f t="shared" si="18"/>
        <v>-45.13</v>
      </c>
      <c r="S41" s="31">
        <f t="shared" si="25"/>
        <v>0</v>
      </c>
      <c r="T41" s="30">
        <f t="shared" si="17"/>
        <v>-45.13</v>
      </c>
      <c r="U41" s="32">
        <f t="shared" si="26"/>
        <v>-4.5130000000000008</v>
      </c>
      <c r="V41" s="31"/>
      <c r="W41" s="30"/>
      <c r="X41" s="33"/>
      <c r="Y41" s="51"/>
      <c r="Z41" s="35"/>
      <c r="AA41" s="35"/>
      <c r="AB41" s="38"/>
      <c r="AC41" s="17" t="str">
        <f t="shared" si="3"/>
        <v>SI</v>
      </c>
      <c r="AD41" s="139" t="s">
        <v>244</v>
      </c>
      <c r="AE41" s="138" t="s">
        <v>245</v>
      </c>
      <c r="AF41" s="137">
        <f t="shared" si="4"/>
        <v>45.13</v>
      </c>
      <c r="AG41" s="137">
        <f t="shared" si="5"/>
        <v>0</v>
      </c>
      <c r="AH41" s="137">
        <f t="shared" si="6"/>
        <v>0</v>
      </c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181" s="36" customFormat="1">
      <c r="A42" s="21" t="s">
        <v>42</v>
      </c>
      <c r="B42" s="21" t="s">
        <v>94</v>
      </c>
      <c r="C42" s="118" t="s">
        <v>95</v>
      </c>
      <c r="D42" s="119">
        <v>40122</v>
      </c>
      <c r="E42" s="21" t="s">
        <v>96</v>
      </c>
      <c r="F42" s="120">
        <v>1050.4000000000001</v>
      </c>
      <c r="G42" s="121"/>
      <c r="H42" s="121"/>
      <c r="I42" s="149">
        <v>45.13</v>
      </c>
      <c r="J42" s="150">
        <f t="shared" si="2"/>
        <v>1005.2700000000001</v>
      </c>
      <c r="K42" s="121"/>
      <c r="L42" s="122"/>
      <c r="M42" s="123"/>
      <c r="N42" s="123"/>
      <c r="O42" s="123"/>
      <c r="P42" s="151"/>
      <c r="Q42" s="124">
        <v>0</v>
      </c>
      <c r="R42" s="150">
        <f t="shared" ref="R42:R56" si="29">+J42-SUM(K42:Q42)</f>
        <v>1005.2700000000001</v>
      </c>
      <c r="S42" s="123">
        <f t="shared" si="25"/>
        <v>0</v>
      </c>
      <c r="T42" s="150">
        <f t="shared" si="17"/>
        <v>1005.2700000000001</v>
      </c>
      <c r="U42" s="123">
        <f t="shared" si="26"/>
        <v>100.52700000000002</v>
      </c>
      <c r="V42" s="123">
        <f>+'[1]C&amp;A'!D43*0.02</f>
        <v>21.911999999999999</v>
      </c>
      <c r="W42" s="150">
        <f t="shared" si="27"/>
        <v>1127.7090000000001</v>
      </c>
      <c r="X42" s="152"/>
      <c r="Y42" s="160"/>
      <c r="Z42" s="154">
        <f t="shared" si="28"/>
        <v>-1005.2700000000001</v>
      </c>
      <c r="AA42" s="154"/>
      <c r="AB42" s="21"/>
      <c r="AC42" s="155" t="str">
        <f t="shared" si="3"/>
        <v>SI</v>
      </c>
      <c r="AD42" s="156" t="s">
        <v>246</v>
      </c>
      <c r="AE42" s="157" t="s">
        <v>247</v>
      </c>
      <c r="AF42" s="158">
        <f t="shared" si="4"/>
        <v>45.13</v>
      </c>
      <c r="AG42" s="158">
        <f t="shared" si="5"/>
        <v>0</v>
      </c>
      <c r="AH42" s="158">
        <f t="shared" si="6"/>
        <v>0</v>
      </c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</row>
    <row r="43" spans="1:181" s="36" customFormat="1">
      <c r="A43" s="20" t="s">
        <v>97</v>
      </c>
      <c r="B43" s="20" t="s">
        <v>98</v>
      </c>
      <c r="C43" s="22">
        <v>9</v>
      </c>
      <c r="D43" s="23">
        <v>39814</v>
      </c>
      <c r="E43" s="20" t="s">
        <v>97</v>
      </c>
      <c r="F43" s="90">
        <v>30155.34</v>
      </c>
      <c r="G43" s="25"/>
      <c r="H43" s="25"/>
      <c r="I43" s="26">
        <v>45.13</v>
      </c>
      <c r="J43" s="30">
        <f t="shared" ref="J43:J56" si="30">SUM(F43:H43)-I43</f>
        <v>30110.21</v>
      </c>
      <c r="K43" s="37"/>
      <c r="L43" s="79"/>
      <c r="M43" s="27"/>
      <c r="N43" s="27"/>
      <c r="O43" s="27"/>
      <c r="P43" s="28"/>
      <c r="Q43" s="29">
        <v>878.82</v>
      </c>
      <c r="R43" s="30">
        <f t="shared" si="29"/>
        <v>29231.39</v>
      </c>
      <c r="S43" s="31">
        <f t="shared" si="25"/>
        <v>3011.0210000000002</v>
      </c>
      <c r="T43" s="30">
        <f t="shared" ref="T43:T56" si="31">+R43-S43</f>
        <v>26220.368999999999</v>
      </c>
      <c r="U43" s="32">
        <f t="shared" si="26"/>
        <v>0</v>
      </c>
      <c r="V43" s="31">
        <f>+'[1]C&amp;A'!D44*0.02</f>
        <v>21.911999999999999</v>
      </c>
      <c r="W43" s="30">
        <f t="shared" si="27"/>
        <v>30132.121999999999</v>
      </c>
      <c r="X43" s="33"/>
      <c r="Y43" s="39"/>
      <c r="Z43" s="35">
        <f t="shared" si="28"/>
        <v>-26220.368999999999</v>
      </c>
      <c r="AA43" s="35"/>
      <c r="AB43" s="38"/>
      <c r="AC43" s="17" t="str">
        <f t="shared" si="3"/>
        <v>SI</v>
      </c>
      <c r="AD43" s="139" t="s">
        <v>248</v>
      </c>
      <c r="AE43" s="138" t="s">
        <v>249</v>
      </c>
      <c r="AF43" s="137">
        <f t="shared" si="4"/>
        <v>45.13</v>
      </c>
      <c r="AG43" s="137">
        <f t="shared" si="5"/>
        <v>0</v>
      </c>
      <c r="AH43" s="137">
        <f t="shared" si="6"/>
        <v>878.82</v>
      </c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</row>
    <row r="44" spans="1:181" s="36" customFormat="1">
      <c r="A44" s="21" t="s">
        <v>42</v>
      </c>
      <c r="B44" s="21" t="s">
        <v>154</v>
      </c>
      <c r="C44" s="21">
        <v>33</v>
      </c>
      <c r="D44" s="119">
        <v>39833</v>
      </c>
      <c r="E44" s="21" t="s">
        <v>102</v>
      </c>
      <c r="F44" s="120">
        <v>5652.5</v>
      </c>
      <c r="G44" s="121"/>
      <c r="H44" s="121"/>
      <c r="I44" s="149">
        <v>45.13</v>
      </c>
      <c r="J44" s="150">
        <f t="shared" si="30"/>
        <v>5607.37</v>
      </c>
      <c r="K44" s="121"/>
      <c r="L44" s="122"/>
      <c r="M44" s="123"/>
      <c r="N44" s="123"/>
      <c r="O44" s="123"/>
      <c r="P44" s="151"/>
      <c r="Q44" s="124">
        <v>0</v>
      </c>
      <c r="R44" s="150">
        <f t="shared" si="29"/>
        <v>5607.37</v>
      </c>
      <c r="S44" s="123">
        <f t="shared" si="25"/>
        <v>560.73699999999997</v>
      </c>
      <c r="T44" s="150">
        <f t="shared" si="31"/>
        <v>5046.6329999999998</v>
      </c>
      <c r="U44" s="123">
        <f t="shared" si="26"/>
        <v>0</v>
      </c>
      <c r="V44" s="123">
        <f>+'[1]C&amp;A'!D49*0.02</f>
        <v>21.911999999999999</v>
      </c>
      <c r="W44" s="150">
        <f t="shared" si="27"/>
        <v>5629.2820000000002</v>
      </c>
      <c r="X44" s="152"/>
      <c r="Y44" s="160"/>
      <c r="Z44" s="154">
        <f t="shared" si="28"/>
        <v>-5046.6329999999998</v>
      </c>
      <c r="AA44" s="154"/>
      <c r="AB44" s="21"/>
      <c r="AC44" s="155" t="str">
        <f t="shared" si="3"/>
        <v>SI</v>
      </c>
      <c r="AD44" s="156" t="s">
        <v>252</v>
      </c>
      <c r="AE44" s="157" t="s">
        <v>253</v>
      </c>
      <c r="AF44" s="158">
        <f t="shared" si="4"/>
        <v>45.13</v>
      </c>
      <c r="AG44" s="158">
        <f t="shared" si="5"/>
        <v>0</v>
      </c>
      <c r="AH44" s="158">
        <f t="shared" si="6"/>
        <v>0</v>
      </c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</row>
    <row r="45" spans="1:181" s="36" customFormat="1">
      <c r="A45" s="21" t="s">
        <v>42</v>
      </c>
      <c r="B45" s="21" t="s">
        <v>105</v>
      </c>
      <c r="C45" s="118"/>
      <c r="D45" s="119">
        <v>42429</v>
      </c>
      <c r="E45" s="21" t="s">
        <v>62</v>
      </c>
      <c r="F45" s="120">
        <v>3345</v>
      </c>
      <c r="G45" s="121"/>
      <c r="H45" s="121"/>
      <c r="I45" s="149">
        <v>45.13</v>
      </c>
      <c r="J45" s="150">
        <f t="shared" si="30"/>
        <v>3299.87</v>
      </c>
      <c r="K45" s="121"/>
      <c r="L45" s="122"/>
      <c r="M45" s="123"/>
      <c r="N45" s="123"/>
      <c r="O45" s="123"/>
      <c r="P45" s="124"/>
      <c r="Q45" s="124">
        <v>0</v>
      </c>
      <c r="R45" s="150">
        <f t="shared" si="29"/>
        <v>3299.87</v>
      </c>
      <c r="S45" s="123">
        <f t="shared" si="25"/>
        <v>0</v>
      </c>
      <c r="T45" s="150">
        <f t="shared" si="31"/>
        <v>3299.87</v>
      </c>
      <c r="U45" s="123">
        <f t="shared" si="26"/>
        <v>329.98700000000002</v>
      </c>
      <c r="V45" s="123">
        <f>+'[1]C&amp;A'!D51*0.02</f>
        <v>21.911999999999999</v>
      </c>
      <c r="W45" s="150">
        <f t="shared" si="27"/>
        <v>3651.7689999999998</v>
      </c>
      <c r="X45" s="152"/>
      <c r="Y45" s="160"/>
      <c r="Z45" s="154">
        <f t="shared" si="28"/>
        <v>-3299.87</v>
      </c>
      <c r="AA45" s="154"/>
      <c r="AB45" s="21"/>
      <c r="AC45" s="155" t="str">
        <f t="shared" si="3"/>
        <v>SI</v>
      </c>
      <c r="AD45" s="156" t="s">
        <v>254</v>
      </c>
      <c r="AE45" s="157" t="s">
        <v>255</v>
      </c>
      <c r="AF45" s="158">
        <f t="shared" si="4"/>
        <v>45.13</v>
      </c>
      <c r="AG45" s="158">
        <f t="shared" si="5"/>
        <v>0</v>
      </c>
      <c r="AH45" s="158">
        <f t="shared" si="6"/>
        <v>0</v>
      </c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</row>
    <row r="46" spans="1:181" s="36" customFormat="1">
      <c r="A46" s="20" t="s">
        <v>35</v>
      </c>
      <c r="B46" s="38" t="s">
        <v>106</v>
      </c>
      <c r="C46" s="22" t="s">
        <v>107</v>
      </c>
      <c r="D46" s="23">
        <v>42222</v>
      </c>
      <c r="E46" s="20" t="s">
        <v>108</v>
      </c>
      <c r="F46" s="90">
        <v>1000</v>
      </c>
      <c r="G46" s="25"/>
      <c r="H46" s="25"/>
      <c r="I46" s="26">
        <v>45.13</v>
      </c>
      <c r="J46" s="30">
        <f t="shared" si="30"/>
        <v>954.87</v>
      </c>
      <c r="K46" s="37"/>
      <c r="L46" s="79"/>
      <c r="M46" s="27"/>
      <c r="N46" s="27"/>
      <c r="O46" s="27"/>
      <c r="P46" s="28"/>
      <c r="Q46" s="29">
        <v>0</v>
      </c>
      <c r="R46" s="30">
        <f t="shared" si="29"/>
        <v>954.87</v>
      </c>
      <c r="S46" s="31">
        <f t="shared" si="25"/>
        <v>0</v>
      </c>
      <c r="T46" s="30">
        <f t="shared" si="31"/>
        <v>954.87</v>
      </c>
      <c r="U46" s="32">
        <f t="shared" si="26"/>
        <v>95.487000000000009</v>
      </c>
      <c r="V46" s="31">
        <f>+'[1]C&amp;A'!D52*0.02</f>
        <v>21.911999999999999</v>
      </c>
      <c r="W46" s="30">
        <f t="shared" si="27"/>
        <v>1072.269</v>
      </c>
      <c r="X46" s="33"/>
      <c r="Y46" s="39"/>
      <c r="Z46" s="35">
        <f t="shared" si="28"/>
        <v>-954.87</v>
      </c>
      <c r="AA46" s="35"/>
      <c r="AB46" s="38"/>
      <c r="AC46" s="17" t="str">
        <f t="shared" si="3"/>
        <v>SI</v>
      </c>
      <c r="AD46" s="139" t="s">
        <v>256</v>
      </c>
      <c r="AE46" s="138" t="s">
        <v>257</v>
      </c>
      <c r="AF46" s="137">
        <f t="shared" si="4"/>
        <v>45.13</v>
      </c>
      <c r="AG46" s="137">
        <f t="shared" si="5"/>
        <v>0</v>
      </c>
      <c r="AH46" s="137">
        <f t="shared" si="6"/>
        <v>0</v>
      </c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</row>
    <row r="47" spans="1:181" s="36" customFormat="1">
      <c r="A47" s="21" t="s">
        <v>42</v>
      </c>
      <c r="B47" s="21" t="s">
        <v>109</v>
      </c>
      <c r="C47" s="118" t="s">
        <v>110</v>
      </c>
      <c r="D47" s="119">
        <v>40298</v>
      </c>
      <c r="E47" s="21" t="s">
        <v>171</v>
      </c>
      <c r="F47" s="120">
        <v>11495.76</v>
      </c>
      <c r="G47" s="121"/>
      <c r="H47" s="121"/>
      <c r="I47" s="149">
        <v>45.13</v>
      </c>
      <c r="J47" s="150">
        <f t="shared" si="30"/>
        <v>11450.630000000001</v>
      </c>
      <c r="K47" s="121"/>
      <c r="L47" s="122"/>
      <c r="M47" s="123"/>
      <c r="N47" s="123"/>
      <c r="O47" s="123"/>
      <c r="P47" s="151"/>
      <c r="Q47" s="124">
        <v>340.56</v>
      </c>
      <c r="R47" s="150">
        <f t="shared" si="29"/>
        <v>11110.070000000002</v>
      </c>
      <c r="S47" s="123">
        <f t="shared" si="25"/>
        <v>1145.0630000000001</v>
      </c>
      <c r="T47" s="150">
        <f t="shared" si="31"/>
        <v>9965.0070000000014</v>
      </c>
      <c r="U47" s="123">
        <f t="shared" si="26"/>
        <v>0</v>
      </c>
      <c r="V47" s="123">
        <f>+'[1]C&amp;A'!D53*0.02</f>
        <v>21.911999999999999</v>
      </c>
      <c r="W47" s="150">
        <f t="shared" si="27"/>
        <v>11472.542000000001</v>
      </c>
      <c r="X47" s="152"/>
      <c r="Y47" s="160"/>
      <c r="Z47" s="154">
        <f t="shared" si="28"/>
        <v>-9965.0070000000014</v>
      </c>
      <c r="AA47" s="154"/>
      <c r="AB47" s="161"/>
      <c r="AC47" s="155" t="str">
        <f>IF(B47=AE47,"SI","NO")</f>
        <v>NO</v>
      </c>
      <c r="AD47" s="156" t="s">
        <v>258</v>
      </c>
      <c r="AE47" s="157" t="s">
        <v>259</v>
      </c>
      <c r="AF47" s="158">
        <f t="shared" si="4"/>
        <v>45.13</v>
      </c>
      <c r="AG47" s="158">
        <f t="shared" si="5"/>
        <v>0</v>
      </c>
      <c r="AH47" s="158">
        <f t="shared" si="6"/>
        <v>340.56</v>
      </c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</row>
    <row r="48" spans="1:181" s="36" customFormat="1">
      <c r="A48" s="20" t="s">
        <v>35</v>
      </c>
      <c r="B48" s="20" t="s">
        <v>111</v>
      </c>
      <c r="C48" s="22" t="s">
        <v>112</v>
      </c>
      <c r="D48" s="23">
        <v>41428</v>
      </c>
      <c r="E48" s="20" t="s">
        <v>113</v>
      </c>
      <c r="F48" s="90">
        <v>11960.28</v>
      </c>
      <c r="G48" s="25"/>
      <c r="H48" s="25"/>
      <c r="I48" s="26">
        <v>45.13</v>
      </c>
      <c r="J48" s="30">
        <f t="shared" si="30"/>
        <v>11915.150000000001</v>
      </c>
      <c r="K48" s="37"/>
      <c r="L48" s="80">
        <v>1</v>
      </c>
      <c r="M48" s="27"/>
      <c r="N48" s="27"/>
      <c r="O48" s="27"/>
      <c r="P48" s="28"/>
      <c r="Q48" s="29">
        <v>0</v>
      </c>
      <c r="R48" s="30">
        <f t="shared" si="29"/>
        <v>11914.150000000001</v>
      </c>
      <c r="S48" s="31">
        <f t="shared" si="25"/>
        <v>1191.5150000000001</v>
      </c>
      <c r="T48" s="30">
        <f t="shared" si="31"/>
        <v>10722.635000000002</v>
      </c>
      <c r="U48" s="32">
        <f t="shared" si="26"/>
        <v>0</v>
      </c>
      <c r="V48" s="31">
        <f>+'[1]C&amp;A'!D54*0.02</f>
        <v>21.911999999999999</v>
      </c>
      <c r="W48" s="30">
        <f t="shared" si="27"/>
        <v>11937.062000000002</v>
      </c>
      <c r="X48" s="33"/>
      <c r="Y48" s="34"/>
      <c r="Z48" s="35">
        <f t="shared" si="28"/>
        <v>-10722.635000000002</v>
      </c>
      <c r="AA48" s="35"/>
      <c r="AB48" s="38"/>
      <c r="AC48" s="17" t="str">
        <f t="shared" si="3"/>
        <v>SI</v>
      </c>
      <c r="AD48" s="139" t="s">
        <v>260</v>
      </c>
      <c r="AE48" s="138" t="s">
        <v>261</v>
      </c>
      <c r="AF48" s="137">
        <f t="shared" si="4"/>
        <v>45.13</v>
      </c>
      <c r="AG48" s="137">
        <f t="shared" si="5"/>
        <v>0</v>
      </c>
      <c r="AH48" s="137">
        <f t="shared" si="6"/>
        <v>0</v>
      </c>
      <c r="AI48" s="17"/>
      <c r="AJ48" s="17"/>
      <c r="AN48" s="17"/>
      <c r="AO48" s="17"/>
      <c r="AP48" s="17"/>
      <c r="AQ48" s="17"/>
      <c r="AR48" s="17"/>
      <c r="AS48" s="17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</row>
    <row r="49" spans="1:181" s="36" customFormat="1">
      <c r="A49" s="20" t="s">
        <v>103</v>
      </c>
      <c r="B49" s="20" t="s">
        <v>114</v>
      </c>
      <c r="C49" s="22">
        <v>8</v>
      </c>
      <c r="D49" s="23">
        <v>39608</v>
      </c>
      <c r="E49" s="20" t="s">
        <v>115</v>
      </c>
      <c r="F49" s="90">
        <v>15773.28</v>
      </c>
      <c r="G49" s="25"/>
      <c r="H49" s="25"/>
      <c r="I49" s="26">
        <v>45.13</v>
      </c>
      <c r="J49" s="30">
        <f t="shared" si="30"/>
        <v>15728.150000000001</v>
      </c>
      <c r="K49" s="37"/>
      <c r="L49" s="79"/>
      <c r="M49" s="27"/>
      <c r="N49" s="27"/>
      <c r="O49" s="27"/>
      <c r="P49" s="28"/>
      <c r="Q49" s="29">
        <v>0</v>
      </c>
      <c r="R49" s="30">
        <f t="shared" si="29"/>
        <v>15728.150000000001</v>
      </c>
      <c r="S49" s="31">
        <f t="shared" si="25"/>
        <v>1572.8150000000003</v>
      </c>
      <c r="T49" s="30">
        <f t="shared" si="31"/>
        <v>14155.335000000001</v>
      </c>
      <c r="U49" s="32">
        <f t="shared" si="26"/>
        <v>0</v>
      </c>
      <c r="V49" s="31">
        <f>+'[1]C&amp;A'!D55*0.02</f>
        <v>21.911999999999999</v>
      </c>
      <c r="W49" s="30">
        <f t="shared" si="27"/>
        <v>15750.062000000002</v>
      </c>
      <c r="X49" s="33"/>
      <c r="Y49" s="39"/>
      <c r="Z49" s="35">
        <f t="shared" si="28"/>
        <v>-14155.335000000001</v>
      </c>
      <c r="AA49" s="35"/>
      <c r="AB49" s="38"/>
      <c r="AC49" s="17" t="str">
        <f t="shared" si="3"/>
        <v>SI</v>
      </c>
      <c r="AD49" s="139" t="s">
        <v>262</v>
      </c>
      <c r="AE49" s="138" t="s">
        <v>263</v>
      </c>
      <c r="AF49" s="137">
        <f t="shared" si="4"/>
        <v>45.13</v>
      </c>
      <c r="AG49" s="137">
        <f t="shared" si="5"/>
        <v>0</v>
      </c>
      <c r="AH49" s="137">
        <f t="shared" si="6"/>
        <v>0</v>
      </c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</row>
    <row r="50" spans="1:181" s="52" customFormat="1">
      <c r="A50" s="20" t="s">
        <v>142</v>
      </c>
      <c r="B50" s="95" t="s">
        <v>150</v>
      </c>
      <c r="C50" s="22" t="s">
        <v>151</v>
      </c>
      <c r="D50" s="23">
        <v>41793</v>
      </c>
      <c r="E50" s="20" t="s">
        <v>152</v>
      </c>
      <c r="F50" s="90">
        <v>6250</v>
      </c>
      <c r="G50" s="25"/>
      <c r="H50" s="25"/>
      <c r="I50" s="26">
        <v>45.13</v>
      </c>
      <c r="J50" s="30">
        <f t="shared" si="30"/>
        <v>6204.87</v>
      </c>
      <c r="K50" s="37"/>
      <c r="L50" s="79"/>
      <c r="M50" s="27"/>
      <c r="N50" s="27"/>
      <c r="O50" s="27"/>
      <c r="P50" s="28"/>
      <c r="Q50" s="29"/>
      <c r="R50" s="30">
        <f t="shared" si="29"/>
        <v>6204.87</v>
      </c>
      <c r="S50" s="31"/>
      <c r="T50" s="30">
        <f t="shared" si="31"/>
        <v>6204.87</v>
      </c>
      <c r="U50" s="32"/>
      <c r="V50" s="31"/>
      <c r="W50" s="30"/>
      <c r="X50" s="33"/>
      <c r="Y50" s="39"/>
      <c r="Z50" s="35"/>
      <c r="AA50" s="35"/>
      <c r="AB50" s="38"/>
      <c r="AC50" s="17" t="str">
        <f t="shared" si="3"/>
        <v>SI</v>
      </c>
      <c r="AD50" s="139" t="s">
        <v>264</v>
      </c>
      <c r="AE50" s="138" t="s">
        <v>265</v>
      </c>
      <c r="AF50" s="137">
        <f t="shared" si="4"/>
        <v>45.13</v>
      </c>
      <c r="AG50" s="137">
        <f t="shared" si="5"/>
        <v>0</v>
      </c>
      <c r="AH50" s="137">
        <f t="shared" si="6"/>
        <v>0</v>
      </c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</row>
    <row r="51" spans="1:181" s="52" customFormat="1">
      <c r="A51" s="20" t="s">
        <v>35</v>
      </c>
      <c r="B51" s="20" t="s">
        <v>137</v>
      </c>
      <c r="C51" s="22"/>
      <c r="D51" s="23">
        <v>42569</v>
      </c>
      <c r="E51" s="20" t="s">
        <v>138</v>
      </c>
      <c r="F51" s="90"/>
      <c r="G51" s="25"/>
      <c r="H51" s="25"/>
      <c r="I51" s="26">
        <v>45.13</v>
      </c>
      <c r="J51" s="30">
        <f t="shared" si="30"/>
        <v>-45.13</v>
      </c>
      <c r="K51" s="37"/>
      <c r="L51" s="79"/>
      <c r="M51" s="27"/>
      <c r="N51" s="27"/>
      <c r="O51" s="27"/>
      <c r="P51" s="28"/>
      <c r="Q51" s="29"/>
      <c r="R51" s="30">
        <f t="shared" si="29"/>
        <v>-45.13</v>
      </c>
      <c r="S51" s="31">
        <f t="shared" si="25"/>
        <v>0</v>
      </c>
      <c r="T51" s="30">
        <f t="shared" si="31"/>
        <v>-45.13</v>
      </c>
      <c r="U51" s="32">
        <f t="shared" si="26"/>
        <v>-4.5130000000000008</v>
      </c>
      <c r="V51" s="31">
        <f>+'[1]C&amp;A'!D58*0.02</f>
        <v>21.911999999999999</v>
      </c>
      <c r="W51" s="30">
        <f t="shared" si="27"/>
        <v>-27.731000000000002</v>
      </c>
      <c r="X51" s="33"/>
      <c r="Y51" s="39"/>
      <c r="Z51" s="35"/>
      <c r="AA51" s="35"/>
      <c r="AB51" s="38"/>
      <c r="AC51" s="17" t="str">
        <f t="shared" si="3"/>
        <v>SI</v>
      </c>
      <c r="AD51" s="139" t="s">
        <v>266</v>
      </c>
      <c r="AE51" s="138" t="s">
        <v>267</v>
      </c>
      <c r="AF51" s="137">
        <f t="shared" si="4"/>
        <v>45.13</v>
      </c>
      <c r="AG51" s="137">
        <f t="shared" si="5"/>
        <v>0</v>
      </c>
      <c r="AH51" s="137">
        <f t="shared" si="6"/>
        <v>0</v>
      </c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</row>
    <row r="52" spans="1:181" s="53" customFormat="1">
      <c r="A52" s="20" t="s">
        <v>71</v>
      </c>
      <c r="B52" s="20" t="s">
        <v>116</v>
      </c>
      <c r="C52" s="22">
        <v>18</v>
      </c>
      <c r="D52" s="23">
        <v>38733</v>
      </c>
      <c r="E52" s="20" t="s">
        <v>155</v>
      </c>
      <c r="F52" s="90">
        <v>11495.76</v>
      </c>
      <c r="G52" s="25"/>
      <c r="H52" s="25"/>
      <c r="I52" s="26">
        <v>45.13</v>
      </c>
      <c r="J52" s="30">
        <f t="shared" si="30"/>
        <v>11450.630000000001</v>
      </c>
      <c r="K52" s="37"/>
      <c r="L52" s="79"/>
      <c r="M52" s="27"/>
      <c r="N52" s="27"/>
      <c r="O52" s="27"/>
      <c r="P52" s="28"/>
      <c r="Q52" s="29">
        <v>741.3</v>
      </c>
      <c r="R52" s="30">
        <f t="shared" si="29"/>
        <v>10709.330000000002</v>
      </c>
      <c r="S52" s="31">
        <f t="shared" si="25"/>
        <v>1145.0630000000001</v>
      </c>
      <c r="T52" s="30">
        <f t="shared" si="31"/>
        <v>9564.2670000000016</v>
      </c>
      <c r="U52" s="32">
        <f t="shared" si="26"/>
        <v>0</v>
      </c>
      <c r="V52" s="31">
        <f>+'[1]C&amp;A'!D57*0.02</f>
        <v>21.911999999999999</v>
      </c>
      <c r="W52" s="30">
        <f t="shared" si="27"/>
        <v>11472.542000000001</v>
      </c>
      <c r="X52" s="33"/>
      <c r="Y52" s="39"/>
      <c r="Z52" s="35">
        <f t="shared" ref="Z52:Z56" si="32">+X52+Y52-T52</f>
        <v>-9564.2670000000016</v>
      </c>
      <c r="AA52" s="35"/>
      <c r="AB52" s="38"/>
      <c r="AC52" s="17" t="str">
        <f t="shared" si="3"/>
        <v>SI</v>
      </c>
      <c r="AD52" s="139" t="s">
        <v>268</v>
      </c>
      <c r="AE52" s="138" t="s">
        <v>269</v>
      </c>
      <c r="AF52" s="137">
        <f t="shared" si="4"/>
        <v>45.13</v>
      </c>
      <c r="AG52" s="137">
        <f t="shared" si="5"/>
        <v>0</v>
      </c>
      <c r="AH52" s="137">
        <f t="shared" si="6"/>
        <v>741.3</v>
      </c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54"/>
    </row>
    <row r="53" spans="1:181" s="53" customFormat="1">
      <c r="A53" s="20" t="s">
        <v>103</v>
      </c>
      <c r="B53" s="20" t="s">
        <v>159</v>
      </c>
      <c r="C53" s="22"/>
      <c r="D53" s="23">
        <v>42608</v>
      </c>
      <c r="E53" s="20" t="s">
        <v>104</v>
      </c>
      <c r="F53" s="90"/>
      <c r="G53" s="25"/>
      <c r="H53" s="25"/>
      <c r="I53" s="26">
        <v>45.13</v>
      </c>
      <c r="J53" s="30">
        <f t="shared" si="30"/>
        <v>-45.13</v>
      </c>
      <c r="K53" s="37"/>
      <c r="L53" s="79"/>
      <c r="M53" s="27"/>
      <c r="N53" s="27"/>
      <c r="O53" s="27"/>
      <c r="P53" s="28"/>
      <c r="Q53" s="29"/>
      <c r="R53" s="30">
        <f t="shared" ref="R53" si="33">+J53-SUM(K53:Q53)</f>
        <v>-45.13</v>
      </c>
      <c r="S53" s="31">
        <f t="shared" ref="S53" si="34">IF(J53&gt;4500,J53*0.1,0)</f>
        <v>0</v>
      </c>
      <c r="T53" s="30">
        <f t="shared" ref="T53" si="35">+R53-S53</f>
        <v>-45.13</v>
      </c>
      <c r="U53" s="32">
        <f t="shared" ref="U53" si="36">IF(J53&lt;4500,J53*0.1,0)</f>
        <v>-4.5130000000000008</v>
      </c>
      <c r="V53" s="31"/>
      <c r="W53" s="30"/>
      <c r="X53" s="33"/>
      <c r="Y53" s="39"/>
      <c r="Z53" s="35"/>
      <c r="AA53" s="35"/>
      <c r="AB53" s="38"/>
      <c r="AC53" s="17" t="str">
        <f t="shared" si="3"/>
        <v>SI</v>
      </c>
      <c r="AD53" s="139" t="s">
        <v>272</v>
      </c>
      <c r="AE53" s="138" t="s">
        <v>273</v>
      </c>
      <c r="AF53" s="137">
        <f t="shared" si="4"/>
        <v>45.13</v>
      </c>
      <c r="AG53" s="137">
        <f t="shared" si="5"/>
        <v>0</v>
      </c>
      <c r="AH53" s="137">
        <f t="shared" si="6"/>
        <v>0</v>
      </c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54"/>
    </row>
    <row r="54" spans="1:181" s="53" customFormat="1">
      <c r="A54" s="20" t="s">
        <v>97</v>
      </c>
      <c r="B54" s="20" t="s">
        <v>122</v>
      </c>
      <c r="C54" s="20" t="s">
        <v>123</v>
      </c>
      <c r="D54" s="23">
        <v>42321</v>
      </c>
      <c r="E54" s="20" t="s">
        <v>97</v>
      </c>
      <c r="F54" s="90">
        <v>13166.04</v>
      </c>
      <c r="G54" s="25"/>
      <c r="H54" s="25"/>
      <c r="I54" s="26">
        <v>45.13</v>
      </c>
      <c r="J54" s="30">
        <f t="shared" si="30"/>
        <v>13120.910000000002</v>
      </c>
      <c r="K54" s="37"/>
      <c r="L54" s="79"/>
      <c r="M54" s="27"/>
      <c r="N54" s="27"/>
      <c r="O54" s="27"/>
      <c r="P54" s="28"/>
      <c r="Q54" s="29">
        <v>335.19</v>
      </c>
      <c r="R54" s="30">
        <f t="shared" si="29"/>
        <v>12785.720000000001</v>
      </c>
      <c r="S54" s="31">
        <f t="shared" si="25"/>
        <v>1312.0910000000003</v>
      </c>
      <c r="T54" s="30">
        <f t="shared" si="31"/>
        <v>11473.629000000001</v>
      </c>
      <c r="U54" s="32">
        <f t="shared" si="26"/>
        <v>0</v>
      </c>
      <c r="V54" s="31">
        <f>+'[1]C&amp;A'!D61*0.02</f>
        <v>21.911999999999999</v>
      </c>
      <c r="W54" s="30">
        <f t="shared" si="27"/>
        <v>13142.822000000002</v>
      </c>
      <c r="X54" s="33"/>
      <c r="Y54" s="34"/>
      <c r="Z54" s="35">
        <f t="shared" si="32"/>
        <v>-11473.629000000001</v>
      </c>
      <c r="AA54" s="35"/>
      <c r="AB54" s="38"/>
      <c r="AC54" s="17" t="str">
        <f t="shared" si="3"/>
        <v>SI</v>
      </c>
      <c r="AD54" s="139" t="s">
        <v>274</v>
      </c>
      <c r="AE54" s="138" t="s">
        <v>275</v>
      </c>
      <c r="AF54" s="137">
        <f t="shared" si="4"/>
        <v>45.13</v>
      </c>
      <c r="AG54" s="137">
        <f t="shared" si="5"/>
        <v>0</v>
      </c>
      <c r="AH54" s="137">
        <f t="shared" si="6"/>
        <v>335.19</v>
      </c>
      <c r="AI54" s="55"/>
      <c r="AJ54" s="55"/>
      <c r="AK54" s="17"/>
      <c r="AL54" s="17"/>
      <c r="AM54" s="17"/>
      <c r="AN54" s="17"/>
      <c r="AO54" s="17"/>
      <c r="AP54" s="17"/>
      <c r="AQ54" s="17"/>
      <c r="AR54" s="17"/>
      <c r="AS54" s="17"/>
    </row>
    <row r="55" spans="1:181" s="56" customFormat="1">
      <c r="A55" s="20" t="s">
        <v>35</v>
      </c>
      <c r="B55" s="38" t="s">
        <v>124</v>
      </c>
      <c r="C55" s="20"/>
      <c r="D55" s="23">
        <v>42169</v>
      </c>
      <c r="E55" s="20" t="s">
        <v>38</v>
      </c>
      <c r="F55" s="90"/>
      <c r="G55" s="25"/>
      <c r="H55" s="25"/>
      <c r="I55" s="26">
        <v>45.13</v>
      </c>
      <c r="J55" s="30">
        <f t="shared" si="30"/>
        <v>-45.13</v>
      </c>
      <c r="K55" s="37"/>
      <c r="L55" s="79"/>
      <c r="M55" s="27"/>
      <c r="N55" s="27"/>
      <c r="O55" s="27"/>
      <c r="P55" s="28"/>
      <c r="Q55" s="29">
        <v>0</v>
      </c>
      <c r="R55" s="30">
        <f t="shared" si="29"/>
        <v>-45.13</v>
      </c>
      <c r="S55" s="31">
        <f t="shared" si="25"/>
        <v>0</v>
      </c>
      <c r="T55" s="30">
        <f t="shared" si="31"/>
        <v>-45.13</v>
      </c>
      <c r="U55" s="32">
        <f t="shared" si="26"/>
        <v>-4.5130000000000008</v>
      </c>
      <c r="V55" s="31">
        <f>+'[1]C&amp;A'!D62*0.02</f>
        <v>21.911999999999999</v>
      </c>
      <c r="W55" s="30">
        <f t="shared" si="27"/>
        <v>-27.731000000000002</v>
      </c>
      <c r="X55" s="33"/>
      <c r="Y55" s="34"/>
      <c r="Z55" s="35">
        <f t="shared" si="32"/>
        <v>45.13</v>
      </c>
      <c r="AA55" s="57"/>
      <c r="AB55" s="38"/>
      <c r="AC55" s="17" t="str">
        <f t="shared" si="3"/>
        <v>SI</v>
      </c>
      <c r="AD55" s="139" t="s">
        <v>276</v>
      </c>
      <c r="AE55" s="138" t="s">
        <v>277</v>
      </c>
      <c r="AF55" s="137">
        <f t="shared" si="4"/>
        <v>45.13</v>
      </c>
      <c r="AG55" s="137">
        <f t="shared" si="5"/>
        <v>0</v>
      </c>
      <c r="AH55" s="137">
        <f t="shared" si="6"/>
        <v>0</v>
      </c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</row>
    <row r="56" spans="1:181" s="53" customFormat="1">
      <c r="A56" s="21" t="s">
        <v>42</v>
      </c>
      <c r="B56" s="21" t="s">
        <v>125</v>
      </c>
      <c r="C56" s="118" t="s">
        <v>126</v>
      </c>
      <c r="D56" s="119">
        <v>41939</v>
      </c>
      <c r="E56" s="21" t="s">
        <v>54</v>
      </c>
      <c r="F56" s="120">
        <v>1435.2</v>
      </c>
      <c r="G56" s="121"/>
      <c r="H56" s="121"/>
      <c r="I56" s="149">
        <v>45.13</v>
      </c>
      <c r="J56" s="150">
        <f t="shared" si="30"/>
        <v>1390.07</v>
      </c>
      <c r="K56" s="121"/>
      <c r="L56" s="122"/>
      <c r="M56" s="123"/>
      <c r="N56" s="123"/>
      <c r="O56" s="123"/>
      <c r="P56" s="151"/>
      <c r="Q56" s="124">
        <v>303.79000000000002</v>
      </c>
      <c r="R56" s="150">
        <f t="shared" si="29"/>
        <v>1086.28</v>
      </c>
      <c r="S56" s="123">
        <f t="shared" si="25"/>
        <v>0</v>
      </c>
      <c r="T56" s="150">
        <f t="shared" si="31"/>
        <v>1086.28</v>
      </c>
      <c r="U56" s="123">
        <f t="shared" si="26"/>
        <v>139.00700000000001</v>
      </c>
      <c r="V56" s="123">
        <f>+'[1]C&amp;A'!D63*0.02</f>
        <v>21.911999999999999</v>
      </c>
      <c r="W56" s="150">
        <f t="shared" si="27"/>
        <v>1550.989</v>
      </c>
      <c r="X56" s="152"/>
      <c r="Y56" s="160"/>
      <c r="Z56" s="154">
        <f t="shared" si="32"/>
        <v>-1086.28</v>
      </c>
      <c r="AA56" s="154"/>
      <c r="AB56" s="21"/>
      <c r="AC56" s="155" t="str">
        <f t="shared" si="3"/>
        <v>SI</v>
      </c>
      <c r="AD56" s="156" t="s">
        <v>278</v>
      </c>
      <c r="AE56" s="157" t="s">
        <v>279</v>
      </c>
      <c r="AF56" s="158">
        <f t="shared" si="4"/>
        <v>45.13</v>
      </c>
      <c r="AG56" s="158">
        <f t="shared" si="5"/>
        <v>0</v>
      </c>
      <c r="AH56" s="158">
        <f t="shared" si="6"/>
        <v>303.79000000000002</v>
      </c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</row>
    <row r="57" spans="1:181" s="19" customFormat="1">
      <c r="A57" s="41"/>
      <c r="B57" s="20"/>
      <c r="C57" s="58"/>
      <c r="D57" s="58"/>
      <c r="E57" s="20"/>
      <c r="F57" s="90"/>
      <c r="G57" s="24"/>
      <c r="H57" s="24"/>
      <c r="I57" s="26"/>
      <c r="J57" s="30"/>
      <c r="K57" s="37"/>
      <c r="L57" s="79"/>
      <c r="M57" s="27"/>
      <c r="N57" s="27"/>
      <c r="O57" s="27"/>
      <c r="P57" s="31"/>
      <c r="Q57" s="31"/>
      <c r="R57" s="30"/>
      <c r="S57" s="31"/>
      <c r="T57" s="30"/>
      <c r="U57" s="32"/>
      <c r="V57" s="31"/>
      <c r="W57" s="30"/>
      <c r="X57" s="33"/>
      <c r="Y57" s="59"/>
      <c r="Z57" s="35"/>
      <c r="AA57" s="35"/>
      <c r="AB57" s="38"/>
      <c r="AC57" s="17"/>
      <c r="AD57" s="16"/>
      <c r="AE57" s="16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6"/>
    </row>
    <row r="58" spans="1:181" s="19" customFormat="1">
      <c r="A58" s="60"/>
      <c r="B58" s="61"/>
      <c r="C58" s="61"/>
      <c r="D58" s="61"/>
      <c r="E58" s="61"/>
      <c r="F58" s="92"/>
      <c r="G58" s="62"/>
      <c r="H58" s="62"/>
      <c r="I58" s="62"/>
      <c r="J58" s="63"/>
      <c r="K58" s="62"/>
      <c r="L58" s="81"/>
      <c r="M58" s="64"/>
      <c r="N58" s="64"/>
      <c r="O58" s="64"/>
      <c r="P58" s="64"/>
      <c r="Q58" s="64"/>
      <c r="R58" s="65"/>
      <c r="S58" s="64"/>
      <c r="T58" s="63"/>
      <c r="U58" s="64"/>
      <c r="V58" s="64"/>
      <c r="W58" s="63"/>
      <c r="X58" s="66"/>
      <c r="Y58" s="66"/>
      <c r="Z58" s="17"/>
      <c r="AA58" s="17"/>
      <c r="AB58" s="17"/>
      <c r="AC58" s="17"/>
      <c r="AD58" s="16"/>
      <c r="AE58" s="16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6"/>
    </row>
    <row r="59" spans="1:181" s="19" customFormat="1" ht="16.5" thickBot="1">
      <c r="A59" s="16"/>
      <c r="B59" s="67" t="s">
        <v>127</v>
      </c>
      <c r="C59" s="67"/>
      <c r="D59" s="67"/>
      <c r="E59" s="67"/>
      <c r="F59" s="93">
        <f>SUM(F7:F56)</f>
        <v>525860.44000000006</v>
      </c>
      <c r="G59" s="68">
        <f>SUM(G9:G54)</f>
        <v>0</v>
      </c>
      <c r="H59" s="68">
        <f>SUM(H9:H54)</f>
        <v>0</v>
      </c>
      <c r="I59" s="68">
        <f>SUM(I7:I57)</f>
        <v>2211.3700000000026</v>
      </c>
      <c r="J59" s="68">
        <f>SUM(J7:J57)</f>
        <v>523649.07</v>
      </c>
      <c r="K59" s="68">
        <f>SUM(K7:K56)</f>
        <v>0</v>
      </c>
      <c r="L59" s="82">
        <f>SUM(L9:L54)</f>
        <v>1</v>
      </c>
      <c r="M59" s="68">
        <f>SUM(M9:M54)</f>
        <v>0</v>
      </c>
      <c r="N59" s="68">
        <f>SUM(N9:N54)</f>
        <v>0</v>
      </c>
      <c r="O59" s="68">
        <f>SUM(O9:O54)</f>
        <v>0</v>
      </c>
      <c r="P59" s="68">
        <f>SUM(P7:P56)</f>
        <v>657.18999999999994</v>
      </c>
      <c r="Q59" s="68">
        <f>SUM(Q7:Q57)</f>
        <v>5927.5999999999995</v>
      </c>
      <c r="R59" s="68">
        <f>SUM(R7:R57)</f>
        <v>517063.28</v>
      </c>
      <c r="S59" s="68">
        <f>SUM(S9:S54)</f>
        <v>43967.716000000008</v>
      </c>
      <c r="T59" s="68">
        <f>SUM(T7:T57)</f>
        <v>473095.56399999995</v>
      </c>
      <c r="U59" s="68">
        <f>SUM(U9:U54)</f>
        <v>3222.6840000000007</v>
      </c>
      <c r="V59" s="68">
        <f>SUM(V9:V54)</f>
        <v>766.92000000000019</v>
      </c>
      <c r="W59" s="68">
        <f>SUM(W9:W54)</f>
        <v>401784.49999999988</v>
      </c>
      <c r="X59" s="66"/>
      <c r="Y59" s="66"/>
      <c r="Z59" s="17"/>
      <c r="AA59" s="17"/>
      <c r="AB59" s="16"/>
      <c r="AC59" s="16"/>
      <c r="AD59" s="16"/>
      <c r="AE59" s="16"/>
      <c r="AF59" s="16"/>
      <c r="AG59" s="16"/>
      <c r="AH59" s="16"/>
      <c r="AI59" s="16"/>
      <c r="AJ59" s="16"/>
      <c r="AK59" s="17"/>
      <c r="AL59" s="17"/>
      <c r="AM59" s="17"/>
      <c r="AN59" s="17"/>
      <c r="AO59" s="17"/>
      <c r="AP59" s="17"/>
      <c r="AQ59" s="17"/>
      <c r="AR59" s="17"/>
      <c r="AS59" s="16"/>
    </row>
    <row r="60" spans="1:181" s="19" customFormat="1" ht="16.5" thickTop="1">
      <c r="A60" s="16"/>
      <c r="B60" s="16"/>
      <c r="C60" s="16"/>
      <c r="D60" s="16"/>
      <c r="E60" s="16"/>
      <c r="F60" s="89"/>
      <c r="G60" s="13"/>
      <c r="H60" s="13"/>
      <c r="I60" s="13"/>
      <c r="J60" s="14"/>
      <c r="K60" s="13"/>
      <c r="L60" s="78"/>
      <c r="M60" s="13"/>
      <c r="N60" s="13"/>
      <c r="O60" s="13"/>
      <c r="P60" s="13"/>
      <c r="Q60" s="13"/>
      <c r="R60" s="14"/>
      <c r="S60" s="13"/>
      <c r="T60" s="14"/>
      <c r="U60" s="13"/>
      <c r="V60" s="13"/>
      <c r="W60" s="14"/>
      <c r="X60" s="66"/>
      <c r="Y60" s="66"/>
      <c r="Z60" s="17"/>
      <c r="AA60" s="17"/>
      <c r="AB60" s="16"/>
      <c r="AC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</row>
    <row r="61" spans="1:181" s="19" customFormat="1">
      <c r="A61" s="280" t="s">
        <v>128</v>
      </c>
      <c r="B61" s="280"/>
      <c r="C61" s="20"/>
      <c r="D61" s="20"/>
      <c r="E61" s="20"/>
      <c r="F61" s="90"/>
      <c r="G61" s="24"/>
      <c r="H61" s="24"/>
      <c r="I61" s="24"/>
      <c r="J61" s="69"/>
      <c r="K61" s="24"/>
      <c r="L61" s="83"/>
      <c r="M61" s="24"/>
      <c r="N61" s="24"/>
      <c r="O61" s="24"/>
      <c r="P61" s="24"/>
      <c r="Q61" s="24"/>
      <c r="R61" s="69"/>
      <c r="S61" s="24">
        <f>+S59-S60</f>
        <v>43967.716000000008</v>
      </c>
      <c r="T61" s="69"/>
      <c r="U61" s="24"/>
      <c r="V61" s="24"/>
      <c r="W61" s="69"/>
      <c r="X61" s="70"/>
      <c r="Y61" s="70"/>
      <c r="Z61" s="20"/>
      <c r="AA61" s="20"/>
      <c r="AB61" s="20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</row>
    <row r="62" spans="1:181" s="36" customFormat="1">
      <c r="A62" s="21" t="s">
        <v>42</v>
      </c>
      <c r="B62" s="21" t="s">
        <v>284</v>
      </c>
      <c r="C62" s="118"/>
      <c r="D62" s="119">
        <v>39516</v>
      </c>
      <c r="E62" s="21" t="s">
        <v>87</v>
      </c>
      <c r="F62" s="120">
        <v>11019.49</v>
      </c>
      <c r="G62" s="121"/>
      <c r="H62" s="121"/>
      <c r="I62" s="149"/>
      <c r="J62" s="150">
        <f>SUM(F62:H62)-I62</f>
        <v>11019.49</v>
      </c>
      <c r="K62" s="121"/>
      <c r="L62" s="123"/>
      <c r="M62" s="123"/>
      <c r="N62" s="123"/>
      <c r="O62" s="123"/>
      <c r="P62" s="121"/>
      <c r="Q62" s="121">
        <v>3519.49</v>
      </c>
      <c r="R62" s="150">
        <f>+J62-K62</f>
        <v>11019.49</v>
      </c>
      <c r="S62" s="123">
        <f>+R62*0.05</f>
        <v>550.97450000000003</v>
      </c>
      <c r="T62" s="150">
        <f>+R62-N62-Q62</f>
        <v>7500</v>
      </c>
      <c r="U62" s="123">
        <f>IF(R62&lt;3000,R62*0.1,0)</f>
        <v>0</v>
      </c>
      <c r="V62" s="123">
        <v>0</v>
      </c>
      <c r="W62" s="150">
        <f>+R62+U62+V62</f>
        <v>11019.49</v>
      </c>
      <c r="X62" s="163"/>
      <c r="Y62" s="163"/>
      <c r="Z62" s="21"/>
      <c r="AA62" s="21"/>
      <c r="AB62" s="21"/>
      <c r="AC62" s="155" t="str">
        <f>IF(B62=AE62,"SI","NO")</f>
        <v>SI</v>
      </c>
      <c r="AD62" s="156" t="s">
        <v>250</v>
      </c>
      <c r="AE62" s="157" t="s">
        <v>251</v>
      </c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</row>
    <row r="63" spans="1:181">
      <c r="A63" s="60"/>
      <c r="B63" s="71"/>
      <c r="C63" s="71"/>
      <c r="D63" s="71"/>
      <c r="E63" s="71"/>
      <c r="F63" s="94"/>
      <c r="G63" s="72"/>
      <c r="H63" s="72"/>
      <c r="I63" s="72"/>
      <c r="J63" s="73">
        <f>SUM(F63:I63)</f>
        <v>0</v>
      </c>
      <c r="K63" s="74"/>
      <c r="L63" s="84"/>
      <c r="M63" s="75"/>
      <c r="N63" s="75"/>
      <c r="O63" s="75"/>
      <c r="P63" s="75"/>
      <c r="Q63" s="75"/>
      <c r="R63" s="73">
        <f>+J63-K63</f>
        <v>0</v>
      </c>
      <c r="S63" s="64">
        <f>+R63*0.05</f>
        <v>0</v>
      </c>
      <c r="T63" s="73">
        <f>+R63-N63-Q63</f>
        <v>0</v>
      </c>
      <c r="U63" s="76">
        <f>IF(R63&lt;3000,R63*0.1,0)</f>
        <v>0</v>
      </c>
      <c r="V63" s="64">
        <v>0</v>
      </c>
      <c r="W63" s="73">
        <f>+R63+U63+V63</f>
        <v>0</v>
      </c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</row>
    <row r="64" spans="1:181">
      <c r="W64" s="14">
        <f>SUM(W62:W63)</f>
        <v>11019.49</v>
      </c>
    </row>
    <row r="65" spans="1:181" s="36" customFormat="1">
      <c r="A65" s="16"/>
      <c r="B65" s="77" t="s">
        <v>129</v>
      </c>
      <c r="C65" s="77"/>
      <c r="D65" s="77"/>
      <c r="E65" s="16"/>
      <c r="F65" s="89"/>
      <c r="G65" s="13"/>
      <c r="H65" s="13"/>
      <c r="I65" s="13"/>
      <c r="J65" s="14"/>
      <c r="K65" s="13"/>
      <c r="L65" s="78"/>
      <c r="M65" s="13"/>
      <c r="N65" s="13"/>
      <c r="O65" s="13"/>
      <c r="P65" s="13"/>
      <c r="Q65" s="13"/>
      <c r="R65" s="14"/>
      <c r="S65" s="13"/>
      <c r="T65" s="14"/>
      <c r="U65" s="13"/>
      <c r="V65" s="13"/>
      <c r="W65" s="14">
        <f>+W64*0.16</f>
        <v>1763.1184000000001</v>
      </c>
      <c r="X65" s="15"/>
      <c r="Y65" s="15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</row>
    <row r="66" spans="1:181">
      <c r="B66" s="77"/>
      <c r="C66" s="77"/>
      <c r="D66" s="77"/>
      <c r="W66" s="14">
        <f>+W64+W65</f>
        <v>12782.608399999999</v>
      </c>
    </row>
    <row r="67" spans="1:181" s="36" customFormat="1">
      <c r="A67" s="16"/>
      <c r="B67" s="77"/>
      <c r="C67" s="77"/>
      <c r="D67" s="77"/>
      <c r="E67" s="16"/>
      <c r="F67" s="89"/>
      <c r="G67" s="13"/>
      <c r="H67" s="13"/>
      <c r="I67" s="13"/>
      <c r="J67" s="14"/>
      <c r="K67" s="13"/>
      <c r="L67" s="78"/>
      <c r="M67" s="13"/>
      <c r="N67" s="13"/>
      <c r="O67" s="13"/>
      <c r="P67" s="13"/>
      <c r="Q67" s="13"/>
      <c r="R67" s="14"/>
      <c r="S67" s="13"/>
      <c r="T67" s="14"/>
      <c r="U67" s="13"/>
      <c r="V67" s="13"/>
      <c r="W67" s="14"/>
      <c r="X67" s="15"/>
      <c r="Y67" s="15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</row>
    <row r="72" spans="1:181">
      <c r="A72" s="16" t="s">
        <v>130</v>
      </c>
    </row>
    <row r="73" spans="1:181">
      <c r="A73" s="16" t="s">
        <v>131</v>
      </c>
    </row>
    <row r="74" spans="1:181">
      <c r="A74" s="16" t="s">
        <v>132</v>
      </c>
    </row>
    <row r="75" spans="1:181">
      <c r="A75" s="16" t="s">
        <v>133</v>
      </c>
      <c r="B75" s="13"/>
    </row>
    <row r="76" spans="1:181">
      <c r="A76" s="16" t="s">
        <v>134</v>
      </c>
      <c r="B76" s="13"/>
    </row>
    <row r="77" spans="1:181">
      <c r="A77" s="16" t="s">
        <v>135</v>
      </c>
      <c r="B77" s="13"/>
    </row>
    <row r="80" spans="1:181">
      <c r="G80" s="16"/>
      <c r="H80" s="16"/>
      <c r="I80" s="16"/>
      <c r="J80" s="16"/>
      <c r="K80" s="16"/>
      <c r="L80" s="85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AD80" s="113"/>
      <c r="AE80" s="113"/>
    </row>
    <row r="81" spans="1:45">
      <c r="G81" s="16"/>
      <c r="H81" s="16"/>
      <c r="I81" s="16"/>
      <c r="J81" s="16"/>
      <c r="K81" s="16"/>
      <c r="L81" s="85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AD81" s="113"/>
      <c r="AE81" s="113"/>
    </row>
    <row r="82" spans="1:45">
      <c r="A82" s="99" t="s">
        <v>71</v>
      </c>
      <c r="B82" s="99" t="s">
        <v>78</v>
      </c>
      <c r="C82" s="117" t="s">
        <v>79</v>
      </c>
      <c r="D82" s="100">
        <v>42135</v>
      </c>
      <c r="E82" s="99" t="s">
        <v>82</v>
      </c>
      <c r="F82" s="101">
        <v>4500</v>
      </c>
      <c r="G82" s="102"/>
      <c r="H82" s="102"/>
      <c r="I82" s="103">
        <v>45.13</v>
      </c>
      <c r="J82" s="104">
        <f>SUM(F82:H82)-I82</f>
        <v>4454.87</v>
      </c>
      <c r="K82" s="102"/>
      <c r="L82" s="115">
        <v>1</v>
      </c>
      <c r="M82" s="106"/>
      <c r="N82" s="106"/>
      <c r="O82" s="106"/>
      <c r="P82" s="107"/>
      <c r="Q82" s="108">
        <v>0</v>
      </c>
      <c r="R82" s="104">
        <f>+J82-SUM(K82:Q82)</f>
        <v>4453.87</v>
      </c>
      <c r="S82" s="106">
        <f>IF(J82&gt;4500,J82*0.1,0)</f>
        <v>0</v>
      </c>
      <c r="T82" s="104">
        <f>+R82-S82</f>
        <v>4453.87</v>
      </c>
      <c r="U82" s="106">
        <f>IF(J82&lt;4500,J82*0.1,0)</f>
        <v>445.48700000000002</v>
      </c>
      <c r="V82" s="106">
        <f>+'[1]C&amp;A'!D34*0.02</f>
        <v>21.911999999999999</v>
      </c>
      <c r="W82" s="104">
        <f>+J82+U82+V82</f>
        <v>4922.2690000000002</v>
      </c>
      <c r="X82" s="109"/>
      <c r="Y82" s="110"/>
      <c r="Z82" s="111">
        <f>+X82+Y82-T82</f>
        <v>-4453.87</v>
      </c>
      <c r="AA82" s="111"/>
      <c r="AB82" s="136" t="s">
        <v>173</v>
      </c>
      <c r="AC82" s="113"/>
      <c r="AD82" s="113"/>
      <c r="AE82" s="113"/>
    </row>
    <row r="83" spans="1:45" s="114" customFormat="1">
      <c r="A83" s="99" t="s">
        <v>42</v>
      </c>
      <c r="B83" s="99" t="s">
        <v>100</v>
      </c>
      <c r="C83" s="99" t="s">
        <v>101</v>
      </c>
      <c r="D83" s="100">
        <v>42121</v>
      </c>
      <c r="E83" s="99" t="s">
        <v>83</v>
      </c>
      <c r="F83" s="101"/>
      <c r="G83" s="102"/>
      <c r="H83" s="102"/>
      <c r="I83" s="103">
        <v>45.13</v>
      </c>
      <c r="J83" s="104">
        <f>SUM(F83:H83)-I83</f>
        <v>-45.13</v>
      </c>
      <c r="K83" s="102"/>
      <c r="L83" s="105"/>
      <c r="M83" s="106"/>
      <c r="N83" s="106"/>
      <c r="O83" s="106"/>
      <c r="P83" s="107"/>
      <c r="Q83" s="108">
        <v>0</v>
      </c>
      <c r="R83" s="104">
        <f>+J83-SUM(K83:Q83)</f>
        <v>-45.13</v>
      </c>
      <c r="S83" s="106">
        <f>IF(J83&gt;4500,J83*0.1,0)</f>
        <v>0</v>
      </c>
      <c r="T83" s="104">
        <f>+R83-S83</f>
        <v>-45.13</v>
      </c>
      <c r="U83" s="106">
        <f>IF(J83&lt;4500,J83*0.1,0)</f>
        <v>-4.5130000000000008</v>
      </c>
      <c r="V83" s="106">
        <f>+'[1]C&amp;A'!D48*0.02</f>
        <v>21.911999999999999</v>
      </c>
      <c r="W83" s="104">
        <f>+J83+U83+V83</f>
        <v>-27.731000000000002</v>
      </c>
      <c r="X83" s="109"/>
      <c r="Y83" s="110"/>
      <c r="Z83" s="111">
        <f>+X83+Y83-T83</f>
        <v>45.13</v>
      </c>
      <c r="AA83" s="111"/>
      <c r="AB83" s="112" t="s">
        <v>165</v>
      </c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</row>
    <row r="84" spans="1:45" s="114" customFormat="1">
      <c r="A84" s="99" t="s">
        <v>91</v>
      </c>
      <c r="B84" s="99" t="s">
        <v>117</v>
      </c>
      <c r="C84" s="99" t="s">
        <v>118</v>
      </c>
      <c r="D84" s="100">
        <v>41352</v>
      </c>
      <c r="E84" s="99" t="s">
        <v>119</v>
      </c>
      <c r="F84" s="101"/>
      <c r="G84" s="102"/>
      <c r="H84" s="102"/>
      <c r="I84" s="103">
        <v>45.13</v>
      </c>
      <c r="J84" s="104">
        <f>SUM(F84:H84)-I84</f>
        <v>-45.13</v>
      </c>
      <c r="K84" s="102"/>
      <c r="L84" s="115"/>
      <c r="M84" s="106"/>
      <c r="N84" s="106"/>
      <c r="O84" s="106"/>
      <c r="P84" s="107"/>
      <c r="Q84" s="108">
        <v>0</v>
      </c>
      <c r="R84" s="104">
        <f>+J84-SUM(K84:Q84)</f>
        <v>-45.13</v>
      </c>
      <c r="S84" s="106">
        <f>IF(J84&gt;4500,J84*0.1,0)</f>
        <v>0</v>
      </c>
      <c r="T84" s="104">
        <f>+R84-S84</f>
        <v>-45.13</v>
      </c>
      <c r="U84" s="106">
        <f>IF(J84&lt;4500,J84*0.1,0)</f>
        <v>-4.5130000000000008</v>
      </c>
      <c r="V84" s="106">
        <f>+'[1]C&amp;A'!D58*0.02</f>
        <v>21.911999999999999</v>
      </c>
      <c r="W84" s="104">
        <f>+J84+U84+V84</f>
        <v>-27.731000000000002</v>
      </c>
      <c r="X84" s="109"/>
      <c r="Y84" s="110"/>
      <c r="Z84" s="111">
        <f>+X84+Y84-T84</f>
        <v>45.13</v>
      </c>
      <c r="AA84" s="111"/>
      <c r="AB84" s="112" t="s">
        <v>166</v>
      </c>
      <c r="AC84" s="113"/>
      <c r="AD84" s="16"/>
      <c r="AE84" s="16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</row>
    <row r="85" spans="1:45" s="116" customFormat="1">
      <c r="A85" s="99" t="s">
        <v>42</v>
      </c>
      <c r="B85" s="99" t="s">
        <v>120</v>
      </c>
      <c r="C85" s="117" t="s">
        <v>121</v>
      </c>
      <c r="D85" s="100">
        <v>41802</v>
      </c>
      <c r="E85" s="99" t="s">
        <v>62</v>
      </c>
      <c r="F85" s="101"/>
      <c r="G85" s="102"/>
      <c r="H85" s="102"/>
      <c r="I85" s="103">
        <v>45.13</v>
      </c>
      <c r="J85" s="104">
        <f>SUM(F85:H85)-I85</f>
        <v>-45.13</v>
      </c>
      <c r="K85" s="102"/>
      <c r="L85" s="105"/>
      <c r="M85" s="106"/>
      <c r="N85" s="106"/>
      <c r="O85" s="106"/>
      <c r="P85" s="107"/>
      <c r="Q85" s="108">
        <v>0</v>
      </c>
      <c r="R85" s="104">
        <f>+J85-SUM(K85:Q85)</f>
        <v>-45.13</v>
      </c>
      <c r="S85" s="106">
        <f>IF(J85&gt;4500,J85*0.1,0)</f>
        <v>0</v>
      </c>
      <c r="T85" s="104">
        <f>+R85-S85</f>
        <v>-45.13</v>
      </c>
      <c r="U85" s="106">
        <f>IF(J85&lt;4500,J85*0.1,0)</f>
        <v>-4.5130000000000008</v>
      </c>
      <c r="V85" s="106">
        <f>+'[1]C&amp;A'!D59*0.02</f>
        <v>21.911999999999999</v>
      </c>
      <c r="W85" s="104">
        <f>+J85+U85+V85</f>
        <v>-27.731000000000002</v>
      </c>
      <c r="X85" s="109"/>
      <c r="Y85" s="110"/>
      <c r="Z85" s="111">
        <f>+X85+Y85-T85</f>
        <v>45.13</v>
      </c>
      <c r="AA85" s="111"/>
      <c r="AB85" s="112" t="s">
        <v>167</v>
      </c>
      <c r="AC85" s="113"/>
      <c r="AD85" s="16"/>
      <c r="AE85" s="16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</row>
    <row r="86" spans="1:45" s="116" customFormat="1">
      <c r="A86" s="16"/>
      <c r="B86" s="16"/>
      <c r="C86" s="16"/>
      <c r="D86" s="16"/>
      <c r="E86" s="16"/>
      <c r="F86" s="89"/>
      <c r="G86" s="16"/>
      <c r="H86" s="16"/>
      <c r="I86" s="16"/>
      <c r="J86" s="16"/>
      <c r="K86" s="16"/>
      <c r="L86" s="85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</row>
    <row r="87" spans="1:45">
      <c r="G87" s="16"/>
      <c r="H87" s="16"/>
      <c r="I87" s="16"/>
      <c r="J87" s="16"/>
      <c r="K87" s="16"/>
      <c r="L87" s="85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45">
      <c r="G88" s="16"/>
      <c r="H88" s="16"/>
      <c r="I88" s="16"/>
      <c r="J88" s="16"/>
      <c r="K88" s="16"/>
      <c r="L88" s="85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45">
      <c r="G89" s="16"/>
      <c r="H89" s="16"/>
      <c r="I89" s="16"/>
      <c r="J89" s="16"/>
      <c r="K89" s="16"/>
      <c r="L89" s="85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45">
      <c r="G90" s="16"/>
      <c r="H90" s="16"/>
      <c r="I90" s="16"/>
      <c r="J90" s="16"/>
      <c r="K90" s="16"/>
      <c r="L90" s="85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45">
      <c r="G91" s="16"/>
      <c r="H91" s="16"/>
      <c r="I91" s="16"/>
      <c r="J91" s="16"/>
      <c r="K91" s="16"/>
      <c r="L91" s="85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45">
      <c r="G92" s="16"/>
      <c r="H92" s="16"/>
      <c r="I92" s="16"/>
      <c r="J92" s="16"/>
      <c r="K92" s="16"/>
      <c r="L92" s="85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45">
      <c r="G93" s="16"/>
      <c r="H93" s="16"/>
      <c r="I93" s="16"/>
      <c r="J93" s="16"/>
      <c r="K93" s="16"/>
      <c r="L93" s="85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45">
      <c r="G94" s="16"/>
      <c r="H94" s="16"/>
      <c r="I94" s="16"/>
      <c r="J94" s="16"/>
      <c r="K94" s="16"/>
      <c r="L94" s="85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45">
      <c r="G95" s="16"/>
      <c r="H95" s="16"/>
      <c r="I95" s="16"/>
      <c r="J95" s="16"/>
      <c r="K95" s="16"/>
      <c r="L95" s="85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45">
      <c r="G96" s="16"/>
      <c r="H96" s="16"/>
      <c r="I96" s="16"/>
      <c r="J96" s="16"/>
      <c r="K96" s="16"/>
      <c r="L96" s="85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85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85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85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85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85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85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85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85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85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85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85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85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85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85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85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85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85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85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85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85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85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85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85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85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85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85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85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85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85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85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85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85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85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85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85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85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85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85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85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85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85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85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85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85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85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85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85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85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85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85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85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85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85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85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85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85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85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85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85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85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85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85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85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85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85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85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85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85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85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85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85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85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85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85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85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85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85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85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85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85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85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85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85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85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85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85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85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85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85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85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85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85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85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85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85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85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85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85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85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85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85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85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85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85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85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85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85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85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85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85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85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85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85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85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85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85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85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85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85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85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85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85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85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85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85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85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85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85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85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85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85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85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85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85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85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85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85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85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85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85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85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85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85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85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85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85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85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85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85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85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85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85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85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85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85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85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85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85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85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85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85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85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85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85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85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85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85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85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85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85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85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85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85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85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85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85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85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85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85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85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85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85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85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85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85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85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85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85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85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7:25">
      <c r="G286" s="16"/>
      <c r="H286" s="16"/>
      <c r="I286" s="16"/>
      <c r="J286" s="16"/>
      <c r="K286" s="16"/>
      <c r="L286" s="85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7:25">
      <c r="G287" s="16"/>
      <c r="H287" s="16"/>
      <c r="I287" s="16"/>
      <c r="J287" s="16"/>
      <c r="K287" s="16"/>
      <c r="L287" s="85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7:25">
      <c r="G288" s="16"/>
      <c r="H288" s="16"/>
      <c r="I288" s="16"/>
      <c r="J288" s="16"/>
      <c r="K288" s="16"/>
      <c r="L288" s="85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7:25">
      <c r="G289" s="16"/>
      <c r="H289" s="16"/>
      <c r="I289" s="16"/>
      <c r="J289" s="16"/>
      <c r="K289" s="16"/>
      <c r="L289" s="85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7:25">
      <c r="G290" s="16"/>
      <c r="H290" s="16"/>
      <c r="I290" s="16"/>
      <c r="J290" s="16"/>
      <c r="K290" s="16"/>
      <c r="L290" s="85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7:25">
      <c r="G291" s="16"/>
      <c r="H291" s="16"/>
      <c r="I291" s="16"/>
      <c r="J291" s="16"/>
      <c r="K291" s="16"/>
      <c r="L291" s="85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7:25">
      <c r="G292" s="16"/>
      <c r="H292" s="16"/>
      <c r="I292" s="16"/>
      <c r="J292" s="16"/>
      <c r="K292" s="16"/>
      <c r="L292" s="85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7:25">
      <c r="G293" s="16"/>
      <c r="H293" s="16"/>
      <c r="I293" s="16"/>
      <c r="J293" s="16"/>
      <c r="K293" s="16"/>
      <c r="L293" s="85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7:25">
      <c r="G294" s="16"/>
      <c r="H294" s="16"/>
      <c r="I294" s="16"/>
      <c r="J294" s="16"/>
      <c r="K294" s="16"/>
      <c r="L294" s="85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</sheetData>
  <autoFilter ref="A5:AB57">
    <filterColumn colId="23" showButton="0"/>
    <sortState ref="A8:AB59">
      <sortCondition ref="B5:B59"/>
    </sortState>
  </autoFilter>
  <mergeCells count="25">
    <mergeCell ref="O5:O6"/>
    <mergeCell ref="A5:A6"/>
    <mergeCell ref="B5:B6"/>
    <mergeCell ref="C5:C6"/>
    <mergeCell ref="E5:E6"/>
    <mergeCell ref="G5:G6"/>
    <mergeCell ref="H5:H6"/>
    <mergeCell ref="D5:D6"/>
    <mergeCell ref="F5:F6"/>
    <mergeCell ref="V5:V6"/>
    <mergeCell ref="W5:W6"/>
    <mergeCell ref="X5:Y5"/>
    <mergeCell ref="Z5:Z6"/>
    <mergeCell ref="A61:B61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281"/>
  <sheetViews>
    <sheetView workbookViewId="0">
      <pane xSplit="2" ySplit="6" topLeftCell="C10" activePane="bottomRight" state="frozen"/>
      <selection pane="topRight" activeCell="C1" sqref="C1"/>
      <selection pane="bottomLeft" activeCell="A7" sqref="A7"/>
      <selection pane="bottomRight" sqref="A1:AJ1048576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4.42578125" style="16" customWidth="1"/>
    <col min="5" max="5" width="36" style="16" bestFit="1" customWidth="1"/>
    <col min="6" max="6" width="13.85546875" style="89" bestFit="1" customWidth="1"/>
    <col min="7" max="7" width="15.28515625" style="13" customWidth="1"/>
    <col min="8" max="8" width="8.7109375" style="13" customWidth="1"/>
    <col min="9" max="9" width="15.7109375" style="13" customWidth="1"/>
    <col min="10" max="10" width="17" style="14" customWidth="1"/>
    <col min="11" max="11" width="13.5703125" style="13" customWidth="1"/>
    <col min="12" max="12" width="13.5703125" style="78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4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8.28515625" style="16" bestFit="1" customWidth="1"/>
    <col min="28" max="28" width="51" style="16" bestFit="1" customWidth="1"/>
    <col min="29" max="30" width="11.42578125" style="16"/>
    <col min="31" max="31" width="31.140625" style="16" bestFit="1" customWidth="1"/>
    <col min="32" max="35" width="11.42578125" style="16"/>
    <col min="36" max="246" width="11.42578125" style="7"/>
    <col min="247" max="247" width="28.7109375" style="7" customWidth="1"/>
    <col min="248" max="248" width="50.42578125" style="7" bestFit="1" customWidth="1"/>
    <col min="249" max="249" width="8.85546875" style="7" customWidth="1"/>
    <col min="250" max="250" width="19.85546875" style="7" customWidth="1"/>
    <col min="251" max="251" width="36" style="7" bestFit="1" customWidth="1"/>
    <col min="252" max="252" width="13.42578125" style="7" bestFit="1" customWidth="1"/>
    <col min="253" max="253" width="23" style="7" bestFit="1" customWidth="1"/>
    <col min="254" max="254" width="24.5703125" style="7" bestFit="1" customWidth="1"/>
    <col min="255" max="255" width="25.42578125" style="7" bestFit="1" customWidth="1"/>
    <col min="256" max="256" width="17" style="7" customWidth="1"/>
    <col min="257" max="263" width="13.5703125" style="7" customWidth="1"/>
    <col min="264" max="265" width="16.7109375" style="7" customWidth="1"/>
    <col min="266" max="266" width="15.42578125" style="7" customWidth="1"/>
    <col min="267" max="268" width="13.5703125" style="7" customWidth="1"/>
    <col min="269" max="269" width="15.42578125" style="7" customWidth="1"/>
    <col min="270" max="272" width="0" style="7" hidden="1" customWidth="1"/>
    <col min="273" max="273" width="19.7109375" style="7" customWidth="1"/>
    <col min="274" max="274" width="63.85546875" style="7" bestFit="1" customWidth="1"/>
    <col min="275" max="502" width="11.42578125" style="7"/>
    <col min="503" max="503" width="28.7109375" style="7" customWidth="1"/>
    <col min="504" max="504" width="50.42578125" style="7" bestFit="1" customWidth="1"/>
    <col min="505" max="505" width="8.85546875" style="7" customWidth="1"/>
    <col min="506" max="506" width="19.85546875" style="7" customWidth="1"/>
    <col min="507" max="507" width="36" style="7" bestFit="1" customWidth="1"/>
    <col min="508" max="508" width="13.42578125" style="7" bestFit="1" customWidth="1"/>
    <col min="509" max="509" width="23" style="7" bestFit="1" customWidth="1"/>
    <col min="510" max="510" width="24.5703125" style="7" bestFit="1" customWidth="1"/>
    <col min="511" max="511" width="25.42578125" style="7" bestFit="1" customWidth="1"/>
    <col min="512" max="512" width="17" style="7" customWidth="1"/>
    <col min="513" max="519" width="13.5703125" style="7" customWidth="1"/>
    <col min="520" max="521" width="16.7109375" style="7" customWidth="1"/>
    <col min="522" max="522" width="15.42578125" style="7" customWidth="1"/>
    <col min="523" max="524" width="13.5703125" style="7" customWidth="1"/>
    <col min="525" max="525" width="15.42578125" style="7" customWidth="1"/>
    <col min="526" max="528" width="0" style="7" hidden="1" customWidth="1"/>
    <col min="529" max="529" width="19.7109375" style="7" customWidth="1"/>
    <col min="530" max="530" width="63.85546875" style="7" bestFit="1" customWidth="1"/>
    <col min="531" max="758" width="11.42578125" style="7"/>
    <col min="759" max="759" width="28.7109375" style="7" customWidth="1"/>
    <col min="760" max="760" width="50.42578125" style="7" bestFit="1" customWidth="1"/>
    <col min="761" max="761" width="8.85546875" style="7" customWidth="1"/>
    <col min="762" max="762" width="19.85546875" style="7" customWidth="1"/>
    <col min="763" max="763" width="36" style="7" bestFit="1" customWidth="1"/>
    <col min="764" max="764" width="13.42578125" style="7" bestFit="1" customWidth="1"/>
    <col min="765" max="765" width="23" style="7" bestFit="1" customWidth="1"/>
    <col min="766" max="766" width="24.5703125" style="7" bestFit="1" customWidth="1"/>
    <col min="767" max="767" width="25.42578125" style="7" bestFit="1" customWidth="1"/>
    <col min="768" max="768" width="17" style="7" customWidth="1"/>
    <col min="769" max="775" width="13.5703125" style="7" customWidth="1"/>
    <col min="776" max="777" width="16.7109375" style="7" customWidth="1"/>
    <col min="778" max="778" width="15.42578125" style="7" customWidth="1"/>
    <col min="779" max="780" width="13.5703125" style="7" customWidth="1"/>
    <col min="781" max="781" width="15.42578125" style="7" customWidth="1"/>
    <col min="782" max="784" width="0" style="7" hidden="1" customWidth="1"/>
    <col min="785" max="785" width="19.7109375" style="7" customWidth="1"/>
    <col min="786" max="786" width="63.85546875" style="7" bestFit="1" customWidth="1"/>
    <col min="787" max="1014" width="11.42578125" style="7"/>
    <col min="1015" max="1015" width="28.7109375" style="7" customWidth="1"/>
    <col min="1016" max="1016" width="50.42578125" style="7" bestFit="1" customWidth="1"/>
    <col min="1017" max="1017" width="8.85546875" style="7" customWidth="1"/>
    <col min="1018" max="1018" width="19.85546875" style="7" customWidth="1"/>
    <col min="1019" max="1019" width="36" style="7" bestFit="1" customWidth="1"/>
    <col min="1020" max="1020" width="13.42578125" style="7" bestFit="1" customWidth="1"/>
    <col min="1021" max="1021" width="23" style="7" bestFit="1" customWidth="1"/>
    <col min="1022" max="1022" width="24.5703125" style="7" bestFit="1" customWidth="1"/>
    <col min="1023" max="1023" width="25.42578125" style="7" bestFit="1" customWidth="1"/>
    <col min="1024" max="1024" width="17" style="7" customWidth="1"/>
    <col min="1025" max="1031" width="13.5703125" style="7" customWidth="1"/>
    <col min="1032" max="1033" width="16.7109375" style="7" customWidth="1"/>
    <col min="1034" max="1034" width="15.42578125" style="7" customWidth="1"/>
    <col min="1035" max="1036" width="13.5703125" style="7" customWidth="1"/>
    <col min="1037" max="1037" width="15.42578125" style="7" customWidth="1"/>
    <col min="1038" max="1040" width="0" style="7" hidden="1" customWidth="1"/>
    <col min="1041" max="1041" width="19.7109375" style="7" customWidth="1"/>
    <col min="1042" max="1042" width="63.85546875" style="7" bestFit="1" customWidth="1"/>
    <col min="1043" max="1270" width="11.42578125" style="7"/>
    <col min="1271" max="1271" width="28.7109375" style="7" customWidth="1"/>
    <col min="1272" max="1272" width="50.42578125" style="7" bestFit="1" customWidth="1"/>
    <col min="1273" max="1273" width="8.85546875" style="7" customWidth="1"/>
    <col min="1274" max="1274" width="19.85546875" style="7" customWidth="1"/>
    <col min="1275" max="1275" width="36" style="7" bestFit="1" customWidth="1"/>
    <col min="1276" max="1276" width="13.42578125" style="7" bestFit="1" customWidth="1"/>
    <col min="1277" max="1277" width="23" style="7" bestFit="1" customWidth="1"/>
    <col min="1278" max="1278" width="24.5703125" style="7" bestFit="1" customWidth="1"/>
    <col min="1279" max="1279" width="25.42578125" style="7" bestFit="1" customWidth="1"/>
    <col min="1280" max="1280" width="17" style="7" customWidth="1"/>
    <col min="1281" max="1287" width="13.5703125" style="7" customWidth="1"/>
    <col min="1288" max="1289" width="16.7109375" style="7" customWidth="1"/>
    <col min="1290" max="1290" width="15.42578125" style="7" customWidth="1"/>
    <col min="1291" max="1292" width="13.5703125" style="7" customWidth="1"/>
    <col min="1293" max="1293" width="15.42578125" style="7" customWidth="1"/>
    <col min="1294" max="1296" width="0" style="7" hidden="1" customWidth="1"/>
    <col min="1297" max="1297" width="19.7109375" style="7" customWidth="1"/>
    <col min="1298" max="1298" width="63.85546875" style="7" bestFit="1" customWidth="1"/>
    <col min="1299" max="1526" width="11.42578125" style="7"/>
    <col min="1527" max="1527" width="28.7109375" style="7" customWidth="1"/>
    <col min="1528" max="1528" width="50.42578125" style="7" bestFit="1" customWidth="1"/>
    <col min="1529" max="1529" width="8.85546875" style="7" customWidth="1"/>
    <col min="1530" max="1530" width="19.85546875" style="7" customWidth="1"/>
    <col min="1531" max="1531" width="36" style="7" bestFit="1" customWidth="1"/>
    <col min="1532" max="1532" width="13.42578125" style="7" bestFit="1" customWidth="1"/>
    <col min="1533" max="1533" width="23" style="7" bestFit="1" customWidth="1"/>
    <col min="1534" max="1534" width="24.5703125" style="7" bestFit="1" customWidth="1"/>
    <col min="1535" max="1535" width="25.42578125" style="7" bestFit="1" customWidth="1"/>
    <col min="1536" max="1536" width="17" style="7" customWidth="1"/>
    <col min="1537" max="1543" width="13.5703125" style="7" customWidth="1"/>
    <col min="1544" max="1545" width="16.7109375" style="7" customWidth="1"/>
    <col min="1546" max="1546" width="15.42578125" style="7" customWidth="1"/>
    <col min="1547" max="1548" width="13.5703125" style="7" customWidth="1"/>
    <col min="1549" max="1549" width="15.42578125" style="7" customWidth="1"/>
    <col min="1550" max="1552" width="0" style="7" hidden="1" customWidth="1"/>
    <col min="1553" max="1553" width="19.7109375" style="7" customWidth="1"/>
    <col min="1554" max="1554" width="63.85546875" style="7" bestFit="1" customWidth="1"/>
    <col min="1555" max="1782" width="11.42578125" style="7"/>
    <col min="1783" max="1783" width="28.7109375" style="7" customWidth="1"/>
    <col min="1784" max="1784" width="50.42578125" style="7" bestFit="1" customWidth="1"/>
    <col min="1785" max="1785" width="8.85546875" style="7" customWidth="1"/>
    <col min="1786" max="1786" width="19.85546875" style="7" customWidth="1"/>
    <col min="1787" max="1787" width="36" style="7" bestFit="1" customWidth="1"/>
    <col min="1788" max="1788" width="13.42578125" style="7" bestFit="1" customWidth="1"/>
    <col min="1789" max="1789" width="23" style="7" bestFit="1" customWidth="1"/>
    <col min="1790" max="1790" width="24.5703125" style="7" bestFit="1" customWidth="1"/>
    <col min="1791" max="1791" width="25.42578125" style="7" bestFit="1" customWidth="1"/>
    <col min="1792" max="1792" width="17" style="7" customWidth="1"/>
    <col min="1793" max="1799" width="13.5703125" style="7" customWidth="1"/>
    <col min="1800" max="1801" width="16.7109375" style="7" customWidth="1"/>
    <col min="1802" max="1802" width="15.42578125" style="7" customWidth="1"/>
    <col min="1803" max="1804" width="13.5703125" style="7" customWidth="1"/>
    <col min="1805" max="1805" width="15.42578125" style="7" customWidth="1"/>
    <col min="1806" max="1808" width="0" style="7" hidden="1" customWidth="1"/>
    <col min="1809" max="1809" width="19.7109375" style="7" customWidth="1"/>
    <col min="1810" max="1810" width="63.85546875" style="7" bestFit="1" customWidth="1"/>
    <col min="1811" max="2038" width="11.42578125" style="7"/>
    <col min="2039" max="2039" width="28.7109375" style="7" customWidth="1"/>
    <col min="2040" max="2040" width="50.42578125" style="7" bestFit="1" customWidth="1"/>
    <col min="2041" max="2041" width="8.85546875" style="7" customWidth="1"/>
    <col min="2042" max="2042" width="19.85546875" style="7" customWidth="1"/>
    <col min="2043" max="2043" width="36" style="7" bestFit="1" customWidth="1"/>
    <col min="2044" max="2044" width="13.42578125" style="7" bestFit="1" customWidth="1"/>
    <col min="2045" max="2045" width="23" style="7" bestFit="1" customWidth="1"/>
    <col min="2046" max="2046" width="24.5703125" style="7" bestFit="1" customWidth="1"/>
    <col min="2047" max="2047" width="25.42578125" style="7" bestFit="1" customWidth="1"/>
    <col min="2048" max="2048" width="17" style="7" customWidth="1"/>
    <col min="2049" max="2055" width="13.5703125" style="7" customWidth="1"/>
    <col min="2056" max="2057" width="16.7109375" style="7" customWidth="1"/>
    <col min="2058" max="2058" width="15.42578125" style="7" customWidth="1"/>
    <col min="2059" max="2060" width="13.5703125" style="7" customWidth="1"/>
    <col min="2061" max="2061" width="15.42578125" style="7" customWidth="1"/>
    <col min="2062" max="2064" width="0" style="7" hidden="1" customWidth="1"/>
    <col min="2065" max="2065" width="19.7109375" style="7" customWidth="1"/>
    <col min="2066" max="2066" width="63.85546875" style="7" bestFit="1" customWidth="1"/>
    <col min="2067" max="2294" width="11.42578125" style="7"/>
    <col min="2295" max="2295" width="28.7109375" style="7" customWidth="1"/>
    <col min="2296" max="2296" width="50.42578125" style="7" bestFit="1" customWidth="1"/>
    <col min="2297" max="2297" width="8.85546875" style="7" customWidth="1"/>
    <col min="2298" max="2298" width="19.85546875" style="7" customWidth="1"/>
    <col min="2299" max="2299" width="36" style="7" bestFit="1" customWidth="1"/>
    <col min="2300" max="2300" width="13.42578125" style="7" bestFit="1" customWidth="1"/>
    <col min="2301" max="2301" width="23" style="7" bestFit="1" customWidth="1"/>
    <col min="2302" max="2302" width="24.5703125" style="7" bestFit="1" customWidth="1"/>
    <col min="2303" max="2303" width="25.42578125" style="7" bestFit="1" customWidth="1"/>
    <col min="2304" max="2304" width="17" style="7" customWidth="1"/>
    <col min="2305" max="2311" width="13.5703125" style="7" customWidth="1"/>
    <col min="2312" max="2313" width="16.7109375" style="7" customWidth="1"/>
    <col min="2314" max="2314" width="15.42578125" style="7" customWidth="1"/>
    <col min="2315" max="2316" width="13.5703125" style="7" customWidth="1"/>
    <col min="2317" max="2317" width="15.42578125" style="7" customWidth="1"/>
    <col min="2318" max="2320" width="0" style="7" hidden="1" customWidth="1"/>
    <col min="2321" max="2321" width="19.7109375" style="7" customWidth="1"/>
    <col min="2322" max="2322" width="63.85546875" style="7" bestFit="1" customWidth="1"/>
    <col min="2323" max="2550" width="11.42578125" style="7"/>
    <col min="2551" max="2551" width="28.7109375" style="7" customWidth="1"/>
    <col min="2552" max="2552" width="50.42578125" style="7" bestFit="1" customWidth="1"/>
    <col min="2553" max="2553" width="8.85546875" style="7" customWidth="1"/>
    <col min="2554" max="2554" width="19.85546875" style="7" customWidth="1"/>
    <col min="2555" max="2555" width="36" style="7" bestFit="1" customWidth="1"/>
    <col min="2556" max="2556" width="13.42578125" style="7" bestFit="1" customWidth="1"/>
    <col min="2557" max="2557" width="23" style="7" bestFit="1" customWidth="1"/>
    <col min="2558" max="2558" width="24.5703125" style="7" bestFit="1" customWidth="1"/>
    <col min="2559" max="2559" width="25.42578125" style="7" bestFit="1" customWidth="1"/>
    <col min="2560" max="2560" width="17" style="7" customWidth="1"/>
    <col min="2561" max="2567" width="13.5703125" style="7" customWidth="1"/>
    <col min="2568" max="2569" width="16.7109375" style="7" customWidth="1"/>
    <col min="2570" max="2570" width="15.42578125" style="7" customWidth="1"/>
    <col min="2571" max="2572" width="13.5703125" style="7" customWidth="1"/>
    <col min="2573" max="2573" width="15.42578125" style="7" customWidth="1"/>
    <col min="2574" max="2576" width="0" style="7" hidden="1" customWidth="1"/>
    <col min="2577" max="2577" width="19.7109375" style="7" customWidth="1"/>
    <col min="2578" max="2578" width="63.85546875" style="7" bestFit="1" customWidth="1"/>
    <col min="2579" max="2806" width="11.42578125" style="7"/>
    <col min="2807" max="2807" width="28.7109375" style="7" customWidth="1"/>
    <col min="2808" max="2808" width="50.42578125" style="7" bestFit="1" customWidth="1"/>
    <col min="2809" max="2809" width="8.85546875" style="7" customWidth="1"/>
    <col min="2810" max="2810" width="19.85546875" style="7" customWidth="1"/>
    <col min="2811" max="2811" width="36" style="7" bestFit="1" customWidth="1"/>
    <col min="2812" max="2812" width="13.42578125" style="7" bestFit="1" customWidth="1"/>
    <col min="2813" max="2813" width="23" style="7" bestFit="1" customWidth="1"/>
    <col min="2814" max="2814" width="24.5703125" style="7" bestFit="1" customWidth="1"/>
    <col min="2815" max="2815" width="25.42578125" style="7" bestFit="1" customWidth="1"/>
    <col min="2816" max="2816" width="17" style="7" customWidth="1"/>
    <col min="2817" max="2823" width="13.5703125" style="7" customWidth="1"/>
    <col min="2824" max="2825" width="16.7109375" style="7" customWidth="1"/>
    <col min="2826" max="2826" width="15.42578125" style="7" customWidth="1"/>
    <col min="2827" max="2828" width="13.5703125" style="7" customWidth="1"/>
    <col min="2829" max="2829" width="15.42578125" style="7" customWidth="1"/>
    <col min="2830" max="2832" width="0" style="7" hidden="1" customWidth="1"/>
    <col min="2833" max="2833" width="19.7109375" style="7" customWidth="1"/>
    <col min="2834" max="2834" width="63.85546875" style="7" bestFit="1" customWidth="1"/>
    <col min="2835" max="3062" width="11.42578125" style="7"/>
    <col min="3063" max="3063" width="28.7109375" style="7" customWidth="1"/>
    <col min="3064" max="3064" width="50.42578125" style="7" bestFit="1" customWidth="1"/>
    <col min="3065" max="3065" width="8.85546875" style="7" customWidth="1"/>
    <col min="3066" max="3066" width="19.85546875" style="7" customWidth="1"/>
    <col min="3067" max="3067" width="36" style="7" bestFit="1" customWidth="1"/>
    <col min="3068" max="3068" width="13.42578125" style="7" bestFit="1" customWidth="1"/>
    <col min="3069" max="3069" width="23" style="7" bestFit="1" customWidth="1"/>
    <col min="3070" max="3070" width="24.5703125" style="7" bestFit="1" customWidth="1"/>
    <col min="3071" max="3071" width="25.42578125" style="7" bestFit="1" customWidth="1"/>
    <col min="3072" max="3072" width="17" style="7" customWidth="1"/>
    <col min="3073" max="3079" width="13.5703125" style="7" customWidth="1"/>
    <col min="3080" max="3081" width="16.7109375" style="7" customWidth="1"/>
    <col min="3082" max="3082" width="15.42578125" style="7" customWidth="1"/>
    <col min="3083" max="3084" width="13.5703125" style="7" customWidth="1"/>
    <col min="3085" max="3085" width="15.42578125" style="7" customWidth="1"/>
    <col min="3086" max="3088" width="0" style="7" hidden="1" customWidth="1"/>
    <col min="3089" max="3089" width="19.7109375" style="7" customWidth="1"/>
    <col min="3090" max="3090" width="63.85546875" style="7" bestFit="1" customWidth="1"/>
    <col min="3091" max="3318" width="11.42578125" style="7"/>
    <col min="3319" max="3319" width="28.7109375" style="7" customWidth="1"/>
    <col min="3320" max="3320" width="50.42578125" style="7" bestFit="1" customWidth="1"/>
    <col min="3321" max="3321" width="8.85546875" style="7" customWidth="1"/>
    <col min="3322" max="3322" width="19.85546875" style="7" customWidth="1"/>
    <col min="3323" max="3323" width="36" style="7" bestFit="1" customWidth="1"/>
    <col min="3324" max="3324" width="13.42578125" style="7" bestFit="1" customWidth="1"/>
    <col min="3325" max="3325" width="23" style="7" bestFit="1" customWidth="1"/>
    <col min="3326" max="3326" width="24.5703125" style="7" bestFit="1" customWidth="1"/>
    <col min="3327" max="3327" width="25.42578125" style="7" bestFit="1" customWidth="1"/>
    <col min="3328" max="3328" width="17" style="7" customWidth="1"/>
    <col min="3329" max="3335" width="13.5703125" style="7" customWidth="1"/>
    <col min="3336" max="3337" width="16.7109375" style="7" customWidth="1"/>
    <col min="3338" max="3338" width="15.42578125" style="7" customWidth="1"/>
    <col min="3339" max="3340" width="13.5703125" style="7" customWidth="1"/>
    <col min="3341" max="3341" width="15.42578125" style="7" customWidth="1"/>
    <col min="3342" max="3344" width="0" style="7" hidden="1" customWidth="1"/>
    <col min="3345" max="3345" width="19.7109375" style="7" customWidth="1"/>
    <col min="3346" max="3346" width="63.85546875" style="7" bestFit="1" customWidth="1"/>
    <col min="3347" max="3574" width="11.42578125" style="7"/>
    <col min="3575" max="3575" width="28.7109375" style="7" customWidth="1"/>
    <col min="3576" max="3576" width="50.42578125" style="7" bestFit="1" customWidth="1"/>
    <col min="3577" max="3577" width="8.85546875" style="7" customWidth="1"/>
    <col min="3578" max="3578" width="19.85546875" style="7" customWidth="1"/>
    <col min="3579" max="3579" width="36" style="7" bestFit="1" customWidth="1"/>
    <col min="3580" max="3580" width="13.42578125" style="7" bestFit="1" customWidth="1"/>
    <col min="3581" max="3581" width="23" style="7" bestFit="1" customWidth="1"/>
    <col min="3582" max="3582" width="24.5703125" style="7" bestFit="1" customWidth="1"/>
    <col min="3583" max="3583" width="25.42578125" style="7" bestFit="1" customWidth="1"/>
    <col min="3584" max="3584" width="17" style="7" customWidth="1"/>
    <col min="3585" max="3591" width="13.5703125" style="7" customWidth="1"/>
    <col min="3592" max="3593" width="16.7109375" style="7" customWidth="1"/>
    <col min="3594" max="3594" width="15.42578125" style="7" customWidth="1"/>
    <col min="3595" max="3596" width="13.5703125" style="7" customWidth="1"/>
    <col min="3597" max="3597" width="15.42578125" style="7" customWidth="1"/>
    <col min="3598" max="3600" width="0" style="7" hidden="1" customWidth="1"/>
    <col min="3601" max="3601" width="19.7109375" style="7" customWidth="1"/>
    <col min="3602" max="3602" width="63.85546875" style="7" bestFit="1" customWidth="1"/>
    <col min="3603" max="3830" width="11.42578125" style="7"/>
    <col min="3831" max="3831" width="28.7109375" style="7" customWidth="1"/>
    <col min="3832" max="3832" width="50.42578125" style="7" bestFit="1" customWidth="1"/>
    <col min="3833" max="3833" width="8.85546875" style="7" customWidth="1"/>
    <col min="3834" max="3834" width="19.85546875" style="7" customWidth="1"/>
    <col min="3835" max="3835" width="36" style="7" bestFit="1" customWidth="1"/>
    <col min="3836" max="3836" width="13.42578125" style="7" bestFit="1" customWidth="1"/>
    <col min="3837" max="3837" width="23" style="7" bestFit="1" customWidth="1"/>
    <col min="3838" max="3838" width="24.5703125" style="7" bestFit="1" customWidth="1"/>
    <col min="3839" max="3839" width="25.42578125" style="7" bestFit="1" customWidth="1"/>
    <col min="3840" max="3840" width="17" style="7" customWidth="1"/>
    <col min="3841" max="3847" width="13.5703125" style="7" customWidth="1"/>
    <col min="3848" max="3849" width="16.7109375" style="7" customWidth="1"/>
    <col min="3850" max="3850" width="15.42578125" style="7" customWidth="1"/>
    <col min="3851" max="3852" width="13.5703125" style="7" customWidth="1"/>
    <col min="3853" max="3853" width="15.42578125" style="7" customWidth="1"/>
    <col min="3854" max="3856" width="0" style="7" hidden="1" customWidth="1"/>
    <col min="3857" max="3857" width="19.7109375" style="7" customWidth="1"/>
    <col min="3858" max="3858" width="63.85546875" style="7" bestFit="1" customWidth="1"/>
    <col min="3859" max="4086" width="11.42578125" style="7"/>
    <col min="4087" max="4087" width="28.7109375" style="7" customWidth="1"/>
    <col min="4088" max="4088" width="50.42578125" style="7" bestFit="1" customWidth="1"/>
    <col min="4089" max="4089" width="8.85546875" style="7" customWidth="1"/>
    <col min="4090" max="4090" width="19.85546875" style="7" customWidth="1"/>
    <col min="4091" max="4091" width="36" style="7" bestFit="1" customWidth="1"/>
    <col min="4092" max="4092" width="13.42578125" style="7" bestFit="1" customWidth="1"/>
    <col min="4093" max="4093" width="23" style="7" bestFit="1" customWidth="1"/>
    <col min="4094" max="4094" width="24.5703125" style="7" bestFit="1" customWidth="1"/>
    <col min="4095" max="4095" width="25.42578125" style="7" bestFit="1" customWidth="1"/>
    <col min="4096" max="4096" width="17" style="7" customWidth="1"/>
    <col min="4097" max="4103" width="13.5703125" style="7" customWidth="1"/>
    <col min="4104" max="4105" width="16.7109375" style="7" customWidth="1"/>
    <col min="4106" max="4106" width="15.42578125" style="7" customWidth="1"/>
    <col min="4107" max="4108" width="13.5703125" style="7" customWidth="1"/>
    <col min="4109" max="4109" width="15.42578125" style="7" customWidth="1"/>
    <col min="4110" max="4112" width="0" style="7" hidden="1" customWidth="1"/>
    <col min="4113" max="4113" width="19.7109375" style="7" customWidth="1"/>
    <col min="4114" max="4114" width="63.85546875" style="7" bestFit="1" customWidth="1"/>
    <col min="4115" max="4342" width="11.42578125" style="7"/>
    <col min="4343" max="4343" width="28.7109375" style="7" customWidth="1"/>
    <col min="4344" max="4344" width="50.42578125" style="7" bestFit="1" customWidth="1"/>
    <col min="4345" max="4345" width="8.85546875" style="7" customWidth="1"/>
    <col min="4346" max="4346" width="19.85546875" style="7" customWidth="1"/>
    <col min="4347" max="4347" width="36" style="7" bestFit="1" customWidth="1"/>
    <col min="4348" max="4348" width="13.42578125" style="7" bestFit="1" customWidth="1"/>
    <col min="4349" max="4349" width="23" style="7" bestFit="1" customWidth="1"/>
    <col min="4350" max="4350" width="24.5703125" style="7" bestFit="1" customWidth="1"/>
    <col min="4351" max="4351" width="25.42578125" style="7" bestFit="1" customWidth="1"/>
    <col min="4352" max="4352" width="17" style="7" customWidth="1"/>
    <col min="4353" max="4359" width="13.5703125" style="7" customWidth="1"/>
    <col min="4360" max="4361" width="16.7109375" style="7" customWidth="1"/>
    <col min="4362" max="4362" width="15.42578125" style="7" customWidth="1"/>
    <col min="4363" max="4364" width="13.5703125" style="7" customWidth="1"/>
    <col min="4365" max="4365" width="15.42578125" style="7" customWidth="1"/>
    <col min="4366" max="4368" width="0" style="7" hidden="1" customWidth="1"/>
    <col min="4369" max="4369" width="19.7109375" style="7" customWidth="1"/>
    <col min="4370" max="4370" width="63.85546875" style="7" bestFit="1" customWidth="1"/>
    <col min="4371" max="4598" width="11.42578125" style="7"/>
    <col min="4599" max="4599" width="28.7109375" style="7" customWidth="1"/>
    <col min="4600" max="4600" width="50.42578125" style="7" bestFit="1" customWidth="1"/>
    <col min="4601" max="4601" width="8.85546875" style="7" customWidth="1"/>
    <col min="4602" max="4602" width="19.85546875" style="7" customWidth="1"/>
    <col min="4603" max="4603" width="36" style="7" bestFit="1" customWidth="1"/>
    <col min="4604" max="4604" width="13.42578125" style="7" bestFit="1" customWidth="1"/>
    <col min="4605" max="4605" width="23" style="7" bestFit="1" customWidth="1"/>
    <col min="4606" max="4606" width="24.5703125" style="7" bestFit="1" customWidth="1"/>
    <col min="4607" max="4607" width="25.42578125" style="7" bestFit="1" customWidth="1"/>
    <col min="4608" max="4608" width="17" style="7" customWidth="1"/>
    <col min="4609" max="4615" width="13.5703125" style="7" customWidth="1"/>
    <col min="4616" max="4617" width="16.7109375" style="7" customWidth="1"/>
    <col min="4618" max="4618" width="15.42578125" style="7" customWidth="1"/>
    <col min="4619" max="4620" width="13.5703125" style="7" customWidth="1"/>
    <col min="4621" max="4621" width="15.42578125" style="7" customWidth="1"/>
    <col min="4622" max="4624" width="0" style="7" hidden="1" customWidth="1"/>
    <col min="4625" max="4625" width="19.7109375" style="7" customWidth="1"/>
    <col min="4626" max="4626" width="63.85546875" style="7" bestFit="1" customWidth="1"/>
    <col min="4627" max="4854" width="11.42578125" style="7"/>
    <col min="4855" max="4855" width="28.7109375" style="7" customWidth="1"/>
    <col min="4856" max="4856" width="50.42578125" style="7" bestFit="1" customWidth="1"/>
    <col min="4857" max="4857" width="8.85546875" style="7" customWidth="1"/>
    <col min="4858" max="4858" width="19.85546875" style="7" customWidth="1"/>
    <col min="4859" max="4859" width="36" style="7" bestFit="1" customWidth="1"/>
    <col min="4860" max="4860" width="13.42578125" style="7" bestFit="1" customWidth="1"/>
    <col min="4861" max="4861" width="23" style="7" bestFit="1" customWidth="1"/>
    <col min="4862" max="4862" width="24.5703125" style="7" bestFit="1" customWidth="1"/>
    <col min="4863" max="4863" width="25.42578125" style="7" bestFit="1" customWidth="1"/>
    <col min="4864" max="4864" width="17" style="7" customWidth="1"/>
    <col min="4865" max="4871" width="13.5703125" style="7" customWidth="1"/>
    <col min="4872" max="4873" width="16.7109375" style="7" customWidth="1"/>
    <col min="4874" max="4874" width="15.42578125" style="7" customWidth="1"/>
    <col min="4875" max="4876" width="13.5703125" style="7" customWidth="1"/>
    <col min="4877" max="4877" width="15.42578125" style="7" customWidth="1"/>
    <col min="4878" max="4880" width="0" style="7" hidden="1" customWidth="1"/>
    <col min="4881" max="4881" width="19.7109375" style="7" customWidth="1"/>
    <col min="4882" max="4882" width="63.85546875" style="7" bestFit="1" customWidth="1"/>
    <col min="4883" max="5110" width="11.42578125" style="7"/>
    <col min="5111" max="5111" width="28.7109375" style="7" customWidth="1"/>
    <col min="5112" max="5112" width="50.42578125" style="7" bestFit="1" customWidth="1"/>
    <col min="5113" max="5113" width="8.85546875" style="7" customWidth="1"/>
    <col min="5114" max="5114" width="19.85546875" style="7" customWidth="1"/>
    <col min="5115" max="5115" width="36" style="7" bestFit="1" customWidth="1"/>
    <col min="5116" max="5116" width="13.42578125" style="7" bestFit="1" customWidth="1"/>
    <col min="5117" max="5117" width="23" style="7" bestFit="1" customWidth="1"/>
    <col min="5118" max="5118" width="24.5703125" style="7" bestFit="1" customWidth="1"/>
    <col min="5119" max="5119" width="25.42578125" style="7" bestFit="1" customWidth="1"/>
    <col min="5120" max="5120" width="17" style="7" customWidth="1"/>
    <col min="5121" max="5127" width="13.5703125" style="7" customWidth="1"/>
    <col min="5128" max="5129" width="16.7109375" style="7" customWidth="1"/>
    <col min="5130" max="5130" width="15.42578125" style="7" customWidth="1"/>
    <col min="5131" max="5132" width="13.5703125" style="7" customWidth="1"/>
    <col min="5133" max="5133" width="15.42578125" style="7" customWidth="1"/>
    <col min="5134" max="5136" width="0" style="7" hidden="1" customWidth="1"/>
    <col min="5137" max="5137" width="19.7109375" style="7" customWidth="1"/>
    <col min="5138" max="5138" width="63.85546875" style="7" bestFit="1" customWidth="1"/>
    <col min="5139" max="5366" width="11.42578125" style="7"/>
    <col min="5367" max="5367" width="28.7109375" style="7" customWidth="1"/>
    <col min="5368" max="5368" width="50.42578125" style="7" bestFit="1" customWidth="1"/>
    <col min="5369" max="5369" width="8.85546875" style="7" customWidth="1"/>
    <col min="5370" max="5370" width="19.85546875" style="7" customWidth="1"/>
    <col min="5371" max="5371" width="36" style="7" bestFit="1" customWidth="1"/>
    <col min="5372" max="5372" width="13.42578125" style="7" bestFit="1" customWidth="1"/>
    <col min="5373" max="5373" width="23" style="7" bestFit="1" customWidth="1"/>
    <col min="5374" max="5374" width="24.5703125" style="7" bestFit="1" customWidth="1"/>
    <col min="5375" max="5375" width="25.42578125" style="7" bestFit="1" customWidth="1"/>
    <col min="5376" max="5376" width="17" style="7" customWidth="1"/>
    <col min="5377" max="5383" width="13.5703125" style="7" customWidth="1"/>
    <col min="5384" max="5385" width="16.7109375" style="7" customWidth="1"/>
    <col min="5386" max="5386" width="15.42578125" style="7" customWidth="1"/>
    <col min="5387" max="5388" width="13.5703125" style="7" customWidth="1"/>
    <col min="5389" max="5389" width="15.42578125" style="7" customWidth="1"/>
    <col min="5390" max="5392" width="0" style="7" hidden="1" customWidth="1"/>
    <col min="5393" max="5393" width="19.7109375" style="7" customWidth="1"/>
    <col min="5394" max="5394" width="63.85546875" style="7" bestFit="1" customWidth="1"/>
    <col min="5395" max="5622" width="11.42578125" style="7"/>
    <col min="5623" max="5623" width="28.7109375" style="7" customWidth="1"/>
    <col min="5624" max="5624" width="50.42578125" style="7" bestFit="1" customWidth="1"/>
    <col min="5625" max="5625" width="8.85546875" style="7" customWidth="1"/>
    <col min="5626" max="5626" width="19.85546875" style="7" customWidth="1"/>
    <col min="5627" max="5627" width="36" style="7" bestFit="1" customWidth="1"/>
    <col min="5628" max="5628" width="13.42578125" style="7" bestFit="1" customWidth="1"/>
    <col min="5629" max="5629" width="23" style="7" bestFit="1" customWidth="1"/>
    <col min="5630" max="5630" width="24.5703125" style="7" bestFit="1" customWidth="1"/>
    <col min="5631" max="5631" width="25.42578125" style="7" bestFit="1" customWidth="1"/>
    <col min="5632" max="5632" width="17" style="7" customWidth="1"/>
    <col min="5633" max="5639" width="13.5703125" style="7" customWidth="1"/>
    <col min="5640" max="5641" width="16.7109375" style="7" customWidth="1"/>
    <col min="5642" max="5642" width="15.42578125" style="7" customWidth="1"/>
    <col min="5643" max="5644" width="13.5703125" style="7" customWidth="1"/>
    <col min="5645" max="5645" width="15.42578125" style="7" customWidth="1"/>
    <col min="5646" max="5648" width="0" style="7" hidden="1" customWidth="1"/>
    <col min="5649" max="5649" width="19.7109375" style="7" customWidth="1"/>
    <col min="5650" max="5650" width="63.85546875" style="7" bestFit="1" customWidth="1"/>
    <col min="5651" max="5878" width="11.42578125" style="7"/>
    <col min="5879" max="5879" width="28.7109375" style="7" customWidth="1"/>
    <col min="5880" max="5880" width="50.42578125" style="7" bestFit="1" customWidth="1"/>
    <col min="5881" max="5881" width="8.85546875" style="7" customWidth="1"/>
    <col min="5882" max="5882" width="19.85546875" style="7" customWidth="1"/>
    <col min="5883" max="5883" width="36" style="7" bestFit="1" customWidth="1"/>
    <col min="5884" max="5884" width="13.42578125" style="7" bestFit="1" customWidth="1"/>
    <col min="5885" max="5885" width="23" style="7" bestFit="1" customWidth="1"/>
    <col min="5886" max="5886" width="24.5703125" style="7" bestFit="1" customWidth="1"/>
    <col min="5887" max="5887" width="25.42578125" style="7" bestFit="1" customWidth="1"/>
    <col min="5888" max="5888" width="17" style="7" customWidth="1"/>
    <col min="5889" max="5895" width="13.5703125" style="7" customWidth="1"/>
    <col min="5896" max="5897" width="16.7109375" style="7" customWidth="1"/>
    <col min="5898" max="5898" width="15.42578125" style="7" customWidth="1"/>
    <col min="5899" max="5900" width="13.5703125" style="7" customWidth="1"/>
    <col min="5901" max="5901" width="15.42578125" style="7" customWidth="1"/>
    <col min="5902" max="5904" width="0" style="7" hidden="1" customWidth="1"/>
    <col min="5905" max="5905" width="19.7109375" style="7" customWidth="1"/>
    <col min="5906" max="5906" width="63.85546875" style="7" bestFit="1" customWidth="1"/>
    <col min="5907" max="6134" width="11.42578125" style="7"/>
    <col min="6135" max="6135" width="28.7109375" style="7" customWidth="1"/>
    <col min="6136" max="6136" width="50.42578125" style="7" bestFit="1" customWidth="1"/>
    <col min="6137" max="6137" width="8.85546875" style="7" customWidth="1"/>
    <col min="6138" max="6138" width="19.85546875" style="7" customWidth="1"/>
    <col min="6139" max="6139" width="36" style="7" bestFit="1" customWidth="1"/>
    <col min="6140" max="6140" width="13.42578125" style="7" bestFit="1" customWidth="1"/>
    <col min="6141" max="6141" width="23" style="7" bestFit="1" customWidth="1"/>
    <col min="6142" max="6142" width="24.5703125" style="7" bestFit="1" customWidth="1"/>
    <col min="6143" max="6143" width="25.42578125" style="7" bestFit="1" customWidth="1"/>
    <col min="6144" max="6144" width="17" style="7" customWidth="1"/>
    <col min="6145" max="6151" width="13.5703125" style="7" customWidth="1"/>
    <col min="6152" max="6153" width="16.7109375" style="7" customWidth="1"/>
    <col min="6154" max="6154" width="15.42578125" style="7" customWidth="1"/>
    <col min="6155" max="6156" width="13.5703125" style="7" customWidth="1"/>
    <col min="6157" max="6157" width="15.42578125" style="7" customWidth="1"/>
    <col min="6158" max="6160" width="0" style="7" hidden="1" customWidth="1"/>
    <col min="6161" max="6161" width="19.7109375" style="7" customWidth="1"/>
    <col min="6162" max="6162" width="63.85546875" style="7" bestFit="1" customWidth="1"/>
    <col min="6163" max="6390" width="11.42578125" style="7"/>
    <col min="6391" max="6391" width="28.7109375" style="7" customWidth="1"/>
    <col min="6392" max="6392" width="50.42578125" style="7" bestFit="1" customWidth="1"/>
    <col min="6393" max="6393" width="8.85546875" style="7" customWidth="1"/>
    <col min="6394" max="6394" width="19.85546875" style="7" customWidth="1"/>
    <col min="6395" max="6395" width="36" style="7" bestFit="1" customWidth="1"/>
    <col min="6396" max="6396" width="13.42578125" style="7" bestFit="1" customWidth="1"/>
    <col min="6397" max="6397" width="23" style="7" bestFit="1" customWidth="1"/>
    <col min="6398" max="6398" width="24.5703125" style="7" bestFit="1" customWidth="1"/>
    <col min="6399" max="6399" width="25.42578125" style="7" bestFit="1" customWidth="1"/>
    <col min="6400" max="6400" width="17" style="7" customWidth="1"/>
    <col min="6401" max="6407" width="13.5703125" style="7" customWidth="1"/>
    <col min="6408" max="6409" width="16.7109375" style="7" customWidth="1"/>
    <col min="6410" max="6410" width="15.42578125" style="7" customWidth="1"/>
    <col min="6411" max="6412" width="13.5703125" style="7" customWidth="1"/>
    <col min="6413" max="6413" width="15.42578125" style="7" customWidth="1"/>
    <col min="6414" max="6416" width="0" style="7" hidden="1" customWidth="1"/>
    <col min="6417" max="6417" width="19.7109375" style="7" customWidth="1"/>
    <col min="6418" max="6418" width="63.85546875" style="7" bestFit="1" customWidth="1"/>
    <col min="6419" max="6646" width="11.42578125" style="7"/>
    <col min="6647" max="6647" width="28.7109375" style="7" customWidth="1"/>
    <col min="6648" max="6648" width="50.42578125" style="7" bestFit="1" customWidth="1"/>
    <col min="6649" max="6649" width="8.85546875" style="7" customWidth="1"/>
    <col min="6650" max="6650" width="19.85546875" style="7" customWidth="1"/>
    <col min="6651" max="6651" width="36" style="7" bestFit="1" customWidth="1"/>
    <col min="6652" max="6652" width="13.42578125" style="7" bestFit="1" customWidth="1"/>
    <col min="6653" max="6653" width="23" style="7" bestFit="1" customWidth="1"/>
    <col min="6654" max="6654" width="24.5703125" style="7" bestFit="1" customWidth="1"/>
    <col min="6655" max="6655" width="25.42578125" style="7" bestFit="1" customWidth="1"/>
    <col min="6656" max="6656" width="17" style="7" customWidth="1"/>
    <col min="6657" max="6663" width="13.5703125" style="7" customWidth="1"/>
    <col min="6664" max="6665" width="16.7109375" style="7" customWidth="1"/>
    <col min="6666" max="6666" width="15.42578125" style="7" customWidth="1"/>
    <col min="6667" max="6668" width="13.5703125" style="7" customWidth="1"/>
    <col min="6669" max="6669" width="15.42578125" style="7" customWidth="1"/>
    <col min="6670" max="6672" width="0" style="7" hidden="1" customWidth="1"/>
    <col min="6673" max="6673" width="19.7109375" style="7" customWidth="1"/>
    <col min="6674" max="6674" width="63.85546875" style="7" bestFit="1" customWidth="1"/>
    <col min="6675" max="6902" width="11.42578125" style="7"/>
    <col min="6903" max="6903" width="28.7109375" style="7" customWidth="1"/>
    <col min="6904" max="6904" width="50.42578125" style="7" bestFit="1" customWidth="1"/>
    <col min="6905" max="6905" width="8.85546875" style="7" customWidth="1"/>
    <col min="6906" max="6906" width="19.85546875" style="7" customWidth="1"/>
    <col min="6907" max="6907" width="36" style="7" bestFit="1" customWidth="1"/>
    <col min="6908" max="6908" width="13.42578125" style="7" bestFit="1" customWidth="1"/>
    <col min="6909" max="6909" width="23" style="7" bestFit="1" customWidth="1"/>
    <col min="6910" max="6910" width="24.5703125" style="7" bestFit="1" customWidth="1"/>
    <col min="6911" max="6911" width="25.42578125" style="7" bestFit="1" customWidth="1"/>
    <col min="6912" max="6912" width="17" style="7" customWidth="1"/>
    <col min="6913" max="6919" width="13.5703125" style="7" customWidth="1"/>
    <col min="6920" max="6921" width="16.7109375" style="7" customWidth="1"/>
    <col min="6922" max="6922" width="15.42578125" style="7" customWidth="1"/>
    <col min="6923" max="6924" width="13.5703125" style="7" customWidth="1"/>
    <col min="6925" max="6925" width="15.42578125" style="7" customWidth="1"/>
    <col min="6926" max="6928" width="0" style="7" hidden="1" customWidth="1"/>
    <col min="6929" max="6929" width="19.7109375" style="7" customWidth="1"/>
    <col min="6930" max="6930" width="63.85546875" style="7" bestFit="1" customWidth="1"/>
    <col min="6931" max="7158" width="11.42578125" style="7"/>
    <col min="7159" max="7159" width="28.7109375" style="7" customWidth="1"/>
    <col min="7160" max="7160" width="50.42578125" style="7" bestFit="1" customWidth="1"/>
    <col min="7161" max="7161" width="8.85546875" style="7" customWidth="1"/>
    <col min="7162" max="7162" width="19.85546875" style="7" customWidth="1"/>
    <col min="7163" max="7163" width="36" style="7" bestFit="1" customWidth="1"/>
    <col min="7164" max="7164" width="13.42578125" style="7" bestFit="1" customWidth="1"/>
    <col min="7165" max="7165" width="23" style="7" bestFit="1" customWidth="1"/>
    <col min="7166" max="7166" width="24.5703125" style="7" bestFit="1" customWidth="1"/>
    <col min="7167" max="7167" width="25.42578125" style="7" bestFit="1" customWidth="1"/>
    <col min="7168" max="7168" width="17" style="7" customWidth="1"/>
    <col min="7169" max="7175" width="13.5703125" style="7" customWidth="1"/>
    <col min="7176" max="7177" width="16.7109375" style="7" customWidth="1"/>
    <col min="7178" max="7178" width="15.42578125" style="7" customWidth="1"/>
    <col min="7179" max="7180" width="13.5703125" style="7" customWidth="1"/>
    <col min="7181" max="7181" width="15.42578125" style="7" customWidth="1"/>
    <col min="7182" max="7184" width="0" style="7" hidden="1" customWidth="1"/>
    <col min="7185" max="7185" width="19.7109375" style="7" customWidth="1"/>
    <col min="7186" max="7186" width="63.85546875" style="7" bestFit="1" customWidth="1"/>
    <col min="7187" max="7414" width="11.42578125" style="7"/>
    <col min="7415" max="7415" width="28.7109375" style="7" customWidth="1"/>
    <col min="7416" max="7416" width="50.42578125" style="7" bestFit="1" customWidth="1"/>
    <col min="7417" max="7417" width="8.85546875" style="7" customWidth="1"/>
    <col min="7418" max="7418" width="19.85546875" style="7" customWidth="1"/>
    <col min="7419" max="7419" width="36" style="7" bestFit="1" customWidth="1"/>
    <col min="7420" max="7420" width="13.42578125" style="7" bestFit="1" customWidth="1"/>
    <col min="7421" max="7421" width="23" style="7" bestFit="1" customWidth="1"/>
    <col min="7422" max="7422" width="24.5703125" style="7" bestFit="1" customWidth="1"/>
    <col min="7423" max="7423" width="25.42578125" style="7" bestFit="1" customWidth="1"/>
    <col min="7424" max="7424" width="17" style="7" customWidth="1"/>
    <col min="7425" max="7431" width="13.5703125" style="7" customWidth="1"/>
    <col min="7432" max="7433" width="16.7109375" style="7" customWidth="1"/>
    <col min="7434" max="7434" width="15.42578125" style="7" customWidth="1"/>
    <col min="7435" max="7436" width="13.5703125" style="7" customWidth="1"/>
    <col min="7437" max="7437" width="15.42578125" style="7" customWidth="1"/>
    <col min="7438" max="7440" width="0" style="7" hidden="1" customWidth="1"/>
    <col min="7441" max="7441" width="19.7109375" style="7" customWidth="1"/>
    <col min="7442" max="7442" width="63.85546875" style="7" bestFit="1" customWidth="1"/>
    <col min="7443" max="7670" width="11.42578125" style="7"/>
    <col min="7671" max="7671" width="28.7109375" style="7" customWidth="1"/>
    <col min="7672" max="7672" width="50.42578125" style="7" bestFit="1" customWidth="1"/>
    <col min="7673" max="7673" width="8.85546875" style="7" customWidth="1"/>
    <col min="7674" max="7674" width="19.85546875" style="7" customWidth="1"/>
    <col min="7675" max="7675" width="36" style="7" bestFit="1" customWidth="1"/>
    <col min="7676" max="7676" width="13.42578125" style="7" bestFit="1" customWidth="1"/>
    <col min="7677" max="7677" width="23" style="7" bestFit="1" customWidth="1"/>
    <col min="7678" max="7678" width="24.5703125" style="7" bestFit="1" customWidth="1"/>
    <col min="7679" max="7679" width="25.42578125" style="7" bestFit="1" customWidth="1"/>
    <col min="7680" max="7680" width="17" style="7" customWidth="1"/>
    <col min="7681" max="7687" width="13.5703125" style="7" customWidth="1"/>
    <col min="7688" max="7689" width="16.7109375" style="7" customWidth="1"/>
    <col min="7690" max="7690" width="15.42578125" style="7" customWidth="1"/>
    <col min="7691" max="7692" width="13.5703125" style="7" customWidth="1"/>
    <col min="7693" max="7693" width="15.42578125" style="7" customWidth="1"/>
    <col min="7694" max="7696" width="0" style="7" hidden="1" customWidth="1"/>
    <col min="7697" max="7697" width="19.7109375" style="7" customWidth="1"/>
    <col min="7698" max="7698" width="63.85546875" style="7" bestFit="1" customWidth="1"/>
    <col min="7699" max="7926" width="11.42578125" style="7"/>
    <col min="7927" max="7927" width="28.7109375" style="7" customWidth="1"/>
    <col min="7928" max="7928" width="50.42578125" style="7" bestFit="1" customWidth="1"/>
    <col min="7929" max="7929" width="8.85546875" style="7" customWidth="1"/>
    <col min="7930" max="7930" width="19.85546875" style="7" customWidth="1"/>
    <col min="7931" max="7931" width="36" style="7" bestFit="1" customWidth="1"/>
    <col min="7932" max="7932" width="13.42578125" style="7" bestFit="1" customWidth="1"/>
    <col min="7933" max="7933" width="23" style="7" bestFit="1" customWidth="1"/>
    <col min="7934" max="7934" width="24.5703125" style="7" bestFit="1" customWidth="1"/>
    <col min="7935" max="7935" width="25.42578125" style="7" bestFit="1" customWidth="1"/>
    <col min="7936" max="7936" width="17" style="7" customWidth="1"/>
    <col min="7937" max="7943" width="13.5703125" style="7" customWidth="1"/>
    <col min="7944" max="7945" width="16.7109375" style="7" customWidth="1"/>
    <col min="7946" max="7946" width="15.42578125" style="7" customWidth="1"/>
    <col min="7947" max="7948" width="13.5703125" style="7" customWidth="1"/>
    <col min="7949" max="7949" width="15.42578125" style="7" customWidth="1"/>
    <col min="7950" max="7952" width="0" style="7" hidden="1" customWidth="1"/>
    <col min="7953" max="7953" width="19.7109375" style="7" customWidth="1"/>
    <col min="7954" max="7954" width="63.85546875" style="7" bestFit="1" customWidth="1"/>
    <col min="7955" max="8182" width="11.42578125" style="7"/>
    <col min="8183" max="8183" width="28.7109375" style="7" customWidth="1"/>
    <col min="8184" max="8184" width="50.42578125" style="7" bestFit="1" customWidth="1"/>
    <col min="8185" max="8185" width="8.85546875" style="7" customWidth="1"/>
    <col min="8186" max="8186" width="19.85546875" style="7" customWidth="1"/>
    <col min="8187" max="8187" width="36" style="7" bestFit="1" customWidth="1"/>
    <col min="8188" max="8188" width="13.42578125" style="7" bestFit="1" customWidth="1"/>
    <col min="8189" max="8189" width="23" style="7" bestFit="1" customWidth="1"/>
    <col min="8190" max="8190" width="24.5703125" style="7" bestFit="1" customWidth="1"/>
    <col min="8191" max="8191" width="25.42578125" style="7" bestFit="1" customWidth="1"/>
    <col min="8192" max="8192" width="17" style="7" customWidth="1"/>
    <col min="8193" max="8199" width="13.5703125" style="7" customWidth="1"/>
    <col min="8200" max="8201" width="16.7109375" style="7" customWidth="1"/>
    <col min="8202" max="8202" width="15.42578125" style="7" customWidth="1"/>
    <col min="8203" max="8204" width="13.5703125" style="7" customWidth="1"/>
    <col min="8205" max="8205" width="15.42578125" style="7" customWidth="1"/>
    <col min="8206" max="8208" width="0" style="7" hidden="1" customWidth="1"/>
    <col min="8209" max="8209" width="19.7109375" style="7" customWidth="1"/>
    <col min="8210" max="8210" width="63.85546875" style="7" bestFit="1" customWidth="1"/>
    <col min="8211" max="8438" width="11.42578125" style="7"/>
    <col min="8439" max="8439" width="28.7109375" style="7" customWidth="1"/>
    <col min="8440" max="8440" width="50.42578125" style="7" bestFit="1" customWidth="1"/>
    <col min="8441" max="8441" width="8.85546875" style="7" customWidth="1"/>
    <col min="8442" max="8442" width="19.85546875" style="7" customWidth="1"/>
    <col min="8443" max="8443" width="36" style="7" bestFit="1" customWidth="1"/>
    <col min="8444" max="8444" width="13.42578125" style="7" bestFit="1" customWidth="1"/>
    <col min="8445" max="8445" width="23" style="7" bestFit="1" customWidth="1"/>
    <col min="8446" max="8446" width="24.5703125" style="7" bestFit="1" customWidth="1"/>
    <col min="8447" max="8447" width="25.42578125" style="7" bestFit="1" customWidth="1"/>
    <col min="8448" max="8448" width="17" style="7" customWidth="1"/>
    <col min="8449" max="8455" width="13.5703125" style="7" customWidth="1"/>
    <col min="8456" max="8457" width="16.7109375" style="7" customWidth="1"/>
    <col min="8458" max="8458" width="15.42578125" style="7" customWidth="1"/>
    <col min="8459" max="8460" width="13.5703125" style="7" customWidth="1"/>
    <col min="8461" max="8461" width="15.42578125" style="7" customWidth="1"/>
    <col min="8462" max="8464" width="0" style="7" hidden="1" customWidth="1"/>
    <col min="8465" max="8465" width="19.7109375" style="7" customWidth="1"/>
    <col min="8466" max="8466" width="63.85546875" style="7" bestFit="1" customWidth="1"/>
    <col min="8467" max="8694" width="11.42578125" style="7"/>
    <col min="8695" max="8695" width="28.7109375" style="7" customWidth="1"/>
    <col min="8696" max="8696" width="50.42578125" style="7" bestFit="1" customWidth="1"/>
    <col min="8697" max="8697" width="8.85546875" style="7" customWidth="1"/>
    <col min="8698" max="8698" width="19.85546875" style="7" customWidth="1"/>
    <col min="8699" max="8699" width="36" style="7" bestFit="1" customWidth="1"/>
    <col min="8700" max="8700" width="13.42578125" style="7" bestFit="1" customWidth="1"/>
    <col min="8701" max="8701" width="23" style="7" bestFit="1" customWidth="1"/>
    <col min="8702" max="8702" width="24.5703125" style="7" bestFit="1" customWidth="1"/>
    <col min="8703" max="8703" width="25.42578125" style="7" bestFit="1" customWidth="1"/>
    <col min="8704" max="8704" width="17" style="7" customWidth="1"/>
    <col min="8705" max="8711" width="13.5703125" style="7" customWidth="1"/>
    <col min="8712" max="8713" width="16.7109375" style="7" customWidth="1"/>
    <col min="8714" max="8714" width="15.42578125" style="7" customWidth="1"/>
    <col min="8715" max="8716" width="13.5703125" style="7" customWidth="1"/>
    <col min="8717" max="8717" width="15.42578125" style="7" customWidth="1"/>
    <col min="8718" max="8720" width="0" style="7" hidden="1" customWidth="1"/>
    <col min="8721" max="8721" width="19.7109375" style="7" customWidth="1"/>
    <col min="8722" max="8722" width="63.85546875" style="7" bestFit="1" customWidth="1"/>
    <col min="8723" max="8950" width="11.42578125" style="7"/>
    <col min="8951" max="8951" width="28.7109375" style="7" customWidth="1"/>
    <col min="8952" max="8952" width="50.42578125" style="7" bestFit="1" customWidth="1"/>
    <col min="8953" max="8953" width="8.85546875" style="7" customWidth="1"/>
    <col min="8954" max="8954" width="19.85546875" style="7" customWidth="1"/>
    <col min="8955" max="8955" width="36" style="7" bestFit="1" customWidth="1"/>
    <col min="8956" max="8956" width="13.42578125" style="7" bestFit="1" customWidth="1"/>
    <col min="8957" max="8957" width="23" style="7" bestFit="1" customWidth="1"/>
    <col min="8958" max="8958" width="24.5703125" style="7" bestFit="1" customWidth="1"/>
    <col min="8959" max="8959" width="25.42578125" style="7" bestFit="1" customWidth="1"/>
    <col min="8960" max="8960" width="17" style="7" customWidth="1"/>
    <col min="8961" max="8967" width="13.5703125" style="7" customWidth="1"/>
    <col min="8968" max="8969" width="16.7109375" style="7" customWidth="1"/>
    <col min="8970" max="8970" width="15.42578125" style="7" customWidth="1"/>
    <col min="8971" max="8972" width="13.5703125" style="7" customWidth="1"/>
    <col min="8973" max="8973" width="15.42578125" style="7" customWidth="1"/>
    <col min="8974" max="8976" width="0" style="7" hidden="1" customWidth="1"/>
    <col min="8977" max="8977" width="19.7109375" style="7" customWidth="1"/>
    <col min="8978" max="8978" width="63.85546875" style="7" bestFit="1" customWidth="1"/>
    <col min="8979" max="9206" width="11.42578125" style="7"/>
    <col min="9207" max="9207" width="28.7109375" style="7" customWidth="1"/>
    <col min="9208" max="9208" width="50.42578125" style="7" bestFit="1" customWidth="1"/>
    <col min="9209" max="9209" width="8.85546875" style="7" customWidth="1"/>
    <col min="9210" max="9210" width="19.85546875" style="7" customWidth="1"/>
    <col min="9211" max="9211" width="36" style="7" bestFit="1" customWidth="1"/>
    <col min="9212" max="9212" width="13.42578125" style="7" bestFit="1" customWidth="1"/>
    <col min="9213" max="9213" width="23" style="7" bestFit="1" customWidth="1"/>
    <col min="9214" max="9214" width="24.5703125" style="7" bestFit="1" customWidth="1"/>
    <col min="9215" max="9215" width="25.42578125" style="7" bestFit="1" customWidth="1"/>
    <col min="9216" max="9216" width="17" style="7" customWidth="1"/>
    <col min="9217" max="9223" width="13.5703125" style="7" customWidth="1"/>
    <col min="9224" max="9225" width="16.7109375" style="7" customWidth="1"/>
    <col min="9226" max="9226" width="15.42578125" style="7" customWidth="1"/>
    <col min="9227" max="9228" width="13.5703125" style="7" customWidth="1"/>
    <col min="9229" max="9229" width="15.42578125" style="7" customWidth="1"/>
    <col min="9230" max="9232" width="0" style="7" hidden="1" customWidth="1"/>
    <col min="9233" max="9233" width="19.7109375" style="7" customWidth="1"/>
    <col min="9234" max="9234" width="63.85546875" style="7" bestFit="1" customWidth="1"/>
    <col min="9235" max="9462" width="11.42578125" style="7"/>
    <col min="9463" max="9463" width="28.7109375" style="7" customWidth="1"/>
    <col min="9464" max="9464" width="50.42578125" style="7" bestFit="1" customWidth="1"/>
    <col min="9465" max="9465" width="8.85546875" style="7" customWidth="1"/>
    <col min="9466" max="9466" width="19.85546875" style="7" customWidth="1"/>
    <col min="9467" max="9467" width="36" style="7" bestFit="1" customWidth="1"/>
    <col min="9468" max="9468" width="13.42578125" style="7" bestFit="1" customWidth="1"/>
    <col min="9469" max="9469" width="23" style="7" bestFit="1" customWidth="1"/>
    <col min="9470" max="9470" width="24.5703125" style="7" bestFit="1" customWidth="1"/>
    <col min="9471" max="9471" width="25.42578125" style="7" bestFit="1" customWidth="1"/>
    <col min="9472" max="9472" width="17" style="7" customWidth="1"/>
    <col min="9473" max="9479" width="13.5703125" style="7" customWidth="1"/>
    <col min="9480" max="9481" width="16.7109375" style="7" customWidth="1"/>
    <col min="9482" max="9482" width="15.42578125" style="7" customWidth="1"/>
    <col min="9483" max="9484" width="13.5703125" style="7" customWidth="1"/>
    <col min="9485" max="9485" width="15.42578125" style="7" customWidth="1"/>
    <col min="9486" max="9488" width="0" style="7" hidden="1" customWidth="1"/>
    <col min="9489" max="9489" width="19.7109375" style="7" customWidth="1"/>
    <col min="9490" max="9490" width="63.85546875" style="7" bestFit="1" customWidth="1"/>
    <col min="9491" max="9718" width="11.42578125" style="7"/>
    <col min="9719" max="9719" width="28.7109375" style="7" customWidth="1"/>
    <col min="9720" max="9720" width="50.42578125" style="7" bestFit="1" customWidth="1"/>
    <col min="9721" max="9721" width="8.85546875" style="7" customWidth="1"/>
    <col min="9722" max="9722" width="19.85546875" style="7" customWidth="1"/>
    <col min="9723" max="9723" width="36" style="7" bestFit="1" customWidth="1"/>
    <col min="9724" max="9724" width="13.42578125" style="7" bestFit="1" customWidth="1"/>
    <col min="9725" max="9725" width="23" style="7" bestFit="1" customWidth="1"/>
    <col min="9726" max="9726" width="24.5703125" style="7" bestFit="1" customWidth="1"/>
    <col min="9727" max="9727" width="25.42578125" style="7" bestFit="1" customWidth="1"/>
    <col min="9728" max="9728" width="17" style="7" customWidth="1"/>
    <col min="9729" max="9735" width="13.5703125" style="7" customWidth="1"/>
    <col min="9736" max="9737" width="16.7109375" style="7" customWidth="1"/>
    <col min="9738" max="9738" width="15.42578125" style="7" customWidth="1"/>
    <col min="9739" max="9740" width="13.5703125" style="7" customWidth="1"/>
    <col min="9741" max="9741" width="15.42578125" style="7" customWidth="1"/>
    <col min="9742" max="9744" width="0" style="7" hidden="1" customWidth="1"/>
    <col min="9745" max="9745" width="19.7109375" style="7" customWidth="1"/>
    <col min="9746" max="9746" width="63.85546875" style="7" bestFit="1" customWidth="1"/>
    <col min="9747" max="9974" width="11.42578125" style="7"/>
    <col min="9975" max="9975" width="28.7109375" style="7" customWidth="1"/>
    <col min="9976" max="9976" width="50.42578125" style="7" bestFit="1" customWidth="1"/>
    <col min="9977" max="9977" width="8.85546875" style="7" customWidth="1"/>
    <col min="9978" max="9978" width="19.85546875" style="7" customWidth="1"/>
    <col min="9979" max="9979" width="36" style="7" bestFit="1" customWidth="1"/>
    <col min="9980" max="9980" width="13.42578125" style="7" bestFit="1" customWidth="1"/>
    <col min="9981" max="9981" width="23" style="7" bestFit="1" customWidth="1"/>
    <col min="9982" max="9982" width="24.5703125" style="7" bestFit="1" customWidth="1"/>
    <col min="9983" max="9983" width="25.42578125" style="7" bestFit="1" customWidth="1"/>
    <col min="9984" max="9984" width="17" style="7" customWidth="1"/>
    <col min="9985" max="9991" width="13.5703125" style="7" customWidth="1"/>
    <col min="9992" max="9993" width="16.7109375" style="7" customWidth="1"/>
    <col min="9994" max="9994" width="15.42578125" style="7" customWidth="1"/>
    <col min="9995" max="9996" width="13.5703125" style="7" customWidth="1"/>
    <col min="9997" max="9997" width="15.42578125" style="7" customWidth="1"/>
    <col min="9998" max="10000" width="0" style="7" hidden="1" customWidth="1"/>
    <col min="10001" max="10001" width="19.7109375" style="7" customWidth="1"/>
    <col min="10002" max="10002" width="63.85546875" style="7" bestFit="1" customWidth="1"/>
    <col min="10003" max="10230" width="11.42578125" style="7"/>
    <col min="10231" max="10231" width="28.7109375" style="7" customWidth="1"/>
    <col min="10232" max="10232" width="50.42578125" style="7" bestFit="1" customWidth="1"/>
    <col min="10233" max="10233" width="8.85546875" style="7" customWidth="1"/>
    <col min="10234" max="10234" width="19.85546875" style="7" customWidth="1"/>
    <col min="10235" max="10235" width="36" style="7" bestFit="1" customWidth="1"/>
    <col min="10236" max="10236" width="13.42578125" style="7" bestFit="1" customWidth="1"/>
    <col min="10237" max="10237" width="23" style="7" bestFit="1" customWidth="1"/>
    <col min="10238" max="10238" width="24.5703125" style="7" bestFit="1" customWidth="1"/>
    <col min="10239" max="10239" width="25.42578125" style="7" bestFit="1" customWidth="1"/>
    <col min="10240" max="10240" width="17" style="7" customWidth="1"/>
    <col min="10241" max="10247" width="13.5703125" style="7" customWidth="1"/>
    <col min="10248" max="10249" width="16.7109375" style="7" customWidth="1"/>
    <col min="10250" max="10250" width="15.42578125" style="7" customWidth="1"/>
    <col min="10251" max="10252" width="13.5703125" style="7" customWidth="1"/>
    <col min="10253" max="10253" width="15.42578125" style="7" customWidth="1"/>
    <col min="10254" max="10256" width="0" style="7" hidden="1" customWidth="1"/>
    <col min="10257" max="10257" width="19.7109375" style="7" customWidth="1"/>
    <col min="10258" max="10258" width="63.85546875" style="7" bestFit="1" customWidth="1"/>
    <col min="10259" max="10486" width="11.42578125" style="7"/>
    <col min="10487" max="10487" width="28.7109375" style="7" customWidth="1"/>
    <col min="10488" max="10488" width="50.42578125" style="7" bestFit="1" customWidth="1"/>
    <col min="10489" max="10489" width="8.85546875" style="7" customWidth="1"/>
    <col min="10490" max="10490" width="19.85546875" style="7" customWidth="1"/>
    <col min="10491" max="10491" width="36" style="7" bestFit="1" customWidth="1"/>
    <col min="10492" max="10492" width="13.42578125" style="7" bestFit="1" customWidth="1"/>
    <col min="10493" max="10493" width="23" style="7" bestFit="1" customWidth="1"/>
    <col min="10494" max="10494" width="24.5703125" style="7" bestFit="1" customWidth="1"/>
    <col min="10495" max="10495" width="25.42578125" style="7" bestFit="1" customWidth="1"/>
    <col min="10496" max="10496" width="17" style="7" customWidth="1"/>
    <col min="10497" max="10503" width="13.5703125" style="7" customWidth="1"/>
    <col min="10504" max="10505" width="16.7109375" style="7" customWidth="1"/>
    <col min="10506" max="10506" width="15.42578125" style="7" customWidth="1"/>
    <col min="10507" max="10508" width="13.5703125" style="7" customWidth="1"/>
    <col min="10509" max="10509" width="15.42578125" style="7" customWidth="1"/>
    <col min="10510" max="10512" width="0" style="7" hidden="1" customWidth="1"/>
    <col min="10513" max="10513" width="19.7109375" style="7" customWidth="1"/>
    <col min="10514" max="10514" width="63.85546875" style="7" bestFit="1" customWidth="1"/>
    <col min="10515" max="10742" width="11.42578125" style="7"/>
    <col min="10743" max="10743" width="28.7109375" style="7" customWidth="1"/>
    <col min="10744" max="10744" width="50.42578125" style="7" bestFit="1" customWidth="1"/>
    <col min="10745" max="10745" width="8.85546875" style="7" customWidth="1"/>
    <col min="10746" max="10746" width="19.85546875" style="7" customWidth="1"/>
    <col min="10747" max="10747" width="36" style="7" bestFit="1" customWidth="1"/>
    <col min="10748" max="10748" width="13.42578125" style="7" bestFit="1" customWidth="1"/>
    <col min="10749" max="10749" width="23" style="7" bestFit="1" customWidth="1"/>
    <col min="10750" max="10750" width="24.5703125" style="7" bestFit="1" customWidth="1"/>
    <col min="10751" max="10751" width="25.42578125" style="7" bestFit="1" customWidth="1"/>
    <col min="10752" max="10752" width="17" style="7" customWidth="1"/>
    <col min="10753" max="10759" width="13.5703125" style="7" customWidth="1"/>
    <col min="10760" max="10761" width="16.7109375" style="7" customWidth="1"/>
    <col min="10762" max="10762" width="15.42578125" style="7" customWidth="1"/>
    <col min="10763" max="10764" width="13.5703125" style="7" customWidth="1"/>
    <col min="10765" max="10765" width="15.42578125" style="7" customWidth="1"/>
    <col min="10766" max="10768" width="0" style="7" hidden="1" customWidth="1"/>
    <col min="10769" max="10769" width="19.7109375" style="7" customWidth="1"/>
    <col min="10770" max="10770" width="63.85546875" style="7" bestFit="1" customWidth="1"/>
    <col min="10771" max="10998" width="11.42578125" style="7"/>
    <col min="10999" max="10999" width="28.7109375" style="7" customWidth="1"/>
    <col min="11000" max="11000" width="50.42578125" style="7" bestFit="1" customWidth="1"/>
    <col min="11001" max="11001" width="8.85546875" style="7" customWidth="1"/>
    <col min="11002" max="11002" width="19.85546875" style="7" customWidth="1"/>
    <col min="11003" max="11003" width="36" style="7" bestFit="1" customWidth="1"/>
    <col min="11004" max="11004" width="13.42578125" style="7" bestFit="1" customWidth="1"/>
    <col min="11005" max="11005" width="23" style="7" bestFit="1" customWidth="1"/>
    <col min="11006" max="11006" width="24.5703125" style="7" bestFit="1" customWidth="1"/>
    <col min="11007" max="11007" width="25.42578125" style="7" bestFit="1" customWidth="1"/>
    <col min="11008" max="11008" width="17" style="7" customWidth="1"/>
    <col min="11009" max="11015" width="13.5703125" style="7" customWidth="1"/>
    <col min="11016" max="11017" width="16.7109375" style="7" customWidth="1"/>
    <col min="11018" max="11018" width="15.42578125" style="7" customWidth="1"/>
    <col min="11019" max="11020" width="13.5703125" style="7" customWidth="1"/>
    <col min="11021" max="11021" width="15.42578125" style="7" customWidth="1"/>
    <col min="11022" max="11024" width="0" style="7" hidden="1" customWidth="1"/>
    <col min="11025" max="11025" width="19.7109375" style="7" customWidth="1"/>
    <col min="11026" max="11026" width="63.85546875" style="7" bestFit="1" customWidth="1"/>
    <col min="11027" max="11254" width="11.42578125" style="7"/>
    <col min="11255" max="11255" width="28.7109375" style="7" customWidth="1"/>
    <col min="11256" max="11256" width="50.42578125" style="7" bestFit="1" customWidth="1"/>
    <col min="11257" max="11257" width="8.85546875" style="7" customWidth="1"/>
    <col min="11258" max="11258" width="19.85546875" style="7" customWidth="1"/>
    <col min="11259" max="11259" width="36" style="7" bestFit="1" customWidth="1"/>
    <col min="11260" max="11260" width="13.42578125" style="7" bestFit="1" customWidth="1"/>
    <col min="11261" max="11261" width="23" style="7" bestFit="1" customWidth="1"/>
    <col min="11262" max="11262" width="24.5703125" style="7" bestFit="1" customWidth="1"/>
    <col min="11263" max="11263" width="25.42578125" style="7" bestFit="1" customWidth="1"/>
    <col min="11264" max="11264" width="17" style="7" customWidth="1"/>
    <col min="11265" max="11271" width="13.5703125" style="7" customWidth="1"/>
    <col min="11272" max="11273" width="16.7109375" style="7" customWidth="1"/>
    <col min="11274" max="11274" width="15.42578125" style="7" customWidth="1"/>
    <col min="11275" max="11276" width="13.5703125" style="7" customWidth="1"/>
    <col min="11277" max="11277" width="15.42578125" style="7" customWidth="1"/>
    <col min="11278" max="11280" width="0" style="7" hidden="1" customWidth="1"/>
    <col min="11281" max="11281" width="19.7109375" style="7" customWidth="1"/>
    <col min="11282" max="11282" width="63.85546875" style="7" bestFit="1" customWidth="1"/>
    <col min="11283" max="11510" width="11.42578125" style="7"/>
    <col min="11511" max="11511" width="28.7109375" style="7" customWidth="1"/>
    <col min="11512" max="11512" width="50.42578125" style="7" bestFit="1" customWidth="1"/>
    <col min="11513" max="11513" width="8.85546875" style="7" customWidth="1"/>
    <col min="11514" max="11514" width="19.85546875" style="7" customWidth="1"/>
    <col min="11515" max="11515" width="36" style="7" bestFit="1" customWidth="1"/>
    <col min="11516" max="11516" width="13.42578125" style="7" bestFit="1" customWidth="1"/>
    <col min="11517" max="11517" width="23" style="7" bestFit="1" customWidth="1"/>
    <col min="11518" max="11518" width="24.5703125" style="7" bestFit="1" customWidth="1"/>
    <col min="11519" max="11519" width="25.42578125" style="7" bestFit="1" customWidth="1"/>
    <col min="11520" max="11520" width="17" style="7" customWidth="1"/>
    <col min="11521" max="11527" width="13.5703125" style="7" customWidth="1"/>
    <col min="11528" max="11529" width="16.7109375" style="7" customWidth="1"/>
    <col min="11530" max="11530" width="15.42578125" style="7" customWidth="1"/>
    <col min="11531" max="11532" width="13.5703125" style="7" customWidth="1"/>
    <col min="11533" max="11533" width="15.42578125" style="7" customWidth="1"/>
    <col min="11534" max="11536" width="0" style="7" hidden="1" customWidth="1"/>
    <col min="11537" max="11537" width="19.7109375" style="7" customWidth="1"/>
    <col min="11538" max="11538" width="63.85546875" style="7" bestFit="1" customWidth="1"/>
    <col min="11539" max="11766" width="11.42578125" style="7"/>
    <col min="11767" max="11767" width="28.7109375" style="7" customWidth="1"/>
    <col min="11768" max="11768" width="50.42578125" style="7" bestFit="1" customWidth="1"/>
    <col min="11769" max="11769" width="8.85546875" style="7" customWidth="1"/>
    <col min="11770" max="11770" width="19.85546875" style="7" customWidth="1"/>
    <col min="11771" max="11771" width="36" style="7" bestFit="1" customWidth="1"/>
    <col min="11772" max="11772" width="13.42578125" style="7" bestFit="1" customWidth="1"/>
    <col min="11773" max="11773" width="23" style="7" bestFit="1" customWidth="1"/>
    <col min="11774" max="11774" width="24.5703125" style="7" bestFit="1" customWidth="1"/>
    <col min="11775" max="11775" width="25.42578125" style="7" bestFit="1" customWidth="1"/>
    <col min="11776" max="11776" width="17" style="7" customWidth="1"/>
    <col min="11777" max="11783" width="13.5703125" style="7" customWidth="1"/>
    <col min="11784" max="11785" width="16.7109375" style="7" customWidth="1"/>
    <col min="11786" max="11786" width="15.42578125" style="7" customWidth="1"/>
    <col min="11787" max="11788" width="13.5703125" style="7" customWidth="1"/>
    <col min="11789" max="11789" width="15.42578125" style="7" customWidth="1"/>
    <col min="11790" max="11792" width="0" style="7" hidden="1" customWidth="1"/>
    <col min="11793" max="11793" width="19.7109375" style="7" customWidth="1"/>
    <col min="11794" max="11794" width="63.85546875" style="7" bestFit="1" customWidth="1"/>
    <col min="11795" max="12022" width="11.42578125" style="7"/>
    <col min="12023" max="12023" width="28.7109375" style="7" customWidth="1"/>
    <col min="12024" max="12024" width="50.42578125" style="7" bestFit="1" customWidth="1"/>
    <col min="12025" max="12025" width="8.85546875" style="7" customWidth="1"/>
    <col min="12026" max="12026" width="19.85546875" style="7" customWidth="1"/>
    <col min="12027" max="12027" width="36" style="7" bestFit="1" customWidth="1"/>
    <col min="12028" max="12028" width="13.42578125" style="7" bestFit="1" customWidth="1"/>
    <col min="12029" max="12029" width="23" style="7" bestFit="1" customWidth="1"/>
    <col min="12030" max="12030" width="24.5703125" style="7" bestFit="1" customWidth="1"/>
    <col min="12031" max="12031" width="25.42578125" style="7" bestFit="1" customWidth="1"/>
    <col min="12032" max="12032" width="17" style="7" customWidth="1"/>
    <col min="12033" max="12039" width="13.5703125" style="7" customWidth="1"/>
    <col min="12040" max="12041" width="16.7109375" style="7" customWidth="1"/>
    <col min="12042" max="12042" width="15.42578125" style="7" customWidth="1"/>
    <col min="12043" max="12044" width="13.5703125" style="7" customWidth="1"/>
    <col min="12045" max="12045" width="15.42578125" style="7" customWidth="1"/>
    <col min="12046" max="12048" width="0" style="7" hidden="1" customWidth="1"/>
    <col min="12049" max="12049" width="19.7109375" style="7" customWidth="1"/>
    <col min="12050" max="12050" width="63.85546875" style="7" bestFit="1" customWidth="1"/>
    <col min="12051" max="12278" width="11.42578125" style="7"/>
    <col min="12279" max="12279" width="28.7109375" style="7" customWidth="1"/>
    <col min="12280" max="12280" width="50.42578125" style="7" bestFit="1" customWidth="1"/>
    <col min="12281" max="12281" width="8.85546875" style="7" customWidth="1"/>
    <col min="12282" max="12282" width="19.85546875" style="7" customWidth="1"/>
    <col min="12283" max="12283" width="36" style="7" bestFit="1" customWidth="1"/>
    <col min="12284" max="12284" width="13.42578125" style="7" bestFit="1" customWidth="1"/>
    <col min="12285" max="12285" width="23" style="7" bestFit="1" customWidth="1"/>
    <col min="12286" max="12286" width="24.5703125" style="7" bestFit="1" customWidth="1"/>
    <col min="12287" max="12287" width="25.42578125" style="7" bestFit="1" customWidth="1"/>
    <col min="12288" max="12288" width="17" style="7" customWidth="1"/>
    <col min="12289" max="12295" width="13.5703125" style="7" customWidth="1"/>
    <col min="12296" max="12297" width="16.7109375" style="7" customWidth="1"/>
    <col min="12298" max="12298" width="15.42578125" style="7" customWidth="1"/>
    <col min="12299" max="12300" width="13.5703125" style="7" customWidth="1"/>
    <col min="12301" max="12301" width="15.42578125" style="7" customWidth="1"/>
    <col min="12302" max="12304" width="0" style="7" hidden="1" customWidth="1"/>
    <col min="12305" max="12305" width="19.7109375" style="7" customWidth="1"/>
    <col min="12306" max="12306" width="63.85546875" style="7" bestFit="1" customWidth="1"/>
    <col min="12307" max="12534" width="11.42578125" style="7"/>
    <col min="12535" max="12535" width="28.7109375" style="7" customWidth="1"/>
    <col min="12536" max="12536" width="50.42578125" style="7" bestFit="1" customWidth="1"/>
    <col min="12537" max="12537" width="8.85546875" style="7" customWidth="1"/>
    <col min="12538" max="12538" width="19.85546875" style="7" customWidth="1"/>
    <col min="12539" max="12539" width="36" style="7" bestFit="1" customWidth="1"/>
    <col min="12540" max="12540" width="13.42578125" style="7" bestFit="1" customWidth="1"/>
    <col min="12541" max="12541" width="23" style="7" bestFit="1" customWidth="1"/>
    <col min="12542" max="12542" width="24.5703125" style="7" bestFit="1" customWidth="1"/>
    <col min="12543" max="12543" width="25.42578125" style="7" bestFit="1" customWidth="1"/>
    <col min="12544" max="12544" width="17" style="7" customWidth="1"/>
    <col min="12545" max="12551" width="13.5703125" style="7" customWidth="1"/>
    <col min="12552" max="12553" width="16.7109375" style="7" customWidth="1"/>
    <col min="12554" max="12554" width="15.42578125" style="7" customWidth="1"/>
    <col min="12555" max="12556" width="13.5703125" style="7" customWidth="1"/>
    <col min="12557" max="12557" width="15.42578125" style="7" customWidth="1"/>
    <col min="12558" max="12560" width="0" style="7" hidden="1" customWidth="1"/>
    <col min="12561" max="12561" width="19.7109375" style="7" customWidth="1"/>
    <col min="12562" max="12562" width="63.85546875" style="7" bestFit="1" customWidth="1"/>
    <col min="12563" max="12790" width="11.42578125" style="7"/>
    <col min="12791" max="12791" width="28.7109375" style="7" customWidth="1"/>
    <col min="12792" max="12792" width="50.42578125" style="7" bestFit="1" customWidth="1"/>
    <col min="12793" max="12793" width="8.85546875" style="7" customWidth="1"/>
    <col min="12794" max="12794" width="19.85546875" style="7" customWidth="1"/>
    <col min="12795" max="12795" width="36" style="7" bestFit="1" customWidth="1"/>
    <col min="12796" max="12796" width="13.42578125" style="7" bestFit="1" customWidth="1"/>
    <col min="12797" max="12797" width="23" style="7" bestFit="1" customWidth="1"/>
    <col min="12798" max="12798" width="24.5703125" style="7" bestFit="1" customWidth="1"/>
    <col min="12799" max="12799" width="25.42578125" style="7" bestFit="1" customWidth="1"/>
    <col min="12800" max="12800" width="17" style="7" customWidth="1"/>
    <col min="12801" max="12807" width="13.5703125" style="7" customWidth="1"/>
    <col min="12808" max="12809" width="16.7109375" style="7" customWidth="1"/>
    <col min="12810" max="12810" width="15.42578125" style="7" customWidth="1"/>
    <col min="12811" max="12812" width="13.5703125" style="7" customWidth="1"/>
    <col min="12813" max="12813" width="15.42578125" style="7" customWidth="1"/>
    <col min="12814" max="12816" width="0" style="7" hidden="1" customWidth="1"/>
    <col min="12817" max="12817" width="19.7109375" style="7" customWidth="1"/>
    <col min="12818" max="12818" width="63.85546875" style="7" bestFit="1" customWidth="1"/>
    <col min="12819" max="13046" width="11.42578125" style="7"/>
    <col min="13047" max="13047" width="28.7109375" style="7" customWidth="1"/>
    <col min="13048" max="13048" width="50.42578125" style="7" bestFit="1" customWidth="1"/>
    <col min="13049" max="13049" width="8.85546875" style="7" customWidth="1"/>
    <col min="13050" max="13050" width="19.85546875" style="7" customWidth="1"/>
    <col min="13051" max="13051" width="36" style="7" bestFit="1" customWidth="1"/>
    <col min="13052" max="13052" width="13.42578125" style="7" bestFit="1" customWidth="1"/>
    <col min="13053" max="13053" width="23" style="7" bestFit="1" customWidth="1"/>
    <col min="13054" max="13054" width="24.5703125" style="7" bestFit="1" customWidth="1"/>
    <col min="13055" max="13055" width="25.42578125" style="7" bestFit="1" customWidth="1"/>
    <col min="13056" max="13056" width="17" style="7" customWidth="1"/>
    <col min="13057" max="13063" width="13.5703125" style="7" customWidth="1"/>
    <col min="13064" max="13065" width="16.7109375" style="7" customWidth="1"/>
    <col min="13066" max="13066" width="15.42578125" style="7" customWidth="1"/>
    <col min="13067" max="13068" width="13.5703125" style="7" customWidth="1"/>
    <col min="13069" max="13069" width="15.42578125" style="7" customWidth="1"/>
    <col min="13070" max="13072" width="0" style="7" hidden="1" customWidth="1"/>
    <col min="13073" max="13073" width="19.7109375" style="7" customWidth="1"/>
    <col min="13074" max="13074" width="63.85546875" style="7" bestFit="1" customWidth="1"/>
    <col min="13075" max="13302" width="11.42578125" style="7"/>
    <col min="13303" max="13303" width="28.7109375" style="7" customWidth="1"/>
    <col min="13304" max="13304" width="50.42578125" style="7" bestFit="1" customWidth="1"/>
    <col min="13305" max="13305" width="8.85546875" style="7" customWidth="1"/>
    <col min="13306" max="13306" width="19.85546875" style="7" customWidth="1"/>
    <col min="13307" max="13307" width="36" style="7" bestFit="1" customWidth="1"/>
    <col min="13308" max="13308" width="13.42578125" style="7" bestFit="1" customWidth="1"/>
    <col min="13309" max="13309" width="23" style="7" bestFit="1" customWidth="1"/>
    <col min="13310" max="13310" width="24.5703125" style="7" bestFit="1" customWidth="1"/>
    <col min="13311" max="13311" width="25.42578125" style="7" bestFit="1" customWidth="1"/>
    <col min="13312" max="13312" width="17" style="7" customWidth="1"/>
    <col min="13313" max="13319" width="13.5703125" style="7" customWidth="1"/>
    <col min="13320" max="13321" width="16.7109375" style="7" customWidth="1"/>
    <col min="13322" max="13322" width="15.42578125" style="7" customWidth="1"/>
    <col min="13323" max="13324" width="13.5703125" style="7" customWidth="1"/>
    <col min="13325" max="13325" width="15.42578125" style="7" customWidth="1"/>
    <col min="13326" max="13328" width="0" style="7" hidden="1" customWidth="1"/>
    <col min="13329" max="13329" width="19.7109375" style="7" customWidth="1"/>
    <col min="13330" max="13330" width="63.85546875" style="7" bestFit="1" customWidth="1"/>
    <col min="13331" max="13558" width="11.42578125" style="7"/>
    <col min="13559" max="13559" width="28.7109375" style="7" customWidth="1"/>
    <col min="13560" max="13560" width="50.42578125" style="7" bestFit="1" customWidth="1"/>
    <col min="13561" max="13561" width="8.85546875" style="7" customWidth="1"/>
    <col min="13562" max="13562" width="19.85546875" style="7" customWidth="1"/>
    <col min="13563" max="13563" width="36" style="7" bestFit="1" customWidth="1"/>
    <col min="13564" max="13564" width="13.42578125" style="7" bestFit="1" customWidth="1"/>
    <col min="13565" max="13565" width="23" style="7" bestFit="1" customWidth="1"/>
    <col min="13566" max="13566" width="24.5703125" style="7" bestFit="1" customWidth="1"/>
    <col min="13567" max="13567" width="25.42578125" style="7" bestFit="1" customWidth="1"/>
    <col min="13568" max="13568" width="17" style="7" customWidth="1"/>
    <col min="13569" max="13575" width="13.5703125" style="7" customWidth="1"/>
    <col min="13576" max="13577" width="16.7109375" style="7" customWidth="1"/>
    <col min="13578" max="13578" width="15.42578125" style="7" customWidth="1"/>
    <col min="13579" max="13580" width="13.5703125" style="7" customWidth="1"/>
    <col min="13581" max="13581" width="15.42578125" style="7" customWidth="1"/>
    <col min="13582" max="13584" width="0" style="7" hidden="1" customWidth="1"/>
    <col min="13585" max="13585" width="19.7109375" style="7" customWidth="1"/>
    <col min="13586" max="13586" width="63.85546875" style="7" bestFit="1" customWidth="1"/>
    <col min="13587" max="13814" width="11.42578125" style="7"/>
    <col min="13815" max="13815" width="28.7109375" style="7" customWidth="1"/>
    <col min="13816" max="13816" width="50.42578125" style="7" bestFit="1" customWidth="1"/>
    <col min="13817" max="13817" width="8.85546875" style="7" customWidth="1"/>
    <col min="13818" max="13818" width="19.85546875" style="7" customWidth="1"/>
    <col min="13819" max="13819" width="36" style="7" bestFit="1" customWidth="1"/>
    <col min="13820" max="13820" width="13.42578125" style="7" bestFit="1" customWidth="1"/>
    <col min="13821" max="13821" width="23" style="7" bestFit="1" customWidth="1"/>
    <col min="13822" max="13822" width="24.5703125" style="7" bestFit="1" customWidth="1"/>
    <col min="13823" max="13823" width="25.42578125" style="7" bestFit="1" customWidth="1"/>
    <col min="13824" max="13824" width="17" style="7" customWidth="1"/>
    <col min="13825" max="13831" width="13.5703125" style="7" customWidth="1"/>
    <col min="13832" max="13833" width="16.7109375" style="7" customWidth="1"/>
    <col min="13834" max="13834" width="15.42578125" style="7" customWidth="1"/>
    <col min="13835" max="13836" width="13.5703125" style="7" customWidth="1"/>
    <col min="13837" max="13837" width="15.42578125" style="7" customWidth="1"/>
    <col min="13838" max="13840" width="0" style="7" hidden="1" customWidth="1"/>
    <col min="13841" max="13841" width="19.7109375" style="7" customWidth="1"/>
    <col min="13842" max="13842" width="63.85546875" style="7" bestFit="1" customWidth="1"/>
    <col min="13843" max="14070" width="11.42578125" style="7"/>
    <col min="14071" max="14071" width="28.7109375" style="7" customWidth="1"/>
    <col min="14072" max="14072" width="50.42578125" style="7" bestFit="1" customWidth="1"/>
    <col min="14073" max="14073" width="8.85546875" style="7" customWidth="1"/>
    <col min="14074" max="14074" width="19.85546875" style="7" customWidth="1"/>
    <col min="14075" max="14075" width="36" style="7" bestFit="1" customWidth="1"/>
    <col min="14076" max="14076" width="13.42578125" style="7" bestFit="1" customWidth="1"/>
    <col min="14077" max="14077" width="23" style="7" bestFit="1" customWidth="1"/>
    <col min="14078" max="14078" width="24.5703125" style="7" bestFit="1" customWidth="1"/>
    <col min="14079" max="14079" width="25.42578125" style="7" bestFit="1" customWidth="1"/>
    <col min="14080" max="14080" width="17" style="7" customWidth="1"/>
    <col min="14081" max="14087" width="13.5703125" style="7" customWidth="1"/>
    <col min="14088" max="14089" width="16.7109375" style="7" customWidth="1"/>
    <col min="14090" max="14090" width="15.42578125" style="7" customWidth="1"/>
    <col min="14091" max="14092" width="13.5703125" style="7" customWidth="1"/>
    <col min="14093" max="14093" width="15.42578125" style="7" customWidth="1"/>
    <col min="14094" max="14096" width="0" style="7" hidden="1" customWidth="1"/>
    <col min="14097" max="14097" width="19.7109375" style="7" customWidth="1"/>
    <col min="14098" max="14098" width="63.85546875" style="7" bestFit="1" customWidth="1"/>
    <col min="14099" max="14326" width="11.42578125" style="7"/>
    <col min="14327" max="14327" width="28.7109375" style="7" customWidth="1"/>
    <col min="14328" max="14328" width="50.42578125" style="7" bestFit="1" customWidth="1"/>
    <col min="14329" max="14329" width="8.85546875" style="7" customWidth="1"/>
    <col min="14330" max="14330" width="19.85546875" style="7" customWidth="1"/>
    <col min="14331" max="14331" width="36" style="7" bestFit="1" customWidth="1"/>
    <col min="14332" max="14332" width="13.42578125" style="7" bestFit="1" customWidth="1"/>
    <col min="14333" max="14333" width="23" style="7" bestFit="1" customWidth="1"/>
    <col min="14334" max="14334" width="24.5703125" style="7" bestFit="1" customWidth="1"/>
    <col min="14335" max="14335" width="25.42578125" style="7" bestFit="1" customWidth="1"/>
    <col min="14336" max="14336" width="17" style="7" customWidth="1"/>
    <col min="14337" max="14343" width="13.5703125" style="7" customWidth="1"/>
    <col min="14344" max="14345" width="16.7109375" style="7" customWidth="1"/>
    <col min="14346" max="14346" width="15.42578125" style="7" customWidth="1"/>
    <col min="14347" max="14348" width="13.5703125" style="7" customWidth="1"/>
    <col min="14349" max="14349" width="15.42578125" style="7" customWidth="1"/>
    <col min="14350" max="14352" width="0" style="7" hidden="1" customWidth="1"/>
    <col min="14353" max="14353" width="19.7109375" style="7" customWidth="1"/>
    <col min="14354" max="14354" width="63.85546875" style="7" bestFit="1" customWidth="1"/>
    <col min="14355" max="14582" width="11.42578125" style="7"/>
    <col min="14583" max="14583" width="28.7109375" style="7" customWidth="1"/>
    <col min="14584" max="14584" width="50.42578125" style="7" bestFit="1" customWidth="1"/>
    <col min="14585" max="14585" width="8.85546875" style="7" customWidth="1"/>
    <col min="14586" max="14586" width="19.85546875" style="7" customWidth="1"/>
    <col min="14587" max="14587" width="36" style="7" bestFit="1" customWidth="1"/>
    <col min="14588" max="14588" width="13.42578125" style="7" bestFit="1" customWidth="1"/>
    <col min="14589" max="14589" width="23" style="7" bestFit="1" customWidth="1"/>
    <col min="14590" max="14590" width="24.5703125" style="7" bestFit="1" customWidth="1"/>
    <col min="14591" max="14591" width="25.42578125" style="7" bestFit="1" customWidth="1"/>
    <col min="14592" max="14592" width="17" style="7" customWidth="1"/>
    <col min="14593" max="14599" width="13.5703125" style="7" customWidth="1"/>
    <col min="14600" max="14601" width="16.7109375" style="7" customWidth="1"/>
    <col min="14602" max="14602" width="15.42578125" style="7" customWidth="1"/>
    <col min="14603" max="14604" width="13.5703125" style="7" customWidth="1"/>
    <col min="14605" max="14605" width="15.42578125" style="7" customWidth="1"/>
    <col min="14606" max="14608" width="0" style="7" hidden="1" customWidth="1"/>
    <col min="14609" max="14609" width="19.7109375" style="7" customWidth="1"/>
    <col min="14610" max="14610" width="63.85546875" style="7" bestFit="1" customWidth="1"/>
    <col min="14611" max="14838" width="11.42578125" style="7"/>
    <col min="14839" max="14839" width="28.7109375" style="7" customWidth="1"/>
    <col min="14840" max="14840" width="50.42578125" style="7" bestFit="1" customWidth="1"/>
    <col min="14841" max="14841" width="8.85546875" style="7" customWidth="1"/>
    <col min="14842" max="14842" width="19.85546875" style="7" customWidth="1"/>
    <col min="14843" max="14843" width="36" style="7" bestFit="1" customWidth="1"/>
    <col min="14844" max="14844" width="13.42578125" style="7" bestFit="1" customWidth="1"/>
    <col min="14845" max="14845" width="23" style="7" bestFit="1" customWidth="1"/>
    <col min="14846" max="14846" width="24.5703125" style="7" bestFit="1" customWidth="1"/>
    <col min="14847" max="14847" width="25.42578125" style="7" bestFit="1" customWidth="1"/>
    <col min="14848" max="14848" width="17" style="7" customWidth="1"/>
    <col min="14849" max="14855" width="13.5703125" style="7" customWidth="1"/>
    <col min="14856" max="14857" width="16.7109375" style="7" customWidth="1"/>
    <col min="14858" max="14858" width="15.42578125" style="7" customWidth="1"/>
    <col min="14859" max="14860" width="13.5703125" style="7" customWidth="1"/>
    <col min="14861" max="14861" width="15.42578125" style="7" customWidth="1"/>
    <col min="14862" max="14864" width="0" style="7" hidden="1" customWidth="1"/>
    <col min="14865" max="14865" width="19.7109375" style="7" customWidth="1"/>
    <col min="14866" max="14866" width="63.85546875" style="7" bestFit="1" customWidth="1"/>
    <col min="14867" max="15094" width="11.42578125" style="7"/>
    <col min="15095" max="15095" width="28.7109375" style="7" customWidth="1"/>
    <col min="15096" max="15096" width="50.42578125" style="7" bestFit="1" customWidth="1"/>
    <col min="15097" max="15097" width="8.85546875" style="7" customWidth="1"/>
    <col min="15098" max="15098" width="19.85546875" style="7" customWidth="1"/>
    <col min="15099" max="15099" width="36" style="7" bestFit="1" customWidth="1"/>
    <col min="15100" max="15100" width="13.42578125" style="7" bestFit="1" customWidth="1"/>
    <col min="15101" max="15101" width="23" style="7" bestFit="1" customWidth="1"/>
    <col min="15102" max="15102" width="24.5703125" style="7" bestFit="1" customWidth="1"/>
    <col min="15103" max="15103" width="25.42578125" style="7" bestFit="1" customWidth="1"/>
    <col min="15104" max="15104" width="17" style="7" customWidth="1"/>
    <col min="15105" max="15111" width="13.5703125" style="7" customWidth="1"/>
    <col min="15112" max="15113" width="16.7109375" style="7" customWidth="1"/>
    <col min="15114" max="15114" width="15.42578125" style="7" customWidth="1"/>
    <col min="15115" max="15116" width="13.5703125" style="7" customWidth="1"/>
    <col min="15117" max="15117" width="15.42578125" style="7" customWidth="1"/>
    <col min="15118" max="15120" width="0" style="7" hidden="1" customWidth="1"/>
    <col min="15121" max="15121" width="19.7109375" style="7" customWidth="1"/>
    <col min="15122" max="15122" width="63.85546875" style="7" bestFit="1" customWidth="1"/>
    <col min="15123" max="15350" width="11.42578125" style="7"/>
    <col min="15351" max="15351" width="28.7109375" style="7" customWidth="1"/>
    <col min="15352" max="15352" width="50.42578125" style="7" bestFit="1" customWidth="1"/>
    <col min="15353" max="15353" width="8.85546875" style="7" customWidth="1"/>
    <col min="15354" max="15354" width="19.85546875" style="7" customWidth="1"/>
    <col min="15355" max="15355" width="36" style="7" bestFit="1" customWidth="1"/>
    <col min="15356" max="15356" width="13.42578125" style="7" bestFit="1" customWidth="1"/>
    <col min="15357" max="15357" width="23" style="7" bestFit="1" customWidth="1"/>
    <col min="15358" max="15358" width="24.5703125" style="7" bestFit="1" customWidth="1"/>
    <col min="15359" max="15359" width="25.42578125" style="7" bestFit="1" customWidth="1"/>
    <col min="15360" max="15360" width="17" style="7" customWidth="1"/>
    <col min="15361" max="15367" width="13.5703125" style="7" customWidth="1"/>
    <col min="15368" max="15369" width="16.7109375" style="7" customWidth="1"/>
    <col min="15370" max="15370" width="15.42578125" style="7" customWidth="1"/>
    <col min="15371" max="15372" width="13.5703125" style="7" customWidth="1"/>
    <col min="15373" max="15373" width="15.42578125" style="7" customWidth="1"/>
    <col min="15374" max="15376" width="0" style="7" hidden="1" customWidth="1"/>
    <col min="15377" max="15377" width="19.7109375" style="7" customWidth="1"/>
    <col min="15378" max="15378" width="63.85546875" style="7" bestFit="1" customWidth="1"/>
    <col min="15379" max="15606" width="11.42578125" style="7"/>
    <col min="15607" max="15607" width="28.7109375" style="7" customWidth="1"/>
    <col min="15608" max="15608" width="50.42578125" style="7" bestFit="1" customWidth="1"/>
    <col min="15609" max="15609" width="8.85546875" style="7" customWidth="1"/>
    <col min="15610" max="15610" width="19.85546875" style="7" customWidth="1"/>
    <col min="15611" max="15611" width="36" style="7" bestFit="1" customWidth="1"/>
    <col min="15612" max="15612" width="13.42578125" style="7" bestFit="1" customWidth="1"/>
    <col min="15613" max="15613" width="23" style="7" bestFit="1" customWidth="1"/>
    <col min="15614" max="15614" width="24.5703125" style="7" bestFit="1" customWidth="1"/>
    <col min="15615" max="15615" width="25.42578125" style="7" bestFit="1" customWidth="1"/>
    <col min="15616" max="15616" width="17" style="7" customWidth="1"/>
    <col min="15617" max="15623" width="13.5703125" style="7" customWidth="1"/>
    <col min="15624" max="15625" width="16.7109375" style="7" customWidth="1"/>
    <col min="15626" max="15626" width="15.42578125" style="7" customWidth="1"/>
    <col min="15627" max="15628" width="13.5703125" style="7" customWidth="1"/>
    <col min="15629" max="15629" width="15.42578125" style="7" customWidth="1"/>
    <col min="15630" max="15632" width="0" style="7" hidden="1" customWidth="1"/>
    <col min="15633" max="15633" width="19.7109375" style="7" customWidth="1"/>
    <col min="15634" max="15634" width="63.85546875" style="7" bestFit="1" customWidth="1"/>
    <col min="15635" max="15862" width="11.42578125" style="7"/>
    <col min="15863" max="15863" width="28.7109375" style="7" customWidth="1"/>
    <col min="15864" max="15864" width="50.42578125" style="7" bestFit="1" customWidth="1"/>
    <col min="15865" max="15865" width="8.85546875" style="7" customWidth="1"/>
    <col min="15866" max="15866" width="19.85546875" style="7" customWidth="1"/>
    <col min="15867" max="15867" width="36" style="7" bestFit="1" customWidth="1"/>
    <col min="15868" max="15868" width="13.42578125" style="7" bestFit="1" customWidth="1"/>
    <col min="15869" max="15869" width="23" style="7" bestFit="1" customWidth="1"/>
    <col min="15870" max="15870" width="24.5703125" style="7" bestFit="1" customWidth="1"/>
    <col min="15871" max="15871" width="25.42578125" style="7" bestFit="1" customWidth="1"/>
    <col min="15872" max="15872" width="17" style="7" customWidth="1"/>
    <col min="15873" max="15879" width="13.5703125" style="7" customWidth="1"/>
    <col min="15880" max="15881" width="16.7109375" style="7" customWidth="1"/>
    <col min="15882" max="15882" width="15.42578125" style="7" customWidth="1"/>
    <col min="15883" max="15884" width="13.5703125" style="7" customWidth="1"/>
    <col min="15885" max="15885" width="15.42578125" style="7" customWidth="1"/>
    <col min="15886" max="15888" width="0" style="7" hidden="1" customWidth="1"/>
    <col min="15889" max="15889" width="19.7109375" style="7" customWidth="1"/>
    <col min="15890" max="15890" width="63.85546875" style="7" bestFit="1" customWidth="1"/>
    <col min="15891" max="16118" width="11.42578125" style="7"/>
    <col min="16119" max="16119" width="28.7109375" style="7" customWidth="1"/>
    <col min="16120" max="16120" width="50.42578125" style="7" bestFit="1" customWidth="1"/>
    <col min="16121" max="16121" width="8.85546875" style="7" customWidth="1"/>
    <col min="16122" max="16122" width="19.85546875" style="7" customWidth="1"/>
    <col min="16123" max="16123" width="36" style="7" bestFit="1" customWidth="1"/>
    <col min="16124" max="16124" width="13.42578125" style="7" bestFit="1" customWidth="1"/>
    <col min="16125" max="16125" width="23" style="7" bestFit="1" customWidth="1"/>
    <col min="16126" max="16126" width="24.5703125" style="7" bestFit="1" customWidth="1"/>
    <col min="16127" max="16127" width="25.42578125" style="7" bestFit="1" customWidth="1"/>
    <col min="16128" max="16128" width="17" style="7" customWidth="1"/>
    <col min="16129" max="16135" width="13.5703125" style="7" customWidth="1"/>
    <col min="16136" max="16137" width="16.7109375" style="7" customWidth="1"/>
    <col min="16138" max="16138" width="15.42578125" style="7" customWidth="1"/>
    <col min="16139" max="16140" width="13.5703125" style="7" customWidth="1"/>
    <col min="16141" max="16141" width="15.42578125" style="7" customWidth="1"/>
    <col min="16142" max="16144" width="0" style="7" hidden="1" customWidth="1"/>
    <col min="16145" max="16145" width="19.7109375" style="7" customWidth="1"/>
    <col min="16146" max="16146" width="63.85546875" style="7" bestFit="1" customWidth="1"/>
    <col min="16147" max="16384" width="11.42578125" style="7"/>
  </cols>
  <sheetData>
    <row r="1" spans="1:35" ht="18" customHeight="1">
      <c r="A1" s="1" t="s">
        <v>0</v>
      </c>
      <c r="B1" s="1"/>
      <c r="C1" s="1"/>
      <c r="D1" s="1"/>
      <c r="E1" s="2"/>
      <c r="F1" s="88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139" t="s">
        <v>232</v>
      </c>
      <c r="AE1" s="138" t="s">
        <v>233</v>
      </c>
      <c r="AF1" s="6"/>
      <c r="AG1" s="6"/>
      <c r="AH1" s="6"/>
      <c r="AI1" s="6"/>
    </row>
    <row r="2" spans="1:35" ht="24.95" customHeight="1">
      <c r="A2" s="8" t="s">
        <v>1</v>
      </c>
      <c r="B2" s="8"/>
      <c r="C2" s="8"/>
      <c r="D2" s="8"/>
      <c r="E2" s="9"/>
      <c r="F2" s="88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139" t="s">
        <v>270</v>
      </c>
      <c r="AE2" s="138" t="s">
        <v>271</v>
      </c>
      <c r="AF2" s="6"/>
      <c r="AG2" s="6"/>
      <c r="AH2" s="6"/>
      <c r="AI2" s="6"/>
    </row>
    <row r="3" spans="1:35">
      <c r="A3" s="10" t="s">
        <v>163</v>
      </c>
      <c r="B3" s="10" t="s">
        <v>164</v>
      </c>
      <c r="C3" s="10"/>
      <c r="D3" s="10"/>
      <c r="E3" s="11"/>
      <c r="F3" s="88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18" customFormat="1" ht="23.25" customHeight="1">
      <c r="A4" s="12"/>
      <c r="B4" s="12"/>
      <c r="C4" s="12"/>
      <c r="D4" s="12"/>
      <c r="E4" s="12"/>
      <c r="F4" s="89"/>
      <c r="G4" s="13"/>
      <c r="H4" s="13"/>
      <c r="I4" s="13"/>
      <c r="J4" s="14"/>
      <c r="K4" s="13"/>
      <c r="L4" s="78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7"/>
    </row>
    <row r="5" spans="1:35" s="147" customFormat="1" ht="15.75" customHeight="1">
      <c r="A5" s="281" t="s">
        <v>3</v>
      </c>
      <c r="B5" s="281" t="s">
        <v>4</v>
      </c>
      <c r="C5" s="282" t="s">
        <v>5</v>
      </c>
      <c r="D5" s="284" t="s">
        <v>26</v>
      </c>
      <c r="E5" s="282" t="s">
        <v>6</v>
      </c>
      <c r="F5" s="286" t="s">
        <v>27</v>
      </c>
      <c r="G5" s="275" t="s">
        <v>7</v>
      </c>
      <c r="H5" s="275" t="s">
        <v>8</v>
      </c>
      <c r="I5" s="275" t="s">
        <v>9</v>
      </c>
      <c r="J5" s="275" t="s">
        <v>10</v>
      </c>
      <c r="K5" s="275" t="s">
        <v>11</v>
      </c>
      <c r="L5" s="140"/>
      <c r="M5" s="275" t="s">
        <v>12</v>
      </c>
      <c r="N5" s="275" t="s">
        <v>13</v>
      </c>
      <c r="O5" s="275" t="s">
        <v>14</v>
      </c>
      <c r="P5" s="275" t="s">
        <v>15</v>
      </c>
      <c r="Q5" s="275" t="s">
        <v>16</v>
      </c>
      <c r="R5" s="275" t="s">
        <v>17</v>
      </c>
      <c r="S5" s="275" t="s">
        <v>18</v>
      </c>
      <c r="T5" s="275" t="s">
        <v>19</v>
      </c>
      <c r="U5" s="275" t="s">
        <v>20</v>
      </c>
      <c r="V5" s="275" t="s">
        <v>21</v>
      </c>
      <c r="W5" s="275" t="s">
        <v>22</v>
      </c>
      <c r="X5" s="277" t="s">
        <v>23</v>
      </c>
      <c r="Y5" s="278"/>
      <c r="Z5" s="279" t="s">
        <v>24</v>
      </c>
      <c r="AA5" s="141"/>
      <c r="AB5" s="141" t="s">
        <v>25</v>
      </c>
      <c r="AC5" s="144"/>
      <c r="AD5" s="144"/>
      <c r="AE5" s="144"/>
      <c r="AF5" s="144"/>
      <c r="AG5" s="144"/>
      <c r="AH5" s="144"/>
      <c r="AI5" s="146"/>
    </row>
    <row r="6" spans="1:35" s="18" customFormat="1">
      <c r="A6" s="282"/>
      <c r="B6" s="282"/>
      <c r="C6" s="283"/>
      <c r="D6" s="285"/>
      <c r="E6" s="283"/>
      <c r="F6" s="287"/>
      <c r="G6" s="276"/>
      <c r="H6" s="276"/>
      <c r="I6" s="276"/>
      <c r="J6" s="276"/>
      <c r="K6" s="276"/>
      <c r="L6" s="142" t="s">
        <v>28</v>
      </c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143" t="s">
        <v>29</v>
      </c>
      <c r="Y6" s="143" t="s">
        <v>30</v>
      </c>
      <c r="Z6" s="275"/>
      <c r="AA6" s="141" t="s">
        <v>31</v>
      </c>
      <c r="AB6" s="141"/>
      <c r="AC6" s="144"/>
      <c r="AD6" s="144"/>
      <c r="AE6" s="144"/>
      <c r="AF6" s="144"/>
      <c r="AG6" s="144"/>
      <c r="AH6" s="144"/>
      <c r="AI6" s="146"/>
    </row>
    <row r="7" spans="1:35" s="36" customFormat="1">
      <c r="A7" s="20" t="s">
        <v>35</v>
      </c>
      <c r="B7" s="20" t="s">
        <v>280</v>
      </c>
      <c r="C7" s="22"/>
      <c r="D7" s="23">
        <v>40691</v>
      </c>
      <c r="E7" s="20" t="s">
        <v>49</v>
      </c>
      <c r="F7" s="90">
        <v>0</v>
      </c>
      <c r="G7" s="42"/>
      <c r="H7" s="25"/>
      <c r="I7" s="26">
        <v>45.13</v>
      </c>
      <c r="J7" s="30">
        <f t="shared" ref="J7:J45" si="0">SUM(F7:H7)-I7</f>
        <v>-45.13</v>
      </c>
      <c r="K7" s="37"/>
      <c r="L7" s="79"/>
      <c r="M7" s="27"/>
      <c r="N7" s="27"/>
      <c r="O7" s="27"/>
      <c r="P7" s="28"/>
      <c r="Q7" s="29"/>
      <c r="R7" s="30">
        <f t="shared" ref="R7:R45" si="1">+J7-SUM(K7:Q7)</f>
        <v>-45.13</v>
      </c>
      <c r="S7" s="31"/>
      <c r="T7" s="30">
        <f t="shared" ref="T7:T45" si="2">+R7-S7</f>
        <v>-45.13</v>
      </c>
      <c r="U7" s="32"/>
      <c r="V7" s="31"/>
      <c r="W7" s="30"/>
      <c r="X7" s="33"/>
      <c r="Y7" s="34"/>
      <c r="Z7" s="35"/>
      <c r="AA7" s="35"/>
      <c r="AB7" s="38"/>
      <c r="AC7" s="17" t="str">
        <f>IF(B7=AE7,"SI","NO")</f>
        <v>SI</v>
      </c>
      <c r="AD7" s="200" t="s">
        <v>174</v>
      </c>
      <c r="AE7" s="199" t="s">
        <v>175</v>
      </c>
      <c r="AF7" s="17"/>
      <c r="AG7" s="17"/>
      <c r="AH7" s="17"/>
      <c r="AI7" s="17"/>
    </row>
    <row r="8" spans="1:35" s="36" customFormat="1">
      <c r="A8" s="20" t="s">
        <v>32</v>
      </c>
      <c r="B8" s="20" t="s">
        <v>33</v>
      </c>
      <c r="C8" s="22"/>
      <c r="D8" s="43">
        <v>42409</v>
      </c>
      <c r="E8" s="20" t="s">
        <v>34</v>
      </c>
      <c r="F8" s="90">
        <v>1802</v>
      </c>
      <c r="G8" s="42"/>
      <c r="H8" s="25"/>
      <c r="I8" s="26">
        <v>45.13</v>
      </c>
      <c r="J8" s="30">
        <f t="shared" si="0"/>
        <v>1756.87</v>
      </c>
      <c r="K8" s="37"/>
      <c r="L8" s="79"/>
      <c r="M8" s="27"/>
      <c r="N8" s="27"/>
      <c r="O8" s="27"/>
      <c r="P8" s="28"/>
      <c r="Q8" s="29">
        <v>0</v>
      </c>
      <c r="R8" s="30">
        <f t="shared" si="1"/>
        <v>1756.87</v>
      </c>
      <c r="S8" s="31">
        <f>IF(J8&gt;4500,J8*0.1,0)</f>
        <v>0</v>
      </c>
      <c r="T8" s="30">
        <f t="shared" si="2"/>
        <v>1756.87</v>
      </c>
      <c r="U8" s="32">
        <f>IF(J8&lt;4500,J8*0.1,0)</f>
        <v>175.68700000000001</v>
      </c>
      <c r="V8" s="31">
        <f>+'[1]C&amp;A'!D12*0.02</f>
        <v>21.911999999999999</v>
      </c>
      <c r="W8" s="30">
        <f>+J8+U8+V8</f>
        <v>1954.4689999999998</v>
      </c>
      <c r="X8" s="33"/>
      <c r="Y8" s="34"/>
      <c r="Z8" s="35">
        <f>+X8+Y8-T8</f>
        <v>-1756.87</v>
      </c>
      <c r="AA8" s="98"/>
      <c r="AB8" s="38"/>
      <c r="AC8" s="17" t="str">
        <f t="shared" ref="AC8:AC44" si="3">IF(B8=AE8,"SI","NO")</f>
        <v>SI</v>
      </c>
      <c r="AD8" s="200" t="s">
        <v>176</v>
      </c>
      <c r="AE8" s="199" t="s">
        <v>177</v>
      </c>
      <c r="AF8" s="17"/>
      <c r="AG8" s="17"/>
      <c r="AH8" s="17"/>
      <c r="AI8" s="17"/>
    </row>
    <row r="9" spans="1:35" s="36" customFormat="1">
      <c r="A9" s="20" t="s">
        <v>35</v>
      </c>
      <c r="B9" s="20" t="s">
        <v>36</v>
      </c>
      <c r="C9" s="22" t="s">
        <v>37</v>
      </c>
      <c r="D9" s="23">
        <v>42072</v>
      </c>
      <c r="E9" s="20" t="s">
        <v>153</v>
      </c>
      <c r="F9" s="90">
        <v>3500</v>
      </c>
      <c r="G9" s="25"/>
      <c r="H9" s="25"/>
      <c r="I9" s="26">
        <v>45.13</v>
      </c>
      <c r="J9" s="30">
        <f t="shared" si="0"/>
        <v>3454.87</v>
      </c>
      <c r="K9" s="37"/>
      <c r="L9" s="80"/>
      <c r="M9" s="27"/>
      <c r="N9" s="27"/>
      <c r="O9" s="27"/>
      <c r="P9" s="28"/>
      <c r="Q9" s="29">
        <v>902.31</v>
      </c>
      <c r="R9" s="30">
        <f t="shared" si="1"/>
        <v>2552.56</v>
      </c>
      <c r="S9" s="31">
        <f>IF(J9&gt;4500,J9*0.1,0)</f>
        <v>0</v>
      </c>
      <c r="T9" s="30">
        <f t="shared" si="2"/>
        <v>2552.56</v>
      </c>
      <c r="U9" s="32">
        <f>IF(J9&lt;4500,J9*0.1,0)</f>
        <v>345.48700000000002</v>
      </c>
      <c r="V9" s="31">
        <f>+'[1]C&amp;A'!D14*0.02</f>
        <v>21.911999999999999</v>
      </c>
      <c r="W9" s="30">
        <f>+J9+U9+V9</f>
        <v>3822.2689999999998</v>
      </c>
      <c r="X9" s="33"/>
      <c r="Y9" s="34"/>
      <c r="Z9" s="35">
        <f>+X9+Y9-T9</f>
        <v>-2552.56</v>
      </c>
      <c r="AA9" s="35"/>
      <c r="AB9" s="38"/>
      <c r="AC9" s="17" t="str">
        <f t="shared" si="3"/>
        <v>SI</v>
      </c>
      <c r="AD9" s="200" t="s">
        <v>178</v>
      </c>
      <c r="AE9" s="199" t="s">
        <v>179</v>
      </c>
      <c r="AF9" s="17"/>
      <c r="AG9" s="17"/>
      <c r="AH9" s="17"/>
      <c r="AI9" s="17"/>
    </row>
    <row r="10" spans="1:35" s="36" customFormat="1">
      <c r="A10" s="20" t="s">
        <v>71</v>
      </c>
      <c r="B10" s="20" t="s">
        <v>39</v>
      </c>
      <c r="C10" s="22" t="s">
        <v>40</v>
      </c>
      <c r="D10" s="23">
        <v>42298</v>
      </c>
      <c r="E10" s="20" t="s">
        <v>41</v>
      </c>
      <c r="F10" s="90">
        <v>7159.64</v>
      </c>
      <c r="G10" s="25"/>
      <c r="H10" s="25"/>
      <c r="I10" s="26">
        <v>45.13</v>
      </c>
      <c r="J10" s="30">
        <f t="shared" si="0"/>
        <v>7114.51</v>
      </c>
      <c r="K10" s="37"/>
      <c r="L10" s="79"/>
      <c r="M10" s="27"/>
      <c r="N10" s="27"/>
      <c r="O10" s="27"/>
      <c r="P10" s="28"/>
      <c r="Q10" s="29"/>
      <c r="R10" s="30">
        <f t="shared" si="1"/>
        <v>7114.51</v>
      </c>
      <c r="S10" s="31">
        <f>IF(J10&gt;4500,J10*0.1,0)</f>
        <v>711.45100000000002</v>
      </c>
      <c r="T10" s="30">
        <f t="shared" si="2"/>
        <v>6403.0590000000002</v>
      </c>
      <c r="U10" s="32">
        <f>IF(J10&lt;4500,J10*0.1,0)</f>
        <v>0</v>
      </c>
      <c r="V10" s="31">
        <f>+'[1]C&amp;A'!D15*0.02</f>
        <v>21.911999999999999</v>
      </c>
      <c r="W10" s="30">
        <f>+J10+U10+V10</f>
        <v>7136.4220000000005</v>
      </c>
      <c r="X10" s="33"/>
      <c r="Y10" s="39"/>
      <c r="Z10" s="35">
        <f>+X10+Y10-T10</f>
        <v>-6403.0590000000002</v>
      </c>
      <c r="AA10" s="35"/>
      <c r="AB10" s="38"/>
      <c r="AC10" s="17" t="str">
        <f t="shared" si="3"/>
        <v>SI</v>
      </c>
      <c r="AD10" s="200" t="s">
        <v>180</v>
      </c>
      <c r="AE10" s="199" t="s">
        <v>181</v>
      </c>
      <c r="AF10" s="17"/>
      <c r="AG10" s="17"/>
      <c r="AH10" s="17"/>
      <c r="AI10" s="17"/>
    </row>
    <row r="11" spans="1:35" s="36" customFormat="1">
      <c r="A11" s="20" t="s">
        <v>142</v>
      </c>
      <c r="B11" s="95" t="s">
        <v>143</v>
      </c>
      <c r="C11" s="22" t="s">
        <v>144</v>
      </c>
      <c r="D11" s="23">
        <v>41939</v>
      </c>
      <c r="E11" s="20" t="s">
        <v>145</v>
      </c>
      <c r="F11" s="90"/>
      <c r="G11" s="25"/>
      <c r="H11" s="25"/>
      <c r="I11" s="26">
        <v>45.13</v>
      </c>
      <c r="J11" s="30">
        <f t="shared" si="0"/>
        <v>-45.13</v>
      </c>
      <c r="K11" s="37"/>
      <c r="L11" s="79"/>
      <c r="M11" s="27"/>
      <c r="N11" s="27"/>
      <c r="O11" s="27"/>
      <c r="P11" s="28">
        <v>177.91</v>
      </c>
      <c r="Q11" s="29"/>
      <c r="R11" s="30">
        <f t="shared" si="1"/>
        <v>-223.04</v>
      </c>
      <c r="S11" s="31"/>
      <c r="T11" s="30">
        <f t="shared" si="2"/>
        <v>-223.04</v>
      </c>
      <c r="U11" s="32"/>
      <c r="V11" s="31"/>
      <c r="W11" s="30"/>
      <c r="X11" s="33"/>
      <c r="Y11" s="39"/>
      <c r="Z11" s="35"/>
      <c r="AA11" s="35"/>
      <c r="AB11" s="38"/>
      <c r="AC11" s="17" t="str">
        <f t="shared" si="3"/>
        <v>SI</v>
      </c>
      <c r="AD11" s="200" t="s">
        <v>182</v>
      </c>
      <c r="AE11" s="199" t="s">
        <v>183</v>
      </c>
      <c r="AF11" s="17"/>
      <c r="AG11" s="17"/>
      <c r="AH11" s="17"/>
      <c r="AI11" s="17"/>
    </row>
    <row r="12" spans="1:35" s="36" customFormat="1">
      <c r="A12" s="20" t="s">
        <v>35</v>
      </c>
      <c r="B12" s="20" t="s">
        <v>43</v>
      </c>
      <c r="C12" s="22" t="s">
        <v>44</v>
      </c>
      <c r="D12" s="23">
        <v>41822</v>
      </c>
      <c r="E12" s="20" t="s">
        <v>45</v>
      </c>
      <c r="F12" s="90"/>
      <c r="G12" s="25"/>
      <c r="H12" s="25"/>
      <c r="I12" s="26">
        <v>45.13</v>
      </c>
      <c r="J12" s="30">
        <f t="shared" si="0"/>
        <v>-45.13</v>
      </c>
      <c r="K12" s="37"/>
      <c r="L12" s="79"/>
      <c r="M12" s="27"/>
      <c r="N12" s="27"/>
      <c r="O12" s="27"/>
      <c r="P12" s="28"/>
      <c r="Q12" s="29">
        <v>0</v>
      </c>
      <c r="R12" s="30">
        <f t="shared" si="1"/>
        <v>-45.13</v>
      </c>
      <c r="S12" s="31">
        <f>IF(J12&gt;4500,J12*0.1,0)</f>
        <v>0</v>
      </c>
      <c r="T12" s="30">
        <f t="shared" si="2"/>
        <v>-45.13</v>
      </c>
      <c r="U12" s="32">
        <f>IF(J12&lt;4500,J12*0.1,0)</f>
        <v>-4.5130000000000008</v>
      </c>
      <c r="V12" s="31">
        <f>+'[1]C&amp;A'!D17*0.02</f>
        <v>21.911999999999999</v>
      </c>
      <c r="W12" s="30">
        <f>+J12+U12+V12</f>
        <v>-27.731000000000002</v>
      </c>
      <c r="X12" s="33"/>
      <c r="Y12" s="34"/>
      <c r="Z12" s="35">
        <f>+X12+Y12-T12</f>
        <v>45.13</v>
      </c>
      <c r="AA12" s="35"/>
      <c r="AB12" s="38"/>
      <c r="AC12" s="17" t="str">
        <f t="shared" si="3"/>
        <v>SI</v>
      </c>
      <c r="AD12" s="200" t="s">
        <v>184</v>
      </c>
      <c r="AE12" s="199" t="s">
        <v>185</v>
      </c>
      <c r="AF12" s="17"/>
      <c r="AG12" s="17"/>
      <c r="AH12" s="17"/>
      <c r="AI12" s="17"/>
    </row>
    <row r="13" spans="1:35" s="36" customFormat="1">
      <c r="A13" s="125"/>
      <c r="B13" s="125" t="s">
        <v>168</v>
      </c>
      <c r="C13" s="126"/>
      <c r="D13" s="127">
        <v>42611</v>
      </c>
      <c r="E13" s="125" t="s">
        <v>172</v>
      </c>
      <c r="F13" s="128"/>
      <c r="G13" s="129"/>
      <c r="H13" s="129"/>
      <c r="I13" s="26"/>
      <c r="J13" s="30">
        <f t="shared" si="0"/>
        <v>0</v>
      </c>
      <c r="K13" s="129"/>
      <c r="L13" s="130"/>
      <c r="M13" s="131"/>
      <c r="N13" s="131"/>
      <c r="O13" s="131"/>
      <c r="P13" s="132"/>
      <c r="Q13" s="133"/>
      <c r="R13" s="30">
        <f t="shared" si="1"/>
        <v>0</v>
      </c>
      <c r="S13" s="31">
        <f>IF(J13&gt;4500,J13*0.1,0)</f>
        <v>0</v>
      </c>
      <c r="T13" s="30">
        <f t="shared" si="2"/>
        <v>0</v>
      </c>
      <c r="U13" s="32"/>
      <c r="V13" s="31"/>
      <c r="W13" s="30"/>
      <c r="X13" s="33"/>
      <c r="Y13" s="34"/>
      <c r="Z13" s="35"/>
      <c r="AA13" s="135" t="s">
        <v>170</v>
      </c>
      <c r="AB13" s="134" t="s">
        <v>169</v>
      </c>
      <c r="AC13" s="17" t="str">
        <f t="shared" si="3"/>
        <v>SI</v>
      </c>
      <c r="AD13" s="200" t="s">
        <v>186</v>
      </c>
      <c r="AE13" s="199" t="s">
        <v>187</v>
      </c>
      <c r="AF13" s="17"/>
      <c r="AG13" s="17"/>
      <c r="AH13" s="17"/>
      <c r="AI13" s="17"/>
    </row>
    <row r="14" spans="1:35" s="87" customFormat="1">
      <c r="A14" s="20" t="s">
        <v>35</v>
      </c>
      <c r="B14" s="38" t="s">
        <v>46</v>
      </c>
      <c r="C14" s="22" t="s">
        <v>47</v>
      </c>
      <c r="D14" s="23">
        <v>41474</v>
      </c>
      <c r="E14" s="20" t="s">
        <v>45</v>
      </c>
      <c r="F14" s="90"/>
      <c r="G14" s="25"/>
      <c r="H14" s="25"/>
      <c r="I14" s="26">
        <v>45.13</v>
      </c>
      <c r="J14" s="30">
        <f t="shared" si="0"/>
        <v>-45.13</v>
      </c>
      <c r="K14" s="37"/>
      <c r="L14" s="79"/>
      <c r="M14" s="27"/>
      <c r="N14" s="27"/>
      <c r="O14" s="27"/>
      <c r="P14" s="28"/>
      <c r="Q14" s="29">
        <v>0</v>
      </c>
      <c r="R14" s="30">
        <f t="shared" si="1"/>
        <v>-45.13</v>
      </c>
      <c r="S14" s="31">
        <f>IF(J14&gt;4500,J14*0.1,0)</f>
        <v>0</v>
      </c>
      <c r="T14" s="30">
        <f t="shared" si="2"/>
        <v>-45.13</v>
      </c>
      <c r="U14" s="32">
        <f>IF(J14&lt;4500,J14*0.1,0)</f>
        <v>-4.5130000000000008</v>
      </c>
      <c r="V14" s="31">
        <f>+'[1]C&amp;A'!D18*0.02</f>
        <v>21.911999999999999</v>
      </c>
      <c r="W14" s="30">
        <f>+J14+U14+V14</f>
        <v>-27.731000000000002</v>
      </c>
      <c r="X14" s="33"/>
      <c r="Y14" s="34"/>
      <c r="Z14" s="35">
        <f>+X14+Y14-T14</f>
        <v>45.13</v>
      </c>
      <c r="AA14" s="35"/>
      <c r="AB14" s="40"/>
      <c r="AC14" s="17" t="str">
        <f t="shared" si="3"/>
        <v>SI</v>
      </c>
      <c r="AD14" s="200" t="s">
        <v>188</v>
      </c>
      <c r="AE14" s="199" t="s">
        <v>189</v>
      </c>
      <c r="AF14" s="86"/>
      <c r="AG14" s="86"/>
      <c r="AH14" s="86"/>
      <c r="AI14" s="86"/>
    </row>
    <row r="15" spans="1:35" s="87" customFormat="1">
      <c r="A15" s="20" t="s">
        <v>35</v>
      </c>
      <c r="B15" s="38" t="s">
        <v>139</v>
      </c>
      <c r="C15" s="22"/>
      <c r="D15" s="23">
        <v>42583</v>
      </c>
      <c r="E15" s="20" t="s">
        <v>99</v>
      </c>
      <c r="F15" s="90">
        <v>27754.3</v>
      </c>
      <c r="G15" s="25"/>
      <c r="H15" s="25"/>
      <c r="I15" s="26">
        <v>45.13</v>
      </c>
      <c r="J15" s="30">
        <f t="shared" si="0"/>
        <v>27709.17</v>
      </c>
      <c r="K15" s="37"/>
      <c r="L15" s="79"/>
      <c r="M15" s="27"/>
      <c r="N15" s="27"/>
      <c r="O15" s="27"/>
      <c r="P15" s="28"/>
      <c r="Q15" s="29"/>
      <c r="R15" s="30">
        <f t="shared" si="1"/>
        <v>27709.17</v>
      </c>
      <c r="S15" s="31"/>
      <c r="T15" s="30">
        <f t="shared" si="2"/>
        <v>27709.17</v>
      </c>
      <c r="U15" s="32"/>
      <c r="V15" s="31"/>
      <c r="W15" s="30"/>
      <c r="X15" s="33"/>
      <c r="Y15" s="34"/>
      <c r="Z15" s="35"/>
      <c r="AA15" s="35"/>
      <c r="AB15" s="40"/>
      <c r="AC15" s="17" t="str">
        <f t="shared" si="3"/>
        <v>SI</v>
      </c>
      <c r="AD15" s="200" t="s">
        <v>190</v>
      </c>
      <c r="AE15" s="199" t="s">
        <v>191</v>
      </c>
      <c r="AF15" s="86"/>
      <c r="AG15" s="86"/>
      <c r="AH15" s="86"/>
      <c r="AI15" s="86"/>
    </row>
    <row r="16" spans="1:35" s="87" customFormat="1">
      <c r="A16" s="20" t="s">
        <v>35</v>
      </c>
      <c r="B16" s="38" t="s">
        <v>156</v>
      </c>
      <c r="C16" s="22"/>
      <c r="D16" s="23">
        <v>42608</v>
      </c>
      <c r="E16" s="20" t="s">
        <v>49</v>
      </c>
      <c r="F16" s="90"/>
      <c r="G16" s="25"/>
      <c r="H16" s="25"/>
      <c r="I16" s="26">
        <v>45.13</v>
      </c>
      <c r="J16" s="30">
        <f t="shared" si="0"/>
        <v>-45.13</v>
      </c>
      <c r="K16" s="37"/>
      <c r="L16" s="79"/>
      <c r="M16" s="27"/>
      <c r="N16" s="27"/>
      <c r="O16" s="27"/>
      <c r="P16" s="28"/>
      <c r="Q16" s="29"/>
      <c r="R16" s="30">
        <f t="shared" si="1"/>
        <v>-45.13</v>
      </c>
      <c r="S16" s="31"/>
      <c r="T16" s="30">
        <f t="shared" si="2"/>
        <v>-45.13</v>
      </c>
      <c r="U16" s="32"/>
      <c r="V16" s="31"/>
      <c r="W16" s="30"/>
      <c r="X16" s="33"/>
      <c r="Y16" s="34"/>
      <c r="Z16" s="35"/>
      <c r="AA16" s="35"/>
      <c r="AB16" s="40"/>
      <c r="AC16" s="17" t="str">
        <f t="shared" si="3"/>
        <v>SI</v>
      </c>
      <c r="AD16" s="200" t="s">
        <v>192</v>
      </c>
      <c r="AE16" s="199" t="s">
        <v>193</v>
      </c>
      <c r="AF16" s="86"/>
      <c r="AG16" s="86"/>
      <c r="AH16" s="86"/>
      <c r="AI16" s="86"/>
    </row>
    <row r="17" spans="1:35" s="36" customFormat="1">
      <c r="A17" s="20" t="s">
        <v>35</v>
      </c>
      <c r="B17" s="38" t="s">
        <v>48</v>
      </c>
      <c r="C17" s="22"/>
      <c r="D17" s="23">
        <v>42552</v>
      </c>
      <c r="E17" s="20" t="s">
        <v>49</v>
      </c>
      <c r="F17" s="90"/>
      <c r="G17" s="25"/>
      <c r="H17" s="25"/>
      <c r="I17" s="26">
        <v>45.13</v>
      </c>
      <c r="J17" s="30">
        <f t="shared" si="0"/>
        <v>-45.13</v>
      </c>
      <c r="K17" s="37"/>
      <c r="L17" s="79"/>
      <c r="M17" s="27"/>
      <c r="N17" s="27"/>
      <c r="O17" s="27"/>
      <c r="P17" s="28"/>
      <c r="Q17" s="29">
        <v>0</v>
      </c>
      <c r="R17" s="30">
        <f t="shared" si="1"/>
        <v>-45.13</v>
      </c>
      <c r="S17" s="31">
        <f>IF(J17&gt;4500,J17*0.1,0)</f>
        <v>0</v>
      </c>
      <c r="T17" s="30">
        <f t="shared" si="2"/>
        <v>-45.13</v>
      </c>
      <c r="U17" s="32">
        <f>IF(J17&lt;4500,J17*0.1,0)</f>
        <v>-4.5130000000000008</v>
      </c>
      <c r="V17" s="31">
        <f>+'[1]C&amp;A'!D19*0.02</f>
        <v>21.911999999999999</v>
      </c>
      <c r="W17" s="30">
        <f>+J17+U17+V17</f>
        <v>-27.731000000000002</v>
      </c>
      <c r="X17" s="33"/>
      <c r="Y17" s="34"/>
      <c r="Z17" s="35"/>
      <c r="AA17" s="35"/>
      <c r="AB17" s="40"/>
      <c r="AC17" s="17" t="str">
        <f t="shared" si="3"/>
        <v>SI</v>
      </c>
      <c r="AD17" s="200" t="s">
        <v>194</v>
      </c>
      <c r="AE17" s="199" t="s">
        <v>195</v>
      </c>
      <c r="AF17" s="17"/>
      <c r="AG17" s="17"/>
      <c r="AH17" s="17"/>
      <c r="AI17" s="17"/>
    </row>
    <row r="18" spans="1:35" s="36" customFormat="1">
      <c r="A18" s="20" t="s">
        <v>35</v>
      </c>
      <c r="B18" s="38" t="s">
        <v>141</v>
      </c>
      <c r="C18" s="22"/>
      <c r="D18" s="23">
        <v>38873</v>
      </c>
      <c r="E18" s="97" t="s">
        <v>160</v>
      </c>
      <c r="F18" s="90">
        <v>74253.52</v>
      </c>
      <c r="G18" s="25"/>
      <c r="H18" s="25"/>
      <c r="I18" s="26">
        <v>45.13</v>
      </c>
      <c r="J18" s="30">
        <f t="shared" si="0"/>
        <v>74208.39</v>
      </c>
      <c r="K18" s="37"/>
      <c r="L18" s="79"/>
      <c r="M18" s="27"/>
      <c r="N18" s="27"/>
      <c r="O18" s="27"/>
      <c r="P18" s="28"/>
      <c r="Q18" s="29"/>
      <c r="R18" s="30">
        <f t="shared" si="1"/>
        <v>74208.39</v>
      </c>
      <c r="S18" s="31">
        <f>IF(J18&gt;4500,J18*0.1,0)</f>
        <v>7420.8389999999999</v>
      </c>
      <c r="T18" s="30">
        <f t="shared" si="2"/>
        <v>66787.551000000007</v>
      </c>
      <c r="U18" s="32">
        <f>IF(J18&lt;4500,J18*0.1,0)</f>
        <v>0</v>
      </c>
      <c r="V18" s="31"/>
      <c r="W18" s="30"/>
      <c r="X18" s="33"/>
      <c r="Y18" s="34"/>
      <c r="Z18" s="35"/>
      <c r="AA18" s="35"/>
      <c r="AB18" s="40"/>
      <c r="AC18" s="17" t="str">
        <f t="shared" si="3"/>
        <v>SI</v>
      </c>
      <c r="AD18" s="200" t="s">
        <v>196</v>
      </c>
      <c r="AE18" s="199" t="s">
        <v>197</v>
      </c>
      <c r="AF18" s="17"/>
      <c r="AG18" s="17"/>
      <c r="AH18" s="17"/>
      <c r="AI18" s="17"/>
    </row>
    <row r="19" spans="1:35" s="36" customFormat="1">
      <c r="A19" s="20" t="s">
        <v>35</v>
      </c>
      <c r="B19" s="95" t="s">
        <v>161</v>
      </c>
      <c r="C19" s="22"/>
      <c r="D19" s="23"/>
      <c r="E19" s="97" t="s">
        <v>162</v>
      </c>
      <c r="F19" s="90"/>
      <c r="G19" s="25"/>
      <c r="H19" s="25"/>
      <c r="I19" s="26">
        <v>45.13</v>
      </c>
      <c r="J19" s="30">
        <f t="shared" si="0"/>
        <v>-45.13</v>
      </c>
      <c r="K19" s="37"/>
      <c r="L19" s="79"/>
      <c r="M19" s="27"/>
      <c r="N19" s="27"/>
      <c r="O19" s="27"/>
      <c r="P19" s="28"/>
      <c r="Q19" s="29"/>
      <c r="R19" s="30">
        <f t="shared" si="1"/>
        <v>-45.13</v>
      </c>
      <c r="S19" s="31"/>
      <c r="T19" s="30">
        <f t="shared" si="2"/>
        <v>-45.13</v>
      </c>
      <c r="U19" s="32"/>
      <c r="V19" s="31"/>
      <c r="W19" s="30"/>
      <c r="X19" s="33"/>
      <c r="Y19" s="34"/>
      <c r="Z19" s="35"/>
      <c r="AA19" s="35"/>
      <c r="AB19" s="40"/>
      <c r="AC19" s="17" t="str">
        <f t="shared" si="3"/>
        <v>SI</v>
      </c>
      <c r="AD19" s="200" t="s">
        <v>198</v>
      </c>
      <c r="AE19" s="199" t="s">
        <v>199</v>
      </c>
      <c r="AF19" s="17"/>
      <c r="AG19" s="17"/>
      <c r="AH19" s="17"/>
      <c r="AI19" s="17"/>
    </row>
    <row r="20" spans="1:35" s="36" customFormat="1">
      <c r="A20" s="20" t="s">
        <v>35</v>
      </c>
      <c r="B20" s="38" t="s">
        <v>50</v>
      </c>
      <c r="C20" s="22" t="s">
        <v>51</v>
      </c>
      <c r="D20" s="23">
        <v>42298</v>
      </c>
      <c r="E20" s="20" t="s">
        <v>52</v>
      </c>
      <c r="F20" s="90">
        <v>11287.9</v>
      </c>
      <c r="G20" s="42"/>
      <c r="H20" s="25"/>
      <c r="I20" s="26">
        <v>45.13</v>
      </c>
      <c r="J20" s="30">
        <f t="shared" si="0"/>
        <v>11242.77</v>
      </c>
      <c r="K20" s="37"/>
      <c r="L20" s="79"/>
      <c r="M20" s="27"/>
      <c r="N20" s="27"/>
      <c r="O20" s="27"/>
      <c r="P20" s="28"/>
      <c r="Q20" s="29">
        <v>0</v>
      </c>
      <c r="R20" s="30">
        <f t="shared" si="1"/>
        <v>11242.77</v>
      </c>
      <c r="S20" s="31">
        <f>IF(J20&gt;4500,J20*0.1,0)</f>
        <v>1124.277</v>
      </c>
      <c r="T20" s="30">
        <f t="shared" si="2"/>
        <v>10118.493</v>
      </c>
      <c r="U20" s="32">
        <f>IF(J20&lt;4500,J20*0.1,0)</f>
        <v>0</v>
      </c>
      <c r="V20" s="31">
        <f>+'[1]C&amp;A'!D22*0.02</f>
        <v>21.911999999999999</v>
      </c>
      <c r="W20" s="30">
        <f>+J20+U20+V20</f>
        <v>11264.682000000001</v>
      </c>
      <c r="X20" s="33"/>
      <c r="Y20" s="39"/>
      <c r="Z20" s="35">
        <f>+X20+Y20-T20</f>
        <v>-10118.493</v>
      </c>
      <c r="AA20" s="35"/>
      <c r="AB20" s="38"/>
      <c r="AC20" s="17" t="str">
        <f t="shared" si="3"/>
        <v>SI</v>
      </c>
      <c r="AD20" s="200" t="s">
        <v>200</v>
      </c>
      <c r="AE20" s="199" t="s">
        <v>201</v>
      </c>
      <c r="AF20" s="17"/>
      <c r="AG20" s="17"/>
      <c r="AH20" s="17"/>
      <c r="AI20" s="17"/>
    </row>
    <row r="21" spans="1:35" s="36" customFormat="1">
      <c r="A21" s="20" t="s">
        <v>55</v>
      </c>
      <c r="B21" s="20" t="s">
        <v>56</v>
      </c>
      <c r="C21" s="22"/>
      <c r="D21" s="23">
        <v>42038</v>
      </c>
      <c r="E21" s="20" t="s">
        <v>57</v>
      </c>
      <c r="F21" s="90">
        <v>28600</v>
      </c>
      <c r="G21" s="42"/>
      <c r="H21" s="25"/>
      <c r="I21" s="26">
        <v>45.13</v>
      </c>
      <c r="J21" s="30">
        <f t="shared" si="0"/>
        <v>28554.87</v>
      </c>
      <c r="K21" s="37"/>
      <c r="L21" s="79"/>
      <c r="M21" s="27"/>
      <c r="N21" s="27"/>
      <c r="O21" s="27"/>
      <c r="P21" s="28"/>
      <c r="Q21" s="29">
        <f>115.26*2</f>
        <v>230.52</v>
      </c>
      <c r="R21" s="30">
        <f t="shared" si="1"/>
        <v>28324.35</v>
      </c>
      <c r="S21" s="31">
        <f>IF(J21&gt;4500,J21*0.1,0)</f>
        <v>2855.4870000000001</v>
      </c>
      <c r="T21" s="30">
        <f t="shared" si="2"/>
        <v>25468.862999999998</v>
      </c>
      <c r="U21" s="32">
        <f>IF(J21&lt;4500,J21*0.1,0)</f>
        <v>0</v>
      </c>
      <c r="V21" s="31">
        <f>+'[1]C&amp;A'!D24*0.02</f>
        <v>21.911999999999999</v>
      </c>
      <c r="W21" s="30">
        <f>+J21+U21+V21</f>
        <v>28576.781999999999</v>
      </c>
      <c r="X21" s="33"/>
      <c r="Y21" s="39"/>
      <c r="Z21" s="35">
        <f>+X21+Y21-T21</f>
        <v>-25468.862999999998</v>
      </c>
      <c r="AA21" s="35"/>
      <c r="AB21" s="38"/>
      <c r="AC21" s="17" t="str">
        <f t="shared" si="3"/>
        <v>SI</v>
      </c>
      <c r="AD21" s="200" t="s">
        <v>206</v>
      </c>
      <c r="AE21" s="199" t="s">
        <v>207</v>
      </c>
      <c r="AF21" s="155"/>
      <c r="AG21" s="155"/>
      <c r="AH21" s="155"/>
      <c r="AI21" s="155"/>
    </row>
    <row r="22" spans="1:35" s="36" customFormat="1">
      <c r="A22" s="20" t="s">
        <v>55</v>
      </c>
      <c r="B22" s="20" t="s">
        <v>281</v>
      </c>
      <c r="C22" s="20" t="s">
        <v>58</v>
      </c>
      <c r="D22" s="23">
        <v>41582</v>
      </c>
      <c r="E22" s="20" t="s">
        <v>59</v>
      </c>
      <c r="F22" s="90">
        <v>165713.09</v>
      </c>
      <c r="G22" s="25"/>
      <c r="H22" s="25"/>
      <c r="I22" s="26">
        <v>45.13</v>
      </c>
      <c r="J22" s="30">
        <f t="shared" si="0"/>
        <v>165667.96</v>
      </c>
      <c r="K22" s="37"/>
      <c r="L22" s="79"/>
      <c r="M22" s="27"/>
      <c r="N22" s="27"/>
      <c r="O22" s="27"/>
      <c r="P22" s="28"/>
      <c r="Q22" s="29">
        <v>0</v>
      </c>
      <c r="R22" s="30">
        <f t="shared" si="1"/>
        <v>165667.96</v>
      </c>
      <c r="S22" s="31">
        <f>IF(J22&gt;4500,J22*0.1,0)</f>
        <v>16566.795999999998</v>
      </c>
      <c r="T22" s="30">
        <f t="shared" si="2"/>
        <v>149101.16399999999</v>
      </c>
      <c r="U22" s="32">
        <f>IF(J22&lt;4500,J22*0.1,0)</f>
        <v>0</v>
      </c>
      <c r="V22" s="31">
        <f>+'[1]C&amp;A'!D25*0.02</f>
        <v>21.911999999999999</v>
      </c>
      <c r="W22" s="30">
        <f>+J22+U22+V22</f>
        <v>165689.872</v>
      </c>
      <c r="X22" s="33"/>
      <c r="Y22" s="39"/>
      <c r="Z22" s="35">
        <f>+X22+Y22-T22</f>
        <v>-149101.16399999999</v>
      </c>
      <c r="AA22" s="35"/>
      <c r="AB22" s="38"/>
      <c r="AC22" s="17" t="str">
        <f t="shared" si="3"/>
        <v>SI</v>
      </c>
      <c r="AD22" s="200" t="s">
        <v>208</v>
      </c>
      <c r="AE22" s="199" t="s">
        <v>209</v>
      </c>
      <c r="AF22" s="155"/>
      <c r="AG22" s="155"/>
      <c r="AH22" s="155"/>
      <c r="AI22" s="155"/>
    </row>
    <row r="23" spans="1:35" s="36" customFormat="1">
      <c r="A23" s="20" t="s">
        <v>55</v>
      </c>
      <c r="B23" s="38" t="s">
        <v>63</v>
      </c>
      <c r="C23" s="22" t="s">
        <v>64</v>
      </c>
      <c r="D23" s="23">
        <v>42380</v>
      </c>
      <c r="E23" s="20" t="s">
        <v>65</v>
      </c>
      <c r="F23" s="90">
        <v>4664</v>
      </c>
      <c r="G23" s="25"/>
      <c r="H23" s="25"/>
      <c r="I23" s="26">
        <v>45.13</v>
      </c>
      <c r="J23" s="30">
        <f t="shared" si="0"/>
        <v>4618.87</v>
      </c>
      <c r="K23" s="37"/>
      <c r="L23" s="79"/>
      <c r="M23" s="27"/>
      <c r="N23" s="27"/>
      <c r="O23" s="27"/>
      <c r="P23" s="28"/>
      <c r="Q23" s="29">
        <v>0</v>
      </c>
      <c r="R23" s="30">
        <f t="shared" si="1"/>
        <v>4618.87</v>
      </c>
      <c r="S23" s="31">
        <f>IF(J23&gt;4500,J23*0.1,0)</f>
        <v>461.887</v>
      </c>
      <c r="T23" s="30">
        <f t="shared" si="2"/>
        <v>4156.9830000000002</v>
      </c>
      <c r="U23" s="32">
        <f>IF(J23&lt;4500,J23*0.1,0)</f>
        <v>0</v>
      </c>
      <c r="V23" s="31">
        <f>+'[1]C&amp;A'!D27*0.02</f>
        <v>21.911999999999999</v>
      </c>
      <c r="W23" s="30">
        <f>+J23+U23+V23</f>
        <v>4640.7820000000002</v>
      </c>
      <c r="X23" s="33"/>
      <c r="Y23" s="39"/>
      <c r="Z23" s="35">
        <f>+X23+Y23-T23</f>
        <v>-4156.9830000000002</v>
      </c>
      <c r="AA23" s="35"/>
      <c r="AB23" s="38"/>
      <c r="AC23" s="17" t="str">
        <f t="shared" si="3"/>
        <v>SI</v>
      </c>
      <c r="AD23" s="200" t="s">
        <v>212</v>
      </c>
      <c r="AE23" s="199" t="s">
        <v>213</v>
      </c>
      <c r="AF23" s="17"/>
      <c r="AG23" s="17"/>
      <c r="AH23" s="17"/>
      <c r="AI23" s="17"/>
    </row>
    <row r="24" spans="1:35" s="36" customFormat="1">
      <c r="A24" s="20" t="s">
        <v>142</v>
      </c>
      <c r="B24" s="95" t="s">
        <v>146</v>
      </c>
      <c r="C24" s="22">
        <v>3</v>
      </c>
      <c r="D24" s="23">
        <v>39465</v>
      </c>
      <c r="E24" s="20" t="s">
        <v>147</v>
      </c>
      <c r="F24" s="90">
        <v>15000</v>
      </c>
      <c r="G24" s="25"/>
      <c r="H24" s="25"/>
      <c r="I24" s="26">
        <v>45.13</v>
      </c>
      <c r="J24" s="30">
        <f t="shared" si="0"/>
        <v>14954.87</v>
      </c>
      <c r="K24" s="37"/>
      <c r="L24" s="79"/>
      <c r="M24" s="27"/>
      <c r="N24" s="27"/>
      <c r="O24" s="27"/>
      <c r="P24" s="96">
        <v>479.28</v>
      </c>
      <c r="Q24" s="29">
        <v>323.91000000000003</v>
      </c>
      <c r="R24" s="30">
        <f t="shared" si="1"/>
        <v>14151.68</v>
      </c>
      <c r="S24" s="31"/>
      <c r="T24" s="30">
        <f t="shared" si="2"/>
        <v>14151.68</v>
      </c>
      <c r="U24" s="32"/>
      <c r="V24" s="31"/>
      <c r="W24" s="30"/>
      <c r="X24" s="33"/>
      <c r="Y24" s="39"/>
      <c r="Z24" s="35"/>
      <c r="AA24" s="35"/>
      <c r="AB24" s="38"/>
      <c r="AC24" s="17" t="str">
        <f t="shared" si="3"/>
        <v>SI</v>
      </c>
      <c r="AD24" s="200" t="s">
        <v>214</v>
      </c>
      <c r="AE24" s="199" t="s">
        <v>215</v>
      </c>
      <c r="AF24" s="17"/>
      <c r="AG24" s="17"/>
      <c r="AH24" s="17"/>
      <c r="AI24" s="17"/>
    </row>
    <row r="25" spans="1:35" s="36" customFormat="1">
      <c r="A25" s="20" t="s">
        <v>35</v>
      </c>
      <c r="B25" s="38" t="s">
        <v>136</v>
      </c>
      <c r="C25" s="22"/>
      <c r="D25" s="23">
        <v>40530</v>
      </c>
      <c r="E25" s="20" t="s">
        <v>90</v>
      </c>
      <c r="F25" s="90">
        <v>13327.65</v>
      </c>
      <c r="G25" s="25"/>
      <c r="H25" s="25"/>
      <c r="I25" s="26">
        <v>45.13</v>
      </c>
      <c r="J25" s="30">
        <f t="shared" si="0"/>
        <v>13282.52</v>
      </c>
      <c r="K25" s="37"/>
      <c r="L25" s="79"/>
      <c r="M25" s="27"/>
      <c r="N25" s="27"/>
      <c r="O25" s="27"/>
      <c r="P25" s="28"/>
      <c r="Q25" s="29">
        <v>1200.08</v>
      </c>
      <c r="R25" s="30">
        <f t="shared" si="1"/>
        <v>12082.44</v>
      </c>
      <c r="S25" s="31">
        <f t="shared" ref="S25:S31" si="4">IF(J25&gt;4500,J25*0.1,0)</f>
        <v>1328.2520000000002</v>
      </c>
      <c r="T25" s="30">
        <f t="shared" si="2"/>
        <v>10754.188</v>
      </c>
      <c r="U25" s="32">
        <f t="shared" ref="U25:U31" si="5">IF(J25&lt;4500,J25*0.1,0)</f>
        <v>0</v>
      </c>
      <c r="V25" s="31">
        <f>+'[1]C&amp;A'!D28*0.02</f>
        <v>21.911999999999999</v>
      </c>
      <c r="W25" s="30">
        <f t="shared" ref="W25:W31" si="6">+J25+U25+V25</f>
        <v>13304.432000000001</v>
      </c>
      <c r="X25" s="33"/>
      <c r="Y25" s="34"/>
      <c r="Z25" s="35"/>
      <c r="AA25" s="35"/>
      <c r="AB25" s="38"/>
      <c r="AC25" s="17" t="str">
        <f t="shared" si="3"/>
        <v>SI</v>
      </c>
      <c r="AD25" s="200" t="s">
        <v>216</v>
      </c>
      <c r="AE25" s="199" t="s">
        <v>217</v>
      </c>
      <c r="AF25" s="155"/>
      <c r="AG25" s="155"/>
      <c r="AH25" s="155"/>
      <c r="AI25" s="155"/>
    </row>
    <row r="26" spans="1:35" s="36" customFormat="1">
      <c r="A26" s="20" t="s">
        <v>35</v>
      </c>
      <c r="B26" s="38" t="s">
        <v>66</v>
      </c>
      <c r="C26" s="20" t="s">
        <v>67</v>
      </c>
      <c r="D26" s="23">
        <v>42310</v>
      </c>
      <c r="E26" s="20" t="s">
        <v>68</v>
      </c>
      <c r="F26" s="90"/>
      <c r="G26" s="25"/>
      <c r="H26" s="25"/>
      <c r="I26" s="26">
        <v>45.13</v>
      </c>
      <c r="J26" s="30">
        <f t="shared" si="0"/>
        <v>-45.13</v>
      </c>
      <c r="K26" s="37"/>
      <c r="L26" s="79"/>
      <c r="M26" s="27"/>
      <c r="N26" s="27"/>
      <c r="O26" s="27"/>
      <c r="P26" s="28"/>
      <c r="Q26" s="29">
        <v>0</v>
      </c>
      <c r="R26" s="30">
        <f t="shared" si="1"/>
        <v>-45.13</v>
      </c>
      <c r="S26" s="31">
        <f t="shared" si="4"/>
        <v>0</v>
      </c>
      <c r="T26" s="30">
        <f t="shared" si="2"/>
        <v>-45.13</v>
      </c>
      <c r="U26" s="32">
        <f t="shared" si="5"/>
        <v>-4.5130000000000008</v>
      </c>
      <c r="V26" s="31">
        <f>+'[1]C&amp;A'!D29*0.02</f>
        <v>21.911999999999999</v>
      </c>
      <c r="W26" s="30">
        <f t="shared" si="6"/>
        <v>-27.731000000000002</v>
      </c>
      <c r="X26" s="33"/>
      <c r="Y26" s="39"/>
      <c r="Z26" s="35">
        <f t="shared" ref="Z26:Z31" si="7">+X26+Y26-T26</f>
        <v>45.13</v>
      </c>
      <c r="AA26" s="35"/>
      <c r="AB26" s="38"/>
      <c r="AC26" s="17" t="str">
        <f t="shared" si="3"/>
        <v>SI</v>
      </c>
      <c r="AD26" s="200" t="s">
        <v>218</v>
      </c>
      <c r="AE26" s="199" t="s">
        <v>219</v>
      </c>
      <c r="AF26" s="17"/>
      <c r="AG26" s="17"/>
      <c r="AH26" s="17"/>
      <c r="AI26" s="17"/>
    </row>
    <row r="27" spans="1:35" s="36" customFormat="1">
      <c r="A27" s="20" t="s">
        <v>55</v>
      </c>
      <c r="B27" s="38" t="s">
        <v>282</v>
      </c>
      <c r="C27" s="22" t="s">
        <v>69</v>
      </c>
      <c r="D27" s="23">
        <v>42374</v>
      </c>
      <c r="E27" s="20" t="s">
        <v>70</v>
      </c>
      <c r="F27" s="90">
        <v>1802</v>
      </c>
      <c r="G27" s="25"/>
      <c r="H27" s="25"/>
      <c r="I27" s="26">
        <v>45.13</v>
      </c>
      <c r="J27" s="30">
        <f t="shared" si="0"/>
        <v>1756.87</v>
      </c>
      <c r="K27" s="37"/>
      <c r="L27" s="79"/>
      <c r="M27" s="27"/>
      <c r="N27" s="27"/>
      <c r="O27" s="27"/>
      <c r="P27" s="28"/>
      <c r="Q27" s="29">
        <v>0</v>
      </c>
      <c r="R27" s="30">
        <f t="shared" si="1"/>
        <v>1756.87</v>
      </c>
      <c r="S27" s="31">
        <f t="shared" si="4"/>
        <v>0</v>
      </c>
      <c r="T27" s="30">
        <f t="shared" si="2"/>
        <v>1756.87</v>
      </c>
      <c r="U27" s="32">
        <f t="shared" si="5"/>
        <v>175.68700000000001</v>
      </c>
      <c r="V27" s="31">
        <f>+'[1]C&amp;A'!D30*0.02</f>
        <v>21.911999999999999</v>
      </c>
      <c r="W27" s="30">
        <f t="shared" si="6"/>
        <v>1954.4689999999998</v>
      </c>
      <c r="X27" s="33"/>
      <c r="Y27" s="34"/>
      <c r="Z27" s="35">
        <f t="shared" si="7"/>
        <v>-1756.87</v>
      </c>
      <c r="AA27" s="35"/>
      <c r="AB27" s="41"/>
      <c r="AC27" s="17" t="str">
        <f t="shared" si="3"/>
        <v>SI</v>
      </c>
      <c r="AD27" s="200" t="s">
        <v>222</v>
      </c>
      <c r="AE27" s="199" t="s">
        <v>223</v>
      </c>
      <c r="AF27" s="17"/>
      <c r="AG27" s="17"/>
      <c r="AH27" s="17"/>
      <c r="AI27" s="17"/>
    </row>
    <row r="28" spans="1:35" s="36" customFormat="1">
      <c r="A28" s="38" t="s">
        <v>75</v>
      </c>
      <c r="B28" s="38" t="s">
        <v>76</v>
      </c>
      <c r="C28" s="44"/>
      <c r="D28" s="43">
        <v>42499</v>
      </c>
      <c r="E28" s="38" t="s">
        <v>77</v>
      </c>
      <c r="F28" s="91">
        <v>1826.8</v>
      </c>
      <c r="G28" s="25"/>
      <c r="H28" s="25"/>
      <c r="I28" s="26">
        <v>45.13</v>
      </c>
      <c r="J28" s="30">
        <f t="shared" si="0"/>
        <v>1781.6699999999998</v>
      </c>
      <c r="K28" s="37"/>
      <c r="L28" s="79"/>
      <c r="M28" s="27"/>
      <c r="N28" s="27"/>
      <c r="O28" s="27"/>
      <c r="P28" s="28"/>
      <c r="Q28" s="29">
        <v>0</v>
      </c>
      <c r="R28" s="30">
        <f t="shared" si="1"/>
        <v>1781.6699999999998</v>
      </c>
      <c r="S28" s="31">
        <f t="shared" si="4"/>
        <v>0</v>
      </c>
      <c r="T28" s="30">
        <f t="shared" si="2"/>
        <v>1781.6699999999998</v>
      </c>
      <c r="U28" s="32">
        <f t="shared" si="5"/>
        <v>178.167</v>
      </c>
      <c r="V28" s="31">
        <f>+'[1]C&amp;A'!D33*0.02</f>
        <v>21.911999999999999</v>
      </c>
      <c r="W28" s="30">
        <f t="shared" si="6"/>
        <v>1981.7489999999998</v>
      </c>
      <c r="X28" s="46"/>
      <c r="Y28" s="47"/>
      <c r="Z28" s="35">
        <f t="shared" si="7"/>
        <v>-1781.6699999999998</v>
      </c>
      <c r="AA28" s="48"/>
      <c r="AB28" s="41"/>
      <c r="AC28" s="17" t="str">
        <f t="shared" si="3"/>
        <v>SI</v>
      </c>
      <c r="AD28" s="200" t="s">
        <v>228</v>
      </c>
      <c r="AE28" s="199" t="s">
        <v>229</v>
      </c>
      <c r="AF28" s="17"/>
      <c r="AG28" s="17"/>
      <c r="AH28" s="17"/>
      <c r="AI28" s="17"/>
    </row>
    <row r="29" spans="1:35" s="36" customFormat="1">
      <c r="A29" s="38" t="s">
        <v>71</v>
      </c>
      <c r="B29" s="38" t="s">
        <v>80</v>
      </c>
      <c r="C29" s="44" t="s">
        <v>81</v>
      </c>
      <c r="D29" s="23">
        <v>42086</v>
      </c>
      <c r="E29" s="38" t="s">
        <v>82</v>
      </c>
      <c r="F29" s="91">
        <v>2455</v>
      </c>
      <c r="G29" s="25"/>
      <c r="H29" s="25"/>
      <c r="I29" s="26">
        <v>45.13</v>
      </c>
      <c r="J29" s="30">
        <f t="shared" si="0"/>
        <v>2409.87</v>
      </c>
      <c r="K29" s="37"/>
      <c r="L29" s="79"/>
      <c r="M29" s="27"/>
      <c r="N29" s="27"/>
      <c r="O29" s="27"/>
      <c r="P29" s="45"/>
      <c r="Q29" s="45">
        <v>0</v>
      </c>
      <c r="R29" s="30">
        <f t="shared" si="1"/>
        <v>2409.87</v>
      </c>
      <c r="S29" s="31">
        <f t="shared" si="4"/>
        <v>0</v>
      </c>
      <c r="T29" s="30">
        <f t="shared" si="2"/>
        <v>2409.87</v>
      </c>
      <c r="U29" s="32">
        <f t="shared" si="5"/>
        <v>240.98699999999999</v>
      </c>
      <c r="V29" s="31">
        <f>+'[1]C&amp;A'!D35*0.02</f>
        <v>21.911999999999999</v>
      </c>
      <c r="W29" s="30">
        <f t="shared" si="6"/>
        <v>2672.7689999999998</v>
      </c>
      <c r="X29" s="33"/>
      <c r="Y29" s="39"/>
      <c r="Z29" s="35">
        <f t="shared" si="7"/>
        <v>-2409.87</v>
      </c>
      <c r="AA29" s="35"/>
      <c r="AB29" s="38"/>
      <c r="AC29" s="17" t="str">
        <f t="shared" si="3"/>
        <v>SI</v>
      </c>
      <c r="AD29" s="200" t="s">
        <v>230</v>
      </c>
      <c r="AE29" s="199" t="s">
        <v>231</v>
      </c>
      <c r="AF29" s="17"/>
      <c r="AG29" s="17"/>
      <c r="AH29" s="17"/>
      <c r="AI29" s="17"/>
    </row>
    <row r="30" spans="1:35" s="36" customFormat="1">
      <c r="A30" s="20" t="s">
        <v>55</v>
      </c>
      <c r="B30" s="38" t="s">
        <v>84</v>
      </c>
      <c r="C30" s="22" t="s">
        <v>85</v>
      </c>
      <c r="D30" s="23">
        <v>41464</v>
      </c>
      <c r="E30" s="20" t="s">
        <v>70</v>
      </c>
      <c r="F30" s="90">
        <v>1802</v>
      </c>
      <c r="G30" s="25"/>
      <c r="H30" s="25"/>
      <c r="I30" s="26">
        <v>45.13</v>
      </c>
      <c r="J30" s="30">
        <f t="shared" si="0"/>
        <v>1756.87</v>
      </c>
      <c r="K30" s="37"/>
      <c r="L30" s="79"/>
      <c r="M30" s="27"/>
      <c r="N30" s="27"/>
      <c r="O30" s="27"/>
      <c r="P30" s="28"/>
      <c r="Q30" s="29">
        <v>313.89999999999998</v>
      </c>
      <c r="R30" s="30">
        <f t="shared" si="1"/>
        <v>1442.9699999999998</v>
      </c>
      <c r="S30" s="31">
        <f t="shared" si="4"/>
        <v>0</v>
      </c>
      <c r="T30" s="30">
        <f t="shared" si="2"/>
        <v>1442.9699999999998</v>
      </c>
      <c r="U30" s="32">
        <f t="shared" si="5"/>
        <v>175.68700000000001</v>
      </c>
      <c r="V30" s="31">
        <f>+'[1]C&amp;A'!D37*0.02</f>
        <v>21.911999999999999</v>
      </c>
      <c r="W30" s="30">
        <f t="shared" si="6"/>
        <v>1954.4689999999998</v>
      </c>
      <c r="X30" s="33"/>
      <c r="Y30" s="34"/>
      <c r="Z30" s="35">
        <f t="shared" si="7"/>
        <v>-1442.9699999999998</v>
      </c>
      <c r="AA30" s="35"/>
      <c r="AB30" s="38"/>
      <c r="AC30" s="17" t="str">
        <f t="shared" si="3"/>
        <v>SI</v>
      </c>
      <c r="AD30" s="200" t="s">
        <v>234</v>
      </c>
      <c r="AE30" s="199" t="s">
        <v>235</v>
      </c>
      <c r="AF30" s="155"/>
      <c r="AG30" s="155"/>
      <c r="AH30" s="155"/>
      <c r="AI30" s="155"/>
    </row>
    <row r="31" spans="1:35" s="36" customFormat="1">
      <c r="A31" s="20" t="s">
        <v>35</v>
      </c>
      <c r="B31" s="20" t="s">
        <v>86</v>
      </c>
      <c r="C31" s="22">
        <v>56</v>
      </c>
      <c r="D31" s="23">
        <v>40033</v>
      </c>
      <c r="E31" s="20" t="s">
        <v>87</v>
      </c>
      <c r="F31" s="90">
        <v>1601</v>
      </c>
      <c r="G31" s="25"/>
      <c r="H31" s="25"/>
      <c r="I31" s="26">
        <v>45.13</v>
      </c>
      <c r="J31" s="30">
        <f t="shared" si="0"/>
        <v>1555.87</v>
      </c>
      <c r="K31" s="37"/>
      <c r="L31" s="79"/>
      <c r="M31" s="27"/>
      <c r="N31" s="27"/>
      <c r="O31" s="27"/>
      <c r="P31" s="28"/>
      <c r="Q31" s="29">
        <v>0</v>
      </c>
      <c r="R31" s="30">
        <f t="shared" si="1"/>
        <v>1555.87</v>
      </c>
      <c r="S31" s="31">
        <f t="shared" si="4"/>
        <v>0</v>
      </c>
      <c r="T31" s="30">
        <f t="shared" si="2"/>
        <v>1555.87</v>
      </c>
      <c r="U31" s="32">
        <f t="shared" si="5"/>
        <v>155.58699999999999</v>
      </c>
      <c r="V31" s="31">
        <f>+'[1]C&amp;A'!D38*0.02</f>
        <v>21.911999999999999</v>
      </c>
      <c r="W31" s="30">
        <f t="shared" si="6"/>
        <v>1733.3689999999999</v>
      </c>
      <c r="X31" s="33"/>
      <c r="Y31" s="34"/>
      <c r="Z31" s="35">
        <f t="shared" si="7"/>
        <v>-1555.87</v>
      </c>
      <c r="AA31" s="35"/>
      <c r="AB31" s="38"/>
      <c r="AC31" s="17" t="str">
        <f t="shared" si="3"/>
        <v>SI</v>
      </c>
      <c r="AD31" s="200" t="s">
        <v>236</v>
      </c>
      <c r="AE31" s="199" t="s">
        <v>237</v>
      </c>
      <c r="AF31" s="17"/>
      <c r="AG31" s="17"/>
      <c r="AH31" s="17"/>
      <c r="AI31" s="17"/>
    </row>
    <row r="32" spans="1:35" s="36" customFormat="1">
      <c r="A32" s="20" t="s">
        <v>35</v>
      </c>
      <c r="B32" s="20" t="s">
        <v>140</v>
      </c>
      <c r="C32" s="22"/>
      <c r="D32" s="23">
        <v>42591</v>
      </c>
      <c r="E32" s="20" t="s">
        <v>38</v>
      </c>
      <c r="F32" s="90"/>
      <c r="G32" s="25"/>
      <c r="H32" s="25"/>
      <c r="I32" s="26">
        <v>45.13</v>
      </c>
      <c r="J32" s="30">
        <f t="shared" si="0"/>
        <v>-45.13</v>
      </c>
      <c r="K32" s="37"/>
      <c r="L32" s="79"/>
      <c r="M32" s="27"/>
      <c r="N32" s="27"/>
      <c r="O32" s="27"/>
      <c r="P32" s="28"/>
      <c r="Q32" s="29"/>
      <c r="R32" s="30">
        <f t="shared" si="1"/>
        <v>-45.13</v>
      </c>
      <c r="S32" s="31"/>
      <c r="T32" s="30">
        <f t="shared" si="2"/>
        <v>-45.13</v>
      </c>
      <c r="U32" s="32"/>
      <c r="V32" s="31"/>
      <c r="W32" s="30"/>
      <c r="X32" s="33"/>
      <c r="Y32" s="34"/>
      <c r="Z32" s="35"/>
      <c r="AA32" s="188"/>
      <c r="AB32" s="38"/>
      <c r="AC32" s="17" t="str">
        <f t="shared" si="3"/>
        <v>SI</v>
      </c>
      <c r="AD32" s="200" t="s">
        <v>238</v>
      </c>
      <c r="AE32" s="199" t="s">
        <v>239</v>
      </c>
      <c r="AF32" s="155"/>
      <c r="AG32" s="155"/>
      <c r="AH32" s="155"/>
      <c r="AI32" s="155"/>
    </row>
    <row r="33" spans="1:171" s="36" customFormat="1">
      <c r="A33" s="20" t="s">
        <v>35</v>
      </c>
      <c r="B33" s="38" t="s">
        <v>88</v>
      </c>
      <c r="C33" s="22" t="s">
        <v>89</v>
      </c>
      <c r="D33" s="23">
        <v>42275</v>
      </c>
      <c r="E33" s="20" t="s">
        <v>90</v>
      </c>
      <c r="F33" s="90">
        <v>6029.77</v>
      </c>
      <c r="G33" s="25"/>
      <c r="H33" s="25"/>
      <c r="I33" s="26">
        <v>45.13</v>
      </c>
      <c r="J33" s="30">
        <f t="shared" si="0"/>
        <v>5984.64</v>
      </c>
      <c r="K33" s="37"/>
      <c r="L33" s="79"/>
      <c r="M33" s="27"/>
      <c r="N33" s="27"/>
      <c r="O33" s="27"/>
      <c r="P33" s="28"/>
      <c r="Q33" s="29">
        <v>0</v>
      </c>
      <c r="R33" s="30">
        <f t="shared" si="1"/>
        <v>5984.64</v>
      </c>
      <c r="S33" s="31">
        <f t="shared" ref="S33:S39" si="8">IF(J33&gt;4500,J33*0.1,0)</f>
        <v>598.46400000000006</v>
      </c>
      <c r="T33" s="30">
        <f t="shared" si="2"/>
        <v>5386.1760000000004</v>
      </c>
      <c r="U33" s="32">
        <f t="shared" ref="U33:U39" si="9">IF(J33&lt;4500,J33*0.1,0)</f>
        <v>0</v>
      </c>
      <c r="V33" s="31">
        <f>+'[1]C&amp;A'!D39*0.02</f>
        <v>21.911999999999999</v>
      </c>
      <c r="W33" s="30">
        <f>+J33+U33+V33</f>
        <v>6006.5520000000006</v>
      </c>
      <c r="X33" s="33"/>
      <c r="Y33" s="39"/>
      <c r="Z33" s="35">
        <f>+X33+Y33-T33</f>
        <v>-5386.1760000000004</v>
      </c>
      <c r="AA33" s="35"/>
      <c r="AB33" s="50"/>
      <c r="AC33" s="17" t="str">
        <f t="shared" si="3"/>
        <v>SI</v>
      </c>
      <c r="AD33" s="200" t="s">
        <v>240</v>
      </c>
      <c r="AE33" s="199" t="s">
        <v>241</v>
      </c>
      <c r="AF33" s="155"/>
      <c r="AG33" s="155"/>
      <c r="AH33" s="155"/>
      <c r="AI33" s="155"/>
    </row>
    <row r="34" spans="1:171" s="36" customFormat="1">
      <c r="A34" s="20" t="s">
        <v>91</v>
      </c>
      <c r="B34" s="20" t="s">
        <v>92</v>
      </c>
      <c r="C34" s="20">
        <v>23</v>
      </c>
      <c r="D34" s="23">
        <v>39114</v>
      </c>
      <c r="E34" s="20" t="s">
        <v>93</v>
      </c>
      <c r="F34" s="90">
        <v>29664.71</v>
      </c>
      <c r="G34" s="25"/>
      <c r="H34" s="25"/>
      <c r="I34" s="26">
        <v>45.13</v>
      </c>
      <c r="J34" s="30">
        <f t="shared" si="0"/>
        <v>29619.579999999998</v>
      </c>
      <c r="K34" s="37"/>
      <c r="L34" s="79"/>
      <c r="M34" s="27"/>
      <c r="N34" s="27"/>
      <c r="O34" s="27"/>
      <c r="P34" s="28"/>
      <c r="Q34" s="29">
        <v>357.22</v>
      </c>
      <c r="R34" s="30">
        <f t="shared" si="1"/>
        <v>29262.359999999997</v>
      </c>
      <c r="S34" s="31">
        <f t="shared" si="8"/>
        <v>2961.9580000000001</v>
      </c>
      <c r="T34" s="30">
        <f t="shared" si="2"/>
        <v>26300.401999999998</v>
      </c>
      <c r="U34" s="32">
        <f t="shared" si="9"/>
        <v>0</v>
      </c>
      <c r="V34" s="31">
        <f>+'[1]C&amp;A'!D40*0.02</f>
        <v>21.911999999999999</v>
      </c>
      <c r="W34" s="30">
        <f>+J34+U34+V34</f>
        <v>29641.491999999998</v>
      </c>
      <c r="X34" s="33"/>
      <c r="Y34" s="51"/>
      <c r="Z34" s="35">
        <f>+X34+Y34-T34</f>
        <v>-26300.401999999998</v>
      </c>
      <c r="AA34" s="35"/>
      <c r="AB34" s="38"/>
      <c r="AC34" s="17" t="str">
        <f t="shared" si="3"/>
        <v>SI</v>
      </c>
      <c r="AD34" s="200" t="s">
        <v>242</v>
      </c>
      <c r="AE34" s="199" t="s">
        <v>243</v>
      </c>
      <c r="AF34" s="17"/>
      <c r="AG34" s="17"/>
      <c r="AH34" s="17"/>
      <c r="AI34" s="17"/>
    </row>
    <row r="35" spans="1:171" s="49" customFormat="1">
      <c r="A35" s="38" t="s">
        <v>142</v>
      </c>
      <c r="B35" s="95" t="s">
        <v>283</v>
      </c>
      <c r="C35" s="58" t="s">
        <v>148</v>
      </c>
      <c r="D35" s="23">
        <v>42325</v>
      </c>
      <c r="E35" s="20" t="s">
        <v>149</v>
      </c>
      <c r="F35" s="91"/>
      <c r="G35" s="38"/>
      <c r="H35" s="25"/>
      <c r="I35" s="26">
        <v>45.13</v>
      </c>
      <c r="J35" s="30">
        <f t="shared" si="0"/>
        <v>-45.13</v>
      </c>
      <c r="K35" s="37"/>
      <c r="L35" s="79"/>
      <c r="M35" s="27"/>
      <c r="N35" s="27"/>
      <c r="O35" s="27"/>
      <c r="P35" s="45"/>
      <c r="Q35" s="45"/>
      <c r="R35" s="30">
        <f t="shared" si="1"/>
        <v>-45.13</v>
      </c>
      <c r="S35" s="31">
        <f t="shared" si="8"/>
        <v>0</v>
      </c>
      <c r="T35" s="30">
        <f t="shared" si="2"/>
        <v>-45.13</v>
      </c>
      <c r="U35" s="32">
        <f t="shared" si="9"/>
        <v>-4.5130000000000008</v>
      </c>
      <c r="V35" s="31"/>
      <c r="W35" s="30"/>
      <c r="X35" s="33"/>
      <c r="Y35" s="51"/>
      <c r="Z35" s="35"/>
      <c r="AA35" s="35"/>
      <c r="AB35" s="38"/>
      <c r="AC35" s="17" t="str">
        <f t="shared" si="3"/>
        <v>SI</v>
      </c>
      <c r="AD35" s="200" t="s">
        <v>244</v>
      </c>
      <c r="AE35" s="199" t="s">
        <v>245</v>
      </c>
      <c r="AF35" s="17"/>
      <c r="AG35" s="17"/>
      <c r="AH35" s="17"/>
      <c r="AI35" s="17"/>
    </row>
    <row r="36" spans="1:171" s="49" customFormat="1">
      <c r="A36" s="20" t="s">
        <v>97</v>
      </c>
      <c r="B36" s="20" t="s">
        <v>98</v>
      </c>
      <c r="C36" s="22">
        <v>9</v>
      </c>
      <c r="D36" s="23">
        <v>39814</v>
      </c>
      <c r="E36" s="20" t="s">
        <v>97</v>
      </c>
      <c r="F36" s="90">
        <v>30155.34</v>
      </c>
      <c r="G36" s="25"/>
      <c r="H36" s="25"/>
      <c r="I36" s="26">
        <v>45.13</v>
      </c>
      <c r="J36" s="30">
        <f t="shared" si="0"/>
        <v>30110.21</v>
      </c>
      <c r="K36" s="37"/>
      <c r="L36" s="79"/>
      <c r="M36" s="27"/>
      <c r="N36" s="27"/>
      <c r="O36" s="27"/>
      <c r="P36" s="28"/>
      <c r="Q36" s="29">
        <v>878.82</v>
      </c>
      <c r="R36" s="30">
        <f t="shared" si="1"/>
        <v>29231.39</v>
      </c>
      <c r="S36" s="31">
        <f t="shared" si="8"/>
        <v>3011.0210000000002</v>
      </c>
      <c r="T36" s="30">
        <f t="shared" si="2"/>
        <v>26220.368999999999</v>
      </c>
      <c r="U36" s="32">
        <f t="shared" si="9"/>
        <v>0</v>
      </c>
      <c r="V36" s="31">
        <f>+'[1]C&amp;A'!D44*0.02</f>
        <v>21.911999999999999</v>
      </c>
      <c r="W36" s="30">
        <f>+J36+U36+V36</f>
        <v>30132.121999999999</v>
      </c>
      <c r="X36" s="33"/>
      <c r="Y36" s="39"/>
      <c r="Z36" s="35">
        <f>+X36+Y36-T36</f>
        <v>-26220.368999999999</v>
      </c>
      <c r="AA36" s="35"/>
      <c r="AB36" s="38"/>
      <c r="AC36" s="17" t="str">
        <f t="shared" si="3"/>
        <v>SI</v>
      </c>
      <c r="AD36" s="200" t="s">
        <v>248</v>
      </c>
      <c r="AE36" s="199" t="s">
        <v>249</v>
      </c>
      <c r="AF36" s="17"/>
      <c r="AG36" s="17"/>
      <c r="AH36" s="17"/>
      <c r="AI36" s="17"/>
    </row>
    <row r="37" spans="1:171" s="49" customFormat="1">
      <c r="A37" s="20" t="s">
        <v>35</v>
      </c>
      <c r="B37" s="38" t="s">
        <v>106</v>
      </c>
      <c r="C37" s="22" t="s">
        <v>107</v>
      </c>
      <c r="D37" s="23">
        <v>42222</v>
      </c>
      <c r="E37" s="20" t="s">
        <v>108</v>
      </c>
      <c r="F37" s="90">
        <v>1000</v>
      </c>
      <c r="G37" s="25"/>
      <c r="H37" s="25"/>
      <c r="I37" s="26">
        <v>45.13</v>
      </c>
      <c r="J37" s="30">
        <f t="shared" si="0"/>
        <v>954.87</v>
      </c>
      <c r="K37" s="37"/>
      <c r="L37" s="79"/>
      <c r="M37" s="27"/>
      <c r="N37" s="27"/>
      <c r="O37" s="27"/>
      <c r="P37" s="28"/>
      <c r="Q37" s="29">
        <v>0</v>
      </c>
      <c r="R37" s="30">
        <f t="shared" si="1"/>
        <v>954.87</v>
      </c>
      <c r="S37" s="31">
        <f t="shared" si="8"/>
        <v>0</v>
      </c>
      <c r="T37" s="30">
        <f t="shared" si="2"/>
        <v>954.87</v>
      </c>
      <c r="U37" s="32">
        <f t="shared" si="9"/>
        <v>95.487000000000009</v>
      </c>
      <c r="V37" s="31">
        <f>+'[1]C&amp;A'!D52*0.02</f>
        <v>21.911999999999999</v>
      </c>
      <c r="W37" s="30">
        <f>+J37+U37+V37</f>
        <v>1072.269</v>
      </c>
      <c r="X37" s="33"/>
      <c r="Y37" s="39"/>
      <c r="Z37" s="35">
        <f>+X37+Y37-T37</f>
        <v>-954.87</v>
      </c>
      <c r="AA37" s="35"/>
      <c r="AB37" s="38"/>
      <c r="AC37" s="17" t="str">
        <f t="shared" si="3"/>
        <v>SI</v>
      </c>
      <c r="AD37" s="200" t="s">
        <v>256</v>
      </c>
      <c r="AE37" s="199" t="s">
        <v>257</v>
      </c>
      <c r="AF37" s="17"/>
      <c r="AG37" s="17"/>
      <c r="AH37" s="17"/>
      <c r="AI37" s="17"/>
    </row>
    <row r="38" spans="1:171" s="36" customFormat="1">
      <c r="A38" s="20" t="s">
        <v>35</v>
      </c>
      <c r="B38" s="20" t="s">
        <v>111</v>
      </c>
      <c r="C38" s="22" t="s">
        <v>112</v>
      </c>
      <c r="D38" s="23">
        <v>41428</v>
      </c>
      <c r="E38" s="20" t="s">
        <v>113</v>
      </c>
      <c r="F38" s="90">
        <v>11960.28</v>
      </c>
      <c r="G38" s="25"/>
      <c r="H38" s="25"/>
      <c r="I38" s="26">
        <v>45.13</v>
      </c>
      <c r="J38" s="30">
        <f t="shared" si="0"/>
        <v>11915.150000000001</v>
      </c>
      <c r="K38" s="37"/>
      <c r="L38" s="80">
        <v>1</v>
      </c>
      <c r="M38" s="27"/>
      <c r="N38" s="27"/>
      <c r="O38" s="27"/>
      <c r="P38" s="28"/>
      <c r="Q38" s="29">
        <v>0</v>
      </c>
      <c r="R38" s="30">
        <f t="shared" si="1"/>
        <v>11914.150000000001</v>
      </c>
      <c r="S38" s="31">
        <f t="shared" si="8"/>
        <v>1191.5150000000001</v>
      </c>
      <c r="T38" s="30">
        <f t="shared" si="2"/>
        <v>10722.635000000002</v>
      </c>
      <c r="U38" s="32">
        <f t="shared" si="9"/>
        <v>0</v>
      </c>
      <c r="V38" s="31">
        <f>+'[1]C&amp;A'!D54*0.02</f>
        <v>21.911999999999999</v>
      </c>
      <c r="W38" s="30">
        <f>+J38+U38+V38</f>
        <v>11937.062000000002</v>
      </c>
      <c r="X38" s="33"/>
      <c r="Y38" s="34"/>
      <c r="Z38" s="35">
        <f>+X38+Y38-T38</f>
        <v>-10722.635000000002</v>
      </c>
      <c r="AA38" s="35"/>
      <c r="AB38" s="38"/>
      <c r="AC38" s="17" t="str">
        <f t="shared" si="3"/>
        <v>SI</v>
      </c>
      <c r="AD38" s="200" t="s">
        <v>260</v>
      </c>
      <c r="AE38" s="199" t="s">
        <v>261</v>
      </c>
      <c r="AF38" s="17"/>
      <c r="AG38" s="17"/>
      <c r="AH38" s="17"/>
      <c r="AI38" s="17"/>
    </row>
    <row r="39" spans="1:171" s="53" customFormat="1">
      <c r="A39" s="20" t="s">
        <v>103</v>
      </c>
      <c r="B39" s="20" t="s">
        <v>114</v>
      </c>
      <c r="C39" s="22">
        <v>8</v>
      </c>
      <c r="D39" s="23">
        <v>39608</v>
      </c>
      <c r="E39" s="20" t="s">
        <v>115</v>
      </c>
      <c r="F39" s="90">
        <v>15773.28</v>
      </c>
      <c r="G39" s="25"/>
      <c r="H39" s="25"/>
      <c r="I39" s="26">
        <v>45.13</v>
      </c>
      <c r="J39" s="30">
        <f t="shared" si="0"/>
        <v>15728.150000000001</v>
      </c>
      <c r="K39" s="37"/>
      <c r="L39" s="79"/>
      <c r="M39" s="27"/>
      <c r="N39" s="27"/>
      <c r="O39" s="27"/>
      <c r="P39" s="28"/>
      <c r="Q39" s="29">
        <v>0</v>
      </c>
      <c r="R39" s="30">
        <f t="shared" si="1"/>
        <v>15728.150000000001</v>
      </c>
      <c r="S39" s="31">
        <f t="shared" si="8"/>
        <v>1572.8150000000003</v>
      </c>
      <c r="T39" s="30">
        <f t="shared" si="2"/>
        <v>14155.335000000001</v>
      </c>
      <c r="U39" s="32">
        <f t="shared" si="9"/>
        <v>0</v>
      </c>
      <c r="V39" s="31">
        <f>+'[1]C&amp;A'!D55*0.02</f>
        <v>21.911999999999999</v>
      </c>
      <c r="W39" s="30">
        <f>+J39+U39+V39</f>
        <v>15750.062000000002</v>
      </c>
      <c r="X39" s="33"/>
      <c r="Y39" s="39"/>
      <c r="Z39" s="35">
        <f>+X39+Y39-T39</f>
        <v>-14155.335000000001</v>
      </c>
      <c r="AA39" s="35"/>
      <c r="AB39" s="38"/>
      <c r="AC39" s="17" t="str">
        <f t="shared" si="3"/>
        <v>SI</v>
      </c>
      <c r="AD39" s="200" t="s">
        <v>262</v>
      </c>
      <c r="AE39" s="199" t="s">
        <v>263</v>
      </c>
      <c r="AF39" s="17"/>
      <c r="AG39" s="17"/>
      <c r="AH39" s="17"/>
      <c r="AI39" s="54"/>
    </row>
    <row r="40" spans="1:171" s="53" customFormat="1">
      <c r="A40" s="20" t="s">
        <v>142</v>
      </c>
      <c r="B40" s="95" t="s">
        <v>150</v>
      </c>
      <c r="C40" s="22" t="s">
        <v>151</v>
      </c>
      <c r="D40" s="23">
        <v>41793</v>
      </c>
      <c r="E40" s="20" t="s">
        <v>152</v>
      </c>
      <c r="F40" s="90">
        <v>6250</v>
      </c>
      <c r="G40" s="25"/>
      <c r="H40" s="25"/>
      <c r="I40" s="26">
        <v>45.13</v>
      </c>
      <c r="J40" s="30">
        <f t="shared" si="0"/>
        <v>6204.87</v>
      </c>
      <c r="K40" s="37"/>
      <c r="L40" s="79"/>
      <c r="M40" s="27"/>
      <c r="N40" s="27"/>
      <c r="O40" s="27"/>
      <c r="P40" s="28"/>
      <c r="Q40" s="29"/>
      <c r="R40" s="30">
        <f t="shared" si="1"/>
        <v>6204.87</v>
      </c>
      <c r="S40" s="31"/>
      <c r="T40" s="30">
        <f t="shared" si="2"/>
        <v>6204.87</v>
      </c>
      <c r="U40" s="32"/>
      <c r="V40" s="31"/>
      <c r="W40" s="30"/>
      <c r="X40" s="33"/>
      <c r="Y40" s="39"/>
      <c r="Z40" s="35"/>
      <c r="AA40" s="35"/>
      <c r="AB40" s="38"/>
      <c r="AC40" s="17" t="str">
        <f t="shared" si="3"/>
        <v>SI</v>
      </c>
      <c r="AD40" s="200" t="s">
        <v>264</v>
      </c>
      <c r="AE40" s="199" t="s">
        <v>265</v>
      </c>
      <c r="AF40" s="17"/>
      <c r="AG40" s="17"/>
      <c r="AH40" s="17"/>
      <c r="AI40" s="54"/>
    </row>
    <row r="41" spans="1:171" s="53" customFormat="1">
      <c r="A41" s="20" t="s">
        <v>35</v>
      </c>
      <c r="B41" s="20" t="s">
        <v>137</v>
      </c>
      <c r="C41" s="22"/>
      <c r="D41" s="23">
        <v>42569</v>
      </c>
      <c r="E41" s="20" t="s">
        <v>138</v>
      </c>
      <c r="F41" s="90"/>
      <c r="G41" s="25"/>
      <c r="H41" s="25"/>
      <c r="I41" s="26">
        <v>45.13</v>
      </c>
      <c r="J41" s="30">
        <f t="shared" si="0"/>
        <v>-45.13</v>
      </c>
      <c r="K41" s="37"/>
      <c r="L41" s="79"/>
      <c r="M41" s="27"/>
      <c r="N41" s="27"/>
      <c r="O41" s="27"/>
      <c r="P41" s="28"/>
      <c r="Q41" s="29"/>
      <c r="R41" s="30">
        <f t="shared" si="1"/>
        <v>-45.13</v>
      </c>
      <c r="S41" s="31">
        <f>IF(J41&gt;4500,J41*0.1,0)</f>
        <v>0</v>
      </c>
      <c r="T41" s="30">
        <f t="shared" si="2"/>
        <v>-45.13</v>
      </c>
      <c r="U41" s="32">
        <f>IF(J41&lt;4500,J41*0.1,0)</f>
        <v>-4.5130000000000008</v>
      </c>
      <c r="V41" s="31">
        <f>+'[1]C&amp;A'!D58*0.02</f>
        <v>21.911999999999999</v>
      </c>
      <c r="W41" s="30">
        <f>+J41+U41+V41</f>
        <v>-27.731000000000002</v>
      </c>
      <c r="X41" s="33"/>
      <c r="Y41" s="39"/>
      <c r="Z41" s="35"/>
      <c r="AA41" s="35"/>
      <c r="AB41" s="38"/>
      <c r="AC41" s="17" t="str">
        <f t="shared" si="3"/>
        <v>SI</v>
      </c>
      <c r="AD41" s="200" t="s">
        <v>266</v>
      </c>
      <c r="AE41" s="199" t="s">
        <v>267</v>
      </c>
      <c r="AF41" s="17"/>
      <c r="AG41" s="17"/>
      <c r="AH41" s="17"/>
      <c r="AI41" s="17"/>
    </row>
    <row r="42" spans="1:171" s="56" customFormat="1">
      <c r="A42" s="20" t="s">
        <v>71</v>
      </c>
      <c r="B42" s="20" t="s">
        <v>116</v>
      </c>
      <c r="C42" s="22">
        <v>18</v>
      </c>
      <c r="D42" s="23">
        <v>38733</v>
      </c>
      <c r="E42" s="20" t="s">
        <v>155</v>
      </c>
      <c r="F42" s="90">
        <v>11495.76</v>
      </c>
      <c r="G42" s="25"/>
      <c r="H42" s="25"/>
      <c r="I42" s="26">
        <v>45.13</v>
      </c>
      <c r="J42" s="30">
        <f t="shared" si="0"/>
        <v>11450.630000000001</v>
      </c>
      <c r="K42" s="37"/>
      <c r="L42" s="79"/>
      <c r="M42" s="27"/>
      <c r="N42" s="27"/>
      <c r="O42" s="27"/>
      <c r="P42" s="28"/>
      <c r="Q42" s="29">
        <v>741.3</v>
      </c>
      <c r="R42" s="30">
        <f t="shared" si="1"/>
        <v>10709.330000000002</v>
      </c>
      <c r="S42" s="31">
        <f>IF(J42&gt;4500,J42*0.1,0)</f>
        <v>1145.0630000000001</v>
      </c>
      <c r="T42" s="30">
        <f t="shared" si="2"/>
        <v>9564.2670000000016</v>
      </c>
      <c r="U42" s="32">
        <f>IF(J42&lt;4500,J42*0.1,0)</f>
        <v>0</v>
      </c>
      <c r="V42" s="31">
        <f>+'[1]C&amp;A'!D57*0.02</f>
        <v>21.911999999999999</v>
      </c>
      <c r="W42" s="30">
        <f>+J42+U42+V42</f>
        <v>11472.542000000001</v>
      </c>
      <c r="X42" s="33"/>
      <c r="Y42" s="39"/>
      <c r="Z42" s="35">
        <f>+X42+Y42-T42</f>
        <v>-9564.2670000000016</v>
      </c>
      <c r="AA42" s="35"/>
      <c r="AB42" s="38"/>
      <c r="AC42" s="17" t="str">
        <f t="shared" si="3"/>
        <v>SI</v>
      </c>
      <c r="AD42" s="200" t="s">
        <v>268</v>
      </c>
      <c r="AE42" s="199" t="s">
        <v>269</v>
      </c>
      <c r="AF42" s="17"/>
      <c r="AG42" s="17"/>
      <c r="AH42" s="17"/>
      <c r="AI42" s="17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</row>
    <row r="43" spans="1:171" s="53" customFormat="1">
      <c r="A43" s="20" t="s">
        <v>103</v>
      </c>
      <c r="B43" s="20" t="s">
        <v>159</v>
      </c>
      <c r="C43" s="22"/>
      <c r="D43" s="23">
        <v>42608</v>
      </c>
      <c r="E43" s="20" t="s">
        <v>104</v>
      </c>
      <c r="F43" s="90"/>
      <c r="G43" s="25"/>
      <c r="H43" s="25"/>
      <c r="I43" s="26">
        <v>45.13</v>
      </c>
      <c r="J43" s="30">
        <f t="shared" si="0"/>
        <v>-45.13</v>
      </c>
      <c r="K43" s="37"/>
      <c r="L43" s="79"/>
      <c r="M43" s="27"/>
      <c r="N43" s="27"/>
      <c r="O43" s="27"/>
      <c r="P43" s="28"/>
      <c r="Q43" s="29"/>
      <c r="R43" s="30">
        <f t="shared" si="1"/>
        <v>-45.13</v>
      </c>
      <c r="S43" s="31">
        <f>IF(J43&gt;4500,J43*0.1,0)</f>
        <v>0</v>
      </c>
      <c r="T43" s="30">
        <f t="shared" si="2"/>
        <v>-45.13</v>
      </c>
      <c r="U43" s="32">
        <f>IF(J43&lt;4500,J43*0.1,0)</f>
        <v>-4.5130000000000008</v>
      </c>
      <c r="V43" s="31"/>
      <c r="W43" s="30"/>
      <c r="X43" s="33"/>
      <c r="Y43" s="39"/>
      <c r="Z43" s="35"/>
      <c r="AA43" s="35"/>
      <c r="AB43" s="38"/>
      <c r="AC43" s="17" t="str">
        <f t="shared" si="3"/>
        <v>SI</v>
      </c>
      <c r="AD43" s="200" t="s">
        <v>272</v>
      </c>
      <c r="AE43" s="199" t="s">
        <v>273</v>
      </c>
      <c r="AF43" s="155"/>
      <c r="AG43" s="155"/>
      <c r="AH43" s="155"/>
      <c r="AI43" s="155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</row>
    <row r="44" spans="1:171" s="19" customFormat="1">
      <c r="A44" s="20" t="s">
        <v>97</v>
      </c>
      <c r="B44" s="20" t="s">
        <v>122</v>
      </c>
      <c r="C44" s="20" t="s">
        <v>123</v>
      </c>
      <c r="D44" s="23">
        <v>42321</v>
      </c>
      <c r="E44" s="20" t="s">
        <v>97</v>
      </c>
      <c r="F44" s="90">
        <v>13166.04</v>
      </c>
      <c r="G44" s="25"/>
      <c r="H44" s="25"/>
      <c r="I44" s="26">
        <v>45.13</v>
      </c>
      <c r="J44" s="30">
        <f t="shared" si="0"/>
        <v>13120.910000000002</v>
      </c>
      <c r="K44" s="37"/>
      <c r="L44" s="79"/>
      <c r="M44" s="27"/>
      <c r="N44" s="27"/>
      <c r="O44" s="27"/>
      <c r="P44" s="28"/>
      <c r="Q44" s="29">
        <v>335.19</v>
      </c>
      <c r="R44" s="30">
        <f t="shared" si="1"/>
        <v>12785.720000000001</v>
      </c>
      <c r="S44" s="31">
        <f>IF(J44&gt;4500,J44*0.1,0)</f>
        <v>1312.0910000000003</v>
      </c>
      <c r="T44" s="30">
        <f t="shared" si="2"/>
        <v>11473.629000000001</v>
      </c>
      <c r="U44" s="32">
        <f>IF(J44&lt;4500,J44*0.1,0)</f>
        <v>0</v>
      </c>
      <c r="V44" s="31">
        <f>+'[1]C&amp;A'!D61*0.02</f>
        <v>21.911999999999999</v>
      </c>
      <c r="W44" s="30">
        <f>+J44+U44+V44</f>
        <v>13142.822000000002</v>
      </c>
      <c r="X44" s="33"/>
      <c r="Y44" s="34"/>
      <c r="Z44" s="35">
        <f>+X44+Y44-T44</f>
        <v>-11473.629000000001</v>
      </c>
      <c r="AA44" s="35"/>
      <c r="AB44" s="38"/>
      <c r="AC44" s="17" t="str">
        <f t="shared" si="3"/>
        <v>SI</v>
      </c>
      <c r="AD44" s="200" t="s">
        <v>274</v>
      </c>
      <c r="AE44" s="199" t="s">
        <v>275</v>
      </c>
      <c r="AF44" s="17"/>
      <c r="AG44" s="17"/>
      <c r="AH44" s="17"/>
      <c r="AI44" s="16"/>
    </row>
    <row r="45" spans="1:171" s="19" customFormat="1">
      <c r="A45" s="189" t="s">
        <v>35</v>
      </c>
      <c r="B45" s="61" t="s">
        <v>124</v>
      </c>
      <c r="C45" s="190"/>
      <c r="D45" s="191">
        <v>42169</v>
      </c>
      <c r="E45" s="190" t="s">
        <v>38</v>
      </c>
      <c r="F45" s="192"/>
      <c r="G45" s="62"/>
      <c r="H45" s="62"/>
      <c r="I45" s="173">
        <v>45.13</v>
      </c>
      <c r="J45" s="73">
        <f t="shared" si="0"/>
        <v>-45.13</v>
      </c>
      <c r="K45" s="193"/>
      <c r="L45" s="194"/>
      <c r="M45" s="75"/>
      <c r="N45" s="75"/>
      <c r="O45" s="75"/>
      <c r="P45" s="195"/>
      <c r="Q45" s="196">
        <v>0</v>
      </c>
      <c r="R45" s="181">
        <f t="shared" si="1"/>
        <v>-45.13</v>
      </c>
      <c r="S45" s="64">
        <f>IF(J45&gt;4500,J45*0.1,0)</f>
        <v>0</v>
      </c>
      <c r="T45" s="73">
        <f t="shared" si="2"/>
        <v>-45.13</v>
      </c>
      <c r="U45" s="76">
        <f>IF(J45&lt;4500,J45*0.1,0)</f>
        <v>-4.5130000000000008</v>
      </c>
      <c r="V45" s="64">
        <f>+'[1]C&amp;A'!D62*0.02</f>
        <v>21.911999999999999</v>
      </c>
      <c r="W45" s="73">
        <f>+J45+U45+V45</f>
        <v>-27.731000000000002</v>
      </c>
      <c r="X45" s="183"/>
      <c r="Y45" s="185"/>
      <c r="Z45" s="186">
        <f>+X45+Y45-T45</f>
        <v>45.13</v>
      </c>
      <c r="AA45" s="197"/>
      <c r="AB45" s="38"/>
      <c r="AC45" s="17" t="str">
        <f>IF(B45=AE45,"SI","NO")</f>
        <v>SI</v>
      </c>
      <c r="AD45" s="200" t="s">
        <v>276</v>
      </c>
      <c r="AE45" s="199" t="s">
        <v>277</v>
      </c>
      <c r="AF45" s="17"/>
      <c r="AG45" s="17"/>
      <c r="AH45" s="17"/>
      <c r="AI45" s="16"/>
    </row>
    <row r="46" spans="1:171" s="19" customFormat="1" ht="16.5" thickBot="1">
      <c r="A46" s="164"/>
      <c r="B46" s="165"/>
      <c r="C46" s="167"/>
      <c r="D46" s="167"/>
      <c r="E46" s="165"/>
      <c r="F46" s="168"/>
      <c r="G46" s="170"/>
      <c r="H46" s="170"/>
      <c r="I46" s="172"/>
      <c r="J46" s="174"/>
      <c r="K46" s="176"/>
      <c r="L46" s="177"/>
      <c r="M46" s="179"/>
      <c r="N46" s="179"/>
      <c r="O46" s="179"/>
      <c r="P46" s="180"/>
      <c r="Q46" s="180"/>
      <c r="R46" s="174"/>
      <c r="S46" s="180"/>
      <c r="T46" s="174"/>
      <c r="U46" s="182"/>
      <c r="V46" s="180"/>
      <c r="W46" s="174"/>
      <c r="X46" s="183"/>
      <c r="Y46" s="184"/>
      <c r="Z46" s="186"/>
      <c r="AA46" s="186"/>
      <c r="AB46" s="166"/>
      <c r="AC46" s="16"/>
      <c r="AD46" s="210" t="s">
        <v>308</v>
      </c>
      <c r="AE46" s="205"/>
      <c r="AF46" s="17"/>
      <c r="AG46" s="17"/>
      <c r="AH46" s="17"/>
      <c r="AI46" s="16"/>
    </row>
    <row r="47" spans="1:171" s="19" customFormat="1" ht="16.5" thickTop="1">
      <c r="A47" s="164"/>
      <c r="B47" s="166"/>
      <c r="C47" s="166"/>
      <c r="D47" s="166"/>
      <c r="E47" s="166"/>
      <c r="F47" s="169"/>
      <c r="G47" s="171"/>
      <c r="H47" s="171"/>
      <c r="I47" s="171"/>
      <c r="J47" s="175"/>
      <c r="K47" s="171"/>
      <c r="L47" s="178"/>
      <c r="M47" s="178"/>
      <c r="N47" s="178"/>
      <c r="O47" s="178"/>
      <c r="P47" s="178"/>
      <c r="Q47" s="178"/>
      <c r="R47" s="175"/>
      <c r="S47" s="178"/>
      <c r="T47" s="175"/>
      <c r="U47" s="178"/>
      <c r="V47" s="178"/>
      <c r="W47" s="175"/>
      <c r="X47" s="66"/>
      <c r="Y47" s="66"/>
      <c r="Z47" s="17"/>
      <c r="AA47" s="17"/>
      <c r="AB47" s="17"/>
      <c r="AC47" s="16"/>
      <c r="AD47" s="206"/>
      <c r="AE47" s="198"/>
      <c r="AF47" s="16"/>
      <c r="AG47" s="16"/>
      <c r="AH47" s="16"/>
      <c r="AI47" s="16"/>
    </row>
    <row r="48" spans="1:171" s="36" customFormat="1">
      <c r="A48" s="21" t="s">
        <v>42</v>
      </c>
      <c r="B48" s="21" t="s">
        <v>53</v>
      </c>
      <c r="C48" s="118"/>
      <c r="D48" s="119">
        <v>42429</v>
      </c>
      <c r="E48" s="21" t="s">
        <v>54</v>
      </c>
      <c r="F48" s="120">
        <v>1800</v>
      </c>
      <c r="G48" s="148"/>
      <c r="H48" s="121"/>
      <c r="I48" s="149">
        <v>45.13</v>
      </c>
      <c r="J48" s="150">
        <f t="shared" ref="J48:J59" si="10">SUM(F48:H48)-I48</f>
        <v>1754.87</v>
      </c>
      <c r="K48" s="121"/>
      <c r="L48" s="122"/>
      <c r="M48" s="123"/>
      <c r="N48" s="123"/>
      <c r="O48" s="123"/>
      <c r="P48" s="151"/>
      <c r="Q48" s="124"/>
      <c r="R48" s="150">
        <f t="shared" ref="R48:R54" si="11">+J48-SUM(K48:Q48)</f>
        <v>1754.87</v>
      </c>
      <c r="S48" s="123">
        <f t="shared" ref="S48:S54" si="12">IF(J48&gt;4500,J48*0.1,0)</f>
        <v>0</v>
      </c>
      <c r="T48" s="150">
        <f t="shared" ref="T48:T54" si="13">+R48-S48</f>
        <v>1754.87</v>
      </c>
      <c r="U48" s="123">
        <f t="shared" ref="U48:U54" si="14">IF(J48&lt;4500,J48*0.1,0)</f>
        <v>175.48699999999999</v>
      </c>
      <c r="V48" s="123">
        <f>+'[1]C&amp;A'!D23*0.02</f>
        <v>21.911999999999999</v>
      </c>
      <c r="W48" s="150">
        <f t="shared" ref="W48:W54" si="15">+J48+U48+V48</f>
        <v>1952.269</v>
      </c>
      <c r="X48" s="152"/>
      <c r="Y48" s="153"/>
      <c r="Z48" s="154">
        <f>+X48+Y48-T48</f>
        <v>-1754.87</v>
      </c>
      <c r="AA48" s="154"/>
      <c r="AB48" s="21"/>
      <c r="AC48" s="17" t="str">
        <f t="shared" ref="AC48:AC59" si="16">IF(B48=AE48,"SI","NO")</f>
        <v>SI</v>
      </c>
      <c r="AD48" s="200" t="s">
        <v>202</v>
      </c>
      <c r="AE48" s="199" t="s">
        <v>203</v>
      </c>
      <c r="AF48" s="17"/>
      <c r="AG48" s="17"/>
      <c r="AH48" s="17"/>
      <c r="AI48" s="17"/>
    </row>
    <row r="49" spans="1:171" s="36" customFormat="1">
      <c r="A49" s="21" t="s">
        <v>42</v>
      </c>
      <c r="B49" s="21" t="s">
        <v>157</v>
      </c>
      <c r="C49" s="118"/>
      <c r="D49" s="119">
        <v>42599</v>
      </c>
      <c r="E49" s="21" t="s">
        <v>54</v>
      </c>
      <c r="F49" s="120">
        <v>1800</v>
      </c>
      <c r="G49" s="148"/>
      <c r="H49" s="121"/>
      <c r="I49" s="149">
        <v>45.13</v>
      </c>
      <c r="J49" s="150">
        <f t="shared" si="10"/>
        <v>1754.87</v>
      </c>
      <c r="K49" s="121"/>
      <c r="L49" s="122"/>
      <c r="M49" s="123"/>
      <c r="N49" s="123"/>
      <c r="O49" s="123"/>
      <c r="P49" s="151"/>
      <c r="Q49" s="124"/>
      <c r="R49" s="150">
        <f t="shared" si="11"/>
        <v>1754.87</v>
      </c>
      <c r="S49" s="123">
        <f t="shared" si="12"/>
        <v>0</v>
      </c>
      <c r="T49" s="150">
        <f t="shared" si="13"/>
        <v>1754.87</v>
      </c>
      <c r="U49" s="123">
        <f t="shared" si="14"/>
        <v>175.48699999999999</v>
      </c>
      <c r="V49" s="123">
        <f>+'[1]C&amp;A'!D24*0.02</f>
        <v>21.911999999999999</v>
      </c>
      <c r="W49" s="150">
        <f t="shared" si="15"/>
        <v>1952.269</v>
      </c>
      <c r="X49" s="152"/>
      <c r="Y49" s="153"/>
      <c r="Z49" s="154"/>
      <c r="AA49" s="154"/>
      <c r="AB49" s="21"/>
      <c r="AC49" s="17" t="str">
        <f t="shared" si="16"/>
        <v>SI</v>
      </c>
      <c r="AD49" s="200" t="s">
        <v>204</v>
      </c>
      <c r="AE49" s="199" t="s">
        <v>205</v>
      </c>
      <c r="AF49" s="17"/>
      <c r="AG49" s="17"/>
      <c r="AH49" s="17"/>
      <c r="AI49" s="17"/>
    </row>
    <row r="50" spans="1:171" s="36" customFormat="1">
      <c r="A50" s="21" t="s">
        <v>42</v>
      </c>
      <c r="B50" s="21" t="s">
        <v>60</v>
      </c>
      <c r="C50" s="118" t="s">
        <v>61</v>
      </c>
      <c r="D50" s="119">
        <v>42337</v>
      </c>
      <c r="E50" s="21" t="s">
        <v>62</v>
      </c>
      <c r="F50" s="120">
        <v>1162.5</v>
      </c>
      <c r="G50" s="121"/>
      <c r="H50" s="121"/>
      <c r="I50" s="149">
        <v>45.13</v>
      </c>
      <c r="J50" s="150">
        <f t="shared" si="10"/>
        <v>1117.3699999999999</v>
      </c>
      <c r="K50" s="121"/>
      <c r="L50" s="159"/>
      <c r="M50" s="123"/>
      <c r="N50" s="123"/>
      <c r="O50" s="123"/>
      <c r="P50" s="151"/>
      <c r="Q50" s="124">
        <v>0</v>
      </c>
      <c r="R50" s="150">
        <f t="shared" si="11"/>
        <v>1117.3699999999999</v>
      </c>
      <c r="S50" s="123">
        <f t="shared" si="12"/>
        <v>0</v>
      </c>
      <c r="T50" s="150">
        <f t="shared" si="13"/>
        <v>1117.3699999999999</v>
      </c>
      <c r="U50" s="123">
        <f t="shared" si="14"/>
        <v>111.73699999999999</v>
      </c>
      <c r="V50" s="123">
        <f>+'[1]C&amp;A'!D26*0.02</f>
        <v>21.911999999999999</v>
      </c>
      <c r="W50" s="150">
        <f t="shared" si="15"/>
        <v>1251.019</v>
      </c>
      <c r="X50" s="152"/>
      <c r="Y50" s="160"/>
      <c r="Z50" s="154">
        <f>+X50+Y50-T50</f>
        <v>-1117.3699999999999</v>
      </c>
      <c r="AA50" s="154"/>
      <c r="AB50" s="161"/>
      <c r="AC50" s="17" t="str">
        <f t="shared" si="16"/>
        <v>SI</v>
      </c>
      <c r="AD50" s="200" t="s">
        <v>210</v>
      </c>
      <c r="AE50" s="199" t="s">
        <v>211</v>
      </c>
      <c r="AF50" s="155"/>
      <c r="AG50" s="155"/>
      <c r="AH50" s="155"/>
      <c r="AI50" s="155"/>
    </row>
    <row r="51" spans="1:171" s="36" customFormat="1">
      <c r="A51" s="21" t="s">
        <v>42</v>
      </c>
      <c r="B51" s="21" t="s">
        <v>158</v>
      </c>
      <c r="C51" s="21"/>
      <c r="D51" s="119">
        <v>42598</v>
      </c>
      <c r="E51" s="21" t="s">
        <v>96</v>
      </c>
      <c r="F51" s="120">
        <v>2110</v>
      </c>
      <c r="G51" s="121"/>
      <c r="H51" s="121"/>
      <c r="I51" s="149">
        <v>45.13</v>
      </c>
      <c r="J51" s="150">
        <f t="shared" si="10"/>
        <v>2064.87</v>
      </c>
      <c r="K51" s="121"/>
      <c r="L51" s="122"/>
      <c r="M51" s="123"/>
      <c r="N51" s="123"/>
      <c r="O51" s="123"/>
      <c r="P51" s="151"/>
      <c r="Q51" s="124"/>
      <c r="R51" s="150">
        <f t="shared" si="11"/>
        <v>2064.87</v>
      </c>
      <c r="S51" s="123">
        <f t="shared" si="12"/>
        <v>0</v>
      </c>
      <c r="T51" s="150">
        <f t="shared" si="13"/>
        <v>2064.87</v>
      </c>
      <c r="U51" s="123">
        <f t="shared" si="14"/>
        <v>206.48699999999999</v>
      </c>
      <c r="V51" s="123">
        <f>+'[1]C&amp;A'!D30*0.02</f>
        <v>21.911999999999999</v>
      </c>
      <c r="W51" s="150">
        <f t="shared" si="15"/>
        <v>2293.2689999999998</v>
      </c>
      <c r="X51" s="152"/>
      <c r="Y51" s="160"/>
      <c r="Z51" s="154"/>
      <c r="AA51" s="154"/>
      <c r="AB51" s="21"/>
      <c r="AC51" s="17" t="str">
        <f t="shared" si="16"/>
        <v>SI</v>
      </c>
      <c r="AD51" s="200" t="s">
        <v>220</v>
      </c>
      <c r="AE51" s="199" t="s">
        <v>221</v>
      </c>
      <c r="AF51" s="17"/>
      <c r="AG51" s="17"/>
      <c r="AH51" s="17"/>
      <c r="AI51" s="17"/>
    </row>
    <row r="52" spans="1:171" s="36" customFormat="1">
      <c r="A52" s="21" t="s">
        <v>42</v>
      </c>
      <c r="B52" s="21" t="s">
        <v>72</v>
      </c>
      <c r="C52" s="118"/>
      <c r="D52" s="119">
        <v>5</v>
      </c>
      <c r="E52" s="21" t="s">
        <v>62</v>
      </c>
      <c r="F52" s="120">
        <v>3652.5</v>
      </c>
      <c r="G52" s="121"/>
      <c r="H52" s="121"/>
      <c r="I52" s="149">
        <v>45.13</v>
      </c>
      <c r="J52" s="150">
        <f t="shared" si="10"/>
        <v>3607.37</v>
      </c>
      <c r="K52" s="121"/>
      <c r="L52" s="122"/>
      <c r="M52" s="123"/>
      <c r="N52" s="123"/>
      <c r="O52" s="123"/>
      <c r="P52" s="124"/>
      <c r="Q52" s="124">
        <v>0</v>
      </c>
      <c r="R52" s="150">
        <f t="shared" si="11"/>
        <v>3607.37</v>
      </c>
      <c r="S52" s="123">
        <f t="shared" si="12"/>
        <v>0</v>
      </c>
      <c r="T52" s="150">
        <f t="shared" si="13"/>
        <v>3607.37</v>
      </c>
      <c r="U52" s="123">
        <f t="shared" si="14"/>
        <v>360.73700000000002</v>
      </c>
      <c r="V52" s="123">
        <f>+'[1]C&amp;A'!D31*0.02</f>
        <v>21.911999999999999</v>
      </c>
      <c r="W52" s="150">
        <f t="shared" si="15"/>
        <v>3990.0189999999998</v>
      </c>
      <c r="X52" s="152"/>
      <c r="Y52" s="160"/>
      <c r="Z52" s="154">
        <f>+X52+Y52-T52</f>
        <v>-3607.37</v>
      </c>
      <c r="AA52" s="187"/>
      <c r="AB52" s="21"/>
      <c r="AC52" s="17" t="str">
        <f t="shared" si="16"/>
        <v>SI</v>
      </c>
      <c r="AD52" s="200" t="s">
        <v>224</v>
      </c>
      <c r="AE52" s="199" t="s">
        <v>225</v>
      </c>
      <c r="AF52" s="155"/>
      <c r="AG52" s="155"/>
      <c r="AH52" s="155"/>
      <c r="AI52" s="155"/>
    </row>
    <row r="53" spans="1:171" s="36" customFormat="1">
      <c r="A53" s="21" t="s">
        <v>42</v>
      </c>
      <c r="B53" s="21" t="s">
        <v>73</v>
      </c>
      <c r="C53" s="118" t="s">
        <v>74</v>
      </c>
      <c r="D53" s="119">
        <v>41852</v>
      </c>
      <c r="E53" s="21" t="s">
        <v>54</v>
      </c>
      <c r="F53" s="120">
        <v>4312.5</v>
      </c>
      <c r="G53" s="121"/>
      <c r="H53" s="121"/>
      <c r="I53" s="149">
        <v>45.13</v>
      </c>
      <c r="J53" s="150">
        <f t="shared" si="10"/>
        <v>4267.37</v>
      </c>
      <c r="K53" s="121"/>
      <c r="L53" s="122"/>
      <c r="M53" s="123"/>
      <c r="N53" s="123"/>
      <c r="O53" s="123"/>
      <c r="P53" s="151"/>
      <c r="Q53" s="124">
        <v>0</v>
      </c>
      <c r="R53" s="150">
        <f t="shared" si="11"/>
        <v>4267.37</v>
      </c>
      <c r="S53" s="123">
        <f t="shared" si="12"/>
        <v>0</v>
      </c>
      <c r="T53" s="150">
        <f t="shared" si="13"/>
        <v>4267.37</v>
      </c>
      <c r="U53" s="123">
        <f t="shared" si="14"/>
        <v>426.73700000000002</v>
      </c>
      <c r="V53" s="123">
        <f>+'[1]C&amp;A'!D32*0.02</f>
        <v>21.911999999999999</v>
      </c>
      <c r="W53" s="150">
        <f t="shared" si="15"/>
        <v>4716.0190000000002</v>
      </c>
      <c r="X53" s="152"/>
      <c r="Y53" s="160"/>
      <c r="Z53" s="154">
        <f>+X53+Y53-T53</f>
        <v>-4267.37</v>
      </c>
      <c r="AA53" s="154"/>
      <c r="AB53" s="21"/>
      <c r="AC53" s="17" t="str">
        <f t="shared" si="16"/>
        <v>SI</v>
      </c>
      <c r="AD53" s="200" t="s">
        <v>226</v>
      </c>
      <c r="AE53" s="199" t="s">
        <v>227</v>
      </c>
      <c r="AF53" s="155"/>
      <c r="AG53" s="155"/>
      <c r="AH53" s="155"/>
      <c r="AI53" s="155"/>
    </row>
    <row r="54" spans="1:171" s="36" customFormat="1">
      <c r="A54" s="21" t="s">
        <v>42</v>
      </c>
      <c r="B54" s="21" t="s">
        <v>94</v>
      </c>
      <c r="C54" s="118" t="s">
        <v>95</v>
      </c>
      <c r="D54" s="119">
        <v>40122</v>
      </c>
      <c r="E54" s="21" t="s">
        <v>96</v>
      </c>
      <c r="F54" s="120">
        <v>1050.4000000000001</v>
      </c>
      <c r="G54" s="121"/>
      <c r="H54" s="121"/>
      <c r="I54" s="149">
        <v>45.13</v>
      </c>
      <c r="J54" s="150">
        <f t="shared" si="10"/>
        <v>1005.2700000000001</v>
      </c>
      <c r="K54" s="121"/>
      <c r="L54" s="122"/>
      <c r="M54" s="123"/>
      <c r="N54" s="123"/>
      <c r="O54" s="123"/>
      <c r="P54" s="151"/>
      <c r="Q54" s="124">
        <v>0</v>
      </c>
      <c r="R54" s="150">
        <f t="shared" si="11"/>
        <v>1005.2700000000001</v>
      </c>
      <c r="S54" s="123">
        <f t="shared" si="12"/>
        <v>0</v>
      </c>
      <c r="T54" s="150">
        <f t="shared" si="13"/>
        <v>1005.2700000000001</v>
      </c>
      <c r="U54" s="123">
        <f t="shared" si="14"/>
        <v>100.52700000000002</v>
      </c>
      <c r="V54" s="123">
        <f>+'[1]C&amp;A'!D43*0.02</f>
        <v>21.911999999999999</v>
      </c>
      <c r="W54" s="150">
        <f t="shared" si="15"/>
        <v>1127.7090000000001</v>
      </c>
      <c r="X54" s="152"/>
      <c r="Y54" s="160"/>
      <c r="Z54" s="154">
        <f>+X54+Y54-T54</f>
        <v>-1005.2700000000001</v>
      </c>
      <c r="AA54" s="154"/>
      <c r="AB54" s="21"/>
      <c r="AC54" s="17" t="str">
        <f t="shared" si="16"/>
        <v>SI</v>
      </c>
      <c r="AD54" s="200" t="s">
        <v>246</v>
      </c>
      <c r="AE54" s="199" t="s">
        <v>247</v>
      </c>
      <c r="AF54" s="17"/>
      <c r="AG54" s="17"/>
      <c r="AH54" s="17"/>
      <c r="AI54" s="17"/>
    </row>
    <row r="55" spans="1:171" s="36" customFormat="1">
      <c r="A55" s="21" t="s">
        <v>42</v>
      </c>
      <c r="B55" s="21" t="s">
        <v>284</v>
      </c>
      <c r="C55" s="118"/>
      <c r="D55" s="119">
        <v>39516</v>
      </c>
      <c r="E55" s="21" t="s">
        <v>87</v>
      </c>
      <c r="F55" s="120">
        <v>11019.49</v>
      </c>
      <c r="G55" s="121"/>
      <c r="H55" s="121"/>
      <c r="I55" s="149"/>
      <c r="J55" s="150">
        <f t="shared" si="10"/>
        <v>11019.49</v>
      </c>
      <c r="K55" s="121"/>
      <c r="L55" s="123"/>
      <c r="M55" s="123"/>
      <c r="N55" s="123"/>
      <c r="O55" s="123"/>
      <c r="P55" s="121"/>
      <c r="Q55" s="121">
        <v>3519.49</v>
      </c>
      <c r="R55" s="150">
        <f>+J55-K55</f>
        <v>11019.49</v>
      </c>
      <c r="S55" s="123">
        <f>+R55*0.05</f>
        <v>550.97450000000003</v>
      </c>
      <c r="T55" s="150">
        <f>+R55-N55-Q55</f>
        <v>7500</v>
      </c>
      <c r="U55" s="123">
        <f>IF(R55&lt;3000,R55*0.1,0)</f>
        <v>0</v>
      </c>
      <c r="V55" s="123">
        <v>0</v>
      </c>
      <c r="W55" s="150">
        <f>+R55+U55+V55</f>
        <v>11019.49</v>
      </c>
      <c r="X55" s="163"/>
      <c r="Y55" s="163"/>
      <c r="Z55" s="21"/>
      <c r="AA55" s="21"/>
      <c r="AB55" s="21"/>
      <c r="AC55" s="17" t="str">
        <f t="shared" si="16"/>
        <v>SI</v>
      </c>
      <c r="AD55" s="200" t="s">
        <v>250</v>
      </c>
      <c r="AE55" s="199" t="s">
        <v>251</v>
      </c>
      <c r="AF55" s="155"/>
      <c r="AG55" s="155"/>
      <c r="AH55" s="155"/>
      <c r="AI55" s="155"/>
    </row>
    <row r="56" spans="1:171" s="36" customFormat="1">
      <c r="A56" s="21" t="s">
        <v>42</v>
      </c>
      <c r="B56" s="21" t="s">
        <v>154</v>
      </c>
      <c r="C56" s="21">
        <v>33</v>
      </c>
      <c r="D56" s="119">
        <v>39833</v>
      </c>
      <c r="E56" s="21" t="s">
        <v>102</v>
      </c>
      <c r="F56" s="120">
        <v>5652.5</v>
      </c>
      <c r="G56" s="121"/>
      <c r="H56" s="121"/>
      <c r="I56" s="149">
        <v>45.13</v>
      </c>
      <c r="J56" s="150">
        <f t="shared" si="10"/>
        <v>5607.37</v>
      </c>
      <c r="K56" s="121"/>
      <c r="L56" s="122"/>
      <c r="M56" s="123"/>
      <c r="N56" s="123"/>
      <c r="O56" s="123"/>
      <c r="P56" s="151"/>
      <c r="Q56" s="124">
        <v>0</v>
      </c>
      <c r="R56" s="150">
        <f>+J56-SUM(K56:Q56)</f>
        <v>5607.37</v>
      </c>
      <c r="S56" s="123">
        <f>IF(J56&gt;4500,J56*0.1,0)</f>
        <v>560.73699999999997</v>
      </c>
      <c r="T56" s="150">
        <f>+R56-S56</f>
        <v>5046.6329999999998</v>
      </c>
      <c r="U56" s="123">
        <f>IF(J56&lt;4500,J56*0.1,0)</f>
        <v>0</v>
      </c>
      <c r="V56" s="123">
        <f>+'[1]C&amp;A'!D49*0.02</f>
        <v>21.911999999999999</v>
      </c>
      <c r="W56" s="150">
        <f>+J56+U56+V56</f>
        <v>5629.2820000000002</v>
      </c>
      <c r="X56" s="152"/>
      <c r="Y56" s="160"/>
      <c r="Z56" s="154">
        <f>+X56+Y56-T56</f>
        <v>-5046.6329999999998</v>
      </c>
      <c r="AA56" s="154"/>
      <c r="AB56" s="21"/>
      <c r="AC56" s="17" t="str">
        <f t="shared" si="16"/>
        <v>SI</v>
      </c>
      <c r="AD56" s="200" t="s">
        <v>252</v>
      </c>
      <c r="AE56" s="199" t="s">
        <v>253</v>
      </c>
      <c r="AF56" s="17"/>
      <c r="AG56" s="17"/>
      <c r="AH56" s="17"/>
      <c r="AI56" s="17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</row>
    <row r="57" spans="1:171" s="36" customFormat="1">
      <c r="A57" s="21" t="s">
        <v>42</v>
      </c>
      <c r="B57" s="21" t="s">
        <v>105</v>
      </c>
      <c r="C57" s="118"/>
      <c r="D57" s="119">
        <v>42429</v>
      </c>
      <c r="E57" s="21" t="s">
        <v>62</v>
      </c>
      <c r="F57" s="120">
        <v>3345</v>
      </c>
      <c r="G57" s="121"/>
      <c r="H57" s="121"/>
      <c r="I57" s="149">
        <v>45.13</v>
      </c>
      <c r="J57" s="150">
        <f t="shared" si="10"/>
        <v>3299.87</v>
      </c>
      <c r="K57" s="121"/>
      <c r="L57" s="122"/>
      <c r="M57" s="123"/>
      <c r="N57" s="123"/>
      <c r="O57" s="123"/>
      <c r="P57" s="124"/>
      <c r="Q57" s="124">
        <v>0</v>
      </c>
      <c r="R57" s="150">
        <f>+J57-SUM(K57:Q57)</f>
        <v>3299.87</v>
      </c>
      <c r="S57" s="123">
        <f>IF(J57&gt;4500,J57*0.1,0)</f>
        <v>0</v>
      </c>
      <c r="T57" s="150">
        <f>+R57-S57</f>
        <v>3299.87</v>
      </c>
      <c r="U57" s="123">
        <f>IF(J57&lt;4500,J57*0.1,0)</f>
        <v>329.98700000000002</v>
      </c>
      <c r="V57" s="123">
        <f>+'[1]C&amp;A'!D51*0.02</f>
        <v>21.911999999999999</v>
      </c>
      <c r="W57" s="150">
        <f>+J57+U57+V57</f>
        <v>3651.7689999999998</v>
      </c>
      <c r="X57" s="152"/>
      <c r="Y57" s="160"/>
      <c r="Z57" s="154">
        <f>+X57+Y57-T57</f>
        <v>-3299.87</v>
      </c>
      <c r="AA57" s="154"/>
      <c r="AB57" s="21"/>
      <c r="AC57" s="17" t="str">
        <f t="shared" si="16"/>
        <v>SI</v>
      </c>
      <c r="AD57" s="200" t="s">
        <v>254</v>
      </c>
      <c r="AE57" s="199" t="s">
        <v>255</v>
      </c>
      <c r="AF57" s="17"/>
      <c r="AG57" s="17"/>
      <c r="AH57" s="17"/>
      <c r="AI57" s="17"/>
    </row>
    <row r="58" spans="1:171" s="52" customFormat="1">
      <c r="A58" s="21" t="s">
        <v>42</v>
      </c>
      <c r="B58" s="21" t="s">
        <v>109</v>
      </c>
      <c r="C58" s="118" t="s">
        <v>110</v>
      </c>
      <c r="D58" s="119">
        <v>40298</v>
      </c>
      <c r="E58" s="21" t="s">
        <v>171</v>
      </c>
      <c r="F58" s="120">
        <v>11495.76</v>
      </c>
      <c r="G58" s="121"/>
      <c r="H58" s="121"/>
      <c r="I58" s="149">
        <v>45.13</v>
      </c>
      <c r="J58" s="150">
        <f t="shared" si="10"/>
        <v>11450.630000000001</v>
      </c>
      <c r="K58" s="121"/>
      <c r="L58" s="122"/>
      <c r="M58" s="123"/>
      <c r="N58" s="123"/>
      <c r="O58" s="123"/>
      <c r="P58" s="151"/>
      <c r="Q58" s="124">
        <v>340.56</v>
      </c>
      <c r="R58" s="150">
        <f>+J58-SUM(K58:Q58)</f>
        <v>11110.070000000002</v>
      </c>
      <c r="S58" s="123">
        <f>IF(J58&gt;4500,J58*0.1,0)</f>
        <v>1145.0630000000001</v>
      </c>
      <c r="T58" s="150">
        <f>+R58-S58</f>
        <v>9965.0070000000014</v>
      </c>
      <c r="U58" s="123">
        <f>IF(J58&lt;4500,J58*0.1,0)</f>
        <v>0</v>
      </c>
      <c r="V58" s="123">
        <f>+'[1]C&amp;A'!D53*0.02</f>
        <v>21.911999999999999</v>
      </c>
      <c r="W58" s="150">
        <f>+J58+U58+V58</f>
        <v>11472.542000000001</v>
      </c>
      <c r="X58" s="152"/>
      <c r="Y58" s="160"/>
      <c r="Z58" s="154">
        <f>+X58+Y58-T58</f>
        <v>-9965.0070000000014</v>
      </c>
      <c r="AA58" s="154"/>
      <c r="AB58" s="161"/>
      <c r="AC58" s="17" t="str">
        <f t="shared" si="16"/>
        <v>SI</v>
      </c>
      <c r="AD58" s="200" t="s">
        <v>258</v>
      </c>
      <c r="AE58" s="199" t="s">
        <v>313</v>
      </c>
      <c r="AF58" s="17"/>
      <c r="AG58" s="17"/>
      <c r="AH58" s="17"/>
      <c r="AI58" s="17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</row>
    <row r="59" spans="1:171" s="52" customFormat="1">
      <c r="A59" s="21" t="s">
        <v>42</v>
      </c>
      <c r="B59" s="21" t="s">
        <v>125</v>
      </c>
      <c r="C59" s="118" t="s">
        <v>126</v>
      </c>
      <c r="D59" s="119">
        <v>41939</v>
      </c>
      <c r="E59" s="21" t="s">
        <v>54</v>
      </c>
      <c r="F59" s="120">
        <v>1435.2</v>
      </c>
      <c r="G59" s="121"/>
      <c r="H59" s="121"/>
      <c r="I59" s="149">
        <v>45.13</v>
      </c>
      <c r="J59" s="150">
        <f t="shared" si="10"/>
        <v>1390.07</v>
      </c>
      <c r="K59" s="121"/>
      <c r="L59" s="122"/>
      <c r="M59" s="123"/>
      <c r="N59" s="123"/>
      <c r="O59" s="123"/>
      <c r="P59" s="151"/>
      <c r="Q59" s="124">
        <v>303.79000000000002</v>
      </c>
      <c r="R59" s="150">
        <f>+J59-SUM(K59:Q59)</f>
        <v>1086.28</v>
      </c>
      <c r="S59" s="123">
        <f>IF(J59&gt;4500,J59*0.1,0)</f>
        <v>0</v>
      </c>
      <c r="T59" s="150">
        <f>+R59-S59</f>
        <v>1086.28</v>
      </c>
      <c r="U59" s="123">
        <f>IF(J59&lt;4500,J59*0.1,0)</f>
        <v>139.00700000000001</v>
      </c>
      <c r="V59" s="123">
        <f>+'[1]C&amp;A'!D63*0.02</f>
        <v>21.911999999999999</v>
      </c>
      <c r="W59" s="150">
        <f>+J59+U59+V59</f>
        <v>1550.989</v>
      </c>
      <c r="X59" s="152"/>
      <c r="Y59" s="160"/>
      <c r="Z59" s="154">
        <f>+X59+Y59-T59</f>
        <v>-1086.28</v>
      </c>
      <c r="AA59" s="154"/>
      <c r="AB59" s="21"/>
      <c r="AC59" s="17" t="str">
        <f t="shared" si="16"/>
        <v>SI</v>
      </c>
      <c r="AD59" s="200" t="s">
        <v>278</v>
      </c>
      <c r="AE59" s="199" t="s">
        <v>279</v>
      </c>
      <c r="AF59" s="17"/>
      <c r="AG59" s="17"/>
      <c r="AH59" s="17"/>
      <c r="AI59" s="17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</row>
    <row r="60" spans="1:171">
      <c r="A60" s="16" t="s">
        <v>131</v>
      </c>
    </row>
    <row r="61" spans="1:171">
      <c r="A61" s="16" t="s">
        <v>132</v>
      </c>
    </row>
    <row r="62" spans="1:171">
      <c r="A62" s="16" t="s">
        <v>133</v>
      </c>
      <c r="B62" s="13"/>
    </row>
    <row r="63" spans="1:171">
      <c r="A63" s="16" t="s">
        <v>134</v>
      </c>
      <c r="B63" s="13"/>
    </row>
    <row r="64" spans="1:171">
      <c r="A64" s="16" t="s">
        <v>135</v>
      </c>
      <c r="B64" s="13"/>
    </row>
    <row r="65" spans="1:35">
      <c r="AD65" s="113"/>
      <c r="AE65" s="113"/>
    </row>
    <row r="66" spans="1:35">
      <c r="AD66" s="113"/>
      <c r="AE66" s="113"/>
    </row>
    <row r="67" spans="1:35">
      <c r="G67" s="16"/>
      <c r="H67" s="16"/>
      <c r="I67" s="16"/>
      <c r="J67" s="16"/>
      <c r="K67" s="16"/>
      <c r="L67" s="85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AD67" s="113"/>
      <c r="AE67" s="113"/>
    </row>
    <row r="68" spans="1:35">
      <c r="G68" s="16"/>
      <c r="H68" s="16"/>
      <c r="I68" s="16"/>
      <c r="J68" s="16"/>
      <c r="K68" s="16"/>
      <c r="L68" s="85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AD68" s="113"/>
      <c r="AE68" s="113"/>
    </row>
    <row r="69" spans="1:35">
      <c r="A69" s="99" t="s">
        <v>71</v>
      </c>
      <c r="B69" s="99" t="s">
        <v>78</v>
      </c>
      <c r="C69" s="117" t="s">
        <v>79</v>
      </c>
      <c r="D69" s="100">
        <v>42135</v>
      </c>
      <c r="E69" s="99" t="s">
        <v>82</v>
      </c>
      <c r="F69" s="101">
        <v>4500</v>
      </c>
      <c r="G69" s="102"/>
      <c r="H69" s="102"/>
      <c r="I69" s="103">
        <v>45.13</v>
      </c>
      <c r="J69" s="104">
        <f>SUM(F69:H69)-I69</f>
        <v>4454.87</v>
      </c>
      <c r="K69" s="102"/>
      <c r="L69" s="115">
        <v>1</v>
      </c>
      <c r="M69" s="106"/>
      <c r="N69" s="106"/>
      <c r="O69" s="106"/>
      <c r="P69" s="107"/>
      <c r="Q69" s="108">
        <v>0</v>
      </c>
      <c r="R69" s="104">
        <f>+J69-SUM(K69:Q69)</f>
        <v>4453.87</v>
      </c>
      <c r="S69" s="106">
        <f>IF(J69&gt;4500,J69*0.1,0)</f>
        <v>0</v>
      </c>
      <c r="T69" s="104">
        <f>+R69-S69</f>
        <v>4453.87</v>
      </c>
      <c r="U69" s="106">
        <f>IF(J69&lt;4500,J69*0.1,0)</f>
        <v>445.48700000000002</v>
      </c>
      <c r="V69" s="106">
        <f>+'[1]C&amp;A'!D34*0.02</f>
        <v>21.911999999999999</v>
      </c>
      <c r="W69" s="104">
        <f>+J69+U69+V69</f>
        <v>4922.2690000000002</v>
      </c>
      <c r="X69" s="109"/>
      <c r="Y69" s="110"/>
      <c r="Z69" s="111">
        <f>+X69+Y69-T69</f>
        <v>-4453.87</v>
      </c>
      <c r="AA69" s="111"/>
      <c r="AB69" s="136" t="s">
        <v>173</v>
      </c>
      <c r="AC69" s="113"/>
    </row>
    <row r="70" spans="1:35" s="114" customFormat="1">
      <c r="A70" s="99" t="s">
        <v>42</v>
      </c>
      <c r="B70" s="99" t="s">
        <v>100</v>
      </c>
      <c r="C70" s="99" t="s">
        <v>101</v>
      </c>
      <c r="D70" s="100">
        <v>42121</v>
      </c>
      <c r="E70" s="99" t="s">
        <v>83</v>
      </c>
      <c r="F70" s="101"/>
      <c r="G70" s="102"/>
      <c r="H70" s="102"/>
      <c r="I70" s="103">
        <v>45.13</v>
      </c>
      <c r="J70" s="104">
        <f>SUM(F70:H70)-I70</f>
        <v>-45.13</v>
      </c>
      <c r="K70" s="102"/>
      <c r="L70" s="105"/>
      <c r="M70" s="106"/>
      <c r="N70" s="106"/>
      <c r="O70" s="106"/>
      <c r="P70" s="107"/>
      <c r="Q70" s="108">
        <v>0</v>
      </c>
      <c r="R70" s="104">
        <f>+J70-SUM(K70:Q70)</f>
        <v>-45.13</v>
      </c>
      <c r="S70" s="106">
        <f>IF(J70&gt;4500,J70*0.1,0)</f>
        <v>0</v>
      </c>
      <c r="T70" s="104">
        <f>+R70-S70</f>
        <v>-45.13</v>
      </c>
      <c r="U70" s="106">
        <f>IF(J70&lt;4500,J70*0.1,0)</f>
        <v>-4.5130000000000008</v>
      </c>
      <c r="V70" s="106">
        <f>+'[1]C&amp;A'!D48*0.02</f>
        <v>21.911999999999999</v>
      </c>
      <c r="W70" s="104">
        <f>+J70+U70+V70</f>
        <v>-27.731000000000002</v>
      </c>
      <c r="X70" s="109"/>
      <c r="Y70" s="110"/>
      <c r="Z70" s="111">
        <f>+X70+Y70-T70</f>
        <v>45.13</v>
      </c>
      <c r="AA70" s="111"/>
      <c r="AB70" s="112" t="s">
        <v>165</v>
      </c>
      <c r="AC70" s="113"/>
      <c r="AD70" s="16"/>
      <c r="AE70" s="16"/>
      <c r="AF70" s="113"/>
      <c r="AG70" s="113"/>
      <c r="AH70" s="113"/>
      <c r="AI70" s="113"/>
    </row>
    <row r="71" spans="1:35" s="114" customFormat="1">
      <c r="A71" s="99" t="s">
        <v>91</v>
      </c>
      <c r="B71" s="99" t="s">
        <v>117</v>
      </c>
      <c r="C71" s="99" t="s">
        <v>118</v>
      </c>
      <c r="D71" s="100">
        <v>41352</v>
      </c>
      <c r="E71" s="99" t="s">
        <v>119</v>
      </c>
      <c r="F71" s="101"/>
      <c r="G71" s="102"/>
      <c r="H71" s="102"/>
      <c r="I71" s="103">
        <v>45.13</v>
      </c>
      <c r="J71" s="104">
        <f>SUM(F71:H71)-I71</f>
        <v>-45.13</v>
      </c>
      <c r="K71" s="102"/>
      <c r="L71" s="115"/>
      <c r="M71" s="106"/>
      <c r="N71" s="106"/>
      <c r="O71" s="106"/>
      <c r="P71" s="107"/>
      <c r="Q71" s="108">
        <v>0</v>
      </c>
      <c r="R71" s="104">
        <f>+J71-SUM(K71:Q71)</f>
        <v>-45.13</v>
      </c>
      <c r="S71" s="106">
        <f>IF(J71&gt;4500,J71*0.1,0)</f>
        <v>0</v>
      </c>
      <c r="T71" s="104">
        <f>+R71-S71</f>
        <v>-45.13</v>
      </c>
      <c r="U71" s="106">
        <f>IF(J71&lt;4500,J71*0.1,0)</f>
        <v>-4.5130000000000008</v>
      </c>
      <c r="V71" s="106">
        <f>+'[1]C&amp;A'!D58*0.02</f>
        <v>21.911999999999999</v>
      </c>
      <c r="W71" s="104">
        <f>+J71+U71+V71</f>
        <v>-27.731000000000002</v>
      </c>
      <c r="X71" s="109"/>
      <c r="Y71" s="110"/>
      <c r="Z71" s="111">
        <f>+X71+Y71-T71</f>
        <v>45.13</v>
      </c>
      <c r="AA71" s="111"/>
      <c r="AB71" s="112" t="s">
        <v>166</v>
      </c>
      <c r="AC71" s="113"/>
      <c r="AD71" s="16"/>
      <c r="AE71" s="16"/>
      <c r="AF71" s="113"/>
      <c r="AG71" s="113"/>
      <c r="AH71" s="113"/>
      <c r="AI71" s="113"/>
    </row>
    <row r="72" spans="1:35" s="116" customFormat="1">
      <c r="A72" s="99" t="s">
        <v>42</v>
      </c>
      <c r="B72" s="99" t="s">
        <v>120</v>
      </c>
      <c r="C72" s="117" t="s">
        <v>121</v>
      </c>
      <c r="D72" s="100">
        <v>41802</v>
      </c>
      <c r="E72" s="99" t="s">
        <v>62</v>
      </c>
      <c r="F72" s="101"/>
      <c r="G72" s="102"/>
      <c r="H72" s="102"/>
      <c r="I72" s="103">
        <v>45.13</v>
      </c>
      <c r="J72" s="104">
        <f>SUM(F72:H72)-I72</f>
        <v>-45.13</v>
      </c>
      <c r="K72" s="102"/>
      <c r="L72" s="105"/>
      <c r="M72" s="106"/>
      <c r="N72" s="106"/>
      <c r="O72" s="106"/>
      <c r="P72" s="107"/>
      <c r="Q72" s="108">
        <v>0</v>
      </c>
      <c r="R72" s="104">
        <f>+J72-SUM(K72:Q72)</f>
        <v>-45.13</v>
      </c>
      <c r="S72" s="106">
        <f>IF(J72&gt;4500,J72*0.1,0)</f>
        <v>0</v>
      </c>
      <c r="T72" s="104">
        <f>+R72-S72</f>
        <v>-45.13</v>
      </c>
      <c r="U72" s="106">
        <f>IF(J72&lt;4500,J72*0.1,0)</f>
        <v>-4.5130000000000008</v>
      </c>
      <c r="V72" s="106">
        <f>+'[1]C&amp;A'!D59*0.02</f>
        <v>21.911999999999999</v>
      </c>
      <c r="W72" s="104">
        <f>+J72+U72+V72</f>
        <v>-27.731000000000002</v>
      </c>
      <c r="X72" s="109"/>
      <c r="Y72" s="110"/>
      <c r="Z72" s="111">
        <f>+X72+Y72-T72</f>
        <v>45.13</v>
      </c>
      <c r="AA72" s="111"/>
      <c r="AB72" s="112" t="s">
        <v>167</v>
      </c>
      <c r="AC72" s="113"/>
      <c r="AD72" s="16"/>
      <c r="AE72" s="16"/>
      <c r="AF72" s="113"/>
      <c r="AG72" s="113"/>
      <c r="AH72" s="113"/>
      <c r="AI72" s="113"/>
    </row>
    <row r="73" spans="1:35" s="116" customFormat="1">
      <c r="A73" s="16"/>
      <c r="B73" s="16"/>
      <c r="C73" s="16"/>
      <c r="D73" s="16"/>
      <c r="E73" s="16"/>
      <c r="F73" s="89"/>
      <c r="G73" s="16"/>
      <c r="H73" s="16"/>
      <c r="I73" s="16"/>
      <c r="J73" s="16"/>
      <c r="K73" s="16"/>
      <c r="L73" s="85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13"/>
      <c r="AG73" s="113"/>
      <c r="AH73" s="113"/>
      <c r="AI73" s="113"/>
    </row>
    <row r="74" spans="1:35">
      <c r="G74" s="16"/>
      <c r="H74" s="16"/>
      <c r="I74" s="16"/>
      <c r="J74" s="16"/>
      <c r="K74" s="16"/>
      <c r="L74" s="85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35">
      <c r="G75" s="16"/>
      <c r="H75" s="16"/>
      <c r="I75" s="16"/>
      <c r="J75" s="16"/>
      <c r="K75" s="16"/>
      <c r="L75" s="85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35">
      <c r="G76" s="16"/>
      <c r="H76" s="16"/>
      <c r="I76" s="16"/>
      <c r="J76" s="16"/>
      <c r="K76" s="16"/>
      <c r="L76" s="85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35">
      <c r="G77" s="16"/>
      <c r="H77" s="16"/>
      <c r="I77" s="16"/>
      <c r="J77" s="16"/>
      <c r="K77" s="16"/>
      <c r="L77" s="85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35">
      <c r="G78" s="16"/>
      <c r="H78" s="16"/>
      <c r="I78" s="16"/>
      <c r="J78" s="16"/>
      <c r="K78" s="16"/>
      <c r="L78" s="85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35">
      <c r="G79" s="16"/>
      <c r="H79" s="16"/>
      <c r="I79" s="16"/>
      <c r="J79" s="16"/>
      <c r="K79" s="16"/>
      <c r="L79" s="85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35">
      <c r="G80" s="16"/>
      <c r="H80" s="16"/>
      <c r="I80" s="16"/>
      <c r="J80" s="16"/>
      <c r="K80" s="16"/>
      <c r="L80" s="85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6:171">
      <c r="G81" s="16"/>
      <c r="H81" s="16"/>
      <c r="I81" s="16"/>
      <c r="J81" s="16"/>
      <c r="K81" s="16"/>
      <c r="L81" s="85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6:171">
      <c r="G82" s="16"/>
      <c r="H82" s="16"/>
      <c r="I82" s="16"/>
      <c r="J82" s="16"/>
      <c r="K82" s="16"/>
      <c r="L82" s="85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6:171">
      <c r="G83" s="16"/>
      <c r="H83" s="16"/>
      <c r="I83" s="16"/>
      <c r="J83" s="16"/>
      <c r="K83" s="16"/>
      <c r="L83" s="85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6:171" s="16" customFormat="1">
      <c r="F84" s="89"/>
      <c r="L84" s="85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</row>
    <row r="85" spans="6:171" s="16" customFormat="1">
      <c r="F85" s="89"/>
      <c r="L85" s="85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</row>
    <row r="86" spans="6:171" s="16" customFormat="1">
      <c r="F86" s="89"/>
      <c r="L86" s="85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</row>
    <row r="87" spans="6:171" s="16" customFormat="1">
      <c r="F87" s="89"/>
      <c r="L87" s="85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</row>
    <row r="88" spans="6:171" s="16" customFormat="1">
      <c r="F88" s="89"/>
      <c r="L88" s="85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</row>
    <row r="89" spans="6:171" s="16" customFormat="1">
      <c r="F89" s="89"/>
      <c r="L89" s="85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</row>
    <row r="90" spans="6:171" s="16" customFormat="1">
      <c r="F90" s="89"/>
      <c r="L90" s="85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</row>
    <row r="91" spans="6:171" s="16" customFormat="1">
      <c r="F91" s="89"/>
      <c r="L91" s="85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</row>
    <row r="92" spans="6:171" s="16" customFormat="1">
      <c r="F92" s="89"/>
      <c r="L92" s="85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</row>
    <row r="93" spans="6:171" s="16" customFormat="1">
      <c r="F93" s="89"/>
      <c r="L93" s="85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</row>
    <row r="94" spans="6:171" s="16" customFormat="1">
      <c r="F94" s="89"/>
      <c r="L94" s="85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</row>
    <row r="95" spans="6:171" s="16" customFormat="1">
      <c r="F95" s="89"/>
      <c r="L95" s="85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</row>
    <row r="96" spans="6:171" s="16" customFormat="1">
      <c r="F96" s="89"/>
      <c r="L96" s="85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</row>
    <row r="97" spans="6:171" s="16" customFormat="1">
      <c r="F97" s="89"/>
      <c r="L97" s="85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</row>
    <row r="98" spans="6:171" s="16" customFormat="1">
      <c r="F98" s="89"/>
      <c r="L98" s="85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</row>
    <row r="99" spans="6:171" s="16" customFormat="1">
      <c r="F99" s="89"/>
      <c r="L99" s="85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</row>
    <row r="100" spans="6:171" s="16" customFormat="1">
      <c r="F100" s="89"/>
      <c r="L100" s="85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</row>
    <row r="101" spans="6:171" s="16" customFormat="1">
      <c r="F101" s="89"/>
      <c r="L101" s="85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</row>
    <row r="102" spans="6:171" s="16" customFormat="1">
      <c r="F102" s="89"/>
      <c r="L102" s="85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</row>
    <row r="103" spans="6:171" s="16" customFormat="1">
      <c r="F103" s="89"/>
      <c r="L103" s="85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</row>
    <row r="104" spans="6:171" s="16" customFormat="1">
      <c r="F104" s="89"/>
      <c r="L104" s="85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</row>
    <row r="105" spans="6:171" s="16" customFormat="1">
      <c r="F105" s="89"/>
      <c r="L105" s="85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</row>
    <row r="106" spans="6:171" s="16" customFormat="1">
      <c r="F106" s="89"/>
      <c r="L106" s="85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</row>
    <row r="107" spans="6:171" s="16" customFormat="1">
      <c r="F107" s="89"/>
      <c r="L107" s="85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</row>
    <row r="108" spans="6:171" s="16" customFormat="1">
      <c r="F108" s="89"/>
      <c r="L108" s="85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</row>
    <row r="109" spans="6:171" s="16" customFormat="1">
      <c r="F109" s="89"/>
      <c r="L109" s="85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</row>
    <row r="110" spans="6:171" s="16" customFormat="1">
      <c r="F110" s="89"/>
      <c r="L110" s="85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</row>
    <row r="111" spans="6:171" s="16" customFormat="1">
      <c r="F111" s="89"/>
      <c r="L111" s="85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</row>
    <row r="112" spans="6:171" s="16" customFormat="1">
      <c r="F112" s="89"/>
      <c r="L112" s="85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</row>
    <row r="113" spans="6:171" s="16" customFormat="1">
      <c r="F113" s="89"/>
      <c r="L113" s="85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</row>
    <row r="114" spans="6:171" s="16" customFormat="1">
      <c r="F114" s="89"/>
      <c r="L114" s="85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</row>
    <row r="115" spans="6:171" s="16" customFormat="1">
      <c r="F115" s="89"/>
      <c r="L115" s="85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</row>
    <row r="116" spans="6:171" s="16" customFormat="1">
      <c r="F116" s="89"/>
      <c r="L116" s="85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</row>
    <row r="117" spans="6:171" s="16" customFormat="1">
      <c r="F117" s="89"/>
      <c r="L117" s="85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</row>
    <row r="118" spans="6:171" s="16" customFormat="1">
      <c r="F118" s="89"/>
      <c r="L118" s="85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</row>
    <row r="119" spans="6:171" s="16" customFormat="1">
      <c r="F119" s="89"/>
      <c r="L119" s="85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</row>
    <row r="120" spans="6:171" s="16" customFormat="1">
      <c r="F120" s="89"/>
      <c r="L120" s="85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</row>
    <row r="121" spans="6:171" s="16" customFormat="1">
      <c r="F121" s="89"/>
      <c r="L121" s="85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</row>
    <row r="122" spans="6:171" s="16" customFormat="1">
      <c r="F122" s="89"/>
      <c r="L122" s="85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</row>
    <row r="123" spans="6:171" s="16" customFormat="1">
      <c r="F123" s="89"/>
      <c r="L123" s="85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</row>
    <row r="124" spans="6:171" s="16" customFormat="1">
      <c r="F124" s="89"/>
      <c r="L124" s="85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</row>
    <row r="125" spans="6:171" s="16" customFormat="1">
      <c r="F125" s="89"/>
      <c r="L125" s="85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</row>
    <row r="126" spans="6:171" s="16" customFormat="1">
      <c r="F126" s="89"/>
      <c r="L126" s="85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</row>
    <row r="127" spans="6:171" s="16" customFormat="1">
      <c r="F127" s="89"/>
      <c r="L127" s="85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</row>
    <row r="128" spans="6:171" s="16" customFormat="1">
      <c r="F128" s="89"/>
      <c r="L128" s="85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</row>
    <row r="129" spans="6:171" s="16" customFormat="1">
      <c r="F129" s="89"/>
      <c r="L129" s="85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</row>
    <row r="130" spans="6:171" s="16" customFormat="1">
      <c r="F130" s="89"/>
      <c r="L130" s="85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</row>
    <row r="131" spans="6:171" s="16" customFormat="1">
      <c r="F131" s="89"/>
      <c r="L131" s="85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</row>
    <row r="132" spans="6:171" s="16" customFormat="1">
      <c r="F132" s="89"/>
      <c r="L132" s="85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</row>
    <row r="133" spans="6:171" s="16" customFormat="1">
      <c r="F133" s="89"/>
      <c r="L133" s="85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</row>
    <row r="134" spans="6:171" s="16" customFormat="1">
      <c r="F134" s="89"/>
      <c r="L134" s="85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</row>
    <row r="135" spans="6:171" s="16" customFormat="1">
      <c r="F135" s="89"/>
      <c r="L135" s="85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</row>
    <row r="136" spans="6:171" s="16" customFormat="1">
      <c r="F136" s="89"/>
      <c r="L136" s="85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</row>
    <row r="137" spans="6:171" s="16" customFormat="1">
      <c r="F137" s="89"/>
      <c r="L137" s="85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</row>
    <row r="138" spans="6:171" s="16" customFormat="1">
      <c r="F138" s="89"/>
      <c r="L138" s="85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</row>
    <row r="139" spans="6:171" s="16" customFormat="1">
      <c r="F139" s="89"/>
      <c r="L139" s="85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</row>
    <row r="140" spans="6:171" s="16" customFormat="1">
      <c r="F140" s="89"/>
      <c r="L140" s="85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</row>
    <row r="141" spans="6:171" s="16" customFormat="1">
      <c r="F141" s="89"/>
      <c r="L141" s="85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</row>
    <row r="142" spans="6:171" s="16" customFormat="1">
      <c r="F142" s="89"/>
      <c r="L142" s="85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</row>
    <row r="143" spans="6:171" s="16" customFormat="1">
      <c r="F143" s="89"/>
      <c r="L143" s="85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</row>
    <row r="144" spans="6:171" s="16" customFormat="1">
      <c r="F144" s="89"/>
      <c r="L144" s="85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</row>
    <row r="145" spans="6:171" s="16" customFormat="1">
      <c r="F145" s="89"/>
      <c r="L145" s="85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</row>
    <row r="146" spans="6:171" s="16" customFormat="1">
      <c r="F146" s="89"/>
      <c r="L146" s="85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</row>
    <row r="147" spans="6:171" s="16" customFormat="1">
      <c r="F147" s="89"/>
      <c r="L147" s="85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</row>
    <row r="148" spans="6:171" s="16" customFormat="1">
      <c r="F148" s="89"/>
      <c r="L148" s="85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</row>
    <row r="149" spans="6:171" s="16" customFormat="1">
      <c r="F149" s="89"/>
      <c r="L149" s="85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</row>
    <row r="150" spans="6:171" s="16" customFormat="1">
      <c r="F150" s="89"/>
      <c r="L150" s="85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</row>
    <row r="151" spans="6:171" s="16" customFormat="1">
      <c r="F151" s="89"/>
      <c r="L151" s="85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</row>
    <row r="152" spans="6:171" s="16" customFormat="1">
      <c r="F152" s="89"/>
      <c r="L152" s="85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</row>
    <row r="153" spans="6:171" s="16" customFormat="1">
      <c r="F153" s="89"/>
      <c r="L153" s="85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</row>
    <row r="154" spans="6:171" s="16" customFormat="1">
      <c r="F154" s="89"/>
      <c r="L154" s="85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</row>
    <row r="155" spans="6:171" s="16" customFormat="1">
      <c r="F155" s="89"/>
      <c r="L155" s="85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</row>
    <row r="156" spans="6:171" s="16" customFormat="1">
      <c r="F156" s="89"/>
      <c r="L156" s="85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</row>
    <row r="157" spans="6:171" s="16" customFormat="1">
      <c r="F157" s="89"/>
      <c r="L157" s="85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</row>
    <row r="158" spans="6:171" s="16" customFormat="1">
      <c r="F158" s="89"/>
      <c r="L158" s="85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</row>
    <row r="159" spans="6:171" s="16" customFormat="1">
      <c r="F159" s="89"/>
      <c r="L159" s="85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</row>
    <row r="160" spans="6:171" s="16" customFormat="1">
      <c r="F160" s="89"/>
      <c r="L160" s="85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</row>
    <row r="161" spans="6:171" s="16" customFormat="1">
      <c r="F161" s="89"/>
      <c r="L161" s="85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</row>
    <row r="162" spans="6:171" s="16" customFormat="1">
      <c r="F162" s="89"/>
      <c r="L162" s="85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</row>
    <row r="163" spans="6:171" s="16" customFormat="1">
      <c r="F163" s="89"/>
      <c r="L163" s="85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</row>
    <row r="164" spans="6:171" s="16" customFormat="1">
      <c r="F164" s="89"/>
      <c r="L164" s="85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</row>
    <row r="165" spans="6:171" s="16" customFormat="1">
      <c r="F165" s="89"/>
      <c r="L165" s="85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</row>
    <row r="166" spans="6:171" s="16" customFormat="1">
      <c r="F166" s="89"/>
      <c r="L166" s="85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</row>
    <row r="167" spans="6:171" s="16" customFormat="1">
      <c r="F167" s="89"/>
      <c r="L167" s="85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</row>
    <row r="168" spans="6:171" s="16" customFormat="1">
      <c r="F168" s="89"/>
      <c r="L168" s="85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</row>
    <row r="169" spans="6:171" s="16" customFormat="1">
      <c r="F169" s="89"/>
      <c r="L169" s="85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</row>
    <row r="170" spans="6:171" s="16" customFormat="1">
      <c r="F170" s="89"/>
      <c r="L170" s="85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</row>
    <row r="171" spans="6:171" s="16" customFormat="1">
      <c r="F171" s="89"/>
      <c r="L171" s="85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</row>
    <row r="172" spans="6:171" s="16" customFormat="1">
      <c r="F172" s="89"/>
      <c r="L172" s="85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</row>
    <row r="173" spans="6:171" s="16" customFormat="1">
      <c r="F173" s="89"/>
      <c r="L173" s="85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</row>
    <row r="174" spans="6:171" s="16" customFormat="1">
      <c r="F174" s="89"/>
      <c r="L174" s="85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</row>
    <row r="175" spans="6:171" s="16" customFormat="1">
      <c r="F175" s="89"/>
      <c r="L175" s="85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</row>
    <row r="176" spans="6:171" s="16" customFormat="1">
      <c r="F176" s="89"/>
      <c r="L176" s="85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</row>
    <row r="177" spans="6:171" s="16" customFormat="1">
      <c r="F177" s="89"/>
      <c r="L177" s="85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</row>
    <row r="178" spans="6:171" s="16" customFormat="1">
      <c r="F178" s="89"/>
      <c r="L178" s="85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</row>
    <row r="179" spans="6:171" s="16" customFormat="1">
      <c r="F179" s="89"/>
      <c r="L179" s="85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</row>
    <row r="180" spans="6:171" s="16" customFormat="1">
      <c r="F180" s="89"/>
      <c r="L180" s="85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</row>
    <row r="181" spans="6:171" s="16" customFormat="1">
      <c r="F181" s="89"/>
      <c r="L181" s="85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</row>
    <row r="182" spans="6:171" s="16" customFormat="1">
      <c r="F182" s="89"/>
      <c r="L182" s="85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</row>
    <row r="183" spans="6:171" s="16" customFormat="1">
      <c r="F183" s="89"/>
      <c r="L183" s="85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</row>
    <row r="184" spans="6:171" s="16" customFormat="1">
      <c r="F184" s="89"/>
      <c r="L184" s="85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</row>
    <row r="185" spans="6:171" s="16" customFormat="1">
      <c r="F185" s="89"/>
      <c r="L185" s="85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</row>
    <row r="186" spans="6:171" s="16" customFormat="1">
      <c r="F186" s="89"/>
      <c r="L186" s="85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</row>
    <row r="187" spans="6:171" s="16" customFormat="1">
      <c r="F187" s="89"/>
      <c r="L187" s="85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</row>
    <row r="188" spans="6:171" s="16" customFormat="1">
      <c r="F188" s="89"/>
      <c r="L188" s="85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</row>
    <row r="189" spans="6:171" s="16" customFormat="1">
      <c r="F189" s="89"/>
      <c r="L189" s="85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</row>
    <row r="190" spans="6:171" s="16" customFormat="1">
      <c r="F190" s="89"/>
      <c r="L190" s="85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</row>
    <row r="191" spans="6:171" s="16" customFormat="1">
      <c r="F191" s="89"/>
      <c r="L191" s="85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</row>
    <row r="192" spans="6:171" s="16" customFormat="1">
      <c r="F192" s="89"/>
      <c r="L192" s="85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</row>
    <row r="193" spans="6:171" s="16" customFormat="1">
      <c r="F193" s="89"/>
      <c r="L193" s="85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</row>
    <row r="194" spans="6:171" s="16" customFormat="1">
      <c r="F194" s="89"/>
      <c r="L194" s="85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</row>
    <row r="195" spans="6:171" s="16" customFormat="1">
      <c r="F195" s="89"/>
      <c r="L195" s="85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</row>
    <row r="196" spans="6:171" s="16" customFormat="1">
      <c r="F196" s="89"/>
      <c r="L196" s="85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</row>
    <row r="197" spans="6:171" s="16" customFormat="1">
      <c r="F197" s="89"/>
      <c r="L197" s="85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</row>
    <row r="198" spans="6:171" s="16" customFormat="1">
      <c r="F198" s="89"/>
      <c r="L198" s="85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</row>
    <row r="199" spans="6:171" s="16" customFormat="1">
      <c r="F199" s="89"/>
      <c r="L199" s="85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</row>
    <row r="200" spans="6:171" s="16" customFormat="1">
      <c r="F200" s="89"/>
      <c r="L200" s="85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</row>
    <row r="201" spans="6:171" s="16" customFormat="1">
      <c r="F201" s="89"/>
      <c r="L201" s="85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</row>
    <row r="202" spans="6:171" s="16" customFormat="1">
      <c r="F202" s="89"/>
      <c r="L202" s="85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</row>
    <row r="203" spans="6:171" s="16" customFormat="1">
      <c r="F203" s="89"/>
      <c r="L203" s="85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</row>
    <row r="204" spans="6:171" s="16" customFormat="1">
      <c r="F204" s="89"/>
      <c r="L204" s="85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</row>
    <row r="205" spans="6:171" s="16" customFormat="1">
      <c r="F205" s="89"/>
      <c r="L205" s="85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</row>
    <row r="206" spans="6:171" s="16" customFormat="1">
      <c r="F206" s="89"/>
      <c r="L206" s="85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</row>
    <row r="207" spans="6:171" s="16" customFormat="1">
      <c r="F207" s="89"/>
      <c r="L207" s="85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</row>
    <row r="208" spans="6:171" s="16" customFormat="1">
      <c r="F208" s="89"/>
      <c r="L208" s="85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</row>
    <row r="209" spans="6:171" s="16" customFormat="1">
      <c r="F209" s="89"/>
      <c r="L209" s="85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</row>
    <row r="210" spans="6:171" s="16" customFormat="1">
      <c r="F210" s="89"/>
      <c r="L210" s="85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</row>
    <row r="211" spans="6:171" s="16" customFormat="1">
      <c r="F211" s="89"/>
      <c r="L211" s="85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</row>
    <row r="212" spans="6:171" s="16" customFormat="1">
      <c r="F212" s="89"/>
      <c r="L212" s="85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</row>
    <row r="213" spans="6:171" s="16" customFormat="1">
      <c r="F213" s="89"/>
      <c r="L213" s="85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</row>
    <row r="214" spans="6:171" s="16" customFormat="1">
      <c r="F214" s="89"/>
      <c r="L214" s="85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</row>
    <row r="215" spans="6:171" s="16" customFormat="1">
      <c r="F215" s="89"/>
      <c r="L215" s="85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</row>
    <row r="216" spans="6:171" s="16" customFormat="1">
      <c r="F216" s="89"/>
      <c r="L216" s="85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</row>
    <row r="217" spans="6:171" s="16" customFormat="1">
      <c r="F217" s="89"/>
      <c r="L217" s="85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</row>
    <row r="218" spans="6:171" s="16" customFormat="1">
      <c r="F218" s="89"/>
      <c r="L218" s="85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</row>
    <row r="219" spans="6:171" s="16" customFormat="1">
      <c r="F219" s="89"/>
      <c r="L219" s="85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</row>
    <row r="220" spans="6:171" s="16" customFormat="1">
      <c r="F220" s="89"/>
      <c r="L220" s="85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</row>
    <row r="221" spans="6:171" s="16" customFormat="1">
      <c r="F221" s="89"/>
      <c r="L221" s="85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</row>
    <row r="222" spans="6:171" s="16" customFormat="1">
      <c r="F222" s="89"/>
      <c r="L222" s="85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</row>
    <row r="223" spans="6:171" s="16" customFormat="1">
      <c r="F223" s="89"/>
      <c r="L223" s="85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</row>
    <row r="224" spans="6:171" s="16" customFormat="1">
      <c r="F224" s="89"/>
      <c r="L224" s="85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</row>
    <row r="225" spans="6:171" s="16" customFormat="1">
      <c r="F225" s="89"/>
      <c r="L225" s="85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</row>
    <row r="226" spans="6:171" s="16" customFormat="1">
      <c r="F226" s="89"/>
      <c r="L226" s="85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</row>
    <row r="227" spans="6:171" s="16" customFormat="1">
      <c r="F227" s="89"/>
      <c r="L227" s="85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</row>
    <row r="228" spans="6:171" s="16" customFormat="1">
      <c r="F228" s="89"/>
      <c r="L228" s="85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</row>
    <row r="229" spans="6:171" s="16" customFormat="1">
      <c r="F229" s="89"/>
      <c r="L229" s="85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</row>
    <row r="230" spans="6:171" s="16" customFormat="1">
      <c r="F230" s="89"/>
      <c r="L230" s="85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</row>
    <row r="231" spans="6:171" s="16" customFormat="1">
      <c r="F231" s="89"/>
      <c r="L231" s="85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</row>
    <row r="232" spans="6:171" s="16" customFormat="1">
      <c r="F232" s="89"/>
      <c r="L232" s="85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</row>
    <row r="233" spans="6:171" s="16" customFormat="1">
      <c r="F233" s="89"/>
      <c r="L233" s="85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</row>
    <row r="234" spans="6:171" s="16" customFormat="1">
      <c r="F234" s="89"/>
      <c r="L234" s="85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</row>
    <row r="235" spans="6:171" s="16" customFormat="1">
      <c r="F235" s="89"/>
      <c r="L235" s="85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</row>
    <row r="236" spans="6:171" s="16" customFormat="1">
      <c r="F236" s="89"/>
      <c r="L236" s="85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</row>
    <row r="237" spans="6:171" s="16" customFormat="1">
      <c r="F237" s="89"/>
      <c r="L237" s="85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</row>
    <row r="238" spans="6:171" s="16" customFormat="1">
      <c r="F238" s="89"/>
      <c r="L238" s="85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</row>
    <row r="239" spans="6:171" s="16" customFormat="1">
      <c r="F239" s="89"/>
      <c r="L239" s="85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</row>
    <row r="240" spans="6:171" s="16" customFormat="1">
      <c r="F240" s="89"/>
      <c r="L240" s="85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</row>
    <row r="241" spans="6:171" s="16" customFormat="1">
      <c r="F241" s="89"/>
      <c r="L241" s="85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</row>
    <row r="242" spans="6:171" s="16" customFormat="1">
      <c r="F242" s="89"/>
      <c r="L242" s="85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</row>
    <row r="243" spans="6:171" s="16" customFormat="1">
      <c r="F243" s="89"/>
      <c r="L243" s="85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</row>
    <row r="244" spans="6:171" s="16" customFormat="1">
      <c r="F244" s="89"/>
      <c r="L244" s="85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</row>
    <row r="245" spans="6:171" s="16" customFormat="1">
      <c r="F245" s="89"/>
      <c r="L245" s="85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</row>
    <row r="246" spans="6:171" s="16" customFormat="1">
      <c r="F246" s="89"/>
      <c r="L246" s="85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</row>
    <row r="247" spans="6:171" s="16" customFormat="1">
      <c r="F247" s="89"/>
      <c r="L247" s="85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</row>
    <row r="248" spans="6:171" s="16" customFormat="1">
      <c r="F248" s="89"/>
      <c r="L248" s="85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</row>
    <row r="249" spans="6:171" s="16" customFormat="1">
      <c r="F249" s="89"/>
      <c r="L249" s="85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</row>
    <row r="250" spans="6:171" s="16" customFormat="1">
      <c r="F250" s="89"/>
      <c r="L250" s="85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</row>
    <row r="251" spans="6:171" s="16" customFormat="1">
      <c r="F251" s="89"/>
      <c r="L251" s="85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</row>
    <row r="252" spans="6:171" s="16" customFormat="1">
      <c r="F252" s="89"/>
      <c r="L252" s="85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</row>
    <row r="253" spans="6:171" s="16" customFormat="1">
      <c r="F253" s="89"/>
      <c r="L253" s="85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</row>
    <row r="254" spans="6:171" s="16" customFormat="1">
      <c r="F254" s="89"/>
      <c r="L254" s="85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</row>
    <row r="255" spans="6:171" s="16" customFormat="1">
      <c r="F255" s="89"/>
      <c r="L255" s="85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</row>
    <row r="256" spans="6:171" s="16" customFormat="1">
      <c r="F256" s="89"/>
      <c r="L256" s="85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</row>
    <row r="257" spans="6:171" s="16" customFormat="1">
      <c r="F257" s="89"/>
      <c r="L257" s="85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</row>
    <row r="258" spans="6:171" s="16" customFormat="1">
      <c r="F258" s="89"/>
      <c r="L258" s="85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</row>
    <row r="259" spans="6:171" s="16" customFormat="1">
      <c r="F259" s="89"/>
      <c r="L259" s="85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</row>
    <row r="260" spans="6:171" s="16" customFormat="1">
      <c r="F260" s="89"/>
      <c r="L260" s="85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</row>
    <row r="261" spans="6:171" s="16" customFormat="1">
      <c r="F261" s="89"/>
      <c r="L261" s="85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</row>
    <row r="262" spans="6:171" s="16" customFormat="1">
      <c r="F262" s="89"/>
      <c r="L262" s="85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</row>
    <row r="263" spans="6:171" s="16" customFormat="1">
      <c r="F263" s="89"/>
      <c r="L263" s="85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</row>
    <row r="264" spans="6:171" s="16" customFormat="1">
      <c r="F264" s="89"/>
      <c r="L264" s="85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</row>
    <row r="265" spans="6:171" s="16" customFormat="1">
      <c r="F265" s="89"/>
      <c r="L265" s="85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</row>
    <row r="266" spans="6:171" s="16" customFormat="1">
      <c r="F266" s="89"/>
      <c r="L266" s="85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</row>
    <row r="267" spans="6:171" s="16" customFormat="1">
      <c r="F267" s="89"/>
      <c r="L267" s="85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</row>
    <row r="268" spans="6:171" s="16" customFormat="1">
      <c r="F268" s="89"/>
      <c r="L268" s="85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</row>
    <row r="269" spans="6:171" s="16" customFormat="1">
      <c r="F269" s="89"/>
      <c r="L269" s="85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</row>
    <row r="270" spans="6:171" s="16" customFormat="1">
      <c r="F270" s="89"/>
      <c r="L270" s="85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</row>
    <row r="271" spans="6:171" s="16" customFormat="1">
      <c r="F271" s="89"/>
      <c r="L271" s="85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</row>
    <row r="272" spans="6:171" s="16" customFormat="1">
      <c r="F272" s="89"/>
      <c r="L272" s="85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</row>
    <row r="273" spans="6:171" s="16" customFormat="1">
      <c r="F273" s="89"/>
      <c r="L273" s="85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</row>
    <row r="274" spans="6:171" s="16" customFormat="1">
      <c r="F274" s="89"/>
      <c r="L274" s="85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</row>
    <row r="275" spans="6:171" s="16" customFormat="1">
      <c r="F275" s="89"/>
      <c r="L275" s="85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</row>
    <row r="276" spans="6:171" s="16" customFormat="1">
      <c r="F276" s="89"/>
      <c r="L276" s="85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</row>
    <row r="277" spans="6:171" s="16" customFormat="1">
      <c r="F277" s="89"/>
      <c r="L277" s="85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</row>
    <row r="278" spans="6:171" s="16" customFormat="1">
      <c r="F278" s="89"/>
      <c r="L278" s="85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</row>
    <row r="279" spans="6:171" s="16" customFormat="1">
      <c r="F279" s="89"/>
      <c r="L279" s="85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</row>
    <row r="280" spans="6:171" s="16" customFormat="1">
      <c r="F280" s="89"/>
      <c r="L280" s="85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</row>
    <row r="281" spans="6:171" s="16" customFormat="1">
      <c r="F281" s="89"/>
      <c r="L281" s="85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</row>
  </sheetData>
  <autoFilter ref="A5:AB44">
    <filterColumn colId="23" showButton="0"/>
    <sortState ref="A8:AB59">
      <sortCondition ref="B5:B59"/>
    </sortState>
  </autoFilter>
  <sortState ref="A48:AB59">
    <sortCondition ref="B48:B59"/>
  </sortState>
  <mergeCells count="24">
    <mergeCell ref="M5:M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Z5:Z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Y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8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S71" sqref="A1:S71"/>
    </sheetView>
  </sheetViews>
  <sheetFormatPr baseColWidth="10" defaultRowHeight="15.75"/>
  <cols>
    <col min="1" max="1" width="11.42578125" style="198"/>
    <col min="2" max="2" width="33.42578125" style="198" customWidth="1"/>
    <col min="3" max="6" width="11.42578125" style="198"/>
    <col min="7" max="7" width="5.85546875" style="198" customWidth="1"/>
    <col min="8" max="8" width="11.42578125" style="223"/>
    <col min="9" max="9" width="10" style="223" customWidth="1"/>
    <col min="10" max="10" width="10.7109375" style="223" customWidth="1"/>
    <col min="11" max="11" width="11.42578125" style="223"/>
    <col min="12" max="12" width="9.28515625" style="223" customWidth="1"/>
    <col min="13" max="13" width="9.42578125" style="223" customWidth="1"/>
    <col min="14" max="14" width="11.42578125" style="223"/>
    <col min="15" max="15" width="3.42578125" style="223" customWidth="1"/>
    <col min="16" max="18" width="11.42578125" style="223"/>
    <col min="19" max="19" width="11.42578125" style="198"/>
    <col min="20" max="20" width="28.7109375" style="16" customWidth="1"/>
    <col min="21" max="21" width="50.42578125" style="16" bestFit="1" customWidth="1"/>
    <col min="22" max="22" width="8.85546875" style="16" customWidth="1"/>
    <col min="23" max="23" width="14.42578125" style="16" customWidth="1"/>
    <col min="24" max="24" width="36" style="16" bestFit="1" customWidth="1"/>
    <col min="25" max="25" width="13.85546875" style="89" bestFit="1" customWidth="1"/>
    <col min="26" max="26" width="15.28515625" style="13" customWidth="1"/>
    <col min="27" max="27" width="8.7109375" style="13" customWidth="1"/>
    <col min="28" max="28" width="15.7109375" style="13" customWidth="1"/>
    <col min="29" max="29" width="17" style="14" customWidth="1"/>
    <col min="30" max="30" width="13.5703125" style="13" customWidth="1"/>
    <col min="31" max="31" width="13.5703125" style="78" customWidth="1"/>
    <col min="32" max="36" width="13.5703125" style="13" customWidth="1"/>
    <col min="37" max="37" width="16.7109375" style="14" customWidth="1"/>
    <col min="38" max="38" width="16.7109375" style="13" customWidth="1"/>
    <col min="39" max="39" width="14.42578125" style="14" customWidth="1"/>
    <col min="40" max="41" width="13.5703125" style="13" hidden="1" customWidth="1"/>
    <col min="42" max="42" width="15.42578125" style="14" hidden="1" customWidth="1"/>
    <col min="43" max="44" width="15.140625" style="15" hidden="1" customWidth="1"/>
    <col min="45" max="45" width="15.140625" style="16" hidden="1" customWidth="1"/>
    <col min="46" max="46" width="18.28515625" style="16" bestFit="1" customWidth="1"/>
    <col min="47" max="47" width="51" style="16" bestFit="1" customWidth="1"/>
    <col min="48" max="49" width="11.42578125" style="16"/>
    <col min="50" max="50" width="31.140625" style="16" bestFit="1" customWidth="1"/>
    <col min="51" max="54" width="11.42578125" style="16"/>
    <col min="55" max="55" width="11.42578125" style="7"/>
    <col min="56" max="16384" width="11.42578125" style="198"/>
  </cols>
  <sheetData>
    <row r="1" spans="1:55">
      <c r="A1" s="201" t="s">
        <v>285</v>
      </c>
      <c r="B1" s="288" t="s">
        <v>286</v>
      </c>
      <c r="C1" s="289"/>
      <c r="T1" s="1" t="s">
        <v>0</v>
      </c>
      <c r="U1" s="1"/>
      <c r="V1" s="1"/>
      <c r="W1" s="1"/>
      <c r="X1" s="2"/>
      <c r="Y1" s="88"/>
      <c r="Z1" s="3"/>
      <c r="AA1" s="3"/>
      <c r="AB1" s="3"/>
      <c r="AC1" s="4"/>
      <c r="AD1" s="3"/>
      <c r="AE1" s="3"/>
      <c r="AF1" s="3"/>
      <c r="AG1" s="3"/>
      <c r="AH1" s="3"/>
      <c r="AI1" s="3"/>
      <c r="AJ1" s="3"/>
      <c r="AK1" s="4"/>
      <c r="AL1" s="3"/>
      <c r="AM1" s="4"/>
      <c r="AN1" s="3"/>
      <c r="AO1" s="3"/>
      <c r="AP1" s="4"/>
      <c r="AQ1" s="5"/>
      <c r="AR1" s="5"/>
      <c r="AS1" s="6"/>
      <c r="AT1" s="6"/>
      <c r="AU1" s="6"/>
      <c r="AV1" s="6"/>
      <c r="AW1" s="224" t="s">
        <v>232</v>
      </c>
      <c r="AX1" s="223" t="s">
        <v>233</v>
      </c>
      <c r="AY1" s="6"/>
      <c r="AZ1" s="6"/>
      <c r="BA1" s="6"/>
      <c r="BB1" s="6"/>
    </row>
    <row r="2" spans="1:55" ht="18">
      <c r="A2" s="202" t="s">
        <v>287</v>
      </c>
      <c r="B2" s="213" t="s">
        <v>288</v>
      </c>
      <c r="C2" s="214"/>
      <c r="T2" s="8" t="s">
        <v>1</v>
      </c>
      <c r="U2" s="8"/>
      <c r="V2" s="8"/>
      <c r="W2" s="8"/>
      <c r="X2" s="9"/>
      <c r="Y2" s="88"/>
      <c r="Z2" s="3"/>
      <c r="AA2" s="3"/>
      <c r="AB2" s="3"/>
      <c r="AC2" s="4"/>
      <c r="AD2" s="3" t="s">
        <v>2</v>
      </c>
      <c r="AE2" s="3"/>
      <c r="AF2" s="3"/>
      <c r="AG2" s="3"/>
      <c r="AH2" s="3"/>
      <c r="AI2" s="3"/>
      <c r="AJ2" s="3"/>
      <c r="AK2" s="4"/>
      <c r="AL2" s="3"/>
      <c r="AM2" s="4"/>
      <c r="AN2" s="3"/>
      <c r="AO2" s="3"/>
      <c r="AP2" s="4"/>
      <c r="AQ2" s="5"/>
      <c r="AR2" s="5"/>
      <c r="AS2" s="6"/>
      <c r="AT2" s="6"/>
      <c r="AU2" s="6"/>
      <c r="AV2" s="6"/>
      <c r="AW2" s="224" t="s">
        <v>270</v>
      </c>
      <c r="AX2" s="223" t="s">
        <v>271</v>
      </c>
      <c r="AY2" s="6"/>
      <c r="AZ2" s="6"/>
      <c r="BA2" s="6"/>
      <c r="BB2" s="6"/>
    </row>
    <row r="3" spans="1:55">
      <c r="B3" s="215" t="s">
        <v>289</v>
      </c>
      <c r="C3" s="203"/>
      <c r="D3" s="205"/>
      <c r="E3" s="205"/>
      <c r="T3" s="10" t="s">
        <v>163</v>
      </c>
      <c r="U3" s="10" t="s">
        <v>164</v>
      </c>
      <c r="V3" s="10"/>
      <c r="W3" s="10"/>
      <c r="X3" s="11"/>
      <c r="Y3" s="88"/>
      <c r="Z3" s="3"/>
      <c r="AA3" s="3"/>
      <c r="AB3" s="3"/>
      <c r="AC3" s="4"/>
      <c r="AD3" s="3"/>
      <c r="AE3" s="3"/>
      <c r="AF3" s="3"/>
      <c r="AG3" s="3"/>
      <c r="AH3" s="3"/>
      <c r="AI3" s="3"/>
      <c r="AJ3" s="3"/>
      <c r="AK3" s="4"/>
      <c r="AL3" s="3"/>
      <c r="AM3" s="4"/>
      <c r="AN3" s="3"/>
      <c r="AO3" s="3"/>
      <c r="AP3" s="4"/>
      <c r="AQ3" s="5"/>
      <c r="AR3" s="5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5">
      <c r="B4" s="216" t="s">
        <v>290</v>
      </c>
      <c r="C4" s="203"/>
      <c r="D4" s="205"/>
      <c r="E4" s="205"/>
      <c r="T4" s="12"/>
      <c r="U4" s="12"/>
      <c r="V4" s="12"/>
      <c r="W4" s="12"/>
      <c r="X4" s="12"/>
      <c r="AU4" s="12"/>
      <c r="AV4" s="12"/>
      <c r="AW4" s="12"/>
      <c r="AX4" s="12"/>
      <c r="AY4" s="12"/>
      <c r="AZ4" s="12"/>
      <c r="BA4" s="12"/>
      <c r="BB4" s="17"/>
      <c r="BC4" s="18"/>
    </row>
    <row r="5" spans="1:55">
      <c r="B5" s="204" t="s">
        <v>291</v>
      </c>
      <c r="T5" s="281" t="s">
        <v>3</v>
      </c>
      <c r="U5" s="281" t="s">
        <v>4</v>
      </c>
      <c r="V5" s="282" t="s">
        <v>5</v>
      </c>
      <c r="W5" s="284" t="s">
        <v>26</v>
      </c>
      <c r="X5" s="282" t="s">
        <v>6</v>
      </c>
      <c r="Y5" s="286" t="s">
        <v>27</v>
      </c>
      <c r="Z5" s="275" t="s">
        <v>7</v>
      </c>
      <c r="AA5" s="275" t="s">
        <v>8</v>
      </c>
      <c r="AB5" s="275" t="s">
        <v>9</v>
      </c>
      <c r="AC5" s="275" t="s">
        <v>10</v>
      </c>
      <c r="AD5" s="275" t="s">
        <v>11</v>
      </c>
      <c r="AE5" s="140"/>
      <c r="AF5" s="275" t="s">
        <v>12</v>
      </c>
      <c r="AG5" s="275" t="s">
        <v>13</v>
      </c>
      <c r="AH5" s="275" t="s">
        <v>14</v>
      </c>
      <c r="AI5" s="275" t="s">
        <v>15</v>
      </c>
      <c r="AJ5" s="275" t="s">
        <v>16</v>
      </c>
      <c r="AK5" s="275" t="s">
        <v>17</v>
      </c>
      <c r="AL5" s="275" t="s">
        <v>18</v>
      </c>
      <c r="AM5" s="275" t="s">
        <v>19</v>
      </c>
      <c r="AN5" s="275" t="s">
        <v>20</v>
      </c>
      <c r="AO5" s="275" t="s">
        <v>21</v>
      </c>
      <c r="AP5" s="275" t="s">
        <v>22</v>
      </c>
      <c r="AQ5" s="277" t="s">
        <v>23</v>
      </c>
      <c r="AR5" s="278"/>
      <c r="AS5" s="279" t="s">
        <v>24</v>
      </c>
      <c r="AT5" s="141"/>
      <c r="AU5" s="141" t="s">
        <v>25</v>
      </c>
      <c r="AV5" s="144"/>
      <c r="AW5" s="144"/>
      <c r="AX5" s="144"/>
      <c r="AY5" s="144"/>
      <c r="AZ5" s="144"/>
      <c r="BA5" s="144"/>
      <c r="BB5" s="146"/>
      <c r="BC5" s="147"/>
    </row>
    <row r="6" spans="1:55">
      <c r="B6" s="204" t="s">
        <v>292</v>
      </c>
      <c r="H6" s="290" t="s">
        <v>315</v>
      </c>
      <c r="I6" s="290"/>
      <c r="J6" s="290"/>
      <c r="K6" s="290"/>
      <c r="L6" s="290"/>
      <c r="M6" s="290"/>
      <c r="N6" s="290"/>
      <c r="O6" s="290"/>
      <c r="P6" s="290"/>
      <c r="Q6" s="290"/>
      <c r="R6" s="290"/>
      <c r="T6" s="282"/>
      <c r="U6" s="282"/>
      <c r="V6" s="283"/>
      <c r="W6" s="285"/>
      <c r="X6" s="283"/>
      <c r="Y6" s="287"/>
      <c r="Z6" s="276"/>
      <c r="AA6" s="276"/>
      <c r="AB6" s="276"/>
      <c r="AC6" s="276"/>
      <c r="AD6" s="276"/>
      <c r="AE6" s="142" t="s">
        <v>28</v>
      </c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143" t="s">
        <v>29</v>
      </c>
      <c r="AR6" s="143" t="s">
        <v>30</v>
      </c>
      <c r="AS6" s="275"/>
      <c r="AT6" s="141" t="s">
        <v>31</v>
      </c>
      <c r="AU6" s="141"/>
      <c r="AV6" s="144"/>
      <c r="AW6" s="144"/>
      <c r="AX6" s="144"/>
      <c r="AY6" s="144"/>
      <c r="AZ6" s="144"/>
      <c r="BA6" s="144"/>
      <c r="BB6" s="146"/>
      <c r="BC6" s="18"/>
    </row>
    <row r="7" spans="1:55">
      <c r="H7" s="291" t="s">
        <v>316</v>
      </c>
      <c r="I7" s="292"/>
      <c r="J7" s="292"/>
      <c r="K7" s="292"/>
      <c r="L7" s="292"/>
      <c r="M7" s="292"/>
      <c r="N7" s="293"/>
      <c r="O7" s="222"/>
      <c r="P7" s="291" t="s">
        <v>317</v>
      </c>
      <c r="Q7" s="292"/>
      <c r="R7" s="293"/>
      <c r="T7" s="247"/>
      <c r="U7" s="247"/>
      <c r="V7" s="248"/>
      <c r="W7" s="249"/>
      <c r="X7" s="248"/>
      <c r="Y7" s="250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2"/>
      <c r="AR7" s="252"/>
      <c r="AS7" s="251"/>
      <c r="AT7" s="251"/>
      <c r="AU7" s="251"/>
      <c r="AV7" s="144"/>
      <c r="AW7" s="144"/>
      <c r="AX7" s="144"/>
      <c r="AY7" s="144"/>
      <c r="AZ7" s="144"/>
      <c r="BA7" s="17"/>
      <c r="BB7" s="17"/>
      <c r="BC7" s="36"/>
    </row>
    <row r="8" spans="1:55" s="214" customFormat="1" ht="34.5" thickBot="1">
      <c r="A8" s="217" t="s">
        <v>293</v>
      </c>
      <c r="B8" s="218" t="s">
        <v>294</v>
      </c>
      <c r="C8" s="218" t="s">
        <v>295</v>
      </c>
      <c r="D8" s="218" t="s">
        <v>296</v>
      </c>
      <c r="E8" s="218" t="s">
        <v>314</v>
      </c>
      <c r="F8" s="219" t="s">
        <v>297</v>
      </c>
      <c r="H8" s="244" t="s">
        <v>297</v>
      </c>
      <c r="I8" s="244" t="s">
        <v>318</v>
      </c>
      <c r="J8" s="244" t="s">
        <v>319</v>
      </c>
      <c r="K8" s="244" t="s">
        <v>320</v>
      </c>
      <c r="L8" s="244" t="s">
        <v>321</v>
      </c>
      <c r="M8" s="244" t="s">
        <v>322</v>
      </c>
      <c r="N8" s="244" t="s">
        <v>323</v>
      </c>
      <c r="O8" s="227"/>
      <c r="P8" s="244" t="s">
        <v>324</v>
      </c>
      <c r="Q8" s="244" t="s">
        <v>322</v>
      </c>
      <c r="R8" s="244" t="s">
        <v>323</v>
      </c>
      <c r="T8" s="247"/>
      <c r="U8" s="247"/>
      <c r="V8" s="248"/>
      <c r="W8" s="249"/>
      <c r="X8" s="248"/>
      <c r="Y8" s="250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2"/>
      <c r="AR8" s="252"/>
      <c r="AS8" s="251"/>
      <c r="AT8" s="251"/>
      <c r="AU8" s="251"/>
      <c r="AV8" s="144"/>
      <c r="AW8" s="144"/>
      <c r="AX8" s="144"/>
      <c r="AY8" s="144"/>
      <c r="AZ8" s="144"/>
      <c r="BA8" s="17"/>
      <c r="BB8" s="17"/>
      <c r="BC8" s="36"/>
    </row>
    <row r="9" spans="1:55" ht="16.5" thickTop="1">
      <c r="A9" s="207" t="s">
        <v>306</v>
      </c>
      <c r="T9" s="247"/>
      <c r="U9" s="247"/>
      <c r="V9" s="248"/>
      <c r="W9" s="249"/>
      <c r="X9" s="248"/>
      <c r="Y9" s="250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2"/>
      <c r="AR9" s="252"/>
      <c r="AS9" s="251"/>
      <c r="AT9" s="251"/>
      <c r="AU9" s="251"/>
      <c r="AV9" s="144"/>
      <c r="AW9" s="144"/>
      <c r="AX9" s="144"/>
      <c r="AY9" s="144"/>
      <c r="AZ9" s="144"/>
      <c r="BA9" s="17"/>
      <c r="BB9" s="17"/>
      <c r="BC9" s="36"/>
    </row>
    <row r="10" spans="1:55">
      <c r="T10" s="247"/>
      <c r="U10" s="247"/>
      <c r="V10" s="248"/>
      <c r="W10" s="249"/>
      <c r="X10" s="248"/>
      <c r="Y10" s="250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2"/>
      <c r="AR10" s="252"/>
      <c r="AS10" s="251"/>
      <c r="AT10" s="251"/>
      <c r="AU10" s="251"/>
      <c r="AV10" s="144"/>
      <c r="AW10" s="144"/>
      <c r="AX10" s="144"/>
      <c r="AY10" s="144"/>
      <c r="AZ10" s="144"/>
      <c r="BA10" s="17"/>
      <c r="BB10" s="17"/>
      <c r="BC10" s="36"/>
    </row>
    <row r="11" spans="1:55">
      <c r="A11" s="206" t="s">
        <v>307</v>
      </c>
      <c r="T11" s="247"/>
      <c r="U11" s="247"/>
      <c r="V11" s="248"/>
      <c r="W11" s="249"/>
      <c r="X11" s="248"/>
      <c r="Y11" s="250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2"/>
      <c r="AR11" s="252"/>
      <c r="AS11" s="251"/>
      <c r="AT11" s="251"/>
      <c r="AU11" s="251"/>
      <c r="AV11" s="144"/>
      <c r="AW11" s="144"/>
      <c r="AX11" s="144"/>
      <c r="AY11" s="144"/>
      <c r="AZ11" s="144"/>
      <c r="BA11" s="17"/>
      <c r="BB11" s="17"/>
      <c r="BC11" s="36"/>
    </row>
    <row r="12" spans="1:55">
      <c r="A12" s="200" t="s">
        <v>174</v>
      </c>
      <c r="B12" s="199" t="s">
        <v>175</v>
      </c>
      <c r="C12" s="208">
        <f>+INGENIERIA!F12</f>
        <v>3250.05</v>
      </c>
      <c r="D12" s="208">
        <v>0</v>
      </c>
      <c r="E12" s="208">
        <f>+'Hoja1 (2)'!F7</f>
        <v>0</v>
      </c>
      <c r="F12" s="208"/>
      <c r="H12" s="234">
        <f>+C12</f>
        <v>3250.05</v>
      </c>
      <c r="I12" s="245">
        <f>-AB12-AI12</f>
        <v>-45.13</v>
      </c>
      <c r="J12" s="245">
        <f>+INGENIERIA!F12*2%</f>
        <v>65.001000000000005</v>
      </c>
      <c r="K12" s="245">
        <f>H12*7.5%</f>
        <v>243.75375</v>
      </c>
      <c r="L12" s="234">
        <f>SUM(H12:K12)</f>
        <v>3513.6747500000001</v>
      </c>
      <c r="M12" s="245">
        <f>+L12*0.16</f>
        <v>562.18796000000009</v>
      </c>
      <c r="N12" s="245">
        <f>+L12+M12</f>
        <v>4075.8627100000003</v>
      </c>
      <c r="P12" s="234">
        <f>+E12</f>
        <v>0</v>
      </c>
      <c r="Q12" s="246">
        <f>+P12*0.16</f>
        <v>0</v>
      </c>
      <c r="R12" s="246">
        <f>+P12+Q12</f>
        <v>0</v>
      </c>
      <c r="S12" s="198" t="str">
        <f>IF(U12=B12,"SI","NO")</f>
        <v>SI</v>
      </c>
      <c r="T12" s="20" t="s">
        <v>35</v>
      </c>
      <c r="U12" s="20" t="s">
        <v>280</v>
      </c>
      <c r="V12" s="22"/>
      <c r="W12" s="23">
        <v>40691</v>
      </c>
      <c r="X12" s="20" t="s">
        <v>49</v>
      </c>
      <c r="Y12" s="90">
        <v>0</v>
      </c>
      <c r="Z12" s="42"/>
      <c r="AA12" s="25"/>
      <c r="AB12" s="26">
        <v>45.13</v>
      </c>
      <c r="AC12" s="30">
        <f t="shared" ref="AC12:AC50" si="0">SUM(Y12:AA12)-AB12</f>
        <v>-45.13</v>
      </c>
      <c r="AD12" s="37"/>
      <c r="AE12" s="79"/>
      <c r="AF12" s="27"/>
      <c r="AG12" s="27"/>
      <c r="AH12" s="27"/>
      <c r="AI12" s="28"/>
      <c r="AJ12" s="29"/>
      <c r="AK12" s="30">
        <f t="shared" ref="AK12:AK50" si="1">+AC12-SUM(AD12:AJ12)</f>
        <v>-45.13</v>
      </c>
      <c r="AL12" s="31"/>
      <c r="AM12" s="30">
        <f t="shared" ref="AM12:AM50" si="2">+AK12-AL12</f>
        <v>-45.13</v>
      </c>
      <c r="AN12" s="32"/>
      <c r="AO12" s="31"/>
      <c r="AP12" s="30"/>
      <c r="AQ12" s="33"/>
      <c r="AR12" s="34"/>
      <c r="AS12" s="35"/>
      <c r="AT12" s="35"/>
      <c r="AU12" s="38"/>
      <c r="AV12" s="17" t="str">
        <f>IF(U12=AX12,"SI","NO")</f>
        <v>SI</v>
      </c>
      <c r="AW12" s="224" t="s">
        <v>174</v>
      </c>
      <c r="AX12" s="223" t="s">
        <v>175</v>
      </c>
      <c r="AY12" s="17"/>
      <c r="AZ12" s="17"/>
      <c r="BA12" s="17"/>
      <c r="BB12" s="17"/>
      <c r="BC12" s="36"/>
    </row>
    <row r="13" spans="1:55">
      <c r="A13" s="200" t="s">
        <v>176</v>
      </c>
      <c r="B13" s="199" t="s">
        <v>177</v>
      </c>
      <c r="C13" s="234">
        <f>+INGENIERIA!F13</f>
        <v>2500.0500000000002</v>
      </c>
      <c r="D13" s="208">
        <v>0</v>
      </c>
      <c r="E13" s="208">
        <f>+'Hoja1 (2)'!F8</f>
        <v>1802</v>
      </c>
      <c r="F13" s="208"/>
      <c r="H13" s="234">
        <f t="shared" ref="H13:H50" si="3">+C13</f>
        <v>2500.0500000000002</v>
      </c>
      <c r="I13" s="245">
        <f t="shared" ref="I13:I50" si="4">-AB13-AI13</f>
        <v>-45.13</v>
      </c>
      <c r="J13" s="245">
        <f>+INGENIERIA!F13*2%</f>
        <v>50.001000000000005</v>
      </c>
      <c r="K13" s="245">
        <f t="shared" ref="K13:K50" si="5">H13*7.5%</f>
        <v>187.50375</v>
      </c>
      <c r="L13" s="234">
        <f t="shared" ref="L13:L50" si="6">SUM(H13:K13)</f>
        <v>2692.4247500000001</v>
      </c>
      <c r="M13" s="245">
        <f t="shared" ref="M13:M50" si="7">+L13*0.16</f>
        <v>430.78796000000006</v>
      </c>
      <c r="N13" s="245">
        <f t="shared" ref="N13:N50" si="8">+L13+M13</f>
        <v>3123.2127100000002</v>
      </c>
      <c r="P13" s="234">
        <f t="shared" ref="P13:P50" si="9">+E13</f>
        <v>1802</v>
      </c>
      <c r="Q13" s="246">
        <f t="shared" ref="Q13:Q50" si="10">+P13*0.16</f>
        <v>288.32</v>
      </c>
      <c r="R13" s="246">
        <f t="shared" ref="R13:R50" si="11">+P13+Q13</f>
        <v>2090.3200000000002</v>
      </c>
      <c r="S13" s="222" t="str">
        <f t="shared" ref="S13:S51" si="12">IF(U13=B13,"SI","NO")</f>
        <v>SI</v>
      </c>
      <c r="T13" s="20" t="s">
        <v>32</v>
      </c>
      <c r="U13" s="20" t="s">
        <v>33</v>
      </c>
      <c r="V13" s="22"/>
      <c r="W13" s="43">
        <v>42409</v>
      </c>
      <c r="X13" s="20" t="s">
        <v>34</v>
      </c>
      <c r="Y13" s="90">
        <v>1802</v>
      </c>
      <c r="Z13" s="42"/>
      <c r="AA13" s="25"/>
      <c r="AB13" s="26">
        <v>45.13</v>
      </c>
      <c r="AC13" s="30">
        <f t="shared" si="0"/>
        <v>1756.87</v>
      </c>
      <c r="AD13" s="37"/>
      <c r="AE13" s="79"/>
      <c r="AF13" s="27"/>
      <c r="AG13" s="27"/>
      <c r="AH13" s="27"/>
      <c r="AI13" s="28"/>
      <c r="AJ13" s="29">
        <v>0</v>
      </c>
      <c r="AK13" s="30">
        <f t="shared" si="1"/>
        <v>1756.87</v>
      </c>
      <c r="AL13" s="31">
        <f>IF(AC13&gt;4500,AC13*0.1,0)</f>
        <v>0</v>
      </c>
      <c r="AM13" s="30">
        <f t="shared" si="2"/>
        <v>1756.87</v>
      </c>
      <c r="AN13" s="32">
        <f>IF(AC13&lt;4500,AC13*0.1,0)</f>
        <v>175.68700000000001</v>
      </c>
      <c r="AO13" s="31">
        <f>+'[1]C&amp;A'!W12*0.02</f>
        <v>0</v>
      </c>
      <c r="AP13" s="30">
        <f>+AC13+AN13+AO13</f>
        <v>1932.5569999999998</v>
      </c>
      <c r="AQ13" s="33"/>
      <c r="AR13" s="34"/>
      <c r="AS13" s="35">
        <f>+AQ13+AR13-AM13</f>
        <v>-1756.87</v>
      </c>
      <c r="AT13" s="98"/>
      <c r="AU13" s="38"/>
      <c r="AV13" s="17" t="str">
        <f t="shared" ref="AV13:AV49" si="13">IF(U13=AX13,"SI","NO")</f>
        <v>SI</v>
      </c>
      <c r="AW13" s="224" t="s">
        <v>176</v>
      </c>
      <c r="AX13" s="223" t="s">
        <v>177</v>
      </c>
      <c r="AY13" s="17"/>
      <c r="AZ13" s="17"/>
      <c r="BA13" s="17"/>
      <c r="BB13" s="17"/>
      <c r="BC13" s="36"/>
    </row>
    <row r="14" spans="1:55">
      <c r="A14" s="200" t="s">
        <v>178</v>
      </c>
      <c r="B14" s="199" t="s">
        <v>179</v>
      </c>
      <c r="C14" s="234">
        <f>+INGENIERIA!F14</f>
        <v>3000</v>
      </c>
      <c r="D14" s="208">
        <v>0</v>
      </c>
      <c r="E14" s="208">
        <f>+'Hoja1 (2)'!F9</f>
        <v>3500</v>
      </c>
      <c r="F14" s="208"/>
      <c r="H14" s="234">
        <f t="shared" si="3"/>
        <v>3000</v>
      </c>
      <c r="I14" s="245">
        <f t="shared" si="4"/>
        <v>-45.13</v>
      </c>
      <c r="J14" s="245">
        <f>+INGENIERIA!F14*2%</f>
        <v>60</v>
      </c>
      <c r="K14" s="245">
        <f t="shared" si="5"/>
        <v>225</v>
      </c>
      <c r="L14" s="234">
        <f t="shared" si="6"/>
        <v>3239.87</v>
      </c>
      <c r="M14" s="245">
        <f t="shared" si="7"/>
        <v>518.37919999999997</v>
      </c>
      <c r="N14" s="245">
        <f t="shared" si="8"/>
        <v>3758.2491999999997</v>
      </c>
      <c r="P14" s="234">
        <f t="shared" si="9"/>
        <v>3500</v>
      </c>
      <c r="Q14" s="246">
        <f t="shared" si="10"/>
        <v>560</v>
      </c>
      <c r="R14" s="246">
        <f t="shared" si="11"/>
        <v>4060</v>
      </c>
      <c r="S14" s="222" t="str">
        <f t="shared" si="12"/>
        <v>SI</v>
      </c>
      <c r="T14" s="20" t="s">
        <v>35</v>
      </c>
      <c r="U14" s="20" t="s">
        <v>36</v>
      </c>
      <c r="V14" s="22" t="s">
        <v>37</v>
      </c>
      <c r="W14" s="23">
        <v>42072</v>
      </c>
      <c r="X14" s="20" t="s">
        <v>153</v>
      </c>
      <c r="Y14" s="90">
        <v>3500</v>
      </c>
      <c r="Z14" s="25"/>
      <c r="AA14" s="25"/>
      <c r="AB14" s="26">
        <v>45.13</v>
      </c>
      <c r="AC14" s="30">
        <f t="shared" si="0"/>
        <v>3454.87</v>
      </c>
      <c r="AD14" s="37"/>
      <c r="AE14" s="80"/>
      <c r="AF14" s="27"/>
      <c r="AG14" s="27"/>
      <c r="AH14" s="27"/>
      <c r="AI14" s="28"/>
      <c r="AJ14" s="29">
        <v>902.31</v>
      </c>
      <c r="AK14" s="30">
        <f t="shared" si="1"/>
        <v>2552.56</v>
      </c>
      <c r="AL14" s="31">
        <f>IF(AC14&gt;4500,AC14*0.1,0)</f>
        <v>0</v>
      </c>
      <c r="AM14" s="30">
        <f t="shared" si="2"/>
        <v>2552.56</v>
      </c>
      <c r="AN14" s="32">
        <f>IF(AC14&lt;4500,AC14*0.1,0)</f>
        <v>345.48700000000002</v>
      </c>
      <c r="AO14" s="31">
        <f>+'[1]C&amp;A'!W14*0.02</f>
        <v>0</v>
      </c>
      <c r="AP14" s="30">
        <f>+AC14+AN14+AO14</f>
        <v>3800.357</v>
      </c>
      <c r="AQ14" s="33"/>
      <c r="AR14" s="34"/>
      <c r="AS14" s="35">
        <f>+AQ14+AR14-AM14</f>
        <v>-2552.56</v>
      </c>
      <c r="AT14" s="35"/>
      <c r="AU14" s="38"/>
      <c r="AV14" s="17" t="str">
        <f t="shared" si="13"/>
        <v>SI</v>
      </c>
      <c r="AW14" s="224" t="s">
        <v>178</v>
      </c>
      <c r="AX14" s="223" t="s">
        <v>179</v>
      </c>
      <c r="AY14" s="17"/>
      <c r="AZ14" s="17"/>
      <c r="BA14" s="86"/>
      <c r="BB14" s="86"/>
      <c r="BC14" s="87"/>
    </row>
    <row r="15" spans="1:55">
      <c r="A15" s="200" t="s">
        <v>180</v>
      </c>
      <c r="B15" s="199" t="s">
        <v>181</v>
      </c>
      <c r="C15" s="234">
        <f>+INGENIERIA!F15</f>
        <v>2500.0500000000002</v>
      </c>
      <c r="D15" s="208">
        <v>0</v>
      </c>
      <c r="E15" s="208">
        <f>+'Hoja1 (2)'!F10</f>
        <v>7159.64</v>
      </c>
      <c r="F15" s="208"/>
      <c r="H15" s="234">
        <f t="shared" si="3"/>
        <v>2500.0500000000002</v>
      </c>
      <c r="I15" s="245">
        <f t="shared" si="4"/>
        <v>-45.13</v>
      </c>
      <c r="J15" s="245">
        <f>+INGENIERIA!F15*2%</f>
        <v>50.001000000000005</v>
      </c>
      <c r="K15" s="245">
        <f t="shared" si="5"/>
        <v>187.50375</v>
      </c>
      <c r="L15" s="234">
        <f t="shared" si="6"/>
        <v>2692.4247500000001</v>
      </c>
      <c r="M15" s="245">
        <f t="shared" si="7"/>
        <v>430.78796000000006</v>
      </c>
      <c r="N15" s="245">
        <f t="shared" si="8"/>
        <v>3123.2127100000002</v>
      </c>
      <c r="P15" s="234">
        <f t="shared" si="9"/>
        <v>7159.64</v>
      </c>
      <c r="Q15" s="246">
        <f t="shared" si="10"/>
        <v>1145.5424</v>
      </c>
      <c r="R15" s="246">
        <f t="shared" si="11"/>
        <v>8305.1823999999997</v>
      </c>
      <c r="S15" s="222" t="str">
        <f t="shared" si="12"/>
        <v>SI</v>
      </c>
      <c r="T15" s="20" t="s">
        <v>71</v>
      </c>
      <c r="U15" s="20" t="s">
        <v>39</v>
      </c>
      <c r="V15" s="22" t="s">
        <v>40</v>
      </c>
      <c r="W15" s="23">
        <v>42298</v>
      </c>
      <c r="X15" s="20" t="s">
        <v>41</v>
      </c>
      <c r="Y15" s="90">
        <v>7159.64</v>
      </c>
      <c r="Z15" s="25"/>
      <c r="AA15" s="25"/>
      <c r="AB15" s="26">
        <v>45.13</v>
      </c>
      <c r="AC15" s="30">
        <f t="shared" si="0"/>
        <v>7114.51</v>
      </c>
      <c r="AD15" s="37"/>
      <c r="AE15" s="79"/>
      <c r="AF15" s="27"/>
      <c r="AG15" s="27"/>
      <c r="AH15" s="27"/>
      <c r="AI15" s="28"/>
      <c r="AJ15" s="29"/>
      <c r="AK15" s="30">
        <f t="shared" si="1"/>
        <v>7114.51</v>
      </c>
      <c r="AL15" s="31">
        <f>IF(AC15&gt;4500,AC15*0.1,0)</f>
        <v>711.45100000000002</v>
      </c>
      <c r="AM15" s="30">
        <f t="shared" si="2"/>
        <v>6403.0590000000002</v>
      </c>
      <c r="AN15" s="32">
        <f>IF(AC15&lt;4500,AC15*0.1,0)</f>
        <v>0</v>
      </c>
      <c r="AO15" s="31">
        <f>+'[1]C&amp;A'!W15*0.02</f>
        <v>0</v>
      </c>
      <c r="AP15" s="30">
        <f>+AC15+AN15+AO15</f>
        <v>7114.51</v>
      </c>
      <c r="AQ15" s="33"/>
      <c r="AR15" s="39"/>
      <c r="AS15" s="35">
        <f>+AQ15+AR15-AM15</f>
        <v>-6403.0590000000002</v>
      </c>
      <c r="AT15" s="35"/>
      <c r="AU15" s="38"/>
      <c r="AV15" s="17" t="str">
        <f t="shared" si="13"/>
        <v>SI</v>
      </c>
      <c r="AW15" s="224" t="s">
        <v>180</v>
      </c>
      <c r="AX15" s="223" t="s">
        <v>181</v>
      </c>
      <c r="AY15" s="17"/>
      <c r="AZ15" s="17"/>
      <c r="BA15" s="86"/>
      <c r="BB15" s="86"/>
      <c r="BC15" s="87"/>
    </row>
    <row r="16" spans="1:55">
      <c r="A16" s="200" t="s">
        <v>182</v>
      </c>
      <c r="B16" s="199" t="s">
        <v>183</v>
      </c>
      <c r="C16" s="234">
        <f>+INGENIERIA!F16</f>
        <v>6500.1</v>
      </c>
      <c r="D16" s="208">
        <v>0</v>
      </c>
      <c r="E16" s="208">
        <f>+'Hoja1 (2)'!F11</f>
        <v>0</v>
      </c>
      <c r="F16" s="208"/>
      <c r="H16" s="234">
        <f t="shared" si="3"/>
        <v>6500.1</v>
      </c>
      <c r="I16" s="245">
        <f t="shared" si="4"/>
        <v>-223.04</v>
      </c>
      <c r="J16" s="245">
        <f>+INGENIERIA!F16*2%</f>
        <v>130.00200000000001</v>
      </c>
      <c r="K16" s="245">
        <f t="shared" si="5"/>
        <v>487.50749999999999</v>
      </c>
      <c r="L16" s="234">
        <f t="shared" si="6"/>
        <v>6894.5695000000005</v>
      </c>
      <c r="M16" s="245">
        <f t="shared" si="7"/>
        <v>1103.13112</v>
      </c>
      <c r="N16" s="245">
        <f t="shared" si="8"/>
        <v>7997.7006200000005</v>
      </c>
      <c r="P16" s="234">
        <f t="shared" si="9"/>
        <v>0</v>
      </c>
      <c r="Q16" s="246">
        <f t="shared" si="10"/>
        <v>0</v>
      </c>
      <c r="R16" s="246">
        <f t="shared" si="11"/>
        <v>0</v>
      </c>
      <c r="S16" s="222" t="str">
        <f t="shared" si="12"/>
        <v>SI</v>
      </c>
      <c r="T16" s="20" t="s">
        <v>142</v>
      </c>
      <c r="U16" s="95" t="s">
        <v>143</v>
      </c>
      <c r="V16" s="22" t="s">
        <v>144</v>
      </c>
      <c r="W16" s="23">
        <v>41939</v>
      </c>
      <c r="X16" s="20" t="s">
        <v>145</v>
      </c>
      <c r="Y16" s="90"/>
      <c r="Z16" s="25"/>
      <c r="AA16" s="25"/>
      <c r="AB16" s="26">
        <v>45.13</v>
      </c>
      <c r="AC16" s="30">
        <f t="shared" si="0"/>
        <v>-45.13</v>
      </c>
      <c r="AD16" s="37"/>
      <c r="AE16" s="79"/>
      <c r="AF16" s="27"/>
      <c r="AG16" s="27"/>
      <c r="AH16" s="27"/>
      <c r="AI16" s="28">
        <v>177.91</v>
      </c>
      <c r="AJ16" s="29"/>
      <c r="AK16" s="30">
        <f t="shared" si="1"/>
        <v>-223.04</v>
      </c>
      <c r="AL16" s="31"/>
      <c r="AM16" s="30">
        <f t="shared" si="2"/>
        <v>-223.04</v>
      </c>
      <c r="AN16" s="32"/>
      <c r="AO16" s="31"/>
      <c r="AP16" s="30"/>
      <c r="AQ16" s="33"/>
      <c r="AR16" s="39"/>
      <c r="AS16" s="35"/>
      <c r="AT16" s="35"/>
      <c r="AU16" s="38"/>
      <c r="AV16" s="17" t="str">
        <f t="shared" si="13"/>
        <v>SI</v>
      </c>
      <c r="AW16" s="224" t="s">
        <v>182</v>
      </c>
      <c r="AX16" s="223" t="s">
        <v>183</v>
      </c>
      <c r="AY16" s="17"/>
      <c r="AZ16" s="17"/>
      <c r="BA16" s="86"/>
      <c r="BB16" s="86"/>
      <c r="BC16" s="87"/>
    </row>
    <row r="17" spans="1:55">
      <c r="A17" s="200" t="s">
        <v>184</v>
      </c>
      <c r="B17" s="199" t="s">
        <v>185</v>
      </c>
      <c r="C17" s="234">
        <f>+INGENIERIA!F17</f>
        <v>2800.05</v>
      </c>
      <c r="D17" s="208">
        <v>0</v>
      </c>
      <c r="E17" s="208">
        <f>+'Hoja1 (2)'!F12</f>
        <v>0</v>
      </c>
      <c r="F17" s="208"/>
      <c r="H17" s="234">
        <f t="shared" si="3"/>
        <v>2800.05</v>
      </c>
      <c r="I17" s="245">
        <f t="shared" si="4"/>
        <v>-45.13</v>
      </c>
      <c r="J17" s="245">
        <f>+INGENIERIA!F17*2%</f>
        <v>56.001000000000005</v>
      </c>
      <c r="K17" s="245">
        <f t="shared" si="5"/>
        <v>210.00375</v>
      </c>
      <c r="L17" s="234">
        <f t="shared" si="6"/>
        <v>3020.9247500000001</v>
      </c>
      <c r="M17" s="245">
        <f t="shared" si="7"/>
        <v>483.34796000000006</v>
      </c>
      <c r="N17" s="245">
        <f t="shared" si="8"/>
        <v>3504.2727100000002</v>
      </c>
      <c r="P17" s="234">
        <f t="shared" si="9"/>
        <v>0</v>
      </c>
      <c r="Q17" s="246">
        <f t="shared" si="10"/>
        <v>0</v>
      </c>
      <c r="R17" s="246">
        <f t="shared" si="11"/>
        <v>0</v>
      </c>
      <c r="S17" s="222" t="str">
        <f t="shared" si="12"/>
        <v>SI</v>
      </c>
      <c r="T17" s="20" t="s">
        <v>35</v>
      </c>
      <c r="U17" s="20" t="s">
        <v>43</v>
      </c>
      <c r="V17" s="22" t="s">
        <v>44</v>
      </c>
      <c r="W17" s="23">
        <v>41822</v>
      </c>
      <c r="X17" s="20" t="s">
        <v>45</v>
      </c>
      <c r="Y17" s="90"/>
      <c r="Z17" s="25"/>
      <c r="AA17" s="25"/>
      <c r="AB17" s="26">
        <v>45.13</v>
      </c>
      <c r="AC17" s="30">
        <f t="shared" si="0"/>
        <v>-45.13</v>
      </c>
      <c r="AD17" s="37"/>
      <c r="AE17" s="79"/>
      <c r="AF17" s="27"/>
      <c r="AG17" s="27"/>
      <c r="AH17" s="27"/>
      <c r="AI17" s="28"/>
      <c r="AJ17" s="29">
        <v>0</v>
      </c>
      <c r="AK17" s="30">
        <f t="shared" si="1"/>
        <v>-45.13</v>
      </c>
      <c r="AL17" s="31">
        <f>IF(AC17&gt;4500,AC17*0.1,0)</f>
        <v>0</v>
      </c>
      <c r="AM17" s="30">
        <f t="shared" si="2"/>
        <v>-45.13</v>
      </c>
      <c r="AN17" s="32">
        <f>IF(AC17&lt;4500,AC17*0.1,0)</f>
        <v>-4.5130000000000008</v>
      </c>
      <c r="AO17" s="31">
        <f>+'[1]C&amp;A'!W17*0.02</f>
        <v>0</v>
      </c>
      <c r="AP17" s="30">
        <f>+AC17+AN17+AO17</f>
        <v>-49.643000000000001</v>
      </c>
      <c r="AQ17" s="33"/>
      <c r="AR17" s="34"/>
      <c r="AS17" s="35">
        <f>+AQ17+AR17-AM17</f>
        <v>45.13</v>
      </c>
      <c r="AT17" s="35"/>
      <c r="AU17" s="38"/>
      <c r="AV17" s="17" t="str">
        <f t="shared" si="13"/>
        <v>SI</v>
      </c>
      <c r="AW17" s="224" t="s">
        <v>184</v>
      </c>
      <c r="AX17" s="223" t="s">
        <v>185</v>
      </c>
      <c r="AY17" s="17"/>
      <c r="AZ17" s="17"/>
      <c r="BA17" s="17"/>
      <c r="BB17" s="17"/>
      <c r="BC17" s="36"/>
    </row>
    <row r="18" spans="1:55">
      <c r="A18" s="200" t="s">
        <v>186</v>
      </c>
      <c r="B18" s="199" t="s">
        <v>187</v>
      </c>
      <c r="C18" s="234">
        <f>+INGENIERIA!F18</f>
        <v>7042.5</v>
      </c>
      <c r="D18" s="208">
        <v>0</v>
      </c>
      <c r="E18" s="208">
        <f>+'Hoja1 (2)'!F13</f>
        <v>0</v>
      </c>
      <c r="F18" s="208"/>
      <c r="H18" s="234">
        <f t="shared" si="3"/>
        <v>7042.5</v>
      </c>
      <c r="I18" s="245">
        <f t="shared" si="4"/>
        <v>0</v>
      </c>
      <c r="J18" s="245">
        <f>+INGENIERIA!F18*2%</f>
        <v>140.85</v>
      </c>
      <c r="K18" s="245">
        <f t="shared" si="5"/>
        <v>528.1875</v>
      </c>
      <c r="L18" s="234">
        <f t="shared" si="6"/>
        <v>7711.5375000000004</v>
      </c>
      <c r="M18" s="245">
        <f t="shared" si="7"/>
        <v>1233.846</v>
      </c>
      <c r="N18" s="245">
        <f t="shared" si="8"/>
        <v>8945.3834999999999</v>
      </c>
      <c r="P18" s="234">
        <f t="shared" si="9"/>
        <v>0</v>
      </c>
      <c r="Q18" s="246">
        <f t="shared" si="10"/>
        <v>0</v>
      </c>
      <c r="R18" s="246">
        <f t="shared" si="11"/>
        <v>0</v>
      </c>
      <c r="S18" s="222" t="str">
        <f t="shared" si="12"/>
        <v>SI</v>
      </c>
      <c r="T18" s="125" t="s">
        <v>35</v>
      </c>
      <c r="U18" s="125" t="s">
        <v>168</v>
      </c>
      <c r="V18" s="126"/>
      <c r="W18" s="127">
        <v>42611</v>
      </c>
      <c r="X18" s="125" t="s">
        <v>172</v>
      </c>
      <c r="Y18" s="128"/>
      <c r="Z18" s="129"/>
      <c r="AA18" s="129"/>
      <c r="AB18" s="26"/>
      <c r="AC18" s="30">
        <f t="shared" si="0"/>
        <v>0</v>
      </c>
      <c r="AD18" s="129"/>
      <c r="AE18" s="130"/>
      <c r="AF18" s="131"/>
      <c r="AG18" s="131"/>
      <c r="AH18" s="131"/>
      <c r="AI18" s="132"/>
      <c r="AJ18" s="133"/>
      <c r="AK18" s="30">
        <f t="shared" si="1"/>
        <v>0</v>
      </c>
      <c r="AL18" s="31">
        <f>IF(AC18&gt;4500,AC18*0.1,0)</f>
        <v>0</v>
      </c>
      <c r="AM18" s="30">
        <f t="shared" si="2"/>
        <v>0</v>
      </c>
      <c r="AN18" s="32"/>
      <c r="AO18" s="31"/>
      <c r="AP18" s="30"/>
      <c r="AQ18" s="33"/>
      <c r="AR18" s="34"/>
      <c r="AS18" s="35"/>
      <c r="AT18" s="135" t="s">
        <v>170</v>
      </c>
      <c r="AU18" s="134" t="s">
        <v>169</v>
      </c>
      <c r="AV18" s="17" t="str">
        <f t="shared" si="13"/>
        <v>SI</v>
      </c>
      <c r="AW18" s="224" t="s">
        <v>186</v>
      </c>
      <c r="AX18" s="223" t="s">
        <v>187</v>
      </c>
      <c r="AY18" s="17"/>
      <c r="AZ18" s="17"/>
      <c r="BA18" s="17"/>
      <c r="BB18" s="17"/>
      <c r="BC18" s="36"/>
    </row>
    <row r="19" spans="1:55">
      <c r="A19" s="200" t="s">
        <v>188</v>
      </c>
      <c r="B19" s="199" t="s">
        <v>189</v>
      </c>
      <c r="C19" s="234">
        <f>+INGENIERIA!F19</f>
        <v>2800.05</v>
      </c>
      <c r="D19" s="208">
        <v>0</v>
      </c>
      <c r="E19" s="208">
        <f>+'Hoja1 (2)'!F14</f>
        <v>0</v>
      </c>
      <c r="F19" s="208"/>
      <c r="H19" s="234">
        <f t="shared" si="3"/>
        <v>2800.05</v>
      </c>
      <c r="I19" s="245">
        <f t="shared" si="4"/>
        <v>-45.13</v>
      </c>
      <c r="J19" s="245">
        <f>+INGENIERIA!F19*2%</f>
        <v>56.001000000000005</v>
      </c>
      <c r="K19" s="245">
        <f t="shared" si="5"/>
        <v>210.00375</v>
      </c>
      <c r="L19" s="234">
        <f t="shared" si="6"/>
        <v>3020.9247500000001</v>
      </c>
      <c r="M19" s="245">
        <f t="shared" si="7"/>
        <v>483.34796000000006</v>
      </c>
      <c r="N19" s="245">
        <f t="shared" si="8"/>
        <v>3504.2727100000002</v>
      </c>
      <c r="P19" s="234">
        <f t="shared" si="9"/>
        <v>0</v>
      </c>
      <c r="Q19" s="246">
        <f t="shared" si="10"/>
        <v>0</v>
      </c>
      <c r="R19" s="246">
        <f t="shared" si="11"/>
        <v>0</v>
      </c>
      <c r="S19" s="222" t="str">
        <f t="shared" si="12"/>
        <v>SI</v>
      </c>
      <c r="T19" s="20" t="s">
        <v>35</v>
      </c>
      <c r="U19" s="38" t="s">
        <v>46</v>
      </c>
      <c r="V19" s="22" t="s">
        <v>47</v>
      </c>
      <c r="W19" s="23">
        <v>41474</v>
      </c>
      <c r="X19" s="20" t="s">
        <v>45</v>
      </c>
      <c r="Y19" s="90"/>
      <c r="Z19" s="25"/>
      <c r="AA19" s="25"/>
      <c r="AB19" s="26">
        <v>45.13</v>
      </c>
      <c r="AC19" s="30">
        <f t="shared" si="0"/>
        <v>-45.13</v>
      </c>
      <c r="AD19" s="37"/>
      <c r="AE19" s="79"/>
      <c r="AF19" s="27"/>
      <c r="AG19" s="27"/>
      <c r="AH19" s="27"/>
      <c r="AI19" s="28"/>
      <c r="AJ19" s="29">
        <v>0</v>
      </c>
      <c r="AK19" s="30">
        <f t="shared" si="1"/>
        <v>-45.13</v>
      </c>
      <c r="AL19" s="31">
        <f>IF(AC19&gt;4500,AC19*0.1,0)</f>
        <v>0</v>
      </c>
      <c r="AM19" s="30">
        <f t="shared" si="2"/>
        <v>-45.13</v>
      </c>
      <c r="AN19" s="32">
        <f>IF(AC19&lt;4500,AC19*0.1,0)</f>
        <v>-4.5130000000000008</v>
      </c>
      <c r="AO19" s="31">
        <f>+'[1]C&amp;A'!W18*0.02</f>
        <v>0</v>
      </c>
      <c r="AP19" s="30">
        <f>+AC19+AN19+AO19</f>
        <v>-49.643000000000001</v>
      </c>
      <c r="AQ19" s="33"/>
      <c r="AR19" s="34"/>
      <c r="AS19" s="35">
        <f>+AQ19+AR19-AM19</f>
        <v>45.13</v>
      </c>
      <c r="AT19" s="35"/>
      <c r="AU19" s="40"/>
      <c r="AV19" s="17" t="str">
        <f t="shared" si="13"/>
        <v>SI</v>
      </c>
      <c r="AW19" s="224" t="s">
        <v>188</v>
      </c>
      <c r="AX19" s="223" t="s">
        <v>189</v>
      </c>
      <c r="AY19" s="86"/>
      <c r="AZ19" s="86"/>
      <c r="BA19" s="17"/>
      <c r="BB19" s="17"/>
      <c r="BC19" s="36"/>
    </row>
    <row r="20" spans="1:55">
      <c r="A20" s="200" t="s">
        <v>190</v>
      </c>
      <c r="B20" s="199" t="s">
        <v>191</v>
      </c>
      <c r="C20" s="234">
        <f>+INGENIERIA!F20</f>
        <v>10000.049999999999</v>
      </c>
      <c r="D20" s="208">
        <v>0</v>
      </c>
      <c r="E20" s="208">
        <f>+'Hoja1 (2)'!F15</f>
        <v>27754.3</v>
      </c>
      <c r="F20" s="208"/>
      <c r="H20" s="234">
        <f t="shared" si="3"/>
        <v>10000.049999999999</v>
      </c>
      <c r="I20" s="245">
        <f t="shared" si="4"/>
        <v>-45.13</v>
      </c>
      <c r="J20" s="245">
        <f>+INGENIERIA!F20*2%</f>
        <v>200.00099999999998</v>
      </c>
      <c r="K20" s="245">
        <f t="shared" si="5"/>
        <v>750.00374999999997</v>
      </c>
      <c r="L20" s="234">
        <f t="shared" si="6"/>
        <v>10904.92475</v>
      </c>
      <c r="M20" s="245">
        <f t="shared" si="7"/>
        <v>1744.7879600000001</v>
      </c>
      <c r="N20" s="245">
        <f t="shared" si="8"/>
        <v>12649.71271</v>
      </c>
      <c r="P20" s="234">
        <f t="shared" si="9"/>
        <v>27754.3</v>
      </c>
      <c r="Q20" s="246">
        <f t="shared" si="10"/>
        <v>4440.6880000000001</v>
      </c>
      <c r="R20" s="246">
        <f t="shared" si="11"/>
        <v>32194.987999999998</v>
      </c>
      <c r="S20" s="222" t="str">
        <f t="shared" si="12"/>
        <v>SI</v>
      </c>
      <c r="T20" s="20" t="s">
        <v>35</v>
      </c>
      <c r="U20" s="38" t="s">
        <v>139</v>
      </c>
      <c r="V20" s="22"/>
      <c r="W20" s="23">
        <v>42583</v>
      </c>
      <c r="X20" s="20" t="s">
        <v>99</v>
      </c>
      <c r="Y20" s="90">
        <v>27754.3</v>
      </c>
      <c r="Z20" s="25"/>
      <c r="AA20" s="25"/>
      <c r="AB20" s="26">
        <v>45.13</v>
      </c>
      <c r="AC20" s="30">
        <f t="shared" si="0"/>
        <v>27709.17</v>
      </c>
      <c r="AD20" s="37"/>
      <c r="AE20" s="79"/>
      <c r="AF20" s="27"/>
      <c r="AG20" s="27"/>
      <c r="AH20" s="27"/>
      <c r="AI20" s="28"/>
      <c r="AJ20" s="29"/>
      <c r="AK20" s="30">
        <f t="shared" si="1"/>
        <v>27709.17</v>
      </c>
      <c r="AL20" s="31"/>
      <c r="AM20" s="30">
        <f t="shared" si="2"/>
        <v>27709.17</v>
      </c>
      <c r="AN20" s="32"/>
      <c r="AO20" s="31"/>
      <c r="AP20" s="30"/>
      <c r="AQ20" s="33"/>
      <c r="AR20" s="34"/>
      <c r="AS20" s="35"/>
      <c r="AT20" s="35"/>
      <c r="AU20" s="40"/>
      <c r="AV20" s="17" t="str">
        <f t="shared" si="13"/>
        <v>SI</v>
      </c>
      <c r="AW20" s="224" t="s">
        <v>190</v>
      </c>
      <c r="AX20" s="223" t="s">
        <v>191</v>
      </c>
      <c r="AY20" s="86"/>
      <c r="AZ20" s="86"/>
      <c r="BA20" s="17"/>
      <c r="BB20" s="17"/>
      <c r="BC20" s="36"/>
    </row>
    <row r="21" spans="1:55">
      <c r="A21" s="200" t="s">
        <v>192</v>
      </c>
      <c r="B21" s="199" t="s">
        <v>193</v>
      </c>
      <c r="C21" s="234">
        <f>+INGENIERIA!F21</f>
        <v>3250.05</v>
      </c>
      <c r="D21" s="208">
        <v>0</v>
      </c>
      <c r="E21" s="208">
        <f>+'Hoja1 (2)'!F16</f>
        <v>0</v>
      </c>
      <c r="F21" s="208"/>
      <c r="H21" s="234">
        <f t="shared" si="3"/>
        <v>3250.05</v>
      </c>
      <c r="I21" s="245">
        <f t="shared" si="4"/>
        <v>-45.13</v>
      </c>
      <c r="J21" s="245">
        <f>+INGENIERIA!F21*2%</f>
        <v>65.001000000000005</v>
      </c>
      <c r="K21" s="245">
        <f t="shared" si="5"/>
        <v>243.75375</v>
      </c>
      <c r="L21" s="234">
        <f t="shared" si="6"/>
        <v>3513.6747500000001</v>
      </c>
      <c r="M21" s="245">
        <f t="shared" si="7"/>
        <v>562.18796000000009</v>
      </c>
      <c r="N21" s="245">
        <f t="shared" si="8"/>
        <v>4075.8627100000003</v>
      </c>
      <c r="P21" s="234">
        <f t="shared" si="9"/>
        <v>0</v>
      </c>
      <c r="Q21" s="246">
        <f t="shared" si="10"/>
        <v>0</v>
      </c>
      <c r="R21" s="246">
        <f t="shared" si="11"/>
        <v>0</v>
      </c>
      <c r="S21" s="222" t="str">
        <f t="shared" si="12"/>
        <v>SI</v>
      </c>
      <c r="T21" s="20" t="s">
        <v>35</v>
      </c>
      <c r="U21" s="38" t="s">
        <v>156</v>
      </c>
      <c r="V21" s="22"/>
      <c r="W21" s="23">
        <v>42608</v>
      </c>
      <c r="X21" s="20" t="s">
        <v>49</v>
      </c>
      <c r="Y21" s="90"/>
      <c r="Z21" s="25"/>
      <c r="AA21" s="25"/>
      <c r="AB21" s="26">
        <v>45.13</v>
      </c>
      <c r="AC21" s="30">
        <f t="shared" si="0"/>
        <v>-45.13</v>
      </c>
      <c r="AD21" s="37"/>
      <c r="AE21" s="79"/>
      <c r="AF21" s="27"/>
      <c r="AG21" s="27"/>
      <c r="AH21" s="27"/>
      <c r="AI21" s="28"/>
      <c r="AJ21" s="29"/>
      <c r="AK21" s="30">
        <f t="shared" si="1"/>
        <v>-45.13</v>
      </c>
      <c r="AL21" s="31"/>
      <c r="AM21" s="30">
        <f t="shared" si="2"/>
        <v>-45.13</v>
      </c>
      <c r="AN21" s="32"/>
      <c r="AO21" s="31"/>
      <c r="AP21" s="30"/>
      <c r="AQ21" s="33"/>
      <c r="AR21" s="34"/>
      <c r="AS21" s="35"/>
      <c r="AT21" s="35"/>
      <c r="AU21" s="40"/>
      <c r="AV21" s="17" t="str">
        <f t="shared" si="13"/>
        <v>SI</v>
      </c>
      <c r="AW21" s="224" t="s">
        <v>192</v>
      </c>
      <c r="AX21" s="223" t="s">
        <v>193</v>
      </c>
      <c r="AY21" s="86"/>
      <c r="AZ21" s="86"/>
      <c r="BA21" s="155"/>
      <c r="BB21" s="155"/>
      <c r="BC21" s="36"/>
    </row>
    <row r="22" spans="1:55">
      <c r="A22" s="200" t="s">
        <v>194</v>
      </c>
      <c r="B22" s="199" t="s">
        <v>195</v>
      </c>
      <c r="C22" s="234">
        <f>+INGENIERIA!F22</f>
        <v>3250.05</v>
      </c>
      <c r="D22" s="208">
        <v>0</v>
      </c>
      <c r="E22" s="208">
        <f>+'Hoja1 (2)'!F17</f>
        <v>0</v>
      </c>
      <c r="F22" s="208"/>
      <c r="H22" s="234">
        <f t="shared" si="3"/>
        <v>3250.05</v>
      </c>
      <c r="I22" s="245">
        <f t="shared" si="4"/>
        <v>-45.13</v>
      </c>
      <c r="J22" s="245">
        <f>+INGENIERIA!F22*2%</f>
        <v>65.001000000000005</v>
      </c>
      <c r="K22" s="245">
        <f t="shared" si="5"/>
        <v>243.75375</v>
      </c>
      <c r="L22" s="234">
        <f t="shared" si="6"/>
        <v>3513.6747500000001</v>
      </c>
      <c r="M22" s="245">
        <f t="shared" si="7"/>
        <v>562.18796000000009</v>
      </c>
      <c r="N22" s="245">
        <f t="shared" si="8"/>
        <v>4075.8627100000003</v>
      </c>
      <c r="P22" s="234">
        <f t="shared" si="9"/>
        <v>0</v>
      </c>
      <c r="Q22" s="246">
        <f t="shared" si="10"/>
        <v>0</v>
      </c>
      <c r="R22" s="246">
        <f t="shared" si="11"/>
        <v>0</v>
      </c>
      <c r="S22" s="222" t="str">
        <f t="shared" si="12"/>
        <v>SI</v>
      </c>
      <c r="T22" s="20" t="s">
        <v>35</v>
      </c>
      <c r="U22" s="38" t="s">
        <v>48</v>
      </c>
      <c r="V22" s="22"/>
      <c r="W22" s="23">
        <v>42552</v>
      </c>
      <c r="X22" s="20" t="s">
        <v>49</v>
      </c>
      <c r="Y22" s="90"/>
      <c r="Z22" s="25"/>
      <c r="AA22" s="25"/>
      <c r="AB22" s="26">
        <v>45.13</v>
      </c>
      <c r="AC22" s="30">
        <f t="shared" si="0"/>
        <v>-45.13</v>
      </c>
      <c r="AD22" s="37"/>
      <c r="AE22" s="79"/>
      <c r="AF22" s="27"/>
      <c r="AG22" s="27"/>
      <c r="AH22" s="27"/>
      <c r="AI22" s="28"/>
      <c r="AJ22" s="29">
        <v>0</v>
      </c>
      <c r="AK22" s="30">
        <f t="shared" si="1"/>
        <v>-45.13</v>
      </c>
      <c r="AL22" s="31">
        <f>IF(AC22&gt;4500,AC22*0.1,0)</f>
        <v>0</v>
      </c>
      <c r="AM22" s="30">
        <f t="shared" si="2"/>
        <v>-45.13</v>
      </c>
      <c r="AN22" s="32">
        <f>IF(AC22&lt;4500,AC22*0.1,0)</f>
        <v>-4.5130000000000008</v>
      </c>
      <c r="AO22" s="31">
        <f>+'[1]C&amp;A'!W19*0.02</f>
        <v>0</v>
      </c>
      <c r="AP22" s="30">
        <f>+AC22+AN22+AO22</f>
        <v>-49.643000000000001</v>
      </c>
      <c r="AQ22" s="33"/>
      <c r="AR22" s="34"/>
      <c r="AS22" s="35"/>
      <c r="AT22" s="35"/>
      <c r="AU22" s="40"/>
      <c r="AV22" s="17" t="str">
        <f t="shared" si="13"/>
        <v>SI</v>
      </c>
      <c r="AW22" s="224" t="s">
        <v>194</v>
      </c>
      <c r="AX22" s="223" t="s">
        <v>195</v>
      </c>
      <c r="AY22" s="17"/>
      <c r="AZ22" s="17"/>
      <c r="BA22" s="155"/>
      <c r="BB22" s="155"/>
      <c r="BC22" s="36"/>
    </row>
    <row r="23" spans="1:55">
      <c r="A23" s="200" t="s">
        <v>196</v>
      </c>
      <c r="B23" s="199" t="s">
        <v>197</v>
      </c>
      <c r="C23" s="234">
        <f>+INGENIERIA!F23</f>
        <v>15000</v>
      </c>
      <c r="D23" s="208">
        <v>0</v>
      </c>
      <c r="E23" s="208">
        <f>+'Hoja1 (2)'!F18</f>
        <v>74253.52</v>
      </c>
      <c r="F23" s="208"/>
      <c r="H23" s="234">
        <f t="shared" si="3"/>
        <v>15000</v>
      </c>
      <c r="I23" s="245">
        <f t="shared" si="4"/>
        <v>-45.13</v>
      </c>
      <c r="J23" s="245">
        <f>+INGENIERIA!F23*2%</f>
        <v>300</v>
      </c>
      <c r="K23" s="245">
        <f t="shared" si="5"/>
        <v>1125</v>
      </c>
      <c r="L23" s="234">
        <f t="shared" si="6"/>
        <v>16379.87</v>
      </c>
      <c r="M23" s="245">
        <f t="shared" si="7"/>
        <v>2620.7792000000004</v>
      </c>
      <c r="N23" s="245">
        <f t="shared" si="8"/>
        <v>19000.6492</v>
      </c>
      <c r="P23" s="234">
        <f t="shared" si="9"/>
        <v>74253.52</v>
      </c>
      <c r="Q23" s="246">
        <f t="shared" si="10"/>
        <v>11880.563200000001</v>
      </c>
      <c r="R23" s="246">
        <f t="shared" si="11"/>
        <v>86134.083200000008</v>
      </c>
      <c r="S23" s="222" t="str">
        <f t="shared" si="12"/>
        <v>SI</v>
      </c>
      <c r="T23" s="20" t="s">
        <v>35</v>
      </c>
      <c r="U23" s="38" t="s">
        <v>141</v>
      </c>
      <c r="V23" s="22"/>
      <c r="W23" s="23">
        <v>38873</v>
      </c>
      <c r="X23" s="97" t="s">
        <v>160</v>
      </c>
      <c r="Y23" s="90">
        <v>74253.52</v>
      </c>
      <c r="Z23" s="25"/>
      <c r="AA23" s="25"/>
      <c r="AB23" s="26">
        <v>45.13</v>
      </c>
      <c r="AC23" s="30">
        <f t="shared" si="0"/>
        <v>74208.39</v>
      </c>
      <c r="AD23" s="37"/>
      <c r="AE23" s="79"/>
      <c r="AF23" s="27"/>
      <c r="AG23" s="27"/>
      <c r="AH23" s="27"/>
      <c r="AI23" s="28"/>
      <c r="AJ23" s="29"/>
      <c r="AK23" s="30">
        <f t="shared" si="1"/>
        <v>74208.39</v>
      </c>
      <c r="AL23" s="31">
        <f>IF(AC23&gt;4500,AC23*0.1,0)</f>
        <v>7420.8389999999999</v>
      </c>
      <c r="AM23" s="30">
        <f t="shared" si="2"/>
        <v>66787.551000000007</v>
      </c>
      <c r="AN23" s="32">
        <f>IF(AC23&lt;4500,AC23*0.1,0)</f>
        <v>0</v>
      </c>
      <c r="AO23" s="31"/>
      <c r="AP23" s="30"/>
      <c r="AQ23" s="33"/>
      <c r="AR23" s="34"/>
      <c r="AS23" s="35"/>
      <c r="AT23" s="35"/>
      <c r="AU23" s="40"/>
      <c r="AV23" s="17" t="str">
        <f t="shared" si="13"/>
        <v>SI</v>
      </c>
      <c r="AW23" s="224" t="s">
        <v>196</v>
      </c>
      <c r="AX23" s="223" t="s">
        <v>197</v>
      </c>
      <c r="AY23" s="17"/>
      <c r="AZ23" s="17"/>
      <c r="BA23" s="17"/>
      <c r="BB23" s="17"/>
      <c r="BC23" s="36"/>
    </row>
    <row r="24" spans="1:55">
      <c r="A24" s="200" t="s">
        <v>198</v>
      </c>
      <c r="B24" s="199" t="s">
        <v>199</v>
      </c>
      <c r="C24" s="234">
        <f>+INGENIERIA!F24</f>
        <v>3250.05</v>
      </c>
      <c r="D24" s="208">
        <v>0</v>
      </c>
      <c r="E24" s="208">
        <f>+'Hoja1 (2)'!F19</f>
        <v>0</v>
      </c>
      <c r="F24" s="208"/>
      <c r="H24" s="234">
        <f t="shared" si="3"/>
        <v>3250.05</v>
      </c>
      <c r="I24" s="245">
        <f t="shared" si="4"/>
        <v>-45.13</v>
      </c>
      <c r="J24" s="245">
        <f>+INGENIERIA!F24*2%</f>
        <v>65.001000000000005</v>
      </c>
      <c r="K24" s="245">
        <f t="shared" si="5"/>
        <v>243.75375</v>
      </c>
      <c r="L24" s="234">
        <f t="shared" si="6"/>
        <v>3513.6747500000001</v>
      </c>
      <c r="M24" s="245">
        <f t="shared" si="7"/>
        <v>562.18796000000009</v>
      </c>
      <c r="N24" s="245">
        <f t="shared" si="8"/>
        <v>4075.8627100000003</v>
      </c>
      <c r="P24" s="234">
        <f t="shared" si="9"/>
        <v>0</v>
      </c>
      <c r="Q24" s="246">
        <f t="shared" si="10"/>
        <v>0</v>
      </c>
      <c r="R24" s="246">
        <f t="shared" si="11"/>
        <v>0</v>
      </c>
      <c r="S24" s="222" t="str">
        <f t="shared" si="12"/>
        <v>SI</v>
      </c>
      <c r="T24" s="20" t="s">
        <v>35</v>
      </c>
      <c r="U24" s="95" t="s">
        <v>161</v>
      </c>
      <c r="V24" s="22"/>
      <c r="W24" s="23"/>
      <c r="X24" s="97" t="s">
        <v>162</v>
      </c>
      <c r="Y24" s="90"/>
      <c r="Z24" s="25"/>
      <c r="AA24" s="25"/>
      <c r="AB24" s="26">
        <v>45.13</v>
      </c>
      <c r="AC24" s="30">
        <f t="shared" si="0"/>
        <v>-45.13</v>
      </c>
      <c r="AD24" s="37"/>
      <c r="AE24" s="79"/>
      <c r="AF24" s="27"/>
      <c r="AG24" s="27"/>
      <c r="AH24" s="27"/>
      <c r="AI24" s="28"/>
      <c r="AJ24" s="29"/>
      <c r="AK24" s="30">
        <f t="shared" si="1"/>
        <v>-45.13</v>
      </c>
      <c r="AL24" s="31"/>
      <c r="AM24" s="30">
        <f t="shared" si="2"/>
        <v>-45.13</v>
      </c>
      <c r="AN24" s="32"/>
      <c r="AO24" s="31"/>
      <c r="AP24" s="30"/>
      <c r="AQ24" s="33"/>
      <c r="AR24" s="34"/>
      <c r="AS24" s="35"/>
      <c r="AT24" s="35"/>
      <c r="AU24" s="40"/>
      <c r="AV24" s="17" t="str">
        <f t="shared" si="13"/>
        <v>SI</v>
      </c>
      <c r="AW24" s="224" t="s">
        <v>198</v>
      </c>
      <c r="AX24" s="223" t="s">
        <v>199</v>
      </c>
      <c r="AY24" s="17"/>
      <c r="AZ24" s="17"/>
      <c r="BA24" s="17"/>
      <c r="BB24" s="17"/>
      <c r="BC24" s="36"/>
    </row>
    <row r="25" spans="1:55">
      <c r="A25" s="200" t="s">
        <v>200</v>
      </c>
      <c r="B25" s="199" t="s">
        <v>201</v>
      </c>
      <c r="C25" s="234">
        <f>+INGENIERIA!F25</f>
        <v>2500.0500000000002</v>
      </c>
      <c r="D25" s="208">
        <v>0</v>
      </c>
      <c r="E25" s="208">
        <f>+'Hoja1 (2)'!F20</f>
        <v>11287.9</v>
      </c>
      <c r="F25" s="208"/>
      <c r="H25" s="234">
        <f t="shared" si="3"/>
        <v>2500.0500000000002</v>
      </c>
      <c r="I25" s="245">
        <f t="shared" si="4"/>
        <v>-45.13</v>
      </c>
      <c r="J25" s="245">
        <f>+INGENIERIA!F25*2%</f>
        <v>50.001000000000005</v>
      </c>
      <c r="K25" s="245">
        <f t="shared" si="5"/>
        <v>187.50375</v>
      </c>
      <c r="L25" s="234">
        <f t="shared" si="6"/>
        <v>2692.4247500000001</v>
      </c>
      <c r="M25" s="245">
        <f t="shared" si="7"/>
        <v>430.78796000000006</v>
      </c>
      <c r="N25" s="245">
        <f t="shared" si="8"/>
        <v>3123.2127100000002</v>
      </c>
      <c r="P25" s="234">
        <f t="shared" si="9"/>
        <v>11287.9</v>
      </c>
      <c r="Q25" s="246">
        <f t="shared" si="10"/>
        <v>1806.0640000000001</v>
      </c>
      <c r="R25" s="246">
        <f t="shared" si="11"/>
        <v>13093.964</v>
      </c>
      <c r="S25" s="222" t="str">
        <f t="shared" si="12"/>
        <v>SI</v>
      </c>
      <c r="T25" s="20" t="s">
        <v>35</v>
      </c>
      <c r="U25" s="38" t="s">
        <v>50</v>
      </c>
      <c r="V25" s="22" t="s">
        <v>51</v>
      </c>
      <c r="W25" s="23">
        <v>42298</v>
      </c>
      <c r="X25" s="20" t="s">
        <v>52</v>
      </c>
      <c r="Y25" s="90">
        <v>11287.9</v>
      </c>
      <c r="Z25" s="42"/>
      <c r="AA25" s="25"/>
      <c r="AB25" s="26">
        <v>45.13</v>
      </c>
      <c r="AC25" s="30">
        <f t="shared" si="0"/>
        <v>11242.77</v>
      </c>
      <c r="AD25" s="37"/>
      <c r="AE25" s="79"/>
      <c r="AF25" s="27"/>
      <c r="AG25" s="27"/>
      <c r="AH25" s="27"/>
      <c r="AI25" s="28"/>
      <c r="AJ25" s="29">
        <v>0</v>
      </c>
      <c r="AK25" s="30">
        <f t="shared" si="1"/>
        <v>11242.77</v>
      </c>
      <c r="AL25" s="31">
        <f>IF(AC25&gt;4500,AC25*0.1,0)</f>
        <v>1124.277</v>
      </c>
      <c r="AM25" s="30">
        <f t="shared" si="2"/>
        <v>10118.493</v>
      </c>
      <c r="AN25" s="32">
        <f>IF(AC25&lt;4500,AC25*0.1,0)</f>
        <v>0</v>
      </c>
      <c r="AO25" s="31">
        <f>+'[1]C&amp;A'!W22*0.02</f>
        <v>0</v>
      </c>
      <c r="AP25" s="30">
        <f>+AC25+AN25+AO25</f>
        <v>11242.77</v>
      </c>
      <c r="AQ25" s="33"/>
      <c r="AR25" s="39"/>
      <c r="AS25" s="35">
        <f>+AQ25+AR25-AM25</f>
        <v>-10118.493</v>
      </c>
      <c r="AT25" s="35"/>
      <c r="AU25" s="38"/>
      <c r="AV25" s="17" t="str">
        <f t="shared" si="13"/>
        <v>SI</v>
      </c>
      <c r="AW25" s="224" t="s">
        <v>200</v>
      </c>
      <c r="AX25" s="223" t="s">
        <v>201</v>
      </c>
      <c r="AY25" s="17"/>
      <c r="AZ25" s="17"/>
      <c r="BA25" s="155"/>
      <c r="BB25" s="155"/>
      <c r="BC25" s="36"/>
    </row>
    <row r="26" spans="1:55">
      <c r="A26" s="200" t="s">
        <v>206</v>
      </c>
      <c r="B26" s="199" t="s">
        <v>207</v>
      </c>
      <c r="C26" s="234">
        <f>+INGENIERIA!F26</f>
        <v>2500.0500000000002</v>
      </c>
      <c r="D26" s="208">
        <v>0</v>
      </c>
      <c r="E26" s="208">
        <f>+'Hoja1 (2)'!F21</f>
        <v>28600</v>
      </c>
      <c r="F26" s="208"/>
      <c r="H26" s="234">
        <f t="shared" si="3"/>
        <v>2500.0500000000002</v>
      </c>
      <c r="I26" s="245">
        <f t="shared" si="4"/>
        <v>-45.13</v>
      </c>
      <c r="J26" s="245">
        <f>+INGENIERIA!F26*2%</f>
        <v>50.001000000000005</v>
      </c>
      <c r="K26" s="245">
        <f t="shared" si="5"/>
        <v>187.50375</v>
      </c>
      <c r="L26" s="234">
        <f t="shared" si="6"/>
        <v>2692.4247500000001</v>
      </c>
      <c r="M26" s="245">
        <f t="shared" si="7"/>
        <v>430.78796000000006</v>
      </c>
      <c r="N26" s="245">
        <f t="shared" si="8"/>
        <v>3123.2127100000002</v>
      </c>
      <c r="P26" s="234">
        <f t="shared" si="9"/>
        <v>28600</v>
      </c>
      <c r="Q26" s="246">
        <f t="shared" si="10"/>
        <v>4576</v>
      </c>
      <c r="R26" s="246">
        <f t="shared" si="11"/>
        <v>33176</v>
      </c>
      <c r="S26" s="222" t="str">
        <f t="shared" si="12"/>
        <v>SI</v>
      </c>
      <c r="T26" s="20" t="s">
        <v>55</v>
      </c>
      <c r="U26" s="20" t="s">
        <v>56</v>
      </c>
      <c r="V26" s="22"/>
      <c r="W26" s="23">
        <v>42038</v>
      </c>
      <c r="X26" s="20" t="s">
        <v>57</v>
      </c>
      <c r="Y26" s="90">
        <v>28600</v>
      </c>
      <c r="Z26" s="42"/>
      <c r="AA26" s="25"/>
      <c r="AB26" s="26">
        <v>45.13</v>
      </c>
      <c r="AC26" s="30">
        <f t="shared" si="0"/>
        <v>28554.87</v>
      </c>
      <c r="AD26" s="37"/>
      <c r="AE26" s="79"/>
      <c r="AF26" s="27"/>
      <c r="AG26" s="27"/>
      <c r="AH26" s="27"/>
      <c r="AI26" s="28"/>
      <c r="AJ26" s="29">
        <f>115.26*2</f>
        <v>230.52</v>
      </c>
      <c r="AK26" s="30">
        <f t="shared" si="1"/>
        <v>28324.35</v>
      </c>
      <c r="AL26" s="31">
        <f>IF(AC26&gt;4500,AC26*0.1,0)</f>
        <v>2855.4870000000001</v>
      </c>
      <c r="AM26" s="30">
        <f t="shared" si="2"/>
        <v>25468.862999999998</v>
      </c>
      <c r="AN26" s="32">
        <f>IF(AC26&lt;4500,AC26*0.1,0)</f>
        <v>0</v>
      </c>
      <c r="AO26" s="31">
        <f>+'[1]C&amp;A'!W24*0.02</f>
        <v>0</v>
      </c>
      <c r="AP26" s="30">
        <f>+AC26+AN26+AO26</f>
        <v>28554.87</v>
      </c>
      <c r="AQ26" s="33"/>
      <c r="AR26" s="39"/>
      <c r="AS26" s="35">
        <f>+AQ26+AR26-AM26</f>
        <v>-25468.862999999998</v>
      </c>
      <c r="AT26" s="35"/>
      <c r="AU26" s="38"/>
      <c r="AV26" s="17" t="str">
        <f t="shared" si="13"/>
        <v>SI</v>
      </c>
      <c r="AW26" s="224" t="s">
        <v>206</v>
      </c>
      <c r="AX26" s="223" t="s">
        <v>207</v>
      </c>
      <c r="AY26" s="155"/>
      <c r="AZ26" s="155"/>
      <c r="BA26" s="17"/>
      <c r="BB26" s="17"/>
      <c r="BC26" s="36"/>
    </row>
    <row r="27" spans="1:55">
      <c r="A27" s="200" t="s">
        <v>208</v>
      </c>
      <c r="B27" s="199" t="s">
        <v>209</v>
      </c>
      <c r="C27" s="234">
        <f>+INGENIERIA!F27</f>
        <v>20000.099999999999</v>
      </c>
      <c r="D27" s="208">
        <v>0</v>
      </c>
      <c r="E27" s="208">
        <f>+'Hoja1 (2)'!F22</f>
        <v>165713.09</v>
      </c>
      <c r="F27" s="208"/>
      <c r="H27" s="234">
        <f t="shared" si="3"/>
        <v>20000.099999999999</v>
      </c>
      <c r="I27" s="245">
        <f t="shared" si="4"/>
        <v>-45.13</v>
      </c>
      <c r="J27" s="245">
        <f>+INGENIERIA!F27*2%</f>
        <v>400.00199999999995</v>
      </c>
      <c r="K27" s="245">
        <f t="shared" si="5"/>
        <v>1500.0074999999999</v>
      </c>
      <c r="L27" s="234">
        <f t="shared" si="6"/>
        <v>21854.979499999998</v>
      </c>
      <c r="M27" s="245">
        <f t="shared" si="7"/>
        <v>3496.7967199999998</v>
      </c>
      <c r="N27" s="245">
        <f t="shared" si="8"/>
        <v>25351.776219999996</v>
      </c>
      <c r="P27" s="234">
        <f t="shared" si="9"/>
        <v>165713.09</v>
      </c>
      <c r="Q27" s="246">
        <f t="shared" si="10"/>
        <v>26514.094400000002</v>
      </c>
      <c r="R27" s="246">
        <f t="shared" si="11"/>
        <v>192227.1844</v>
      </c>
      <c r="S27" s="222" t="str">
        <f t="shared" si="12"/>
        <v>SI</v>
      </c>
      <c r="T27" s="20" t="s">
        <v>55</v>
      </c>
      <c r="U27" s="20" t="s">
        <v>281</v>
      </c>
      <c r="V27" s="20" t="s">
        <v>58</v>
      </c>
      <c r="W27" s="23">
        <v>41582</v>
      </c>
      <c r="X27" s="20" t="s">
        <v>59</v>
      </c>
      <c r="Y27" s="90">
        <v>165713.09</v>
      </c>
      <c r="Z27" s="25"/>
      <c r="AA27" s="25"/>
      <c r="AB27" s="26">
        <v>45.13</v>
      </c>
      <c r="AC27" s="30">
        <f t="shared" si="0"/>
        <v>165667.96</v>
      </c>
      <c r="AD27" s="37"/>
      <c r="AE27" s="79"/>
      <c r="AF27" s="27"/>
      <c r="AG27" s="27"/>
      <c r="AH27" s="27"/>
      <c r="AI27" s="28"/>
      <c r="AJ27" s="29">
        <v>0</v>
      </c>
      <c r="AK27" s="30">
        <f t="shared" si="1"/>
        <v>165667.96</v>
      </c>
      <c r="AL27" s="31">
        <f>IF(AC27&gt;4500,AC27*0.1,0)</f>
        <v>16566.795999999998</v>
      </c>
      <c r="AM27" s="30">
        <f t="shared" si="2"/>
        <v>149101.16399999999</v>
      </c>
      <c r="AN27" s="32">
        <f>IF(AC27&lt;4500,AC27*0.1,0)</f>
        <v>0</v>
      </c>
      <c r="AO27" s="31">
        <f>+'[1]C&amp;A'!W25*0.02</f>
        <v>0</v>
      </c>
      <c r="AP27" s="30">
        <f>+AC27+AN27+AO27</f>
        <v>165667.96</v>
      </c>
      <c r="AQ27" s="33"/>
      <c r="AR27" s="39"/>
      <c r="AS27" s="35">
        <f>+AQ27+AR27-AM27</f>
        <v>-149101.16399999999</v>
      </c>
      <c r="AT27" s="35"/>
      <c r="AU27" s="38"/>
      <c r="AV27" s="17" t="str">
        <f t="shared" si="13"/>
        <v>SI</v>
      </c>
      <c r="AW27" s="224" t="s">
        <v>208</v>
      </c>
      <c r="AX27" s="223" t="s">
        <v>209</v>
      </c>
      <c r="AY27" s="155"/>
      <c r="AZ27" s="155"/>
      <c r="BA27" s="17"/>
      <c r="BB27" s="17"/>
      <c r="BC27" s="36"/>
    </row>
    <row r="28" spans="1:55">
      <c r="A28" s="200" t="s">
        <v>212</v>
      </c>
      <c r="B28" s="199" t="s">
        <v>213</v>
      </c>
      <c r="C28" s="234">
        <f>+INGENIERIA!F28</f>
        <v>2500.0500000000002</v>
      </c>
      <c r="D28" s="208">
        <v>0</v>
      </c>
      <c r="E28" s="208">
        <f>+'Hoja1 (2)'!F23</f>
        <v>4664</v>
      </c>
      <c r="F28" s="208"/>
      <c r="H28" s="234">
        <f t="shared" si="3"/>
        <v>2500.0500000000002</v>
      </c>
      <c r="I28" s="245">
        <f t="shared" si="4"/>
        <v>-45.13</v>
      </c>
      <c r="J28" s="245">
        <f>+INGENIERIA!F28*2%</f>
        <v>50.001000000000005</v>
      </c>
      <c r="K28" s="245">
        <f t="shared" si="5"/>
        <v>187.50375</v>
      </c>
      <c r="L28" s="234">
        <f t="shared" si="6"/>
        <v>2692.4247500000001</v>
      </c>
      <c r="M28" s="245">
        <f t="shared" si="7"/>
        <v>430.78796000000006</v>
      </c>
      <c r="N28" s="245">
        <f t="shared" si="8"/>
        <v>3123.2127100000002</v>
      </c>
      <c r="P28" s="234">
        <f t="shared" si="9"/>
        <v>4664</v>
      </c>
      <c r="Q28" s="246">
        <f t="shared" si="10"/>
        <v>746.24</v>
      </c>
      <c r="R28" s="246">
        <f t="shared" si="11"/>
        <v>5410.24</v>
      </c>
      <c r="S28" s="222" t="str">
        <f t="shared" si="12"/>
        <v>SI</v>
      </c>
      <c r="T28" s="20" t="s">
        <v>55</v>
      </c>
      <c r="U28" s="38" t="s">
        <v>63</v>
      </c>
      <c r="V28" s="22" t="s">
        <v>64</v>
      </c>
      <c r="W28" s="23">
        <v>42380</v>
      </c>
      <c r="X28" s="20" t="s">
        <v>65</v>
      </c>
      <c r="Y28" s="90">
        <v>4664</v>
      </c>
      <c r="Z28" s="25"/>
      <c r="AA28" s="25"/>
      <c r="AB28" s="26">
        <v>45.13</v>
      </c>
      <c r="AC28" s="30">
        <f t="shared" si="0"/>
        <v>4618.87</v>
      </c>
      <c r="AD28" s="37"/>
      <c r="AE28" s="79"/>
      <c r="AF28" s="27"/>
      <c r="AG28" s="27"/>
      <c r="AH28" s="27"/>
      <c r="AI28" s="28"/>
      <c r="AJ28" s="29">
        <v>0</v>
      </c>
      <c r="AK28" s="30">
        <f t="shared" si="1"/>
        <v>4618.87</v>
      </c>
      <c r="AL28" s="31">
        <f>IF(AC28&gt;4500,AC28*0.1,0)</f>
        <v>461.887</v>
      </c>
      <c r="AM28" s="30">
        <f t="shared" si="2"/>
        <v>4156.9830000000002</v>
      </c>
      <c r="AN28" s="32">
        <f>IF(AC28&lt;4500,AC28*0.1,0)</f>
        <v>0</v>
      </c>
      <c r="AO28" s="31">
        <f>+'[1]C&amp;A'!W27*0.02</f>
        <v>0</v>
      </c>
      <c r="AP28" s="30">
        <f>+AC28+AN28+AO28</f>
        <v>4618.87</v>
      </c>
      <c r="AQ28" s="33"/>
      <c r="AR28" s="39"/>
      <c r="AS28" s="35">
        <f>+AQ28+AR28-AM28</f>
        <v>-4156.9830000000002</v>
      </c>
      <c r="AT28" s="35"/>
      <c r="AU28" s="38"/>
      <c r="AV28" s="17" t="str">
        <f t="shared" si="13"/>
        <v>SI</v>
      </c>
      <c r="AW28" s="224" t="s">
        <v>212</v>
      </c>
      <c r="AX28" s="223" t="s">
        <v>213</v>
      </c>
      <c r="AY28" s="17"/>
      <c r="AZ28" s="17"/>
      <c r="BA28" s="17"/>
      <c r="BB28" s="17"/>
      <c r="BC28" s="36"/>
    </row>
    <row r="29" spans="1:55">
      <c r="A29" s="200" t="s">
        <v>214</v>
      </c>
      <c r="B29" s="199" t="s">
        <v>215</v>
      </c>
      <c r="C29" s="234">
        <f>+INGENIERIA!F29</f>
        <v>10000.049999999999</v>
      </c>
      <c r="D29" s="208">
        <v>0</v>
      </c>
      <c r="E29" s="208">
        <f>+'Hoja1 (2)'!F24</f>
        <v>15000</v>
      </c>
      <c r="F29" s="208"/>
      <c r="H29" s="234">
        <f t="shared" si="3"/>
        <v>10000.049999999999</v>
      </c>
      <c r="I29" s="245">
        <f t="shared" si="4"/>
        <v>-524.41</v>
      </c>
      <c r="J29" s="245">
        <f>+INGENIERIA!F29*2%</f>
        <v>200.00099999999998</v>
      </c>
      <c r="K29" s="245">
        <f t="shared" si="5"/>
        <v>750.00374999999997</v>
      </c>
      <c r="L29" s="234">
        <f t="shared" si="6"/>
        <v>10425.644749999999</v>
      </c>
      <c r="M29" s="245">
        <f t="shared" si="7"/>
        <v>1668.1031599999999</v>
      </c>
      <c r="N29" s="245">
        <f t="shared" si="8"/>
        <v>12093.74791</v>
      </c>
      <c r="P29" s="234">
        <f t="shared" si="9"/>
        <v>15000</v>
      </c>
      <c r="Q29" s="246">
        <f t="shared" si="10"/>
        <v>2400</v>
      </c>
      <c r="R29" s="246">
        <f t="shared" si="11"/>
        <v>17400</v>
      </c>
      <c r="S29" s="222" t="str">
        <f t="shared" si="12"/>
        <v>SI</v>
      </c>
      <c r="T29" s="20" t="s">
        <v>142</v>
      </c>
      <c r="U29" s="95" t="s">
        <v>146</v>
      </c>
      <c r="V29" s="22">
        <v>3</v>
      </c>
      <c r="W29" s="23">
        <v>39465</v>
      </c>
      <c r="X29" s="20" t="s">
        <v>147</v>
      </c>
      <c r="Y29" s="90">
        <v>15000</v>
      </c>
      <c r="Z29" s="25"/>
      <c r="AA29" s="25"/>
      <c r="AB29" s="26">
        <v>45.13</v>
      </c>
      <c r="AC29" s="30">
        <f t="shared" si="0"/>
        <v>14954.87</v>
      </c>
      <c r="AD29" s="37"/>
      <c r="AE29" s="79"/>
      <c r="AF29" s="27"/>
      <c r="AG29" s="27"/>
      <c r="AH29" s="27"/>
      <c r="AI29" s="96">
        <v>479.28</v>
      </c>
      <c r="AJ29" s="29">
        <v>323.91000000000003</v>
      </c>
      <c r="AK29" s="30">
        <f t="shared" si="1"/>
        <v>14151.68</v>
      </c>
      <c r="AL29" s="31"/>
      <c r="AM29" s="30">
        <f t="shared" si="2"/>
        <v>14151.68</v>
      </c>
      <c r="AN29" s="32"/>
      <c r="AO29" s="31"/>
      <c r="AP29" s="30"/>
      <c r="AQ29" s="33"/>
      <c r="AR29" s="39"/>
      <c r="AS29" s="35"/>
      <c r="AT29" s="35"/>
      <c r="AU29" s="38"/>
      <c r="AV29" s="17" t="str">
        <f t="shared" si="13"/>
        <v>SI</v>
      </c>
      <c r="AW29" s="224" t="s">
        <v>214</v>
      </c>
      <c r="AX29" s="223" t="s">
        <v>215</v>
      </c>
      <c r="AY29" s="17"/>
      <c r="AZ29" s="17"/>
      <c r="BA29" s="17"/>
      <c r="BB29" s="17"/>
      <c r="BC29" s="36"/>
    </row>
    <row r="30" spans="1:55">
      <c r="A30" s="200" t="s">
        <v>216</v>
      </c>
      <c r="B30" s="199" t="s">
        <v>217</v>
      </c>
      <c r="C30" s="234">
        <f>+INGENIERIA!F30</f>
        <v>7500</v>
      </c>
      <c r="D30" s="208">
        <v>0</v>
      </c>
      <c r="E30" s="208">
        <f>+'Hoja1 (2)'!F25</f>
        <v>13327.65</v>
      </c>
      <c r="F30" s="208"/>
      <c r="H30" s="234">
        <f t="shared" si="3"/>
        <v>7500</v>
      </c>
      <c r="I30" s="245">
        <f t="shared" si="4"/>
        <v>-45.13</v>
      </c>
      <c r="J30" s="245">
        <f>+INGENIERIA!F30*2%</f>
        <v>150</v>
      </c>
      <c r="K30" s="245">
        <f t="shared" si="5"/>
        <v>562.5</v>
      </c>
      <c r="L30" s="234">
        <f t="shared" si="6"/>
        <v>8167.37</v>
      </c>
      <c r="M30" s="245">
        <f t="shared" si="7"/>
        <v>1306.7791999999999</v>
      </c>
      <c r="N30" s="245">
        <f t="shared" si="8"/>
        <v>9474.1491999999998</v>
      </c>
      <c r="P30" s="234">
        <f t="shared" si="9"/>
        <v>13327.65</v>
      </c>
      <c r="Q30" s="246">
        <f t="shared" si="10"/>
        <v>2132.424</v>
      </c>
      <c r="R30" s="246">
        <f t="shared" si="11"/>
        <v>15460.074000000001</v>
      </c>
      <c r="S30" s="222" t="str">
        <f t="shared" si="12"/>
        <v>SI</v>
      </c>
      <c r="T30" s="20" t="s">
        <v>35</v>
      </c>
      <c r="U30" s="38" t="s">
        <v>136</v>
      </c>
      <c r="V30" s="22"/>
      <c r="W30" s="23">
        <v>40530</v>
      </c>
      <c r="X30" s="20" t="s">
        <v>90</v>
      </c>
      <c r="Y30" s="90">
        <v>13327.65</v>
      </c>
      <c r="Z30" s="25"/>
      <c r="AA30" s="25"/>
      <c r="AB30" s="26">
        <v>45.13</v>
      </c>
      <c r="AC30" s="30">
        <f t="shared" si="0"/>
        <v>13282.52</v>
      </c>
      <c r="AD30" s="37"/>
      <c r="AE30" s="79"/>
      <c r="AF30" s="27"/>
      <c r="AG30" s="27"/>
      <c r="AH30" s="27"/>
      <c r="AI30" s="28"/>
      <c r="AJ30" s="29">
        <v>1200.08</v>
      </c>
      <c r="AK30" s="30">
        <f t="shared" si="1"/>
        <v>12082.44</v>
      </c>
      <c r="AL30" s="31">
        <f t="shared" ref="AL30:AL36" si="14">IF(AC30&gt;4500,AC30*0.1,0)</f>
        <v>1328.2520000000002</v>
      </c>
      <c r="AM30" s="30">
        <f t="shared" si="2"/>
        <v>10754.188</v>
      </c>
      <c r="AN30" s="32">
        <f t="shared" ref="AN30:AN36" si="15">IF(AC30&lt;4500,AC30*0.1,0)</f>
        <v>0</v>
      </c>
      <c r="AO30" s="31">
        <f>+'[1]C&amp;A'!W28*0.02</f>
        <v>0</v>
      </c>
      <c r="AP30" s="30">
        <f t="shared" ref="AP30:AP36" si="16">+AC30+AN30+AO30</f>
        <v>13282.52</v>
      </c>
      <c r="AQ30" s="33"/>
      <c r="AR30" s="34"/>
      <c r="AS30" s="35"/>
      <c r="AT30" s="35"/>
      <c r="AU30" s="38"/>
      <c r="AV30" s="17" t="str">
        <f t="shared" si="13"/>
        <v>SI</v>
      </c>
      <c r="AW30" s="224" t="s">
        <v>216</v>
      </c>
      <c r="AX30" s="223" t="s">
        <v>217</v>
      </c>
      <c r="AY30" s="155"/>
      <c r="AZ30" s="155"/>
      <c r="BA30" s="155"/>
      <c r="BB30" s="155"/>
      <c r="BC30" s="36"/>
    </row>
    <row r="31" spans="1:55">
      <c r="A31" s="200" t="s">
        <v>218</v>
      </c>
      <c r="B31" s="199" t="s">
        <v>219</v>
      </c>
      <c r="C31" s="234">
        <f>+INGENIERIA!F31</f>
        <v>3750</v>
      </c>
      <c r="D31" s="208">
        <v>0</v>
      </c>
      <c r="E31" s="208">
        <f>+'Hoja1 (2)'!F26</f>
        <v>0</v>
      </c>
      <c r="F31" s="208"/>
      <c r="H31" s="234">
        <f t="shared" si="3"/>
        <v>3750</v>
      </c>
      <c r="I31" s="245">
        <f t="shared" si="4"/>
        <v>-45.13</v>
      </c>
      <c r="J31" s="245">
        <f>+INGENIERIA!F31*2%</f>
        <v>75</v>
      </c>
      <c r="K31" s="245">
        <f t="shared" si="5"/>
        <v>281.25</v>
      </c>
      <c r="L31" s="234">
        <f t="shared" si="6"/>
        <v>4061.12</v>
      </c>
      <c r="M31" s="245">
        <f t="shared" si="7"/>
        <v>649.77919999999995</v>
      </c>
      <c r="N31" s="245">
        <f t="shared" si="8"/>
        <v>4710.8991999999998</v>
      </c>
      <c r="P31" s="234">
        <f t="shared" si="9"/>
        <v>0</v>
      </c>
      <c r="Q31" s="246">
        <f t="shared" si="10"/>
        <v>0</v>
      </c>
      <c r="R31" s="246">
        <f t="shared" si="11"/>
        <v>0</v>
      </c>
      <c r="S31" s="222" t="str">
        <f t="shared" si="12"/>
        <v>SI</v>
      </c>
      <c r="T31" s="20" t="s">
        <v>35</v>
      </c>
      <c r="U31" s="38" t="s">
        <v>66</v>
      </c>
      <c r="V31" s="20" t="s">
        <v>67</v>
      </c>
      <c r="W31" s="23">
        <v>42310</v>
      </c>
      <c r="X31" s="20" t="s">
        <v>68</v>
      </c>
      <c r="Y31" s="90"/>
      <c r="Z31" s="25"/>
      <c r="AA31" s="25"/>
      <c r="AB31" s="26">
        <v>45.13</v>
      </c>
      <c r="AC31" s="30">
        <f t="shared" si="0"/>
        <v>-45.13</v>
      </c>
      <c r="AD31" s="37"/>
      <c r="AE31" s="79"/>
      <c r="AF31" s="27"/>
      <c r="AG31" s="27"/>
      <c r="AH31" s="27"/>
      <c r="AI31" s="28"/>
      <c r="AJ31" s="29">
        <v>0</v>
      </c>
      <c r="AK31" s="30">
        <f t="shared" si="1"/>
        <v>-45.13</v>
      </c>
      <c r="AL31" s="31">
        <f t="shared" si="14"/>
        <v>0</v>
      </c>
      <c r="AM31" s="30">
        <f t="shared" si="2"/>
        <v>-45.13</v>
      </c>
      <c r="AN31" s="32">
        <f t="shared" si="15"/>
        <v>-4.5130000000000008</v>
      </c>
      <c r="AO31" s="31">
        <f>+'[1]C&amp;A'!W29*0.02</f>
        <v>0</v>
      </c>
      <c r="AP31" s="30">
        <f t="shared" si="16"/>
        <v>-49.643000000000001</v>
      </c>
      <c r="AQ31" s="33"/>
      <c r="AR31" s="39"/>
      <c r="AS31" s="35">
        <f t="shared" ref="AS31:AS36" si="17">+AQ31+AR31-AM31</f>
        <v>45.13</v>
      </c>
      <c r="AT31" s="35"/>
      <c r="AU31" s="38"/>
      <c r="AV31" s="17" t="str">
        <f t="shared" si="13"/>
        <v>SI</v>
      </c>
      <c r="AW31" s="224" t="s">
        <v>218</v>
      </c>
      <c r="AX31" s="223" t="s">
        <v>219</v>
      </c>
      <c r="AY31" s="17"/>
      <c r="AZ31" s="17"/>
      <c r="BA31" s="17"/>
      <c r="BB31" s="17"/>
      <c r="BC31" s="36"/>
    </row>
    <row r="32" spans="1:55">
      <c r="A32" s="200" t="s">
        <v>222</v>
      </c>
      <c r="B32" s="199" t="s">
        <v>223</v>
      </c>
      <c r="C32" s="234">
        <f>+INGENIERIA!F32</f>
        <v>2500.0500000000002</v>
      </c>
      <c r="D32" s="208">
        <v>0</v>
      </c>
      <c r="E32" s="208">
        <f>+'Hoja1 (2)'!F27</f>
        <v>1802</v>
      </c>
      <c r="F32" s="208"/>
      <c r="H32" s="234">
        <f t="shared" si="3"/>
        <v>2500.0500000000002</v>
      </c>
      <c r="I32" s="245">
        <f t="shared" si="4"/>
        <v>-45.13</v>
      </c>
      <c r="J32" s="245">
        <f>+INGENIERIA!F32*2%</f>
        <v>50.001000000000005</v>
      </c>
      <c r="K32" s="245">
        <f t="shared" si="5"/>
        <v>187.50375</v>
      </c>
      <c r="L32" s="234">
        <f t="shared" si="6"/>
        <v>2692.4247500000001</v>
      </c>
      <c r="M32" s="245">
        <f t="shared" si="7"/>
        <v>430.78796000000006</v>
      </c>
      <c r="N32" s="245">
        <f t="shared" si="8"/>
        <v>3123.2127100000002</v>
      </c>
      <c r="P32" s="234">
        <f t="shared" si="9"/>
        <v>1802</v>
      </c>
      <c r="Q32" s="246">
        <f t="shared" si="10"/>
        <v>288.32</v>
      </c>
      <c r="R32" s="246">
        <f t="shared" si="11"/>
        <v>2090.3200000000002</v>
      </c>
      <c r="S32" s="222" t="str">
        <f t="shared" si="12"/>
        <v>SI</v>
      </c>
      <c r="T32" s="20" t="s">
        <v>55</v>
      </c>
      <c r="U32" s="38" t="s">
        <v>282</v>
      </c>
      <c r="V32" s="22" t="s">
        <v>69</v>
      </c>
      <c r="W32" s="23">
        <v>42374</v>
      </c>
      <c r="X32" s="20" t="s">
        <v>70</v>
      </c>
      <c r="Y32" s="90">
        <v>1802</v>
      </c>
      <c r="Z32" s="25"/>
      <c r="AA32" s="25"/>
      <c r="AB32" s="26">
        <v>45.13</v>
      </c>
      <c r="AC32" s="30">
        <f t="shared" si="0"/>
        <v>1756.87</v>
      </c>
      <c r="AD32" s="37"/>
      <c r="AE32" s="79"/>
      <c r="AF32" s="27"/>
      <c r="AG32" s="27"/>
      <c r="AH32" s="27"/>
      <c r="AI32" s="28"/>
      <c r="AJ32" s="29">
        <v>0</v>
      </c>
      <c r="AK32" s="30">
        <f t="shared" si="1"/>
        <v>1756.87</v>
      </c>
      <c r="AL32" s="31">
        <f t="shared" si="14"/>
        <v>0</v>
      </c>
      <c r="AM32" s="30">
        <f t="shared" si="2"/>
        <v>1756.87</v>
      </c>
      <c r="AN32" s="32">
        <f t="shared" si="15"/>
        <v>175.68700000000001</v>
      </c>
      <c r="AO32" s="31">
        <f>+'[1]C&amp;A'!W30*0.02</f>
        <v>0</v>
      </c>
      <c r="AP32" s="30">
        <f t="shared" si="16"/>
        <v>1932.5569999999998</v>
      </c>
      <c r="AQ32" s="33"/>
      <c r="AR32" s="34"/>
      <c r="AS32" s="35">
        <f t="shared" si="17"/>
        <v>-1756.87</v>
      </c>
      <c r="AT32" s="35"/>
      <c r="AU32" s="41"/>
      <c r="AV32" s="17" t="str">
        <f t="shared" si="13"/>
        <v>SI</v>
      </c>
      <c r="AW32" s="224" t="s">
        <v>222</v>
      </c>
      <c r="AX32" s="223" t="s">
        <v>223</v>
      </c>
      <c r="AY32" s="17"/>
      <c r="AZ32" s="17"/>
      <c r="BA32" s="155"/>
      <c r="BB32" s="155"/>
      <c r="BC32" s="36"/>
    </row>
    <row r="33" spans="1:55">
      <c r="A33" s="200" t="s">
        <v>228</v>
      </c>
      <c r="B33" s="199" t="s">
        <v>229</v>
      </c>
      <c r="C33" s="234">
        <f>+INGENIERIA!F33</f>
        <v>3000</v>
      </c>
      <c r="D33" s="208">
        <v>0</v>
      </c>
      <c r="E33" s="208">
        <f>+'Hoja1 (2)'!F28</f>
        <v>1826.8</v>
      </c>
      <c r="F33" s="208"/>
      <c r="H33" s="234">
        <f t="shared" si="3"/>
        <v>3000</v>
      </c>
      <c r="I33" s="245">
        <f t="shared" si="4"/>
        <v>-45.13</v>
      </c>
      <c r="J33" s="245">
        <f>+INGENIERIA!F33*2%</f>
        <v>60</v>
      </c>
      <c r="K33" s="245">
        <f t="shared" si="5"/>
        <v>225</v>
      </c>
      <c r="L33" s="234">
        <f t="shared" si="6"/>
        <v>3239.87</v>
      </c>
      <c r="M33" s="245">
        <f t="shared" si="7"/>
        <v>518.37919999999997</v>
      </c>
      <c r="N33" s="245">
        <f t="shared" si="8"/>
        <v>3758.2491999999997</v>
      </c>
      <c r="P33" s="234">
        <f t="shared" si="9"/>
        <v>1826.8</v>
      </c>
      <c r="Q33" s="246">
        <f t="shared" si="10"/>
        <v>292.28800000000001</v>
      </c>
      <c r="R33" s="246">
        <f t="shared" si="11"/>
        <v>2119.0879999999997</v>
      </c>
      <c r="S33" s="222" t="str">
        <f t="shared" si="12"/>
        <v>SI</v>
      </c>
      <c r="T33" s="38" t="s">
        <v>75</v>
      </c>
      <c r="U33" s="38" t="s">
        <v>76</v>
      </c>
      <c r="V33" s="44"/>
      <c r="W33" s="43">
        <v>42499</v>
      </c>
      <c r="X33" s="38" t="s">
        <v>77</v>
      </c>
      <c r="Y33" s="91">
        <v>1826.8</v>
      </c>
      <c r="Z33" s="25"/>
      <c r="AA33" s="25"/>
      <c r="AB33" s="26">
        <v>45.13</v>
      </c>
      <c r="AC33" s="30">
        <f t="shared" si="0"/>
        <v>1781.6699999999998</v>
      </c>
      <c r="AD33" s="37"/>
      <c r="AE33" s="79"/>
      <c r="AF33" s="27"/>
      <c r="AG33" s="27"/>
      <c r="AH33" s="27"/>
      <c r="AI33" s="28"/>
      <c r="AJ33" s="29">
        <v>0</v>
      </c>
      <c r="AK33" s="30">
        <f t="shared" si="1"/>
        <v>1781.6699999999998</v>
      </c>
      <c r="AL33" s="31">
        <f t="shared" si="14"/>
        <v>0</v>
      </c>
      <c r="AM33" s="30">
        <f t="shared" si="2"/>
        <v>1781.6699999999998</v>
      </c>
      <c r="AN33" s="32">
        <f t="shared" si="15"/>
        <v>178.167</v>
      </c>
      <c r="AO33" s="31">
        <f>+'[1]C&amp;A'!W33*0.02</f>
        <v>0</v>
      </c>
      <c r="AP33" s="30">
        <f t="shared" si="16"/>
        <v>1959.8369999999998</v>
      </c>
      <c r="AQ33" s="46"/>
      <c r="AR33" s="47"/>
      <c r="AS33" s="35">
        <f t="shared" si="17"/>
        <v>-1781.6699999999998</v>
      </c>
      <c r="AT33" s="48"/>
      <c r="AU33" s="41"/>
      <c r="AV33" s="17" t="str">
        <f t="shared" si="13"/>
        <v>SI</v>
      </c>
      <c r="AW33" s="224" t="s">
        <v>228</v>
      </c>
      <c r="AX33" s="223" t="s">
        <v>229</v>
      </c>
      <c r="AY33" s="17"/>
      <c r="AZ33" s="17"/>
      <c r="BA33" s="155"/>
      <c r="BB33" s="155"/>
      <c r="BC33" s="36"/>
    </row>
    <row r="34" spans="1:55">
      <c r="A34" s="200" t="s">
        <v>230</v>
      </c>
      <c r="B34" s="199" t="s">
        <v>231</v>
      </c>
      <c r="C34" s="234">
        <f>+INGENIERIA!F34</f>
        <v>2250</v>
      </c>
      <c r="D34" s="208">
        <v>0</v>
      </c>
      <c r="E34" s="208">
        <f>+'Hoja1 (2)'!F29</f>
        <v>2455</v>
      </c>
      <c r="F34" s="208"/>
      <c r="H34" s="234">
        <f t="shared" si="3"/>
        <v>2250</v>
      </c>
      <c r="I34" s="245">
        <f t="shared" si="4"/>
        <v>-45.13</v>
      </c>
      <c r="J34" s="245">
        <f>+INGENIERIA!F34*2%</f>
        <v>45</v>
      </c>
      <c r="K34" s="245">
        <f t="shared" si="5"/>
        <v>168.75</v>
      </c>
      <c r="L34" s="234">
        <f t="shared" si="6"/>
        <v>2418.62</v>
      </c>
      <c r="M34" s="245">
        <f t="shared" si="7"/>
        <v>386.97919999999999</v>
      </c>
      <c r="N34" s="245">
        <f t="shared" si="8"/>
        <v>2805.5991999999997</v>
      </c>
      <c r="P34" s="234">
        <f t="shared" si="9"/>
        <v>2455</v>
      </c>
      <c r="Q34" s="246">
        <f t="shared" si="10"/>
        <v>392.8</v>
      </c>
      <c r="R34" s="246">
        <f t="shared" si="11"/>
        <v>2847.8</v>
      </c>
      <c r="S34" s="222" t="str">
        <f t="shared" si="12"/>
        <v>SI</v>
      </c>
      <c r="T34" s="38" t="s">
        <v>71</v>
      </c>
      <c r="U34" s="38" t="s">
        <v>80</v>
      </c>
      <c r="V34" s="44" t="s">
        <v>81</v>
      </c>
      <c r="W34" s="23">
        <v>42086</v>
      </c>
      <c r="X34" s="38" t="s">
        <v>82</v>
      </c>
      <c r="Y34" s="91">
        <v>2455</v>
      </c>
      <c r="Z34" s="25"/>
      <c r="AA34" s="25"/>
      <c r="AB34" s="26">
        <v>45.13</v>
      </c>
      <c r="AC34" s="30">
        <f t="shared" si="0"/>
        <v>2409.87</v>
      </c>
      <c r="AD34" s="37"/>
      <c r="AE34" s="79"/>
      <c r="AF34" s="27"/>
      <c r="AG34" s="27"/>
      <c r="AH34" s="27"/>
      <c r="AI34" s="45"/>
      <c r="AJ34" s="45">
        <v>0</v>
      </c>
      <c r="AK34" s="30">
        <f t="shared" si="1"/>
        <v>2409.87</v>
      </c>
      <c r="AL34" s="31">
        <f t="shared" si="14"/>
        <v>0</v>
      </c>
      <c r="AM34" s="30">
        <f t="shared" si="2"/>
        <v>2409.87</v>
      </c>
      <c r="AN34" s="32">
        <f t="shared" si="15"/>
        <v>240.98699999999999</v>
      </c>
      <c r="AO34" s="31">
        <f>+'[1]C&amp;A'!W35*0.02</f>
        <v>0</v>
      </c>
      <c r="AP34" s="30">
        <f t="shared" si="16"/>
        <v>2650.857</v>
      </c>
      <c r="AQ34" s="33"/>
      <c r="AR34" s="39"/>
      <c r="AS34" s="35">
        <f t="shared" si="17"/>
        <v>-2409.87</v>
      </c>
      <c r="AT34" s="35"/>
      <c r="AU34" s="38"/>
      <c r="AV34" s="17" t="str">
        <f t="shared" si="13"/>
        <v>SI</v>
      </c>
      <c r="AW34" s="224" t="s">
        <v>230</v>
      </c>
      <c r="AX34" s="223" t="s">
        <v>231</v>
      </c>
      <c r="AY34" s="17"/>
      <c r="AZ34" s="17"/>
      <c r="BA34" s="17"/>
      <c r="BB34" s="17"/>
      <c r="BC34" s="36"/>
    </row>
    <row r="35" spans="1:55">
      <c r="A35" s="200" t="s">
        <v>234</v>
      </c>
      <c r="B35" s="199" t="s">
        <v>235</v>
      </c>
      <c r="C35" s="234">
        <f>+INGENIERIA!F35</f>
        <v>2500.0500000000002</v>
      </c>
      <c r="D35" s="208">
        <v>0</v>
      </c>
      <c r="E35" s="208">
        <f>+'Hoja1 (2)'!F30</f>
        <v>1802</v>
      </c>
      <c r="F35" s="208"/>
      <c r="H35" s="234">
        <f t="shared" si="3"/>
        <v>2500.0500000000002</v>
      </c>
      <c r="I35" s="245">
        <f t="shared" si="4"/>
        <v>-45.13</v>
      </c>
      <c r="J35" s="245">
        <f>+INGENIERIA!F35*2%</f>
        <v>50.001000000000005</v>
      </c>
      <c r="K35" s="245">
        <f t="shared" si="5"/>
        <v>187.50375</v>
      </c>
      <c r="L35" s="234">
        <f t="shared" si="6"/>
        <v>2692.4247500000001</v>
      </c>
      <c r="M35" s="245">
        <f t="shared" si="7"/>
        <v>430.78796000000006</v>
      </c>
      <c r="N35" s="245">
        <f t="shared" si="8"/>
        <v>3123.2127100000002</v>
      </c>
      <c r="P35" s="234">
        <f t="shared" si="9"/>
        <v>1802</v>
      </c>
      <c r="Q35" s="246">
        <f t="shared" si="10"/>
        <v>288.32</v>
      </c>
      <c r="R35" s="246">
        <f t="shared" si="11"/>
        <v>2090.3200000000002</v>
      </c>
      <c r="S35" s="222" t="str">
        <f t="shared" si="12"/>
        <v>SI</v>
      </c>
      <c r="T35" s="20" t="s">
        <v>55</v>
      </c>
      <c r="U35" s="38" t="s">
        <v>84</v>
      </c>
      <c r="V35" s="22" t="s">
        <v>85</v>
      </c>
      <c r="W35" s="23">
        <v>41464</v>
      </c>
      <c r="X35" s="20" t="s">
        <v>70</v>
      </c>
      <c r="Y35" s="90">
        <v>1802</v>
      </c>
      <c r="Z35" s="25"/>
      <c r="AA35" s="25"/>
      <c r="AB35" s="26">
        <v>45.13</v>
      </c>
      <c r="AC35" s="30">
        <f t="shared" si="0"/>
        <v>1756.87</v>
      </c>
      <c r="AD35" s="37"/>
      <c r="AE35" s="79"/>
      <c r="AF35" s="27"/>
      <c r="AG35" s="27"/>
      <c r="AH35" s="27"/>
      <c r="AI35" s="28"/>
      <c r="AJ35" s="29">
        <v>313.89999999999998</v>
      </c>
      <c r="AK35" s="30">
        <f t="shared" si="1"/>
        <v>1442.9699999999998</v>
      </c>
      <c r="AL35" s="31">
        <f t="shared" si="14"/>
        <v>0</v>
      </c>
      <c r="AM35" s="30">
        <f t="shared" si="2"/>
        <v>1442.9699999999998</v>
      </c>
      <c r="AN35" s="32">
        <f t="shared" si="15"/>
        <v>175.68700000000001</v>
      </c>
      <c r="AO35" s="31">
        <f>+'[1]C&amp;A'!W37*0.02</f>
        <v>0</v>
      </c>
      <c r="AP35" s="30">
        <f t="shared" si="16"/>
        <v>1932.5569999999998</v>
      </c>
      <c r="AQ35" s="33"/>
      <c r="AR35" s="34"/>
      <c r="AS35" s="35">
        <f t="shared" si="17"/>
        <v>-1442.9699999999998</v>
      </c>
      <c r="AT35" s="35"/>
      <c r="AU35" s="38"/>
      <c r="AV35" s="17" t="str">
        <f t="shared" si="13"/>
        <v>SI</v>
      </c>
      <c r="AW35" s="224" t="s">
        <v>234</v>
      </c>
      <c r="AX35" s="223" t="s">
        <v>235</v>
      </c>
      <c r="AY35" s="155"/>
      <c r="AZ35" s="155"/>
      <c r="BA35" s="17"/>
      <c r="BB35" s="17"/>
      <c r="BC35" s="49"/>
    </row>
    <row r="36" spans="1:55">
      <c r="A36" s="200" t="s">
        <v>236</v>
      </c>
      <c r="B36" s="199" t="s">
        <v>237</v>
      </c>
      <c r="C36" s="234">
        <f>+INGENIERIA!F36</f>
        <v>1750.05</v>
      </c>
      <c r="D36" s="208">
        <v>0</v>
      </c>
      <c r="E36" s="208">
        <f>+'Hoja1 (2)'!F31</f>
        <v>1601</v>
      </c>
      <c r="F36" s="208"/>
      <c r="H36" s="234">
        <f t="shared" si="3"/>
        <v>1750.05</v>
      </c>
      <c r="I36" s="245">
        <f t="shared" si="4"/>
        <v>-45.13</v>
      </c>
      <c r="J36" s="245">
        <f>+INGENIERIA!F36*2%</f>
        <v>35.000999999999998</v>
      </c>
      <c r="K36" s="245">
        <f t="shared" si="5"/>
        <v>131.25375</v>
      </c>
      <c r="L36" s="234">
        <f t="shared" si="6"/>
        <v>1871.1747499999999</v>
      </c>
      <c r="M36" s="245">
        <f t="shared" si="7"/>
        <v>299.38795999999996</v>
      </c>
      <c r="N36" s="245">
        <f t="shared" si="8"/>
        <v>2170.5627099999997</v>
      </c>
      <c r="P36" s="234">
        <f t="shared" si="9"/>
        <v>1601</v>
      </c>
      <c r="Q36" s="246">
        <f t="shared" si="10"/>
        <v>256.16000000000003</v>
      </c>
      <c r="R36" s="246">
        <f t="shared" si="11"/>
        <v>1857.16</v>
      </c>
      <c r="S36" s="222" t="str">
        <f t="shared" si="12"/>
        <v>SI</v>
      </c>
      <c r="T36" s="20" t="s">
        <v>35</v>
      </c>
      <c r="U36" s="20" t="s">
        <v>86</v>
      </c>
      <c r="V36" s="22">
        <v>56</v>
      </c>
      <c r="W36" s="23">
        <v>40033</v>
      </c>
      <c r="X36" s="20" t="s">
        <v>87</v>
      </c>
      <c r="Y36" s="90">
        <v>1601</v>
      </c>
      <c r="Z36" s="25"/>
      <c r="AA36" s="25"/>
      <c r="AB36" s="26">
        <v>45.13</v>
      </c>
      <c r="AC36" s="30">
        <f t="shared" si="0"/>
        <v>1555.87</v>
      </c>
      <c r="AD36" s="37"/>
      <c r="AE36" s="79"/>
      <c r="AF36" s="27"/>
      <c r="AG36" s="27"/>
      <c r="AH36" s="27"/>
      <c r="AI36" s="28"/>
      <c r="AJ36" s="29">
        <v>0</v>
      </c>
      <c r="AK36" s="30">
        <f t="shared" si="1"/>
        <v>1555.87</v>
      </c>
      <c r="AL36" s="31">
        <f t="shared" si="14"/>
        <v>0</v>
      </c>
      <c r="AM36" s="30">
        <f t="shared" si="2"/>
        <v>1555.87</v>
      </c>
      <c r="AN36" s="32">
        <f t="shared" si="15"/>
        <v>155.58699999999999</v>
      </c>
      <c r="AO36" s="31">
        <f>+'[1]C&amp;A'!W38*0.02</f>
        <v>0</v>
      </c>
      <c r="AP36" s="30">
        <f t="shared" si="16"/>
        <v>1711.4569999999999</v>
      </c>
      <c r="AQ36" s="33"/>
      <c r="AR36" s="34"/>
      <c r="AS36" s="35">
        <f t="shared" si="17"/>
        <v>-1555.87</v>
      </c>
      <c r="AT36" s="35"/>
      <c r="AU36" s="38"/>
      <c r="AV36" s="17" t="str">
        <f t="shared" si="13"/>
        <v>SI</v>
      </c>
      <c r="AW36" s="224" t="s">
        <v>236</v>
      </c>
      <c r="AX36" s="223" t="s">
        <v>237</v>
      </c>
      <c r="AY36" s="17"/>
      <c r="AZ36" s="17"/>
      <c r="BA36" s="17"/>
      <c r="BB36" s="17"/>
      <c r="BC36" s="49"/>
    </row>
    <row r="37" spans="1:55">
      <c r="A37" s="200" t="s">
        <v>238</v>
      </c>
      <c r="B37" s="199" t="s">
        <v>239</v>
      </c>
      <c r="C37" s="234">
        <f>+INGENIERIA!F37</f>
        <v>3000</v>
      </c>
      <c r="D37" s="208">
        <v>0</v>
      </c>
      <c r="E37" s="208">
        <f>+'Hoja1 (2)'!F32</f>
        <v>0</v>
      </c>
      <c r="F37" s="208"/>
      <c r="H37" s="234">
        <f t="shared" si="3"/>
        <v>3000</v>
      </c>
      <c r="I37" s="245">
        <f t="shared" si="4"/>
        <v>-45.13</v>
      </c>
      <c r="J37" s="245">
        <f>+INGENIERIA!F37*2%</f>
        <v>60</v>
      </c>
      <c r="K37" s="245">
        <f t="shared" si="5"/>
        <v>225</v>
      </c>
      <c r="L37" s="234">
        <f t="shared" si="6"/>
        <v>3239.87</v>
      </c>
      <c r="M37" s="245">
        <f t="shared" si="7"/>
        <v>518.37919999999997</v>
      </c>
      <c r="N37" s="245">
        <f t="shared" si="8"/>
        <v>3758.2491999999997</v>
      </c>
      <c r="P37" s="234">
        <f t="shared" si="9"/>
        <v>0</v>
      </c>
      <c r="Q37" s="246">
        <f t="shared" si="10"/>
        <v>0</v>
      </c>
      <c r="R37" s="246">
        <f t="shared" si="11"/>
        <v>0</v>
      </c>
      <c r="S37" s="222" t="str">
        <f t="shared" si="12"/>
        <v>SI</v>
      </c>
      <c r="T37" s="20" t="s">
        <v>35</v>
      </c>
      <c r="U37" s="20" t="s">
        <v>140</v>
      </c>
      <c r="V37" s="22"/>
      <c r="W37" s="23">
        <v>42591</v>
      </c>
      <c r="X37" s="20" t="s">
        <v>38</v>
      </c>
      <c r="Y37" s="90"/>
      <c r="Z37" s="25"/>
      <c r="AA37" s="25"/>
      <c r="AB37" s="26">
        <v>45.13</v>
      </c>
      <c r="AC37" s="30">
        <f t="shared" si="0"/>
        <v>-45.13</v>
      </c>
      <c r="AD37" s="37"/>
      <c r="AE37" s="79"/>
      <c r="AF37" s="27"/>
      <c r="AG37" s="27"/>
      <c r="AH37" s="27"/>
      <c r="AI37" s="28"/>
      <c r="AJ37" s="29"/>
      <c r="AK37" s="30">
        <f t="shared" si="1"/>
        <v>-45.13</v>
      </c>
      <c r="AL37" s="31"/>
      <c r="AM37" s="30">
        <f t="shared" si="2"/>
        <v>-45.13</v>
      </c>
      <c r="AN37" s="32"/>
      <c r="AO37" s="31"/>
      <c r="AP37" s="30"/>
      <c r="AQ37" s="33"/>
      <c r="AR37" s="34"/>
      <c r="AS37" s="35"/>
      <c r="AT37" s="188"/>
      <c r="AU37" s="38"/>
      <c r="AV37" s="17" t="str">
        <f t="shared" si="13"/>
        <v>SI</v>
      </c>
      <c r="AW37" s="224" t="s">
        <v>238</v>
      </c>
      <c r="AX37" s="223" t="s">
        <v>239</v>
      </c>
      <c r="AY37" s="155"/>
      <c r="AZ37" s="155"/>
      <c r="BA37" s="17"/>
      <c r="BB37" s="17"/>
      <c r="BC37" s="49"/>
    </row>
    <row r="38" spans="1:55">
      <c r="A38" s="200" t="s">
        <v>240</v>
      </c>
      <c r="B38" s="199" t="s">
        <v>241</v>
      </c>
      <c r="C38" s="234">
        <f>+INGENIERIA!F38</f>
        <v>2750.1</v>
      </c>
      <c r="D38" s="208">
        <v>0</v>
      </c>
      <c r="E38" s="208">
        <f>+'Hoja1 (2)'!F33</f>
        <v>6029.77</v>
      </c>
      <c r="F38" s="208"/>
      <c r="H38" s="234">
        <f t="shared" si="3"/>
        <v>2750.1</v>
      </c>
      <c r="I38" s="245">
        <f t="shared" si="4"/>
        <v>-45.13</v>
      </c>
      <c r="J38" s="245">
        <f>+INGENIERIA!F38*2%</f>
        <v>55.002000000000002</v>
      </c>
      <c r="K38" s="245">
        <f t="shared" si="5"/>
        <v>206.25749999999999</v>
      </c>
      <c r="L38" s="234">
        <f t="shared" si="6"/>
        <v>2966.2294999999999</v>
      </c>
      <c r="M38" s="245">
        <f t="shared" si="7"/>
        <v>474.59672</v>
      </c>
      <c r="N38" s="245">
        <f t="shared" si="8"/>
        <v>3440.8262199999999</v>
      </c>
      <c r="P38" s="234">
        <f t="shared" si="9"/>
        <v>6029.77</v>
      </c>
      <c r="Q38" s="246">
        <f t="shared" si="10"/>
        <v>964.7632000000001</v>
      </c>
      <c r="R38" s="246">
        <f t="shared" si="11"/>
        <v>6994.5332000000008</v>
      </c>
      <c r="S38" s="222" t="str">
        <f t="shared" si="12"/>
        <v>SI</v>
      </c>
      <c r="T38" s="20" t="s">
        <v>35</v>
      </c>
      <c r="U38" s="38" t="s">
        <v>88</v>
      </c>
      <c r="V38" s="22" t="s">
        <v>89</v>
      </c>
      <c r="W38" s="23">
        <v>42275</v>
      </c>
      <c r="X38" s="20" t="s">
        <v>90</v>
      </c>
      <c r="Y38" s="90">
        <v>6029.77</v>
      </c>
      <c r="Z38" s="25"/>
      <c r="AA38" s="25"/>
      <c r="AB38" s="26">
        <v>45.13</v>
      </c>
      <c r="AC38" s="30">
        <f t="shared" si="0"/>
        <v>5984.64</v>
      </c>
      <c r="AD38" s="37"/>
      <c r="AE38" s="79"/>
      <c r="AF38" s="27"/>
      <c r="AG38" s="27"/>
      <c r="AH38" s="27"/>
      <c r="AI38" s="28"/>
      <c r="AJ38" s="29">
        <v>0</v>
      </c>
      <c r="AK38" s="30">
        <f t="shared" si="1"/>
        <v>5984.64</v>
      </c>
      <c r="AL38" s="31">
        <f t="shared" ref="AL38:AL44" si="18">IF(AC38&gt;4500,AC38*0.1,0)</f>
        <v>598.46400000000006</v>
      </c>
      <c r="AM38" s="30">
        <f t="shared" si="2"/>
        <v>5386.1760000000004</v>
      </c>
      <c r="AN38" s="32">
        <f t="shared" ref="AN38:AN44" si="19">IF(AC38&lt;4500,AC38*0.1,0)</f>
        <v>0</v>
      </c>
      <c r="AO38" s="31">
        <f>+'[1]C&amp;A'!W39*0.02</f>
        <v>0</v>
      </c>
      <c r="AP38" s="30">
        <f>+AC38+AN38+AO38</f>
        <v>5984.64</v>
      </c>
      <c r="AQ38" s="33"/>
      <c r="AR38" s="39"/>
      <c r="AS38" s="35">
        <f>+AQ38+AR38-AM38</f>
        <v>-5386.1760000000004</v>
      </c>
      <c r="AT38" s="35"/>
      <c r="AU38" s="50"/>
      <c r="AV38" s="17" t="str">
        <f t="shared" si="13"/>
        <v>SI</v>
      </c>
      <c r="AW38" s="224" t="s">
        <v>240</v>
      </c>
      <c r="AX38" s="223" t="s">
        <v>241</v>
      </c>
      <c r="AY38" s="155"/>
      <c r="AZ38" s="155"/>
      <c r="BA38" s="17"/>
      <c r="BB38" s="17"/>
      <c r="BC38" s="36"/>
    </row>
    <row r="39" spans="1:55">
      <c r="A39" s="200" t="s">
        <v>242</v>
      </c>
      <c r="B39" s="199" t="s">
        <v>243</v>
      </c>
      <c r="C39" s="234">
        <f>+INGENIERIA!F39</f>
        <v>3750</v>
      </c>
      <c r="D39" s="208">
        <v>0</v>
      </c>
      <c r="E39" s="208">
        <f>+'Hoja1 (2)'!F34</f>
        <v>29664.71</v>
      </c>
      <c r="F39" s="208"/>
      <c r="H39" s="234">
        <f t="shared" si="3"/>
        <v>3750</v>
      </c>
      <c r="I39" s="245">
        <f t="shared" si="4"/>
        <v>-45.13</v>
      </c>
      <c r="J39" s="245">
        <f>+INGENIERIA!F39*2%</f>
        <v>75</v>
      </c>
      <c r="K39" s="245">
        <f t="shared" si="5"/>
        <v>281.25</v>
      </c>
      <c r="L39" s="234">
        <f t="shared" si="6"/>
        <v>4061.12</v>
      </c>
      <c r="M39" s="245">
        <f t="shared" si="7"/>
        <v>649.77919999999995</v>
      </c>
      <c r="N39" s="245">
        <f t="shared" si="8"/>
        <v>4710.8991999999998</v>
      </c>
      <c r="P39" s="234">
        <f t="shared" si="9"/>
        <v>29664.71</v>
      </c>
      <c r="Q39" s="246">
        <f t="shared" si="10"/>
        <v>4746.3536000000004</v>
      </c>
      <c r="R39" s="246">
        <f t="shared" si="11"/>
        <v>34411.063600000001</v>
      </c>
      <c r="S39" s="222" t="str">
        <f t="shared" si="12"/>
        <v>SI</v>
      </c>
      <c r="T39" s="20" t="s">
        <v>91</v>
      </c>
      <c r="U39" s="20" t="s">
        <v>92</v>
      </c>
      <c r="V39" s="20">
        <v>23</v>
      </c>
      <c r="W39" s="23">
        <v>39114</v>
      </c>
      <c r="X39" s="20" t="s">
        <v>93</v>
      </c>
      <c r="Y39" s="90">
        <v>29664.71</v>
      </c>
      <c r="Z39" s="25"/>
      <c r="AA39" s="25"/>
      <c r="AB39" s="26">
        <v>45.13</v>
      </c>
      <c r="AC39" s="30">
        <f t="shared" si="0"/>
        <v>29619.579999999998</v>
      </c>
      <c r="AD39" s="37"/>
      <c r="AE39" s="79"/>
      <c r="AF39" s="27"/>
      <c r="AG39" s="27"/>
      <c r="AH39" s="27"/>
      <c r="AI39" s="28"/>
      <c r="AJ39" s="29">
        <v>357.22</v>
      </c>
      <c r="AK39" s="30">
        <f t="shared" si="1"/>
        <v>29262.359999999997</v>
      </c>
      <c r="AL39" s="31">
        <f t="shared" si="18"/>
        <v>2961.9580000000001</v>
      </c>
      <c r="AM39" s="30">
        <f t="shared" si="2"/>
        <v>26300.401999999998</v>
      </c>
      <c r="AN39" s="32">
        <f t="shared" si="19"/>
        <v>0</v>
      </c>
      <c r="AO39" s="31">
        <f>+'[1]C&amp;A'!W40*0.02</f>
        <v>0</v>
      </c>
      <c r="AP39" s="30">
        <f>+AC39+AN39+AO39</f>
        <v>29619.579999999998</v>
      </c>
      <c r="AQ39" s="33"/>
      <c r="AR39" s="51"/>
      <c r="AS39" s="35">
        <f>+AQ39+AR39-AM39</f>
        <v>-26300.401999999998</v>
      </c>
      <c r="AT39" s="35"/>
      <c r="AU39" s="38"/>
      <c r="AV39" s="17" t="str">
        <f t="shared" si="13"/>
        <v>SI</v>
      </c>
      <c r="AW39" s="224" t="s">
        <v>242</v>
      </c>
      <c r="AX39" s="223" t="s">
        <v>243</v>
      </c>
      <c r="AY39" s="17"/>
      <c r="AZ39" s="17"/>
      <c r="BA39" s="17"/>
      <c r="BB39" s="54"/>
      <c r="BC39" s="53"/>
    </row>
    <row r="40" spans="1:55">
      <c r="A40" s="200" t="s">
        <v>244</v>
      </c>
      <c r="B40" s="199" t="s">
        <v>245</v>
      </c>
      <c r="C40" s="234">
        <f>+INGENIERIA!F40</f>
        <v>5500.05</v>
      </c>
      <c r="D40" s="208">
        <v>0</v>
      </c>
      <c r="E40" s="208">
        <f>+'Hoja1 (2)'!F35</f>
        <v>0</v>
      </c>
      <c r="F40" s="208"/>
      <c r="H40" s="234">
        <f t="shared" si="3"/>
        <v>5500.05</v>
      </c>
      <c r="I40" s="245">
        <f t="shared" si="4"/>
        <v>-45.13</v>
      </c>
      <c r="J40" s="245">
        <f>+INGENIERIA!F40*2%</f>
        <v>110.001</v>
      </c>
      <c r="K40" s="245">
        <f t="shared" si="5"/>
        <v>412.50375000000003</v>
      </c>
      <c r="L40" s="234">
        <f t="shared" si="6"/>
        <v>5977.4247500000001</v>
      </c>
      <c r="M40" s="245">
        <f t="shared" si="7"/>
        <v>956.38796000000002</v>
      </c>
      <c r="N40" s="245">
        <f t="shared" si="8"/>
        <v>6933.8127100000002</v>
      </c>
      <c r="P40" s="234">
        <f t="shared" si="9"/>
        <v>0</v>
      </c>
      <c r="Q40" s="246">
        <f t="shared" si="10"/>
        <v>0</v>
      </c>
      <c r="R40" s="246">
        <f t="shared" si="11"/>
        <v>0</v>
      </c>
      <c r="S40" s="222" t="str">
        <f t="shared" si="12"/>
        <v>SI</v>
      </c>
      <c r="T40" s="38" t="s">
        <v>142</v>
      </c>
      <c r="U40" s="95" t="s">
        <v>283</v>
      </c>
      <c r="V40" s="58" t="s">
        <v>148</v>
      </c>
      <c r="W40" s="23">
        <v>42325</v>
      </c>
      <c r="X40" s="20" t="s">
        <v>149</v>
      </c>
      <c r="Y40" s="91"/>
      <c r="Z40" s="38"/>
      <c r="AA40" s="25"/>
      <c r="AB40" s="26">
        <v>45.13</v>
      </c>
      <c r="AC40" s="30">
        <f t="shared" si="0"/>
        <v>-45.13</v>
      </c>
      <c r="AD40" s="37"/>
      <c r="AE40" s="79"/>
      <c r="AF40" s="27"/>
      <c r="AG40" s="27"/>
      <c r="AH40" s="27"/>
      <c r="AI40" s="45"/>
      <c r="AJ40" s="45"/>
      <c r="AK40" s="30">
        <f t="shared" si="1"/>
        <v>-45.13</v>
      </c>
      <c r="AL40" s="31">
        <f t="shared" si="18"/>
        <v>0</v>
      </c>
      <c r="AM40" s="30">
        <f t="shared" si="2"/>
        <v>-45.13</v>
      </c>
      <c r="AN40" s="32">
        <f t="shared" si="19"/>
        <v>-4.5130000000000008</v>
      </c>
      <c r="AO40" s="31"/>
      <c r="AP40" s="30"/>
      <c r="AQ40" s="33"/>
      <c r="AR40" s="51"/>
      <c r="AS40" s="35"/>
      <c r="AT40" s="35"/>
      <c r="AU40" s="38"/>
      <c r="AV40" s="17" t="str">
        <f t="shared" si="13"/>
        <v>SI</v>
      </c>
      <c r="AW40" s="224" t="s">
        <v>244</v>
      </c>
      <c r="AX40" s="223" t="s">
        <v>245</v>
      </c>
      <c r="AY40" s="17"/>
      <c r="AZ40" s="17"/>
      <c r="BA40" s="17"/>
      <c r="BB40" s="54"/>
      <c r="BC40" s="53"/>
    </row>
    <row r="41" spans="1:55">
      <c r="A41" s="200" t="s">
        <v>248</v>
      </c>
      <c r="B41" s="199" t="s">
        <v>249</v>
      </c>
      <c r="C41" s="234">
        <f>+INGENIERIA!F41</f>
        <v>7500</v>
      </c>
      <c r="D41" s="208">
        <v>0</v>
      </c>
      <c r="E41" s="208">
        <f>+'Hoja1 (2)'!F36</f>
        <v>30155.34</v>
      </c>
      <c r="F41" s="208"/>
      <c r="H41" s="234">
        <f t="shared" si="3"/>
        <v>7500</v>
      </c>
      <c r="I41" s="245">
        <f t="shared" si="4"/>
        <v>-45.13</v>
      </c>
      <c r="J41" s="245">
        <f>+INGENIERIA!F41*2%</f>
        <v>150</v>
      </c>
      <c r="K41" s="245">
        <f t="shared" si="5"/>
        <v>562.5</v>
      </c>
      <c r="L41" s="234">
        <f t="shared" si="6"/>
        <v>8167.37</v>
      </c>
      <c r="M41" s="245">
        <f t="shared" si="7"/>
        <v>1306.7791999999999</v>
      </c>
      <c r="N41" s="245">
        <f t="shared" si="8"/>
        <v>9474.1491999999998</v>
      </c>
      <c r="P41" s="234">
        <f t="shared" si="9"/>
        <v>30155.34</v>
      </c>
      <c r="Q41" s="246">
        <f t="shared" si="10"/>
        <v>4824.8544000000002</v>
      </c>
      <c r="R41" s="246">
        <f t="shared" si="11"/>
        <v>34980.1944</v>
      </c>
      <c r="S41" s="222" t="str">
        <f t="shared" si="12"/>
        <v>SI</v>
      </c>
      <c r="T41" s="20" t="s">
        <v>97</v>
      </c>
      <c r="U41" s="20" t="s">
        <v>98</v>
      </c>
      <c r="V41" s="22">
        <v>9</v>
      </c>
      <c r="W41" s="23">
        <v>39814</v>
      </c>
      <c r="X41" s="20" t="s">
        <v>97</v>
      </c>
      <c r="Y41" s="90">
        <v>30155.34</v>
      </c>
      <c r="Z41" s="25"/>
      <c r="AA41" s="25"/>
      <c r="AB41" s="26">
        <v>45.13</v>
      </c>
      <c r="AC41" s="30">
        <f t="shared" si="0"/>
        <v>30110.21</v>
      </c>
      <c r="AD41" s="37"/>
      <c r="AE41" s="79"/>
      <c r="AF41" s="27"/>
      <c r="AG41" s="27"/>
      <c r="AH41" s="27"/>
      <c r="AI41" s="28"/>
      <c r="AJ41" s="29">
        <v>878.82</v>
      </c>
      <c r="AK41" s="30">
        <f t="shared" si="1"/>
        <v>29231.39</v>
      </c>
      <c r="AL41" s="31">
        <f t="shared" si="18"/>
        <v>3011.0210000000002</v>
      </c>
      <c r="AM41" s="30">
        <f t="shared" si="2"/>
        <v>26220.368999999999</v>
      </c>
      <c r="AN41" s="32">
        <f t="shared" si="19"/>
        <v>0</v>
      </c>
      <c r="AO41" s="31">
        <f>+'[1]C&amp;A'!W44*0.02</f>
        <v>0</v>
      </c>
      <c r="AP41" s="30">
        <f>+AC41+AN41+AO41</f>
        <v>30110.21</v>
      </c>
      <c r="AQ41" s="33"/>
      <c r="AR41" s="39"/>
      <c r="AS41" s="35">
        <f>+AQ41+AR41-AM41</f>
        <v>-26220.368999999999</v>
      </c>
      <c r="AT41" s="35"/>
      <c r="AU41" s="38"/>
      <c r="AV41" s="17" t="str">
        <f t="shared" si="13"/>
        <v>SI</v>
      </c>
      <c r="AW41" s="224" t="s">
        <v>248</v>
      </c>
      <c r="AX41" s="223" t="s">
        <v>249</v>
      </c>
      <c r="AY41" s="17"/>
      <c r="AZ41" s="17"/>
      <c r="BA41" s="17"/>
      <c r="BB41" s="17"/>
      <c r="BC41" s="53"/>
    </row>
    <row r="42" spans="1:55">
      <c r="A42" s="200" t="s">
        <v>256</v>
      </c>
      <c r="B42" s="199" t="s">
        <v>257</v>
      </c>
      <c r="C42" s="234">
        <f>+INGENIERIA!F42</f>
        <v>3000</v>
      </c>
      <c r="D42" s="208">
        <v>0</v>
      </c>
      <c r="E42" s="208">
        <f>+'Hoja1 (2)'!F37</f>
        <v>1000</v>
      </c>
      <c r="F42" s="208"/>
      <c r="H42" s="234">
        <f t="shared" si="3"/>
        <v>3000</v>
      </c>
      <c r="I42" s="245">
        <f t="shared" si="4"/>
        <v>-45.13</v>
      </c>
      <c r="J42" s="245">
        <f>+INGENIERIA!F42*2%</f>
        <v>60</v>
      </c>
      <c r="K42" s="245">
        <f t="shared" si="5"/>
        <v>225</v>
      </c>
      <c r="L42" s="234">
        <f t="shared" si="6"/>
        <v>3239.87</v>
      </c>
      <c r="M42" s="245">
        <f t="shared" si="7"/>
        <v>518.37919999999997</v>
      </c>
      <c r="N42" s="245">
        <f t="shared" si="8"/>
        <v>3758.2491999999997</v>
      </c>
      <c r="P42" s="234">
        <f t="shared" si="9"/>
        <v>1000</v>
      </c>
      <c r="Q42" s="246">
        <f t="shared" si="10"/>
        <v>160</v>
      </c>
      <c r="R42" s="246">
        <f t="shared" si="11"/>
        <v>1160</v>
      </c>
      <c r="S42" s="222" t="str">
        <f t="shared" si="12"/>
        <v>SI</v>
      </c>
      <c r="T42" s="20" t="s">
        <v>35</v>
      </c>
      <c r="U42" s="38" t="s">
        <v>106</v>
      </c>
      <c r="V42" s="22" t="s">
        <v>107</v>
      </c>
      <c r="W42" s="23">
        <v>42222</v>
      </c>
      <c r="X42" s="20" t="s">
        <v>108</v>
      </c>
      <c r="Y42" s="90">
        <v>1000</v>
      </c>
      <c r="Z42" s="25"/>
      <c r="AA42" s="25"/>
      <c r="AB42" s="26">
        <v>45.13</v>
      </c>
      <c r="AC42" s="30">
        <f t="shared" si="0"/>
        <v>954.87</v>
      </c>
      <c r="AD42" s="37"/>
      <c r="AE42" s="79"/>
      <c r="AF42" s="27"/>
      <c r="AG42" s="27"/>
      <c r="AH42" s="27"/>
      <c r="AI42" s="28"/>
      <c r="AJ42" s="29">
        <v>0</v>
      </c>
      <c r="AK42" s="30">
        <f t="shared" si="1"/>
        <v>954.87</v>
      </c>
      <c r="AL42" s="31">
        <f t="shared" si="18"/>
        <v>0</v>
      </c>
      <c r="AM42" s="30">
        <f t="shared" si="2"/>
        <v>954.87</v>
      </c>
      <c r="AN42" s="32">
        <f t="shared" si="19"/>
        <v>95.487000000000009</v>
      </c>
      <c r="AO42" s="31">
        <f>+'[1]C&amp;A'!W52*0.02</f>
        <v>0</v>
      </c>
      <c r="AP42" s="30">
        <f>+AC42+AN42+AO42</f>
        <v>1050.357</v>
      </c>
      <c r="AQ42" s="33"/>
      <c r="AR42" s="39"/>
      <c r="AS42" s="35">
        <f>+AQ42+AR42-AM42</f>
        <v>-954.87</v>
      </c>
      <c r="AT42" s="35"/>
      <c r="AU42" s="38"/>
      <c r="AV42" s="17" t="str">
        <f t="shared" si="13"/>
        <v>SI</v>
      </c>
      <c r="AW42" s="224" t="s">
        <v>256</v>
      </c>
      <c r="AX42" s="223" t="s">
        <v>257</v>
      </c>
      <c r="AY42" s="17"/>
      <c r="AZ42" s="17"/>
      <c r="BA42" s="17"/>
      <c r="BB42" s="17"/>
      <c r="BC42" s="19"/>
    </row>
    <row r="43" spans="1:55">
      <c r="A43" s="200" t="s">
        <v>260</v>
      </c>
      <c r="B43" s="199" t="s">
        <v>261</v>
      </c>
      <c r="C43" s="234">
        <f>+INGENIERIA!F43</f>
        <v>1866.76</v>
      </c>
      <c r="D43" s="208">
        <v>0</v>
      </c>
      <c r="E43" s="208">
        <f>+'Hoja1 (2)'!F38</f>
        <v>11960.28</v>
      </c>
      <c r="F43" s="208"/>
      <c r="H43" s="234">
        <f t="shared" si="3"/>
        <v>1866.76</v>
      </c>
      <c r="I43" s="245">
        <f t="shared" si="4"/>
        <v>-45.13</v>
      </c>
      <c r="J43" s="245">
        <f>+INGENIERIA!F43*2%</f>
        <v>37.3352</v>
      </c>
      <c r="K43" s="245">
        <f t="shared" si="5"/>
        <v>140.00700000000001</v>
      </c>
      <c r="L43" s="234">
        <f t="shared" si="6"/>
        <v>1998.9721999999999</v>
      </c>
      <c r="M43" s="245">
        <f t="shared" si="7"/>
        <v>319.83555200000001</v>
      </c>
      <c r="N43" s="245">
        <f t="shared" si="8"/>
        <v>2318.8077519999997</v>
      </c>
      <c r="P43" s="234">
        <f t="shared" si="9"/>
        <v>11960.28</v>
      </c>
      <c r="Q43" s="246">
        <f t="shared" si="10"/>
        <v>1913.6448</v>
      </c>
      <c r="R43" s="246">
        <f t="shared" si="11"/>
        <v>13873.924800000001</v>
      </c>
      <c r="S43" s="222" t="str">
        <f t="shared" si="12"/>
        <v>SI</v>
      </c>
      <c r="T43" s="20" t="s">
        <v>35</v>
      </c>
      <c r="U43" s="20" t="s">
        <v>111</v>
      </c>
      <c r="V43" s="22" t="s">
        <v>112</v>
      </c>
      <c r="W43" s="23">
        <v>41428</v>
      </c>
      <c r="X43" s="20" t="s">
        <v>113</v>
      </c>
      <c r="Y43" s="90">
        <v>11960.28</v>
      </c>
      <c r="Z43" s="25"/>
      <c r="AA43" s="25"/>
      <c r="AB43" s="26">
        <v>45.13</v>
      </c>
      <c r="AC43" s="30">
        <f t="shared" si="0"/>
        <v>11915.150000000001</v>
      </c>
      <c r="AD43" s="37"/>
      <c r="AE43" s="80">
        <v>1</v>
      </c>
      <c r="AF43" s="27"/>
      <c r="AG43" s="27"/>
      <c r="AH43" s="27"/>
      <c r="AI43" s="28"/>
      <c r="AJ43" s="29">
        <v>0</v>
      </c>
      <c r="AK43" s="30">
        <f t="shared" si="1"/>
        <v>11914.150000000001</v>
      </c>
      <c r="AL43" s="31">
        <f t="shared" si="18"/>
        <v>1191.5150000000001</v>
      </c>
      <c r="AM43" s="30">
        <f t="shared" si="2"/>
        <v>10722.635000000002</v>
      </c>
      <c r="AN43" s="32">
        <f t="shared" si="19"/>
        <v>0</v>
      </c>
      <c r="AO43" s="31">
        <f>+'[1]C&amp;A'!W54*0.02</f>
        <v>0</v>
      </c>
      <c r="AP43" s="30">
        <f>+AC43+AN43+AO43</f>
        <v>11915.150000000001</v>
      </c>
      <c r="AQ43" s="33"/>
      <c r="AR43" s="34"/>
      <c r="AS43" s="35">
        <f>+AQ43+AR43-AM43</f>
        <v>-10722.635000000002</v>
      </c>
      <c r="AT43" s="35"/>
      <c r="AU43" s="38"/>
      <c r="AV43" s="17" t="str">
        <f t="shared" si="13"/>
        <v>SI</v>
      </c>
      <c r="AW43" s="224" t="s">
        <v>260</v>
      </c>
      <c r="AX43" s="223" t="s">
        <v>261</v>
      </c>
      <c r="AY43" s="17"/>
      <c r="AZ43" s="17"/>
      <c r="BA43" s="155"/>
      <c r="BB43" s="155"/>
      <c r="BC43" s="36"/>
    </row>
    <row r="44" spans="1:55">
      <c r="A44" s="200" t="s">
        <v>262</v>
      </c>
      <c r="B44" s="199" t="s">
        <v>263</v>
      </c>
      <c r="C44" s="234">
        <f>+INGENIERIA!F44</f>
        <v>6000</v>
      </c>
      <c r="D44" s="208">
        <v>0</v>
      </c>
      <c r="E44" s="208">
        <f>+'Hoja1 (2)'!F39</f>
        <v>15773.28</v>
      </c>
      <c r="F44" s="208"/>
      <c r="H44" s="234">
        <f t="shared" si="3"/>
        <v>6000</v>
      </c>
      <c r="I44" s="245">
        <f t="shared" si="4"/>
        <v>-45.13</v>
      </c>
      <c r="J44" s="245">
        <f>+INGENIERIA!F44*2%</f>
        <v>120</v>
      </c>
      <c r="K44" s="245">
        <f t="shared" si="5"/>
        <v>450</v>
      </c>
      <c r="L44" s="234">
        <f t="shared" si="6"/>
        <v>6524.87</v>
      </c>
      <c r="M44" s="245">
        <f t="shared" si="7"/>
        <v>1043.9792</v>
      </c>
      <c r="N44" s="245">
        <f t="shared" si="8"/>
        <v>7568.8491999999997</v>
      </c>
      <c r="P44" s="234">
        <f t="shared" si="9"/>
        <v>15773.28</v>
      </c>
      <c r="Q44" s="246">
        <f t="shared" si="10"/>
        <v>2523.7248</v>
      </c>
      <c r="R44" s="246">
        <f t="shared" si="11"/>
        <v>18297.004800000002</v>
      </c>
      <c r="S44" s="222" t="str">
        <f t="shared" si="12"/>
        <v>SI</v>
      </c>
      <c r="T44" s="20" t="s">
        <v>103</v>
      </c>
      <c r="U44" s="20" t="s">
        <v>114</v>
      </c>
      <c r="V44" s="22">
        <v>8</v>
      </c>
      <c r="W44" s="23">
        <v>39608</v>
      </c>
      <c r="X44" s="20" t="s">
        <v>115</v>
      </c>
      <c r="Y44" s="90">
        <v>15773.28</v>
      </c>
      <c r="Z44" s="25"/>
      <c r="AA44" s="25"/>
      <c r="AB44" s="26">
        <v>45.13</v>
      </c>
      <c r="AC44" s="30">
        <f t="shared" si="0"/>
        <v>15728.150000000001</v>
      </c>
      <c r="AD44" s="37"/>
      <c r="AE44" s="79"/>
      <c r="AF44" s="27"/>
      <c r="AG44" s="27"/>
      <c r="AH44" s="27"/>
      <c r="AI44" s="28"/>
      <c r="AJ44" s="29">
        <v>0</v>
      </c>
      <c r="AK44" s="30">
        <f t="shared" si="1"/>
        <v>15728.150000000001</v>
      </c>
      <c r="AL44" s="31">
        <f t="shared" si="18"/>
        <v>1572.8150000000003</v>
      </c>
      <c r="AM44" s="30">
        <f t="shared" si="2"/>
        <v>14155.335000000001</v>
      </c>
      <c r="AN44" s="32">
        <f t="shared" si="19"/>
        <v>0</v>
      </c>
      <c r="AO44" s="31">
        <f>+'[1]C&amp;A'!W55*0.02</f>
        <v>0</v>
      </c>
      <c r="AP44" s="30">
        <f>+AC44+AN44+AO44</f>
        <v>15728.150000000001</v>
      </c>
      <c r="AQ44" s="33"/>
      <c r="AR44" s="39"/>
      <c r="AS44" s="35">
        <f>+AQ44+AR44-AM44</f>
        <v>-14155.335000000001</v>
      </c>
      <c r="AT44" s="35"/>
      <c r="AU44" s="38"/>
      <c r="AV44" s="17" t="str">
        <f t="shared" si="13"/>
        <v>SI</v>
      </c>
      <c r="AW44" s="224" t="s">
        <v>262</v>
      </c>
      <c r="AX44" s="223" t="s">
        <v>263</v>
      </c>
      <c r="AY44" s="17"/>
      <c r="AZ44" s="17"/>
      <c r="BA44" s="17"/>
      <c r="BC44" s="19"/>
    </row>
    <row r="45" spans="1:55">
      <c r="A45" s="200" t="s">
        <v>264</v>
      </c>
      <c r="B45" s="199" t="s">
        <v>265</v>
      </c>
      <c r="C45" s="234">
        <f>+INGENIERIA!F45</f>
        <v>6250.05</v>
      </c>
      <c r="D45" s="208">
        <v>0</v>
      </c>
      <c r="E45" s="208">
        <f>+'Hoja1 (2)'!F40</f>
        <v>6250</v>
      </c>
      <c r="F45" s="208"/>
      <c r="H45" s="234">
        <f t="shared" si="3"/>
        <v>6250.05</v>
      </c>
      <c r="I45" s="245">
        <f t="shared" si="4"/>
        <v>-45.13</v>
      </c>
      <c r="J45" s="245">
        <f>+INGENIERIA!F45*2%</f>
        <v>125.001</v>
      </c>
      <c r="K45" s="245">
        <f t="shared" si="5"/>
        <v>468.75374999999997</v>
      </c>
      <c r="L45" s="234">
        <f t="shared" si="6"/>
        <v>6798.6747500000001</v>
      </c>
      <c r="M45" s="245">
        <f t="shared" si="7"/>
        <v>1087.7879600000001</v>
      </c>
      <c r="N45" s="245">
        <f t="shared" si="8"/>
        <v>7886.4627099999998</v>
      </c>
      <c r="P45" s="234">
        <f t="shared" si="9"/>
        <v>6250</v>
      </c>
      <c r="Q45" s="246">
        <f t="shared" si="10"/>
        <v>1000</v>
      </c>
      <c r="R45" s="246">
        <f t="shared" si="11"/>
        <v>7250</v>
      </c>
      <c r="S45" s="222" t="str">
        <f t="shared" si="12"/>
        <v>SI</v>
      </c>
      <c r="T45" s="20" t="s">
        <v>142</v>
      </c>
      <c r="U45" s="95" t="s">
        <v>150</v>
      </c>
      <c r="V45" s="22" t="s">
        <v>151</v>
      </c>
      <c r="W45" s="23">
        <v>41793</v>
      </c>
      <c r="X45" s="20" t="s">
        <v>152</v>
      </c>
      <c r="Y45" s="90">
        <v>6250</v>
      </c>
      <c r="Z45" s="25"/>
      <c r="AA45" s="25"/>
      <c r="AB45" s="26">
        <v>45.13</v>
      </c>
      <c r="AC45" s="30">
        <f t="shared" si="0"/>
        <v>6204.87</v>
      </c>
      <c r="AD45" s="37"/>
      <c r="AE45" s="79"/>
      <c r="AF45" s="27"/>
      <c r="AG45" s="27"/>
      <c r="AH45" s="27"/>
      <c r="AI45" s="28"/>
      <c r="AJ45" s="29"/>
      <c r="AK45" s="30">
        <f t="shared" si="1"/>
        <v>6204.87</v>
      </c>
      <c r="AL45" s="31"/>
      <c r="AM45" s="30">
        <f t="shared" si="2"/>
        <v>6204.87</v>
      </c>
      <c r="AN45" s="32"/>
      <c r="AO45" s="31"/>
      <c r="AP45" s="30"/>
      <c r="AQ45" s="33"/>
      <c r="AR45" s="39"/>
      <c r="AS45" s="35"/>
      <c r="AT45" s="35"/>
      <c r="AU45" s="38"/>
      <c r="AV45" s="17" t="str">
        <f t="shared" si="13"/>
        <v>SI</v>
      </c>
      <c r="AW45" s="224" t="s">
        <v>264</v>
      </c>
      <c r="AX45" s="223" t="s">
        <v>265</v>
      </c>
      <c r="AY45" s="17"/>
      <c r="AZ45" s="17"/>
      <c r="BA45" s="17"/>
      <c r="BC45" s="19"/>
    </row>
    <row r="46" spans="1:55">
      <c r="A46" s="200" t="s">
        <v>266</v>
      </c>
      <c r="B46" s="199" t="s">
        <v>267</v>
      </c>
      <c r="C46" s="234">
        <f>+INGENIERIA!F46</f>
        <v>5868.75</v>
      </c>
      <c r="D46" s="208">
        <v>0</v>
      </c>
      <c r="E46" s="208">
        <f>+'Hoja1 (2)'!F41</f>
        <v>0</v>
      </c>
      <c r="F46" s="208"/>
      <c r="H46" s="234">
        <f t="shared" si="3"/>
        <v>5868.75</v>
      </c>
      <c r="I46" s="245">
        <f t="shared" si="4"/>
        <v>-45.13</v>
      </c>
      <c r="J46" s="245">
        <f>+INGENIERIA!F46*2%</f>
        <v>117.375</v>
      </c>
      <c r="K46" s="245">
        <f t="shared" si="5"/>
        <v>440.15625</v>
      </c>
      <c r="L46" s="234">
        <f t="shared" si="6"/>
        <v>6381.1512499999999</v>
      </c>
      <c r="M46" s="245">
        <f t="shared" si="7"/>
        <v>1020.9842</v>
      </c>
      <c r="N46" s="245">
        <f t="shared" si="8"/>
        <v>7402.1354499999998</v>
      </c>
      <c r="P46" s="234">
        <f t="shared" si="9"/>
        <v>0</v>
      </c>
      <c r="Q46" s="246">
        <f t="shared" si="10"/>
        <v>0</v>
      </c>
      <c r="R46" s="246">
        <f t="shared" si="11"/>
        <v>0</v>
      </c>
      <c r="S46" s="222" t="str">
        <f t="shared" si="12"/>
        <v>SI</v>
      </c>
      <c r="T46" s="20" t="s">
        <v>35</v>
      </c>
      <c r="U46" s="20" t="s">
        <v>137</v>
      </c>
      <c r="V46" s="22"/>
      <c r="W46" s="23">
        <v>42569</v>
      </c>
      <c r="X46" s="20" t="s">
        <v>138</v>
      </c>
      <c r="Y46" s="90"/>
      <c r="Z46" s="25"/>
      <c r="AA46" s="25"/>
      <c r="AB46" s="26">
        <v>45.13</v>
      </c>
      <c r="AC46" s="30">
        <f t="shared" si="0"/>
        <v>-45.13</v>
      </c>
      <c r="AD46" s="37"/>
      <c r="AE46" s="79"/>
      <c r="AF46" s="27"/>
      <c r="AG46" s="27"/>
      <c r="AH46" s="27"/>
      <c r="AI46" s="28"/>
      <c r="AJ46" s="29"/>
      <c r="AK46" s="30">
        <f t="shared" si="1"/>
        <v>-45.13</v>
      </c>
      <c r="AL46" s="31">
        <f>IF(AC46&gt;4500,AC46*0.1,0)</f>
        <v>0</v>
      </c>
      <c r="AM46" s="30">
        <f t="shared" si="2"/>
        <v>-45.13</v>
      </c>
      <c r="AN46" s="32">
        <f>IF(AC46&lt;4500,AC46*0.1,0)</f>
        <v>-4.5130000000000008</v>
      </c>
      <c r="AO46" s="31">
        <f>+'[1]C&amp;A'!W58*0.02</f>
        <v>0</v>
      </c>
      <c r="AP46" s="30">
        <f>+AC46+AN46+AO46</f>
        <v>-49.643000000000001</v>
      </c>
      <c r="AQ46" s="33"/>
      <c r="AR46" s="39"/>
      <c r="AS46" s="35"/>
      <c r="AT46" s="35"/>
      <c r="AU46" s="38"/>
      <c r="AV46" s="17" t="str">
        <f t="shared" si="13"/>
        <v>SI</v>
      </c>
      <c r="AW46" s="224" t="s">
        <v>266</v>
      </c>
      <c r="AX46" s="223" t="s">
        <v>267</v>
      </c>
      <c r="AY46" s="17"/>
      <c r="AZ46" s="17"/>
      <c r="BA46" s="17"/>
      <c r="BC46" s="19"/>
    </row>
    <row r="47" spans="1:55">
      <c r="A47" s="200" t="s">
        <v>268</v>
      </c>
      <c r="B47" s="199" t="s">
        <v>269</v>
      </c>
      <c r="C47" s="234">
        <f>+INGENIERIA!F47</f>
        <v>3750</v>
      </c>
      <c r="D47" s="208">
        <v>0</v>
      </c>
      <c r="E47" s="208">
        <f>+'Hoja1 (2)'!F42</f>
        <v>11495.76</v>
      </c>
      <c r="F47" s="208"/>
      <c r="H47" s="234">
        <f t="shared" si="3"/>
        <v>3750</v>
      </c>
      <c r="I47" s="245">
        <f t="shared" si="4"/>
        <v>-45.13</v>
      </c>
      <c r="J47" s="245">
        <f>+INGENIERIA!F47*2%</f>
        <v>75</v>
      </c>
      <c r="K47" s="245">
        <f t="shared" si="5"/>
        <v>281.25</v>
      </c>
      <c r="L47" s="234">
        <f t="shared" si="6"/>
        <v>4061.12</v>
      </c>
      <c r="M47" s="245">
        <f t="shared" si="7"/>
        <v>649.77919999999995</v>
      </c>
      <c r="N47" s="245">
        <f t="shared" si="8"/>
        <v>4710.8991999999998</v>
      </c>
      <c r="P47" s="234">
        <f t="shared" si="9"/>
        <v>11495.76</v>
      </c>
      <c r="Q47" s="246">
        <f t="shared" si="10"/>
        <v>1839.3216</v>
      </c>
      <c r="R47" s="246">
        <f t="shared" si="11"/>
        <v>13335.0816</v>
      </c>
      <c r="S47" s="222" t="str">
        <f t="shared" si="12"/>
        <v>SI</v>
      </c>
      <c r="T47" s="20" t="s">
        <v>71</v>
      </c>
      <c r="U47" s="20" t="s">
        <v>116</v>
      </c>
      <c r="V47" s="22">
        <v>18</v>
      </c>
      <c r="W47" s="23">
        <v>38733</v>
      </c>
      <c r="X47" s="20" t="s">
        <v>155</v>
      </c>
      <c r="Y47" s="90">
        <v>11495.76</v>
      </c>
      <c r="Z47" s="25"/>
      <c r="AA47" s="25"/>
      <c r="AB47" s="26">
        <v>45.13</v>
      </c>
      <c r="AC47" s="30">
        <f t="shared" si="0"/>
        <v>11450.630000000001</v>
      </c>
      <c r="AD47" s="37"/>
      <c r="AE47" s="79"/>
      <c r="AF47" s="27"/>
      <c r="AG47" s="27"/>
      <c r="AH47" s="27"/>
      <c r="AI47" s="28"/>
      <c r="AJ47" s="29">
        <v>741.3</v>
      </c>
      <c r="AK47" s="30">
        <f t="shared" si="1"/>
        <v>10709.330000000002</v>
      </c>
      <c r="AL47" s="31">
        <f>IF(AC47&gt;4500,AC47*0.1,0)</f>
        <v>1145.0630000000001</v>
      </c>
      <c r="AM47" s="30">
        <f t="shared" si="2"/>
        <v>9564.2670000000016</v>
      </c>
      <c r="AN47" s="32">
        <f>IF(AC47&lt;4500,AC47*0.1,0)</f>
        <v>0</v>
      </c>
      <c r="AO47" s="31">
        <f>+'[1]C&amp;A'!W57*0.02</f>
        <v>0</v>
      </c>
      <c r="AP47" s="30">
        <f>+AC47+AN47+AO47</f>
        <v>11450.630000000001</v>
      </c>
      <c r="AQ47" s="33"/>
      <c r="AR47" s="39"/>
      <c r="AS47" s="35">
        <f>+AQ47+AR47-AM47</f>
        <v>-9564.2670000000016</v>
      </c>
      <c r="AT47" s="35"/>
      <c r="AU47" s="38"/>
      <c r="AV47" s="17" t="str">
        <f t="shared" si="13"/>
        <v>SI</v>
      </c>
      <c r="AW47" s="224" t="s">
        <v>268</v>
      </c>
      <c r="AX47" s="223" t="s">
        <v>269</v>
      </c>
      <c r="AY47" s="17"/>
      <c r="AZ47" s="17"/>
      <c r="BC47" s="19"/>
    </row>
    <row r="48" spans="1:55">
      <c r="A48" s="200" t="s">
        <v>272</v>
      </c>
      <c r="B48" s="199" t="s">
        <v>273</v>
      </c>
      <c r="C48" s="234">
        <f>+INGENIERIA!F48</f>
        <v>5868.6</v>
      </c>
      <c r="D48" s="208">
        <v>0</v>
      </c>
      <c r="E48" s="208">
        <f>+'Hoja1 (2)'!F43</f>
        <v>0</v>
      </c>
      <c r="F48" s="234"/>
      <c r="H48" s="234">
        <f t="shared" si="3"/>
        <v>5868.6</v>
      </c>
      <c r="I48" s="245">
        <f t="shared" si="4"/>
        <v>-45.13</v>
      </c>
      <c r="J48" s="245">
        <f>+INGENIERIA!F48*2%</f>
        <v>117.37200000000001</v>
      </c>
      <c r="K48" s="245">
        <f t="shared" si="5"/>
        <v>440.14500000000004</v>
      </c>
      <c r="L48" s="234">
        <f t="shared" si="6"/>
        <v>6380.987000000001</v>
      </c>
      <c r="M48" s="245">
        <f t="shared" si="7"/>
        <v>1020.9579200000002</v>
      </c>
      <c r="N48" s="245">
        <f t="shared" si="8"/>
        <v>7401.9449200000008</v>
      </c>
      <c r="P48" s="234">
        <f t="shared" si="9"/>
        <v>0</v>
      </c>
      <c r="Q48" s="246">
        <f t="shared" si="10"/>
        <v>0</v>
      </c>
      <c r="R48" s="246">
        <f t="shared" si="11"/>
        <v>0</v>
      </c>
      <c r="S48" s="222" t="str">
        <f t="shared" si="12"/>
        <v>SI</v>
      </c>
      <c r="T48" s="20" t="s">
        <v>103</v>
      </c>
      <c r="U48" s="20" t="s">
        <v>159</v>
      </c>
      <c r="V48" s="22"/>
      <c r="W48" s="23">
        <v>42608</v>
      </c>
      <c r="X48" s="20" t="s">
        <v>104</v>
      </c>
      <c r="Y48" s="90"/>
      <c r="Z48" s="25"/>
      <c r="AA48" s="25"/>
      <c r="AB48" s="26">
        <v>45.13</v>
      </c>
      <c r="AC48" s="30">
        <f t="shared" si="0"/>
        <v>-45.13</v>
      </c>
      <c r="AD48" s="37"/>
      <c r="AE48" s="79"/>
      <c r="AF48" s="27"/>
      <c r="AG48" s="27"/>
      <c r="AH48" s="27"/>
      <c r="AI48" s="28"/>
      <c r="AJ48" s="29"/>
      <c r="AK48" s="30">
        <f t="shared" si="1"/>
        <v>-45.13</v>
      </c>
      <c r="AL48" s="31">
        <f>IF(AC48&gt;4500,AC48*0.1,0)</f>
        <v>0</v>
      </c>
      <c r="AM48" s="30">
        <f t="shared" si="2"/>
        <v>-45.13</v>
      </c>
      <c r="AN48" s="32">
        <f>IF(AC48&lt;4500,AC48*0.1,0)</f>
        <v>-4.5130000000000008</v>
      </c>
      <c r="AO48" s="31"/>
      <c r="AP48" s="30"/>
      <c r="AQ48" s="33"/>
      <c r="AR48" s="39"/>
      <c r="AS48" s="35"/>
      <c r="AT48" s="35"/>
      <c r="AU48" s="38"/>
      <c r="AV48" s="17" t="str">
        <f t="shared" si="13"/>
        <v>SI</v>
      </c>
      <c r="AW48" s="224" t="s">
        <v>272</v>
      </c>
      <c r="AX48" s="223" t="s">
        <v>273</v>
      </c>
      <c r="AY48" s="155"/>
      <c r="AZ48" s="155"/>
      <c r="BA48" s="17"/>
      <c r="BB48" s="17"/>
      <c r="BC48" s="36"/>
    </row>
    <row r="49" spans="1:55">
      <c r="A49" s="200" t="s">
        <v>274</v>
      </c>
      <c r="B49" s="199" t="s">
        <v>275</v>
      </c>
      <c r="C49" s="234">
        <f>+INGENIERIA!F49</f>
        <v>3750</v>
      </c>
      <c r="D49" s="208">
        <v>0</v>
      </c>
      <c r="E49" s="208">
        <f>+'Hoja1 (2)'!F44</f>
        <v>13166.04</v>
      </c>
      <c r="F49" s="234"/>
      <c r="H49" s="234">
        <f t="shared" si="3"/>
        <v>3750</v>
      </c>
      <c r="I49" s="245">
        <f t="shared" si="4"/>
        <v>-45.13</v>
      </c>
      <c r="J49" s="245">
        <f>+INGENIERIA!F49*2%</f>
        <v>75</v>
      </c>
      <c r="K49" s="245">
        <f t="shared" si="5"/>
        <v>281.25</v>
      </c>
      <c r="L49" s="234">
        <f t="shared" si="6"/>
        <v>4061.12</v>
      </c>
      <c r="M49" s="245">
        <f t="shared" si="7"/>
        <v>649.77919999999995</v>
      </c>
      <c r="N49" s="245">
        <f t="shared" si="8"/>
        <v>4710.8991999999998</v>
      </c>
      <c r="P49" s="234">
        <f t="shared" si="9"/>
        <v>13166.04</v>
      </c>
      <c r="Q49" s="246">
        <f t="shared" si="10"/>
        <v>2106.5664000000002</v>
      </c>
      <c r="R49" s="246">
        <f t="shared" si="11"/>
        <v>15272.606400000001</v>
      </c>
      <c r="S49" s="222" t="str">
        <f t="shared" si="12"/>
        <v>SI</v>
      </c>
      <c r="T49" s="20" t="s">
        <v>97</v>
      </c>
      <c r="U49" s="20" t="s">
        <v>122</v>
      </c>
      <c r="V49" s="20" t="s">
        <v>123</v>
      </c>
      <c r="W49" s="23">
        <v>42321</v>
      </c>
      <c r="X49" s="20" t="s">
        <v>97</v>
      </c>
      <c r="Y49" s="90">
        <v>13166.04</v>
      </c>
      <c r="Z49" s="25"/>
      <c r="AA49" s="25"/>
      <c r="AB49" s="26">
        <v>45.13</v>
      </c>
      <c r="AC49" s="30">
        <f t="shared" si="0"/>
        <v>13120.910000000002</v>
      </c>
      <c r="AD49" s="37"/>
      <c r="AE49" s="79"/>
      <c r="AF49" s="27"/>
      <c r="AG49" s="27"/>
      <c r="AH49" s="27"/>
      <c r="AI49" s="28"/>
      <c r="AJ49" s="29">
        <v>335.19</v>
      </c>
      <c r="AK49" s="30">
        <f t="shared" si="1"/>
        <v>12785.720000000001</v>
      </c>
      <c r="AL49" s="31">
        <f>IF(AC49&gt;4500,AC49*0.1,0)</f>
        <v>1312.0910000000003</v>
      </c>
      <c r="AM49" s="30">
        <f t="shared" si="2"/>
        <v>11473.629000000001</v>
      </c>
      <c r="AN49" s="32">
        <f>IF(AC49&lt;4500,AC49*0.1,0)</f>
        <v>0</v>
      </c>
      <c r="AO49" s="31">
        <f>+'[1]C&amp;A'!W61*0.02</f>
        <v>0</v>
      </c>
      <c r="AP49" s="30">
        <f>+AC49+AN49+AO49</f>
        <v>13120.910000000002</v>
      </c>
      <c r="AQ49" s="33"/>
      <c r="AR49" s="34"/>
      <c r="AS49" s="35">
        <f>+AQ49+AR49-AM49</f>
        <v>-11473.629000000001</v>
      </c>
      <c r="AT49" s="35"/>
      <c r="AU49" s="38"/>
      <c r="AV49" s="17" t="str">
        <f t="shared" si="13"/>
        <v>SI</v>
      </c>
      <c r="AW49" s="224" t="s">
        <v>274</v>
      </c>
      <c r="AX49" s="223" t="s">
        <v>275</v>
      </c>
      <c r="AY49" s="17"/>
      <c r="AZ49" s="17"/>
      <c r="BA49" s="17"/>
      <c r="BB49" s="17"/>
      <c r="BC49" s="36"/>
    </row>
    <row r="50" spans="1:55">
      <c r="A50" s="200" t="s">
        <v>276</v>
      </c>
      <c r="B50" s="199" t="s">
        <v>277</v>
      </c>
      <c r="C50" s="234">
        <f>+INGENIERIA!F50</f>
        <v>3250.05</v>
      </c>
      <c r="D50" s="208">
        <v>0</v>
      </c>
      <c r="E50" s="208">
        <f>+'Hoja1 (2)'!F45</f>
        <v>0</v>
      </c>
      <c r="F50" s="234"/>
      <c r="H50" s="234">
        <f t="shared" si="3"/>
        <v>3250.05</v>
      </c>
      <c r="I50" s="245">
        <f t="shared" si="4"/>
        <v>-45.13</v>
      </c>
      <c r="J50" s="245">
        <f>+INGENIERIA!F50*2%</f>
        <v>65.001000000000005</v>
      </c>
      <c r="K50" s="245">
        <f t="shared" si="5"/>
        <v>243.75375</v>
      </c>
      <c r="L50" s="234">
        <f t="shared" si="6"/>
        <v>3513.6747500000001</v>
      </c>
      <c r="M50" s="245">
        <f t="shared" si="7"/>
        <v>562.18796000000009</v>
      </c>
      <c r="N50" s="245">
        <f t="shared" si="8"/>
        <v>4075.8627100000003</v>
      </c>
      <c r="O50" s="231"/>
      <c r="P50" s="234">
        <f t="shared" si="9"/>
        <v>0</v>
      </c>
      <c r="Q50" s="246">
        <f t="shared" si="10"/>
        <v>0</v>
      </c>
      <c r="R50" s="246">
        <f t="shared" si="11"/>
        <v>0</v>
      </c>
      <c r="S50" s="222" t="str">
        <f t="shared" si="12"/>
        <v>SI</v>
      </c>
      <c r="T50" s="189" t="s">
        <v>35</v>
      </c>
      <c r="U50" s="61" t="s">
        <v>124</v>
      </c>
      <c r="V50" s="190"/>
      <c r="W50" s="191">
        <v>42169</v>
      </c>
      <c r="X50" s="190" t="s">
        <v>38</v>
      </c>
      <c r="Y50" s="192"/>
      <c r="Z50" s="62"/>
      <c r="AA50" s="62"/>
      <c r="AB50" s="173">
        <v>45.13</v>
      </c>
      <c r="AC50" s="73">
        <f t="shared" si="0"/>
        <v>-45.13</v>
      </c>
      <c r="AD50" s="193"/>
      <c r="AE50" s="194"/>
      <c r="AF50" s="75"/>
      <c r="AG50" s="75"/>
      <c r="AH50" s="75"/>
      <c r="AI50" s="195"/>
      <c r="AJ50" s="196">
        <v>0</v>
      </c>
      <c r="AK50" s="181">
        <f t="shared" si="1"/>
        <v>-45.13</v>
      </c>
      <c r="AL50" s="64">
        <f>IF(AC50&gt;4500,AC50*0.1,0)</f>
        <v>0</v>
      </c>
      <c r="AM50" s="73">
        <f t="shared" si="2"/>
        <v>-45.13</v>
      </c>
      <c r="AN50" s="76">
        <f>IF(AC50&lt;4500,AC50*0.1,0)</f>
        <v>-4.5130000000000008</v>
      </c>
      <c r="AO50" s="64">
        <f>+'[1]C&amp;A'!W62*0.02</f>
        <v>0</v>
      </c>
      <c r="AP50" s="73">
        <f>+AC50+AN50+AO50</f>
        <v>-49.643000000000001</v>
      </c>
      <c r="AQ50" s="183"/>
      <c r="AR50" s="185"/>
      <c r="AS50" s="186">
        <f>+AQ50+AR50-AM50</f>
        <v>45.13</v>
      </c>
      <c r="AT50" s="197"/>
      <c r="AU50" s="38"/>
      <c r="AV50" s="17" t="str">
        <f>IF(U50=AX50,"SI","NO")</f>
        <v>SI</v>
      </c>
      <c r="AW50" s="224" t="s">
        <v>276</v>
      </c>
      <c r="AX50" s="223" t="s">
        <v>277</v>
      </c>
      <c r="AY50" s="17"/>
      <c r="AZ50" s="17"/>
      <c r="BA50" s="155"/>
      <c r="BB50" s="155"/>
      <c r="BC50" s="36"/>
    </row>
    <row r="51" spans="1:55" ht="16.5" thickBot="1">
      <c r="A51" s="210" t="s">
        <v>308</v>
      </c>
      <c r="B51" s="205"/>
      <c r="C51" s="205" t="s">
        <v>309</v>
      </c>
      <c r="D51" s="205" t="s">
        <v>309</v>
      </c>
      <c r="E51" s="231" t="s">
        <v>309</v>
      </c>
      <c r="F51" s="234"/>
      <c r="H51" s="231" t="s">
        <v>309</v>
      </c>
      <c r="I51" s="231" t="s">
        <v>309</v>
      </c>
      <c r="J51" s="231" t="s">
        <v>309</v>
      </c>
      <c r="K51" s="231" t="s">
        <v>309</v>
      </c>
      <c r="L51" s="231" t="s">
        <v>309</v>
      </c>
      <c r="M51" s="231" t="s">
        <v>309</v>
      </c>
      <c r="N51" s="231" t="s">
        <v>309</v>
      </c>
      <c r="P51" s="231" t="s">
        <v>309</v>
      </c>
      <c r="Q51" s="231" t="s">
        <v>309</v>
      </c>
      <c r="R51" s="231" t="s">
        <v>309</v>
      </c>
      <c r="S51" s="222" t="str">
        <f t="shared" si="12"/>
        <v>SI</v>
      </c>
      <c r="T51" s="164"/>
      <c r="U51" s="165"/>
      <c r="V51" s="167"/>
      <c r="W51" s="167"/>
      <c r="X51" s="165"/>
      <c r="Y51" s="239">
        <f t="shared" ref="Y51" si="20">SUM(Y11:Y50)</f>
        <v>488044.08000000007</v>
      </c>
      <c r="Z51" s="239">
        <f t="shared" ref="Z51" si="21">SUM(Z11:Z50)</f>
        <v>0</v>
      </c>
      <c r="AA51" s="239">
        <f t="shared" ref="AA51" si="22">SUM(AA11:AA50)</f>
        <v>0</v>
      </c>
      <c r="AB51" s="239">
        <f t="shared" ref="AB51" si="23">SUM(AB11:AB50)</f>
        <v>1714.9400000000016</v>
      </c>
      <c r="AC51" s="239">
        <f t="shared" ref="AC51" si="24">SUM(AC11:AC50)</f>
        <v>486329.14</v>
      </c>
      <c r="AD51" s="239">
        <f t="shared" ref="AD51" si="25">SUM(AD11:AD50)</f>
        <v>0</v>
      </c>
      <c r="AE51" s="239">
        <f t="shared" ref="AE51" si="26">SUM(AE11:AE50)</f>
        <v>1</v>
      </c>
      <c r="AF51" s="239">
        <f t="shared" ref="AF51" si="27">SUM(AF11:AF50)</f>
        <v>0</v>
      </c>
      <c r="AG51" s="239">
        <f t="shared" ref="AG51" si="28">SUM(AG11:AG50)</f>
        <v>0</v>
      </c>
      <c r="AH51" s="239">
        <f t="shared" ref="AH51" si="29">SUM(AH11:AH50)</f>
        <v>0</v>
      </c>
      <c r="AI51" s="239">
        <f t="shared" ref="AI51" si="30">SUM(AI11:AI50)</f>
        <v>657.18999999999994</v>
      </c>
      <c r="AJ51" s="239">
        <f t="shared" ref="AJ51" si="31">SUM(AJ11:AJ50)</f>
        <v>5283.2499999999991</v>
      </c>
      <c r="AK51" s="174"/>
      <c r="AL51" s="180"/>
      <c r="AM51" s="174"/>
      <c r="AN51" s="182"/>
      <c r="AO51" s="180"/>
      <c r="AP51" s="174"/>
      <c r="AQ51" s="183"/>
      <c r="AR51" s="184"/>
      <c r="AS51" s="186"/>
      <c r="AT51" s="186"/>
      <c r="AU51" s="166"/>
      <c r="AW51" s="237" t="s">
        <v>308</v>
      </c>
      <c r="AX51" s="231"/>
      <c r="AY51" s="17"/>
      <c r="AZ51" s="17"/>
      <c r="BA51" s="17"/>
      <c r="BB51" s="17"/>
      <c r="BC51" s="36"/>
    </row>
    <row r="52" spans="1:55" ht="16.5" thickTop="1">
      <c r="C52" s="212">
        <f>SUM(C12:C51)</f>
        <v>187997.86</v>
      </c>
      <c r="D52" s="239">
        <f t="shared" ref="D52" si="32">SUM(D12:D51)</f>
        <v>0</v>
      </c>
      <c r="E52" s="239">
        <f>SUM(E12:E51)</f>
        <v>488044.08000000007</v>
      </c>
      <c r="F52" s="234"/>
      <c r="H52" s="239">
        <f t="shared" ref="H52:N52" si="33">SUM(H12:H51)</f>
        <v>187997.86</v>
      </c>
      <c r="I52" s="239">
        <f t="shared" si="33"/>
        <v>-2372.1300000000024</v>
      </c>
      <c r="J52" s="239">
        <f t="shared" si="33"/>
        <v>3759.9572000000007</v>
      </c>
      <c r="K52" s="239">
        <f t="shared" si="33"/>
        <v>14099.839499999996</v>
      </c>
      <c r="L52" s="239">
        <f t="shared" si="33"/>
        <v>203485.52669999996</v>
      </c>
      <c r="M52" s="239">
        <f t="shared" si="33"/>
        <v>32557.684272000013</v>
      </c>
      <c r="N52" s="239">
        <f t="shared" si="33"/>
        <v>236043.210972</v>
      </c>
      <c r="P52" s="239">
        <f>SUM(P12:P51)</f>
        <v>488044.08000000007</v>
      </c>
      <c r="Q52" s="239">
        <f>SUM(Q12:Q51)</f>
        <v>78087.05279999999</v>
      </c>
      <c r="R52" s="239">
        <f>SUM(R12:R51)</f>
        <v>566131.13280000002</v>
      </c>
      <c r="T52" s="164"/>
      <c r="U52" s="253"/>
      <c r="V52" s="254"/>
      <c r="W52" s="254"/>
      <c r="X52" s="253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55"/>
      <c r="AL52" s="178"/>
      <c r="AM52" s="255"/>
      <c r="AN52" s="256"/>
      <c r="AO52" s="178"/>
      <c r="AP52" s="255"/>
      <c r="AQ52" s="183"/>
      <c r="AR52" s="184"/>
      <c r="AS52" s="186"/>
      <c r="AT52" s="186"/>
      <c r="AU52" s="166"/>
      <c r="AW52" s="237"/>
      <c r="AX52" s="231"/>
      <c r="AY52" s="17"/>
      <c r="AZ52" s="17"/>
      <c r="BA52" s="17"/>
      <c r="BB52" s="17"/>
      <c r="BC52" s="36"/>
    </row>
    <row r="53" spans="1:55">
      <c r="T53" s="164"/>
      <c r="U53" s="253"/>
      <c r="V53" s="254"/>
      <c r="W53" s="254"/>
      <c r="X53" s="253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55"/>
      <c r="AL53" s="178"/>
      <c r="AM53" s="255"/>
      <c r="AN53" s="256"/>
      <c r="AO53" s="178"/>
      <c r="AP53" s="255"/>
      <c r="AQ53" s="183"/>
      <c r="AR53" s="184"/>
      <c r="AS53" s="186"/>
      <c r="AT53" s="186"/>
      <c r="AU53" s="166"/>
      <c r="AW53" s="237"/>
      <c r="AX53" s="231"/>
      <c r="AY53" s="17"/>
      <c r="AZ53" s="17"/>
      <c r="BA53" s="17"/>
      <c r="BB53" s="17"/>
      <c r="BC53" s="36"/>
    </row>
    <row r="54" spans="1:55">
      <c r="A54" s="206" t="s">
        <v>310</v>
      </c>
      <c r="T54" s="164"/>
      <c r="U54" s="166"/>
      <c r="V54" s="166"/>
      <c r="W54" s="166"/>
      <c r="X54" s="166"/>
      <c r="Y54" s="169"/>
      <c r="Z54" s="171"/>
      <c r="AA54" s="171"/>
      <c r="AB54" s="171"/>
      <c r="AC54" s="175"/>
      <c r="AD54" s="171"/>
      <c r="AE54" s="178"/>
      <c r="AF54" s="178"/>
      <c r="AG54" s="178"/>
      <c r="AH54" s="178"/>
      <c r="AI54" s="178"/>
      <c r="AJ54" s="178"/>
      <c r="AK54" s="175"/>
      <c r="AL54" s="178"/>
      <c r="AM54" s="175"/>
      <c r="AN54" s="178"/>
      <c r="AO54" s="178"/>
      <c r="AP54" s="175"/>
      <c r="AQ54" s="66"/>
      <c r="AR54" s="66"/>
      <c r="AS54" s="17"/>
      <c r="AT54" s="17"/>
      <c r="AU54" s="17"/>
      <c r="AW54" s="232"/>
      <c r="AX54" s="222"/>
      <c r="BA54" s="155"/>
      <c r="BB54" s="155"/>
      <c r="BC54" s="36"/>
    </row>
    <row r="55" spans="1:55">
      <c r="A55" s="200" t="s">
        <v>202</v>
      </c>
      <c r="B55" s="199" t="s">
        <v>203</v>
      </c>
      <c r="C55" s="208">
        <v>1200</v>
      </c>
      <c r="D55" s="208">
        <f>+'Hoja1 (2)'!F48</f>
        <v>1800</v>
      </c>
      <c r="E55" s="234">
        <v>0</v>
      </c>
      <c r="F55" s="208">
        <f>SUM(C55:E55)</f>
        <v>3000</v>
      </c>
      <c r="H55" s="234">
        <f>+F55</f>
        <v>3000</v>
      </c>
      <c r="I55" s="245">
        <f t="shared" ref="I55:I66" si="34">-AB55-AI55</f>
        <v>-45.13</v>
      </c>
      <c r="J55" s="245">
        <f>+INGENIERIA!F55*2%</f>
        <v>60</v>
      </c>
      <c r="K55" s="245">
        <f>H55*7.5%</f>
        <v>225</v>
      </c>
      <c r="L55" s="234">
        <f>SUM(H55:K55)</f>
        <v>3239.87</v>
      </c>
      <c r="M55" s="245">
        <f>+L55*0.16</f>
        <v>518.37919999999997</v>
      </c>
      <c r="N55" s="245">
        <f>+L55+M55</f>
        <v>3758.2491999999997</v>
      </c>
      <c r="P55" s="245">
        <v>0</v>
      </c>
      <c r="Q55" s="246">
        <f t="shared" ref="Q55:Q66" si="35">+P55*0.16</f>
        <v>0</v>
      </c>
      <c r="R55" s="246">
        <f t="shared" ref="R55:R66" si="36">+P55+Q55</f>
        <v>0</v>
      </c>
      <c r="S55" s="222" t="str">
        <f t="shared" ref="S55:S66" si="37">IF(U55=B55,"SI","NO")</f>
        <v>SI</v>
      </c>
      <c r="T55" s="21" t="s">
        <v>42</v>
      </c>
      <c r="U55" s="21" t="s">
        <v>53</v>
      </c>
      <c r="V55" s="118"/>
      <c r="W55" s="119">
        <v>42429</v>
      </c>
      <c r="X55" s="21" t="s">
        <v>54</v>
      </c>
      <c r="Y55" s="120">
        <v>1800</v>
      </c>
      <c r="Z55" s="148"/>
      <c r="AA55" s="121"/>
      <c r="AB55" s="149">
        <v>45.13</v>
      </c>
      <c r="AC55" s="150">
        <f t="shared" ref="AC55:AC66" si="38">SUM(Y55:AA55)-AB55</f>
        <v>1754.87</v>
      </c>
      <c r="AD55" s="121"/>
      <c r="AE55" s="122"/>
      <c r="AF55" s="123"/>
      <c r="AG55" s="123"/>
      <c r="AH55" s="123"/>
      <c r="AI55" s="151"/>
      <c r="AJ55" s="124"/>
      <c r="AK55" s="150">
        <f t="shared" ref="AK55:AK61" si="39">+AC55-SUM(AD55:AJ55)</f>
        <v>1754.87</v>
      </c>
      <c r="AL55" s="123">
        <f t="shared" ref="AL55:AL61" si="40">IF(AC55&gt;4500,AC55*0.1,0)</f>
        <v>0</v>
      </c>
      <c r="AM55" s="150">
        <f t="shared" ref="AM55:AM61" si="41">+AK55-AL55</f>
        <v>1754.87</v>
      </c>
      <c r="AN55" s="123">
        <f t="shared" ref="AN55:AN61" si="42">IF(AC55&lt;4500,AC55*0.1,0)</f>
        <v>175.48699999999999</v>
      </c>
      <c r="AO55" s="123">
        <f>+'[1]C&amp;A'!W23*0.02</f>
        <v>0</v>
      </c>
      <c r="AP55" s="150">
        <f t="shared" ref="AP55:AP61" si="43">+AC55+AN55+AO55</f>
        <v>1930.357</v>
      </c>
      <c r="AQ55" s="152"/>
      <c r="AR55" s="153"/>
      <c r="AS55" s="154">
        <f>+AQ55+AR55-AM55</f>
        <v>-1754.87</v>
      </c>
      <c r="AT55" s="154"/>
      <c r="AU55" s="21"/>
      <c r="AV55" s="17" t="str">
        <f t="shared" ref="AV55:AV66" si="44">IF(U55=AX55,"SI","NO")</f>
        <v>SI</v>
      </c>
      <c r="AW55" s="224" t="s">
        <v>202</v>
      </c>
      <c r="AX55" s="223" t="s">
        <v>203</v>
      </c>
      <c r="AY55" s="17"/>
      <c r="AZ55" s="17"/>
      <c r="BA55" s="155"/>
      <c r="BB55" s="155"/>
      <c r="BC55" s="36"/>
    </row>
    <row r="56" spans="1:55">
      <c r="A56" s="200" t="s">
        <v>204</v>
      </c>
      <c r="B56" s="199" t="s">
        <v>205</v>
      </c>
      <c r="C56" s="208">
        <v>1200</v>
      </c>
      <c r="D56" s="208">
        <f>+'Hoja1 (2)'!F49</f>
        <v>1800</v>
      </c>
      <c r="E56" s="234">
        <v>0</v>
      </c>
      <c r="F56" s="234">
        <f t="shared" ref="F56:F66" si="45">SUM(C56:E56)</f>
        <v>3000</v>
      </c>
      <c r="H56" s="234">
        <f t="shared" ref="H56:H66" si="46">+F56</f>
        <v>3000</v>
      </c>
      <c r="I56" s="245">
        <f t="shared" si="34"/>
        <v>-45.13</v>
      </c>
      <c r="J56" s="245">
        <f>+INGENIERIA!F56*2%</f>
        <v>60</v>
      </c>
      <c r="K56" s="245">
        <f t="shared" ref="K56:K66" si="47">H56*7.5%</f>
        <v>225</v>
      </c>
      <c r="L56" s="245">
        <f t="shared" ref="L56:L66" si="48">SUM(H56:K56)</f>
        <v>3239.87</v>
      </c>
      <c r="M56" s="245">
        <f t="shared" ref="M56:M66" si="49">+L56*0.16</f>
        <v>518.37919999999997</v>
      </c>
      <c r="N56" s="245">
        <f t="shared" ref="N56:N66" si="50">+L56+M56</f>
        <v>3758.2491999999997</v>
      </c>
      <c r="P56" s="245">
        <v>0</v>
      </c>
      <c r="Q56" s="246">
        <f t="shared" si="35"/>
        <v>0</v>
      </c>
      <c r="R56" s="246">
        <f t="shared" si="36"/>
        <v>0</v>
      </c>
      <c r="S56" s="222" t="str">
        <f t="shared" si="37"/>
        <v>SI</v>
      </c>
      <c r="T56" s="21" t="s">
        <v>42</v>
      </c>
      <c r="U56" s="21" t="s">
        <v>157</v>
      </c>
      <c r="V56" s="118"/>
      <c r="W56" s="119">
        <v>42599</v>
      </c>
      <c r="X56" s="21" t="s">
        <v>54</v>
      </c>
      <c r="Y56" s="120">
        <v>1800</v>
      </c>
      <c r="Z56" s="148"/>
      <c r="AA56" s="121"/>
      <c r="AB56" s="149">
        <v>45.13</v>
      </c>
      <c r="AC56" s="150">
        <f t="shared" si="38"/>
        <v>1754.87</v>
      </c>
      <c r="AD56" s="121"/>
      <c r="AE56" s="122"/>
      <c r="AF56" s="123"/>
      <c r="AG56" s="123"/>
      <c r="AH56" s="123"/>
      <c r="AI56" s="151"/>
      <c r="AJ56" s="124"/>
      <c r="AK56" s="150">
        <f t="shared" si="39"/>
        <v>1754.87</v>
      </c>
      <c r="AL56" s="123">
        <f t="shared" si="40"/>
        <v>0</v>
      </c>
      <c r="AM56" s="150">
        <f t="shared" si="41"/>
        <v>1754.87</v>
      </c>
      <c r="AN56" s="123">
        <f t="shared" si="42"/>
        <v>175.48699999999999</v>
      </c>
      <c r="AO56" s="123">
        <f>+'[1]C&amp;A'!W24*0.02</f>
        <v>0</v>
      </c>
      <c r="AP56" s="150">
        <f t="shared" si="43"/>
        <v>1930.357</v>
      </c>
      <c r="AQ56" s="152"/>
      <c r="AR56" s="153"/>
      <c r="AS56" s="154"/>
      <c r="AT56" s="154"/>
      <c r="AU56" s="21"/>
      <c r="AV56" s="17" t="str">
        <f t="shared" si="44"/>
        <v>SI</v>
      </c>
      <c r="AW56" s="224" t="s">
        <v>204</v>
      </c>
      <c r="AX56" s="223" t="s">
        <v>205</v>
      </c>
      <c r="AY56" s="17"/>
      <c r="AZ56" s="17"/>
      <c r="BA56" s="17"/>
      <c r="BB56" s="17"/>
      <c r="BC56" s="36"/>
    </row>
    <row r="57" spans="1:55">
      <c r="A57" s="200" t="s">
        <v>210</v>
      </c>
      <c r="B57" s="199" t="s">
        <v>211</v>
      </c>
      <c r="C57" s="208">
        <v>1200</v>
      </c>
      <c r="D57" s="208">
        <f>+'Hoja1 (2)'!F50</f>
        <v>1162.5</v>
      </c>
      <c r="E57" s="234">
        <v>0</v>
      </c>
      <c r="F57" s="234">
        <f t="shared" si="45"/>
        <v>2362.5</v>
      </c>
      <c r="H57" s="234">
        <f t="shared" si="46"/>
        <v>2362.5</v>
      </c>
      <c r="I57" s="245">
        <f t="shared" si="34"/>
        <v>-45.13</v>
      </c>
      <c r="J57" s="245">
        <f>+INGENIERIA!F57*2%</f>
        <v>47.25</v>
      </c>
      <c r="K57" s="245">
        <f t="shared" si="47"/>
        <v>177.1875</v>
      </c>
      <c r="L57" s="245">
        <f t="shared" si="48"/>
        <v>2541.8074999999999</v>
      </c>
      <c r="M57" s="245">
        <f t="shared" si="49"/>
        <v>406.68919999999997</v>
      </c>
      <c r="N57" s="245">
        <f t="shared" si="50"/>
        <v>2948.4966999999997</v>
      </c>
      <c r="P57" s="245">
        <v>0</v>
      </c>
      <c r="Q57" s="246">
        <f t="shared" si="35"/>
        <v>0</v>
      </c>
      <c r="R57" s="246">
        <f t="shared" si="36"/>
        <v>0</v>
      </c>
      <c r="S57" s="222" t="str">
        <f t="shared" si="37"/>
        <v>SI</v>
      </c>
      <c r="T57" s="21" t="s">
        <v>42</v>
      </c>
      <c r="U57" s="21" t="s">
        <v>60</v>
      </c>
      <c r="V57" s="118" t="s">
        <v>61</v>
      </c>
      <c r="W57" s="119">
        <v>42337</v>
      </c>
      <c r="X57" s="21" t="s">
        <v>62</v>
      </c>
      <c r="Y57" s="120">
        <v>1162.5</v>
      </c>
      <c r="Z57" s="121"/>
      <c r="AA57" s="121"/>
      <c r="AB57" s="149">
        <v>45.13</v>
      </c>
      <c r="AC57" s="150">
        <f t="shared" si="38"/>
        <v>1117.3699999999999</v>
      </c>
      <c r="AD57" s="121"/>
      <c r="AE57" s="159"/>
      <c r="AF57" s="123"/>
      <c r="AG57" s="123"/>
      <c r="AH57" s="123"/>
      <c r="AI57" s="151"/>
      <c r="AJ57" s="124">
        <v>0</v>
      </c>
      <c r="AK57" s="150">
        <f t="shared" si="39"/>
        <v>1117.3699999999999</v>
      </c>
      <c r="AL57" s="123">
        <f t="shared" si="40"/>
        <v>0</v>
      </c>
      <c r="AM57" s="150">
        <f t="shared" si="41"/>
        <v>1117.3699999999999</v>
      </c>
      <c r="AN57" s="123">
        <f t="shared" si="42"/>
        <v>111.73699999999999</v>
      </c>
      <c r="AO57" s="123">
        <f>+'[1]C&amp;A'!W26*0.02</f>
        <v>0</v>
      </c>
      <c r="AP57" s="150">
        <f t="shared" si="43"/>
        <v>1229.107</v>
      </c>
      <c r="AQ57" s="152"/>
      <c r="AR57" s="160"/>
      <c r="AS57" s="154">
        <f>+AQ57+AR57-AM57</f>
        <v>-1117.3699999999999</v>
      </c>
      <c r="AT57" s="154"/>
      <c r="AU57" s="161"/>
      <c r="AV57" s="17" t="str">
        <f t="shared" si="44"/>
        <v>SI</v>
      </c>
      <c r="AW57" s="224" t="s">
        <v>210</v>
      </c>
      <c r="AX57" s="223" t="s">
        <v>211</v>
      </c>
      <c r="AY57" s="155"/>
      <c r="AZ57" s="155"/>
      <c r="BA57" s="155"/>
      <c r="BB57" s="155"/>
      <c r="BC57" s="36"/>
    </row>
    <row r="58" spans="1:55">
      <c r="A58" s="200" t="s">
        <v>220</v>
      </c>
      <c r="B58" s="199" t="s">
        <v>221</v>
      </c>
      <c r="C58" s="208">
        <v>1200</v>
      </c>
      <c r="D58" s="208">
        <f>+'Hoja1 (2)'!F51</f>
        <v>2110</v>
      </c>
      <c r="E58" s="234">
        <v>0</v>
      </c>
      <c r="F58" s="234">
        <f t="shared" si="45"/>
        <v>3310</v>
      </c>
      <c r="H58" s="234">
        <f t="shared" si="46"/>
        <v>3310</v>
      </c>
      <c r="I58" s="245">
        <f t="shared" si="34"/>
        <v>-45.13</v>
      </c>
      <c r="J58" s="245">
        <f>+INGENIERIA!F58*2%</f>
        <v>66.2</v>
      </c>
      <c r="K58" s="245">
        <f t="shared" si="47"/>
        <v>248.25</v>
      </c>
      <c r="L58" s="245">
        <f t="shared" si="48"/>
        <v>3579.3199999999997</v>
      </c>
      <c r="M58" s="245">
        <f t="shared" si="49"/>
        <v>572.69119999999998</v>
      </c>
      <c r="N58" s="245">
        <f t="shared" si="50"/>
        <v>4152.0111999999999</v>
      </c>
      <c r="P58" s="245">
        <v>0</v>
      </c>
      <c r="Q58" s="246">
        <f t="shared" si="35"/>
        <v>0</v>
      </c>
      <c r="R58" s="246">
        <f t="shared" si="36"/>
        <v>0</v>
      </c>
      <c r="S58" s="222" t="str">
        <f t="shared" si="37"/>
        <v>SI</v>
      </c>
      <c r="T58" s="21" t="s">
        <v>42</v>
      </c>
      <c r="U58" s="21" t="s">
        <v>158</v>
      </c>
      <c r="V58" s="21"/>
      <c r="W58" s="119">
        <v>42598</v>
      </c>
      <c r="X58" s="21" t="s">
        <v>96</v>
      </c>
      <c r="Y58" s="120">
        <v>2110</v>
      </c>
      <c r="Z58" s="121"/>
      <c r="AA58" s="121"/>
      <c r="AB58" s="149">
        <v>45.13</v>
      </c>
      <c r="AC58" s="150">
        <f t="shared" si="38"/>
        <v>2064.87</v>
      </c>
      <c r="AD58" s="121"/>
      <c r="AE58" s="122"/>
      <c r="AF58" s="123"/>
      <c r="AG58" s="123"/>
      <c r="AH58" s="123"/>
      <c r="AI58" s="151"/>
      <c r="AJ58" s="124"/>
      <c r="AK58" s="150">
        <f t="shared" si="39"/>
        <v>2064.87</v>
      </c>
      <c r="AL58" s="123">
        <f t="shared" si="40"/>
        <v>0</v>
      </c>
      <c r="AM58" s="150">
        <f t="shared" si="41"/>
        <v>2064.87</v>
      </c>
      <c r="AN58" s="123">
        <f t="shared" si="42"/>
        <v>206.48699999999999</v>
      </c>
      <c r="AO58" s="123">
        <f>+'[1]C&amp;A'!W30*0.02</f>
        <v>0</v>
      </c>
      <c r="AP58" s="150">
        <f t="shared" si="43"/>
        <v>2271.357</v>
      </c>
      <c r="AQ58" s="152"/>
      <c r="AR58" s="160"/>
      <c r="AS58" s="154"/>
      <c r="AT58" s="154"/>
      <c r="AU58" s="21"/>
      <c r="AV58" s="17" t="str">
        <f t="shared" si="44"/>
        <v>SI</v>
      </c>
      <c r="AW58" s="224" t="s">
        <v>220</v>
      </c>
      <c r="AX58" s="223" t="s">
        <v>221</v>
      </c>
      <c r="AY58" s="17"/>
      <c r="AZ58" s="17"/>
      <c r="BA58" s="17"/>
      <c r="BB58" s="17"/>
      <c r="BC58" s="52"/>
    </row>
    <row r="59" spans="1:55">
      <c r="A59" s="200" t="s">
        <v>224</v>
      </c>
      <c r="B59" s="199" t="s">
        <v>225</v>
      </c>
      <c r="C59" s="208">
        <v>1200</v>
      </c>
      <c r="D59" s="208">
        <f>+'Hoja1 (2)'!F52</f>
        <v>3652.5</v>
      </c>
      <c r="E59" s="234">
        <v>0</v>
      </c>
      <c r="F59" s="234">
        <f t="shared" si="45"/>
        <v>4852.5</v>
      </c>
      <c r="H59" s="234">
        <f t="shared" si="46"/>
        <v>4852.5</v>
      </c>
      <c r="I59" s="245">
        <f t="shared" si="34"/>
        <v>-45.13</v>
      </c>
      <c r="J59" s="245">
        <f>+INGENIERIA!F59*2%</f>
        <v>97.05</v>
      </c>
      <c r="K59" s="245">
        <f t="shared" si="47"/>
        <v>363.9375</v>
      </c>
      <c r="L59" s="245">
        <f t="shared" si="48"/>
        <v>5268.3575000000001</v>
      </c>
      <c r="M59" s="245">
        <f t="shared" si="49"/>
        <v>842.93720000000008</v>
      </c>
      <c r="N59" s="245">
        <f t="shared" si="50"/>
        <v>6111.2947000000004</v>
      </c>
      <c r="P59" s="245">
        <v>0</v>
      </c>
      <c r="Q59" s="246">
        <f t="shared" si="35"/>
        <v>0</v>
      </c>
      <c r="R59" s="246">
        <f t="shared" si="36"/>
        <v>0</v>
      </c>
      <c r="S59" s="222" t="str">
        <f t="shared" si="37"/>
        <v>SI</v>
      </c>
      <c r="T59" s="21" t="s">
        <v>42</v>
      </c>
      <c r="U59" s="21" t="s">
        <v>72</v>
      </c>
      <c r="V59" s="118"/>
      <c r="W59" s="119">
        <v>5</v>
      </c>
      <c r="X59" s="21" t="s">
        <v>62</v>
      </c>
      <c r="Y59" s="120">
        <v>3652.5</v>
      </c>
      <c r="Z59" s="121"/>
      <c r="AA59" s="121"/>
      <c r="AB59" s="149">
        <v>45.13</v>
      </c>
      <c r="AC59" s="150">
        <f t="shared" si="38"/>
        <v>3607.37</v>
      </c>
      <c r="AD59" s="121"/>
      <c r="AE59" s="122"/>
      <c r="AF59" s="123"/>
      <c r="AG59" s="123"/>
      <c r="AH59" s="123"/>
      <c r="AI59" s="124"/>
      <c r="AJ59" s="124">
        <v>0</v>
      </c>
      <c r="AK59" s="150">
        <f t="shared" si="39"/>
        <v>3607.37</v>
      </c>
      <c r="AL59" s="123">
        <f t="shared" si="40"/>
        <v>0</v>
      </c>
      <c r="AM59" s="150">
        <f t="shared" si="41"/>
        <v>3607.37</v>
      </c>
      <c r="AN59" s="123">
        <f t="shared" si="42"/>
        <v>360.73700000000002</v>
      </c>
      <c r="AO59" s="123">
        <f>+'[1]C&amp;A'!W31*0.02</f>
        <v>0</v>
      </c>
      <c r="AP59" s="150">
        <f t="shared" si="43"/>
        <v>3968.107</v>
      </c>
      <c r="AQ59" s="152"/>
      <c r="AR59" s="160"/>
      <c r="AS59" s="154">
        <f>+AQ59+AR59-AM59</f>
        <v>-3607.37</v>
      </c>
      <c r="AT59" s="187"/>
      <c r="AU59" s="21"/>
      <c r="AV59" s="17" t="str">
        <f t="shared" si="44"/>
        <v>SI</v>
      </c>
      <c r="AW59" s="224" t="s">
        <v>224</v>
      </c>
      <c r="AX59" s="223" t="s">
        <v>225</v>
      </c>
      <c r="AY59" s="155"/>
      <c r="AZ59" s="155"/>
      <c r="BA59" s="17"/>
      <c r="BB59" s="17"/>
      <c r="BC59" s="36"/>
    </row>
    <row r="60" spans="1:55">
      <c r="A60" s="200" t="s">
        <v>226</v>
      </c>
      <c r="B60" s="199" t="s">
        <v>227</v>
      </c>
      <c r="C60" s="208">
        <v>1200</v>
      </c>
      <c r="D60" s="208">
        <f>+'Hoja1 (2)'!F53</f>
        <v>4312.5</v>
      </c>
      <c r="E60" s="234">
        <v>0</v>
      </c>
      <c r="F60" s="234">
        <f t="shared" si="45"/>
        <v>5512.5</v>
      </c>
      <c r="H60" s="234">
        <f t="shared" si="46"/>
        <v>5512.5</v>
      </c>
      <c r="I60" s="245">
        <f t="shared" si="34"/>
        <v>-45.13</v>
      </c>
      <c r="J60" s="245">
        <f>+INGENIERIA!F60*2%</f>
        <v>110.25</v>
      </c>
      <c r="K60" s="245">
        <f t="shared" si="47"/>
        <v>413.4375</v>
      </c>
      <c r="L60" s="245">
        <f t="shared" si="48"/>
        <v>5991.0574999999999</v>
      </c>
      <c r="M60" s="245">
        <f t="shared" si="49"/>
        <v>958.56920000000002</v>
      </c>
      <c r="N60" s="245">
        <f t="shared" si="50"/>
        <v>6949.6266999999998</v>
      </c>
      <c r="P60" s="245">
        <v>0</v>
      </c>
      <c r="Q60" s="246">
        <f t="shared" si="35"/>
        <v>0</v>
      </c>
      <c r="R60" s="246">
        <f t="shared" si="36"/>
        <v>0</v>
      </c>
      <c r="S60" s="222" t="str">
        <f t="shared" si="37"/>
        <v>SI</v>
      </c>
      <c r="T60" s="21" t="s">
        <v>42</v>
      </c>
      <c r="U60" s="21" t="s">
        <v>73</v>
      </c>
      <c r="V60" s="118" t="s">
        <v>74</v>
      </c>
      <c r="W60" s="119">
        <v>41852</v>
      </c>
      <c r="X60" s="21" t="s">
        <v>54</v>
      </c>
      <c r="Y60" s="120">
        <v>4312.5</v>
      </c>
      <c r="Z60" s="121"/>
      <c r="AA60" s="121"/>
      <c r="AB60" s="149">
        <v>45.13</v>
      </c>
      <c r="AC60" s="150">
        <f t="shared" si="38"/>
        <v>4267.37</v>
      </c>
      <c r="AD60" s="121"/>
      <c r="AE60" s="122"/>
      <c r="AF60" s="123"/>
      <c r="AG60" s="123"/>
      <c r="AH60" s="123"/>
      <c r="AI60" s="151"/>
      <c r="AJ60" s="124">
        <v>0</v>
      </c>
      <c r="AK60" s="150">
        <f t="shared" si="39"/>
        <v>4267.37</v>
      </c>
      <c r="AL60" s="123">
        <f t="shared" si="40"/>
        <v>0</v>
      </c>
      <c r="AM60" s="150">
        <f t="shared" si="41"/>
        <v>4267.37</v>
      </c>
      <c r="AN60" s="123">
        <f t="shared" si="42"/>
        <v>426.73700000000002</v>
      </c>
      <c r="AO60" s="123">
        <f>+'[1]C&amp;A'!W32*0.02</f>
        <v>0</v>
      </c>
      <c r="AP60" s="150">
        <f t="shared" si="43"/>
        <v>4694.107</v>
      </c>
      <c r="AQ60" s="152"/>
      <c r="AR60" s="160"/>
      <c r="AS60" s="154">
        <f>+AQ60+AR60-AM60</f>
        <v>-4267.37</v>
      </c>
      <c r="AT60" s="154"/>
      <c r="AU60" s="21"/>
      <c r="AV60" s="17" t="str">
        <f t="shared" si="44"/>
        <v>SI</v>
      </c>
      <c r="AW60" s="224" t="s">
        <v>226</v>
      </c>
      <c r="AX60" s="223" t="s">
        <v>227</v>
      </c>
      <c r="AY60" s="155"/>
      <c r="AZ60" s="155"/>
      <c r="BA60" s="17"/>
      <c r="BB60" s="17"/>
      <c r="BC60" s="53"/>
    </row>
    <row r="61" spans="1:55">
      <c r="A61" s="200" t="s">
        <v>246</v>
      </c>
      <c r="B61" s="199" t="s">
        <v>247</v>
      </c>
      <c r="C61" s="208">
        <v>1200</v>
      </c>
      <c r="D61" s="208">
        <f>+'Hoja1 (2)'!F54</f>
        <v>1050.4000000000001</v>
      </c>
      <c r="E61" s="234">
        <v>0</v>
      </c>
      <c r="F61" s="234">
        <f t="shared" si="45"/>
        <v>2250.4</v>
      </c>
      <c r="H61" s="234">
        <f t="shared" si="46"/>
        <v>2250.4</v>
      </c>
      <c r="I61" s="245">
        <f t="shared" si="34"/>
        <v>-45.13</v>
      </c>
      <c r="J61" s="245">
        <f>+INGENIERIA!F61*2%</f>
        <v>45.008000000000003</v>
      </c>
      <c r="K61" s="245">
        <f t="shared" si="47"/>
        <v>168.78</v>
      </c>
      <c r="L61" s="245">
        <f t="shared" si="48"/>
        <v>2419.058</v>
      </c>
      <c r="M61" s="245">
        <f t="shared" si="49"/>
        <v>387.04928000000001</v>
      </c>
      <c r="N61" s="245">
        <f t="shared" si="50"/>
        <v>2806.1072800000002</v>
      </c>
      <c r="P61" s="245">
        <v>0</v>
      </c>
      <c r="Q61" s="246">
        <f t="shared" si="35"/>
        <v>0</v>
      </c>
      <c r="R61" s="246">
        <f t="shared" si="36"/>
        <v>0</v>
      </c>
      <c r="S61" s="222" t="str">
        <f t="shared" si="37"/>
        <v>SI</v>
      </c>
      <c r="T61" s="21" t="s">
        <v>42</v>
      </c>
      <c r="U61" s="21" t="s">
        <v>94</v>
      </c>
      <c r="V61" s="118" t="s">
        <v>95</v>
      </c>
      <c r="W61" s="119">
        <v>40122</v>
      </c>
      <c r="X61" s="21" t="s">
        <v>96</v>
      </c>
      <c r="Y61" s="120">
        <v>1050.4000000000001</v>
      </c>
      <c r="Z61" s="121"/>
      <c r="AA61" s="121"/>
      <c r="AB61" s="149">
        <v>45.13</v>
      </c>
      <c r="AC61" s="150">
        <f t="shared" si="38"/>
        <v>1005.2700000000001</v>
      </c>
      <c r="AD61" s="121"/>
      <c r="AE61" s="122"/>
      <c r="AF61" s="123"/>
      <c r="AG61" s="123"/>
      <c r="AH61" s="123"/>
      <c r="AI61" s="151"/>
      <c r="AJ61" s="124">
        <v>0</v>
      </c>
      <c r="AK61" s="150">
        <f t="shared" si="39"/>
        <v>1005.2700000000001</v>
      </c>
      <c r="AL61" s="123">
        <f t="shared" si="40"/>
        <v>0</v>
      </c>
      <c r="AM61" s="150">
        <f t="shared" si="41"/>
        <v>1005.2700000000001</v>
      </c>
      <c r="AN61" s="123">
        <f t="shared" si="42"/>
        <v>100.52700000000002</v>
      </c>
      <c r="AO61" s="123">
        <f>+'[1]C&amp;A'!W43*0.02</f>
        <v>0</v>
      </c>
      <c r="AP61" s="150">
        <f t="shared" si="43"/>
        <v>1105.797</v>
      </c>
      <c r="AQ61" s="152"/>
      <c r="AR61" s="160"/>
      <c r="AS61" s="154">
        <f>+AQ61+AR61-AM61</f>
        <v>-1005.2700000000001</v>
      </c>
      <c r="AT61" s="154"/>
      <c r="AU61" s="21"/>
      <c r="AV61" s="17" t="str">
        <f t="shared" si="44"/>
        <v>SI</v>
      </c>
      <c r="AW61" s="224" t="s">
        <v>246</v>
      </c>
      <c r="AX61" s="223" t="s">
        <v>247</v>
      </c>
      <c r="AY61" s="17"/>
      <c r="AZ61" s="17"/>
      <c r="BA61" s="17"/>
      <c r="BB61" s="17"/>
      <c r="BC61" s="53"/>
    </row>
    <row r="62" spans="1:55">
      <c r="A62" s="200" t="s">
        <v>250</v>
      </c>
      <c r="B62" s="199" t="s">
        <v>251</v>
      </c>
      <c r="C62" s="208">
        <v>1750.05</v>
      </c>
      <c r="D62" s="208">
        <f>+'Hoja1 (2)'!F55</f>
        <v>11019.49</v>
      </c>
      <c r="E62" s="234">
        <v>0</v>
      </c>
      <c r="F62" s="234">
        <f t="shared" si="45"/>
        <v>12769.539999999999</v>
      </c>
      <c r="H62" s="234">
        <f t="shared" si="46"/>
        <v>12769.539999999999</v>
      </c>
      <c r="I62" s="245">
        <f t="shared" si="34"/>
        <v>0</v>
      </c>
      <c r="J62" s="245">
        <f>+INGENIERIA!F62*2%</f>
        <v>255.39079999999998</v>
      </c>
      <c r="K62" s="245">
        <f t="shared" si="47"/>
        <v>957.71549999999991</v>
      </c>
      <c r="L62" s="245">
        <f t="shared" si="48"/>
        <v>13982.646299999999</v>
      </c>
      <c r="M62" s="245">
        <f t="shared" si="49"/>
        <v>2237.2234079999998</v>
      </c>
      <c r="N62" s="245">
        <f t="shared" si="50"/>
        <v>16219.869707999998</v>
      </c>
      <c r="P62" s="245">
        <v>0</v>
      </c>
      <c r="Q62" s="246">
        <f t="shared" si="35"/>
        <v>0</v>
      </c>
      <c r="R62" s="246">
        <f t="shared" si="36"/>
        <v>0</v>
      </c>
      <c r="S62" s="222" t="str">
        <f t="shared" si="37"/>
        <v>SI</v>
      </c>
      <c r="T62" s="21" t="s">
        <v>42</v>
      </c>
      <c r="U62" s="21" t="s">
        <v>284</v>
      </c>
      <c r="V62" s="118"/>
      <c r="W62" s="119">
        <v>39516</v>
      </c>
      <c r="X62" s="21" t="s">
        <v>87</v>
      </c>
      <c r="Y62" s="120">
        <v>11019.49</v>
      </c>
      <c r="Z62" s="121"/>
      <c r="AA62" s="121"/>
      <c r="AB62" s="149"/>
      <c r="AC62" s="150">
        <f t="shared" si="38"/>
        <v>11019.49</v>
      </c>
      <c r="AD62" s="121"/>
      <c r="AE62" s="123"/>
      <c r="AF62" s="123"/>
      <c r="AG62" s="123"/>
      <c r="AH62" s="123"/>
      <c r="AI62" s="121"/>
      <c r="AJ62" s="121">
        <v>3519.49</v>
      </c>
      <c r="AK62" s="150">
        <f>+AC62-AD62</f>
        <v>11019.49</v>
      </c>
      <c r="AL62" s="123">
        <f>+AK62*0.05</f>
        <v>550.97450000000003</v>
      </c>
      <c r="AM62" s="150">
        <f>+AK62-AG62-AJ62</f>
        <v>7500</v>
      </c>
      <c r="AN62" s="123">
        <f>IF(AK62&lt;3000,AK62*0.1,0)</f>
        <v>0</v>
      </c>
      <c r="AO62" s="123">
        <v>0</v>
      </c>
      <c r="AP62" s="150">
        <f>+AK62+AN62+AO62</f>
        <v>11019.49</v>
      </c>
      <c r="AQ62" s="163"/>
      <c r="AR62" s="163"/>
      <c r="AS62" s="21"/>
      <c r="AT62" s="21"/>
      <c r="AU62" s="21"/>
      <c r="AV62" s="17" t="str">
        <f t="shared" si="44"/>
        <v>SI</v>
      </c>
      <c r="AW62" s="224" t="s">
        <v>250</v>
      </c>
      <c r="AX62" s="223" t="s">
        <v>251</v>
      </c>
      <c r="AY62" s="155"/>
      <c r="AZ62" s="155"/>
    </row>
    <row r="63" spans="1:55">
      <c r="A63" s="200" t="s">
        <v>252</v>
      </c>
      <c r="B63" s="199" t="s">
        <v>253</v>
      </c>
      <c r="C63" s="208">
        <v>1200</v>
      </c>
      <c r="D63" s="208">
        <f>+'Hoja1 (2)'!F56</f>
        <v>5652.5</v>
      </c>
      <c r="E63" s="234">
        <v>0</v>
      </c>
      <c r="F63" s="234">
        <f t="shared" si="45"/>
        <v>6852.5</v>
      </c>
      <c r="H63" s="234">
        <f t="shared" si="46"/>
        <v>6852.5</v>
      </c>
      <c r="I63" s="245">
        <f t="shared" si="34"/>
        <v>-45.13</v>
      </c>
      <c r="J63" s="245">
        <f>+INGENIERIA!F63*2%</f>
        <v>137.05000000000001</v>
      </c>
      <c r="K63" s="245">
        <f t="shared" si="47"/>
        <v>513.9375</v>
      </c>
      <c r="L63" s="245">
        <f t="shared" si="48"/>
        <v>7458.3575000000001</v>
      </c>
      <c r="M63" s="245">
        <f t="shared" si="49"/>
        <v>1193.3371999999999</v>
      </c>
      <c r="N63" s="245">
        <f t="shared" si="50"/>
        <v>8651.6947</v>
      </c>
      <c r="P63" s="245">
        <v>0</v>
      </c>
      <c r="Q63" s="246">
        <f t="shared" si="35"/>
        <v>0</v>
      </c>
      <c r="R63" s="246">
        <f t="shared" si="36"/>
        <v>0</v>
      </c>
      <c r="S63" s="222" t="str">
        <f t="shared" si="37"/>
        <v>SI</v>
      </c>
      <c r="T63" s="21" t="s">
        <v>42</v>
      </c>
      <c r="U63" s="21" t="s">
        <v>154</v>
      </c>
      <c r="V63" s="21">
        <v>33</v>
      </c>
      <c r="W63" s="119">
        <v>39833</v>
      </c>
      <c r="X63" s="21" t="s">
        <v>102</v>
      </c>
      <c r="Y63" s="120">
        <v>5652.5</v>
      </c>
      <c r="Z63" s="121"/>
      <c r="AA63" s="121"/>
      <c r="AB63" s="149">
        <v>45.13</v>
      </c>
      <c r="AC63" s="150">
        <f t="shared" si="38"/>
        <v>5607.37</v>
      </c>
      <c r="AD63" s="121"/>
      <c r="AE63" s="122"/>
      <c r="AF63" s="123"/>
      <c r="AG63" s="123"/>
      <c r="AH63" s="123"/>
      <c r="AI63" s="151"/>
      <c r="AJ63" s="124">
        <v>0</v>
      </c>
      <c r="AK63" s="150">
        <f>+AC63-SUM(AD63:AJ63)</f>
        <v>5607.37</v>
      </c>
      <c r="AL63" s="123">
        <f>IF(AC63&gt;4500,AC63*0.1,0)</f>
        <v>560.73699999999997</v>
      </c>
      <c r="AM63" s="150">
        <f>+AK63-AL63</f>
        <v>5046.6329999999998</v>
      </c>
      <c r="AN63" s="123">
        <f>IF(AC63&lt;4500,AC63*0.1,0)</f>
        <v>0</v>
      </c>
      <c r="AO63" s="123">
        <f>+'[1]C&amp;A'!W49*0.02</f>
        <v>0</v>
      </c>
      <c r="AP63" s="150">
        <f>+AC63+AN63+AO63</f>
        <v>5607.37</v>
      </c>
      <c r="AQ63" s="152"/>
      <c r="AR63" s="160"/>
      <c r="AS63" s="154">
        <f>+AQ63+AR63-AM63</f>
        <v>-5046.6329999999998</v>
      </c>
      <c r="AT63" s="154"/>
      <c r="AU63" s="21"/>
      <c r="AV63" s="17" t="str">
        <f t="shared" si="44"/>
        <v>SI</v>
      </c>
      <c r="AW63" s="224" t="s">
        <v>252</v>
      </c>
      <c r="AX63" s="223" t="s">
        <v>253</v>
      </c>
      <c r="AY63" s="17"/>
      <c r="AZ63" s="17"/>
    </row>
    <row r="64" spans="1:55">
      <c r="A64" s="200" t="s">
        <v>254</v>
      </c>
      <c r="B64" s="199" t="s">
        <v>255</v>
      </c>
      <c r="C64" s="208">
        <v>1200</v>
      </c>
      <c r="D64" s="208">
        <f>+'Hoja1 (2)'!F57</f>
        <v>3345</v>
      </c>
      <c r="E64" s="234">
        <v>0</v>
      </c>
      <c r="F64" s="234">
        <f t="shared" si="45"/>
        <v>4545</v>
      </c>
      <c r="H64" s="234">
        <f t="shared" si="46"/>
        <v>4545</v>
      </c>
      <c r="I64" s="245">
        <f t="shared" si="34"/>
        <v>-45.13</v>
      </c>
      <c r="J64" s="245">
        <f>+INGENIERIA!F64*2%</f>
        <v>90.9</v>
      </c>
      <c r="K64" s="245">
        <f t="shared" si="47"/>
        <v>340.875</v>
      </c>
      <c r="L64" s="245">
        <f t="shared" si="48"/>
        <v>4931.6449999999995</v>
      </c>
      <c r="M64" s="245">
        <f t="shared" si="49"/>
        <v>789.06319999999994</v>
      </c>
      <c r="N64" s="245">
        <f t="shared" si="50"/>
        <v>5720.7081999999991</v>
      </c>
      <c r="P64" s="245">
        <v>0</v>
      </c>
      <c r="Q64" s="246">
        <f t="shared" si="35"/>
        <v>0</v>
      </c>
      <c r="R64" s="246">
        <f t="shared" si="36"/>
        <v>0</v>
      </c>
      <c r="S64" s="222" t="str">
        <f t="shared" si="37"/>
        <v>SI</v>
      </c>
      <c r="T64" s="21" t="s">
        <v>42</v>
      </c>
      <c r="U64" s="21" t="s">
        <v>105</v>
      </c>
      <c r="V64" s="118"/>
      <c r="W64" s="119">
        <v>42429</v>
      </c>
      <c r="X64" s="21" t="s">
        <v>62</v>
      </c>
      <c r="Y64" s="120">
        <v>3345</v>
      </c>
      <c r="Z64" s="121"/>
      <c r="AA64" s="121"/>
      <c r="AB64" s="149">
        <v>45.13</v>
      </c>
      <c r="AC64" s="150">
        <f t="shared" si="38"/>
        <v>3299.87</v>
      </c>
      <c r="AD64" s="121"/>
      <c r="AE64" s="122"/>
      <c r="AF64" s="123"/>
      <c r="AG64" s="123"/>
      <c r="AH64" s="123"/>
      <c r="AI64" s="124"/>
      <c r="AJ64" s="124">
        <v>0</v>
      </c>
      <c r="AK64" s="150">
        <f>+AC64-SUM(AD64:AJ64)</f>
        <v>3299.87</v>
      </c>
      <c r="AL64" s="123">
        <f>IF(AC64&gt;4500,AC64*0.1,0)</f>
        <v>0</v>
      </c>
      <c r="AM64" s="150">
        <f>+AK64-AL64</f>
        <v>3299.87</v>
      </c>
      <c r="AN64" s="123">
        <f>IF(AC64&lt;4500,AC64*0.1,0)</f>
        <v>329.98700000000002</v>
      </c>
      <c r="AO64" s="123">
        <f>+'[1]C&amp;A'!W51*0.02</f>
        <v>0</v>
      </c>
      <c r="AP64" s="150">
        <f>+AC64+AN64+AO64</f>
        <v>3629.857</v>
      </c>
      <c r="AQ64" s="152"/>
      <c r="AR64" s="160"/>
      <c r="AS64" s="154">
        <f>+AQ64+AR64-AM64</f>
        <v>-3299.87</v>
      </c>
      <c r="AT64" s="154"/>
      <c r="AU64" s="21"/>
      <c r="AV64" s="17" t="str">
        <f t="shared" si="44"/>
        <v>SI</v>
      </c>
      <c r="AW64" s="224" t="s">
        <v>254</v>
      </c>
      <c r="AX64" s="223" t="s">
        <v>255</v>
      </c>
      <c r="AY64" s="17"/>
      <c r="AZ64" s="17"/>
    </row>
    <row r="65" spans="1:55">
      <c r="A65" s="200" t="s">
        <v>258</v>
      </c>
      <c r="B65" s="199" t="s">
        <v>313</v>
      </c>
      <c r="C65" s="208">
        <v>1200</v>
      </c>
      <c r="D65" s="208">
        <f>+'Hoja1 (2)'!F58</f>
        <v>11495.76</v>
      </c>
      <c r="E65" s="234">
        <v>0</v>
      </c>
      <c r="F65" s="234">
        <f t="shared" si="45"/>
        <v>12695.76</v>
      </c>
      <c r="H65" s="234">
        <f t="shared" si="46"/>
        <v>12695.76</v>
      </c>
      <c r="I65" s="245">
        <f t="shared" si="34"/>
        <v>-45.13</v>
      </c>
      <c r="J65" s="245">
        <f>+INGENIERIA!F65*2%</f>
        <v>253.9152</v>
      </c>
      <c r="K65" s="245">
        <f t="shared" si="47"/>
        <v>952.18200000000002</v>
      </c>
      <c r="L65" s="245">
        <f t="shared" si="48"/>
        <v>13856.727200000001</v>
      </c>
      <c r="M65" s="245">
        <f t="shared" si="49"/>
        <v>2217.076352</v>
      </c>
      <c r="N65" s="245">
        <f t="shared" si="50"/>
        <v>16073.803552000001</v>
      </c>
      <c r="P65" s="245">
        <v>0</v>
      </c>
      <c r="Q65" s="246">
        <f t="shared" si="35"/>
        <v>0</v>
      </c>
      <c r="R65" s="246">
        <f t="shared" si="36"/>
        <v>0</v>
      </c>
      <c r="S65" s="222" t="str">
        <f t="shared" si="37"/>
        <v>SI</v>
      </c>
      <c r="T65" s="21" t="s">
        <v>42</v>
      </c>
      <c r="U65" s="21" t="s">
        <v>109</v>
      </c>
      <c r="V65" s="118" t="s">
        <v>110</v>
      </c>
      <c r="W65" s="119">
        <v>40298</v>
      </c>
      <c r="X65" s="21" t="s">
        <v>171</v>
      </c>
      <c r="Y65" s="120">
        <v>11495.76</v>
      </c>
      <c r="Z65" s="121"/>
      <c r="AA65" s="121"/>
      <c r="AB65" s="149">
        <v>45.13</v>
      </c>
      <c r="AC65" s="150">
        <f t="shared" si="38"/>
        <v>11450.630000000001</v>
      </c>
      <c r="AD65" s="121"/>
      <c r="AE65" s="122"/>
      <c r="AF65" s="123"/>
      <c r="AG65" s="123"/>
      <c r="AH65" s="123"/>
      <c r="AI65" s="151"/>
      <c r="AJ65" s="124">
        <v>340.56</v>
      </c>
      <c r="AK65" s="150">
        <f>+AC65-SUM(AD65:AJ65)</f>
        <v>11110.070000000002</v>
      </c>
      <c r="AL65" s="123">
        <f>IF(AC65&gt;4500,AC65*0.1,0)</f>
        <v>1145.0630000000001</v>
      </c>
      <c r="AM65" s="150">
        <f>+AK65-AL65</f>
        <v>9965.0070000000014</v>
      </c>
      <c r="AN65" s="123">
        <f>IF(AC65&lt;4500,AC65*0.1,0)</f>
        <v>0</v>
      </c>
      <c r="AO65" s="123">
        <f>+'[1]C&amp;A'!W53*0.02</f>
        <v>0</v>
      </c>
      <c r="AP65" s="150">
        <f>+AC65+AN65+AO65</f>
        <v>11450.630000000001</v>
      </c>
      <c r="AQ65" s="152"/>
      <c r="AR65" s="160"/>
      <c r="AS65" s="154">
        <f>+AQ65+AR65-AM65</f>
        <v>-9965.0070000000014</v>
      </c>
      <c r="AT65" s="154"/>
      <c r="AU65" s="161"/>
      <c r="AV65" s="17" t="str">
        <f t="shared" si="44"/>
        <v>SI</v>
      </c>
      <c r="AW65" s="224" t="s">
        <v>258</v>
      </c>
      <c r="AX65" s="223" t="s">
        <v>313</v>
      </c>
      <c r="AY65" s="17"/>
      <c r="AZ65" s="17"/>
    </row>
    <row r="66" spans="1:55">
      <c r="A66" s="200" t="s">
        <v>278</v>
      </c>
      <c r="B66" s="199" t="s">
        <v>279</v>
      </c>
      <c r="C66" s="208">
        <v>1200</v>
      </c>
      <c r="D66" s="208">
        <f>+'Hoja1 (2)'!F59</f>
        <v>1435.2</v>
      </c>
      <c r="E66" s="234">
        <v>0</v>
      </c>
      <c r="F66" s="234">
        <f t="shared" si="45"/>
        <v>2635.2</v>
      </c>
      <c r="H66" s="234">
        <f t="shared" si="46"/>
        <v>2635.2</v>
      </c>
      <c r="I66" s="245">
        <f t="shared" si="34"/>
        <v>-45.13</v>
      </c>
      <c r="J66" s="245">
        <f>+INGENIERIA!F66*2%</f>
        <v>52.704000000000001</v>
      </c>
      <c r="K66" s="245">
        <f t="shared" si="47"/>
        <v>197.64</v>
      </c>
      <c r="L66" s="245">
        <f t="shared" si="48"/>
        <v>2840.4139999999998</v>
      </c>
      <c r="M66" s="245">
        <f t="shared" si="49"/>
        <v>454.46623999999997</v>
      </c>
      <c r="N66" s="245">
        <f t="shared" si="50"/>
        <v>3294.8802399999995</v>
      </c>
      <c r="P66" s="245">
        <v>0</v>
      </c>
      <c r="Q66" s="246">
        <f t="shared" si="35"/>
        <v>0</v>
      </c>
      <c r="R66" s="246">
        <f t="shared" si="36"/>
        <v>0</v>
      </c>
      <c r="S66" s="222" t="str">
        <f t="shared" si="37"/>
        <v>SI</v>
      </c>
      <c r="T66" s="21" t="s">
        <v>42</v>
      </c>
      <c r="U66" s="21" t="s">
        <v>125</v>
      </c>
      <c r="V66" s="118" t="s">
        <v>126</v>
      </c>
      <c r="W66" s="119">
        <v>41939</v>
      </c>
      <c r="X66" s="21" t="s">
        <v>54</v>
      </c>
      <c r="Y66" s="120">
        <v>1435.2</v>
      </c>
      <c r="Z66" s="121"/>
      <c r="AA66" s="121"/>
      <c r="AB66" s="149">
        <v>45.13</v>
      </c>
      <c r="AC66" s="150">
        <f t="shared" si="38"/>
        <v>1390.07</v>
      </c>
      <c r="AD66" s="121"/>
      <c r="AE66" s="122"/>
      <c r="AF66" s="123"/>
      <c r="AG66" s="123"/>
      <c r="AH66" s="123"/>
      <c r="AI66" s="151"/>
      <c r="AJ66" s="124">
        <v>303.79000000000002</v>
      </c>
      <c r="AK66" s="150">
        <f>+AC66-SUM(AD66:AJ66)</f>
        <v>1086.28</v>
      </c>
      <c r="AL66" s="123">
        <f>IF(AC66&gt;4500,AC66*0.1,0)</f>
        <v>0</v>
      </c>
      <c r="AM66" s="150">
        <f>+AK66-AL66</f>
        <v>1086.28</v>
      </c>
      <c r="AN66" s="123">
        <f>IF(AC66&lt;4500,AC66*0.1,0)</f>
        <v>139.00700000000001</v>
      </c>
      <c r="AO66" s="123">
        <f>+'[1]C&amp;A'!W63*0.02</f>
        <v>0</v>
      </c>
      <c r="AP66" s="150">
        <f>+AC66+AN66+AO66</f>
        <v>1529.077</v>
      </c>
      <c r="AQ66" s="152"/>
      <c r="AR66" s="160"/>
      <c r="AS66" s="154">
        <f>+AQ66+AR66-AM66</f>
        <v>-1086.28</v>
      </c>
      <c r="AT66" s="154"/>
      <c r="AU66" s="21"/>
      <c r="AV66" s="17" t="str">
        <f t="shared" si="44"/>
        <v>SI</v>
      </c>
      <c r="AW66" s="224" t="s">
        <v>278</v>
      </c>
      <c r="AX66" s="223" t="s">
        <v>279</v>
      </c>
      <c r="AY66" s="17"/>
      <c r="AZ66" s="17"/>
    </row>
    <row r="67" spans="1:55">
      <c r="A67" s="210" t="s">
        <v>308</v>
      </c>
      <c r="B67" s="205"/>
      <c r="C67" s="205" t="s">
        <v>309</v>
      </c>
      <c r="D67" s="205" t="s">
        <v>309</v>
      </c>
      <c r="E67" s="231" t="s">
        <v>309</v>
      </c>
      <c r="F67" s="205" t="s">
        <v>309</v>
      </c>
      <c r="H67" s="231" t="s">
        <v>309</v>
      </c>
      <c r="I67" s="231" t="s">
        <v>309</v>
      </c>
      <c r="J67" s="231" t="s">
        <v>309</v>
      </c>
      <c r="K67" s="231" t="s">
        <v>309</v>
      </c>
      <c r="L67" s="231" t="s">
        <v>309</v>
      </c>
      <c r="M67" s="231" t="s">
        <v>309</v>
      </c>
      <c r="N67" s="231" t="s">
        <v>309</v>
      </c>
      <c r="P67" s="231" t="s">
        <v>309</v>
      </c>
      <c r="Q67" s="231" t="s">
        <v>309</v>
      </c>
      <c r="R67" s="231" t="s">
        <v>309</v>
      </c>
      <c r="T67" s="16" t="s">
        <v>131</v>
      </c>
      <c r="Y67" s="89">
        <f>SUM(Y55:Y66)</f>
        <v>48835.85</v>
      </c>
      <c r="Z67" s="89">
        <f t="shared" ref="Z67:AU67" si="51">SUM(Z55:Z66)</f>
        <v>0</v>
      </c>
      <c r="AA67" s="89">
        <f t="shared" si="51"/>
        <v>0</v>
      </c>
      <c r="AB67" s="89">
        <f>SUM(AB55:AB66)</f>
        <v>496.43</v>
      </c>
      <c r="AC67" s="89">
        <f>SUM(AC55:AC66)</f>
        <v>48339.419999999991</v>
      </c>
      <c r="AD67" s="89">
        <f t="shared" si="51"/>
        <v>0</v>
      </c>
      <c r="AE67" s="89">
        <f t="shared" si="51"/>
        <v>0</v>
      </c>
      <c r="AF67" s="89">
        <f t="shared" si="51"/>
        <v>0</v>
      </c>
      <c r="AG67" s="89">
        <f>SUM(AG55:AG66)</f>
        <v>0</v>
      </c>
      <c r="AH67" s="89">
        <f t="shared" si="51"/>
        <v>0</v>
      </c>
      <c r="AI67" s="89">
        <f t="shared" si="51"/>
        <v>0</v>
      </c>
      <c r="AJ67" s="89">
        <f t="shared" si="51"/>
        <v>4163.84</v>
      </c>
      <c r="AK67" s="89">
        <f>SUM(AK55:AK66)</f>
        <v>47695.069999999992</v>
      </c>
      <c r="AL67" s="89">
        <f t="shared" si="51"/>
        <v>2256.7745</v>
      </c>
      <c r="AM67" s="89">
        <f t="shared" si="51"/>
        <v>42469.78</v>
      </c>
      <c r="AN67" s="89">
        <f t="shared" si="51"/>
        <v>2026.1930000000002</v>
      </c>
      <c r="AO67" s="89">
        <f t="shared" si="51"/>
        <v>0</v>
      </c>
      <c r="AP67" s="89">
        <f t="shared" si="51"/>
        <v>50365.613000000005</v>
      </c>
      <c r="AQ67" s="89">
        <f t="shared" si="51"/>
        <v>0</v>
      </c>
      <c r="AR67" s="89">
        <f t="shared" si="51"/>
        <v>0</v>
      </c>
      <c r="AS67" s="89">
        <f t="shared" si="51"/>
        <v>-31150.04</v>
      </c>
      <c r="AT67" s="89">
        <f t="shared" si="51"/>
        <v>0</v>
      </c>
      <c r="AU67" s="89">
        <f t="shared" si="51"/>
        <v>0</v>
      </c>
    </row>
    <row r="68" spans="1:55">
      <c r="C68" s="212">
        <f>SUM(C55:C67)</f>
        <v>14950.05</v>
      </c>
      <c r="D68" s="239">
        <f t="shared" ref="D68:M68" si="52">SUM(D55:D67)</f>
        <v>48835.85</v>
      </c>
      <c r="E68" s="239">
        <f t="shared" si="52"/>
        <v>0</v>
      </c>
      <c r="F68" s="239">
        <f t="shared" si="52"/>
        <v>63785.9</v>
      </c>
      <c r="G68" s="239"/>
      <c r="H68" s="239">
        <f t="shared" si="52"/>
        <v>63785.9</v>
      </c>
      <c r="I68" s="239">
        <f t="shared" si="52"/>
        <v>-496.43</v>
      </c>
      <c r="J68" s="239">
        <f t="shared" si="52"/>
        <v>1275.7179999999998</v>
      </c>
      <c r="K68" s="239">
        <f t="shared" si="52"/>
        <v>4783.9425000000001</v>
      </c>
      <c r="L68" s="239">
        <f t="shared" si="52"/>
        <v>69349.130499999999</v>
      </c>
      <c r="M68" s="239">
        <f t="shared" si="52"/>
        <v>11095.86088</v>
      </c>
      <c r="N68" s="239">
        <f>SUM(N55:N67)</f>
        <v>80444.991379999992</v>
      </c>
      <c r="P68" s="239">
        <f t="shared" ref="P68" si="53">SUM(P55:P67)</f>
        <v>0</v>
      </c>
      <c r="Q68" s="239">
        <f t="shared" ref="Q68" si="54">SUM(Q55:Q67)</f>
        <v>0</v>
      </c>
      <c r="R68" s="239">
        <f t="shared" ref="R68" si="55">SUM(R55:R67)</f>
        <v>0</v>
      </c>
      <c r="T68" s="16" t="s">
        <v>132</v>
      </c>
    </row>
    <row r="69" spans="1:55">
      <c r="H69" s="245"/>
      <c r="I69" s="245"/>
      <c r="J69" s="245"/>
      <c r="K69" s="245"/>
      <c r="L69" s="245"/>
      <c r="M69" s="245"/>
      <c r="N69" s="245"/>
      <c r="T69" s="16" t="s">
        <v>133</v>
      </c>
      <c r="U69" s="13"/>
      <c r="Y69" s="89">
        <f>+Y67+Y51</f>
        <v>536879.93000000005</v>
      </c>
      <c r="Z69" s="89">
        <f t="shared" ref="Z69:AK69" si="56">+Z67+Z51</f>
        <v>0</v>
      </c>
      <c r="AA69" s="89">
        <f t="shared" si="56"/>
        <v>0</v>
      </c>
      <c r="AB69" s="89">
        <f t="shared" si="56"/>
        <v>2211.3700000000017</v>
      </c>
      <c r="AC69" s="89">
        <f t="shared" si="56"/>
        <v>534668.56000000006</v>
      </c>
      <c r="AD69" s="89">
        <f t="shared" si="56"/>
        <v>0</v>
      </c>
      <c r="AE69" s="89">
        <f t="shared" si="56"/>
        <v>1</v>
      </c>
      <c r="AF69" s="89">
        <f t="shared" si="56"/>
        <v>0</v>
      </c>
      <c r="AG69" s="89">
        <f t="shared" si="56"/>
        <v>0</v>
      </c>
      <c r="AH69" s="89">
        <f t="shared" si="56"/>
        <v>0</v>
      </c>
      <c r="AI69" s="89">
        <f t="shared" si="56"/>
        <v>657.18999999999994</v>
      </c>
      <c r="AJ69" s="89">
        <f t="shared" si="56"/>
        <v>9447.09</v>
      </c>
      <c r="AK69" s="89">
        <f t="shared" si="56"/>
        <v>47695.069999999992</v>
      </c>
    </row>
    <row r="70" spans="1:55">
      <c r="A70" s="209"/>
      <c r="B70" s="205"/>
      <c r="C70" s="205" t="s">
        <v>311</v>
      </c>
      <c r="D70" s="205" t="s">
        <v>311</v>
      </c>
      <c r="E70" s="231" t="s">
        <v>311</v>
      </c>
      <c r="F70" s="205" t="s">
        <v>311</v>
      </c>
      <c r="H70" s="231" t="s">
        <v>311</v>
      </c>
      <c r="I70" s="231" t="s">
        <v>311</v>
      </c>
      <c r="J70" s="231" t="s">
        <v>311</v>
      </c>
      <c r="K70" s="231" t="s">
        <v>311</v>
      </c>
      <c r="L70" s="231" t="s">
        <v>311</v>
      </c>
      <c r="M70" s="231" t="s">
        <v>311</v>
      </c>
      <c r="N70" s="231" t="s">
        <v>311</v>
      </c>
      <c r="P70" s="231" t="s">
        <v>311</v>
      </c>
      <c r="Q70" s="231" t="s">
        <v>311</v>
      </c>
      <c r="R70" s="231" t="s">
        <v>311</v>
      </c>
      <c r="T70" s="16" t="s">
        <v>134</v>
      </c>
      <c r="U70" s="13"/>
    </row>
    <row r="71" spans="1:55">
      <c r="A71" s="210" t="s">
        <v>312</v>
      </c>
      <c r="B71" s="199" t="s">
        <v>286</v>
      </c>
      <c r="C71" s="212">
        <f>+C68+C52</f>
        <v>202947.90999999997</v>
      </c>
      <c r="D71" s="239">
        <f t="shared" ref="D71:F71" si="57">+D68+D52</f>
        <v>48835.85</v>
      </c>
      <c r="E71" s="239">
        <f t="shared" si="57"/>
        <v>488044.08000000007</v>
      </c>
      <c r="F71" s="239">
        <f t="shared" si="57"/>
        <v>63785.9</v>
      </c>
      <c r="H71" s="239">
        <f>+H68+H52</f>
        <v>251783.75999999998</v>
      </c>
      <c r="I71" s="239">
        <f t="shared" ref="I71" si="58">+I68+I52</f>
        <v>-2868.5600000000022</v>
      </c>
      <c r="J71" s="239">
        <f t="shared" ref="J71:N71" si="59">+J68+J52</f>
        <v>5035.6752000000006</v>
      </c>
      <c r="K71" s="239">
        <f t="shared" si="59"/>
        <v>18883.781999999996</v>
      </c>
      <c r="L71" s="239">
        <f t="shared" si="59"/>
        <v>272834.65719999996</v>
      </c>
      <c r="M71" s="239">
        <f t="shared" si="59"/>
        <v>43653.545152000013</v>
      </c>
      <c r="N71" s="239">
        <f t="shared" si="59"/>
        <v>316488.20235199999</v>
      </c>
      <c r="O71" s="231"/>
      <c r="P71" s="239">
        <f>+P68+P52</f>
        <v>488044.08000000007</v>
      </c>
      <c r="Q71" s="239">
        <f t="shared" ref="Q71:R71" si="60">+Q68+Q52</f>
        <v>78087.05279999999</v>
      </c>
      <c r="R71" s="239">
        <f t="shared" si="60"/>
        <v>566131.13280000002</v>
      </c>
      <c r="T71" s="16" t="s">
        <v>135</v>
      </c>
      <c r="U71" s="13"/>
    </row>
    <row r="72" spans="1:55">
      <c r="H72" s="222"/>
      <c r="I72" s="222"/>
      <c r="J72" s="222"/>
      <c r="K72" s="222"/>
      <c r="L72" s="222"/>
      <c r="M72" s="222"/>
      <c r="N72" s="222"/>
      <c r="P72" s="222"/>
      <c r="Q72" s="222"/>
      <c r="R72" s="222"/>
      <c r="AW72" s="113"/>
      <c r="AX72" s="113"/>
      <c r="BA72" s="113"/>
      <c r="BB72" s="113"/>
      <c r="BC72" s="114"/>
    </row>
    <row r="73" spans="1:55">
      <c r="C73" s="199" t="s">
        <v>286</v>
      </c>
      <c r="D73" s="199" t="s">
        <v>286</v>
      </c>
      <c r="E73" s="199"/>
      <c r="F73" s="199" t="s">
        <v>286</v>
      </c>
      <c r="H73" s="223" t="s">
        <v>286</v>
      </c>
      <c r="I73" s="223" t="s">
        <v>286</v>
      </c>
      <c r="J73" s="223" t="s">
        <v>286</v>
      </c>
      <c r="K73" s="223" t="s">
        <v>286</v>
      </c>
      <c r="L73" s="223" t="s">
        <v>286</v>
      </c>
      <c r="M73" s="223" t="s">
        <v>286</v>
      </c>
      <c r="N73" s="223" t="s">
        <v>286</v>
      </c>
      <c r="P73" s="223" t="s">
        <v>286</v>
      </c>
      <c r="Q73" s="223" t="s">
        <v>286</v>
      </c>
      <c r="R73" s="223" t="s">
        <v>286</v>
      </c>
      <c r="AW73" s="113"/>
      <c r="AX73" s="113"/>
      <c r="BA73" s="113"/>
      <c r="BB73" s="113"/>
      <c r="BC73" s="114"/>
    </row>
    <row r="74" spans="1:55">
      <c r="A74" s="200" t="s">
        <v>286</v>
      </c>
      <c r="B74" s="199" t="s">
        <v>286</v>
      </c>
      <c r="C74" s="211"/>
      <c r="D74" s="211"/>
      <c r="E74" s="211"/>
      <c r="F74" s="211"/>
      <c r="H74" s="238"/>
      <c r="I74" s="238"/>
      <c r="J74" s="238"/>
      <c r="K74" s="238"/>
      <c r="L74" s="238"/>
      <c r="M74" s="238"/>
      <c r="N74" s="238"/>
      <c r="O74" s="231"/>
      <c r="P74" s="238"/>
      <c r="Q74" s="238"/>
      <c r="R74" s="238"/>
      <c r="Z74" s="16"/>
      <c r="AA74" s="16"/>
      <c r="AB74" s="16"/>
      <c r="AC74" s="16"/>
      <c r="AD74" s="16"/>
      <c r="AE74" s="85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W74" s="113"/>
      <c r="AX74" s="113"/>
      <c r="BA74" s="113"/>
      <c r="BB74" s="113"/>
      <c r="BC74" s="116"/>
    </row>
    <row r="75" spans="1:55">
      <c r="Z75" s="16"/>
      <c r="AA75" s="16"/>
      <c r="AB75" s="16"/>
      <c r="AC75" s="16"/>
      <c r="AD75" s="16"/>
      <c r="AE75" s="85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W75" s="113"/>
      <c r="AX75" s="113"/>
      <c r="BA75" s="113"/>
      <c r="BB75" s="113"/>
      <c r="BC75" s="116"/>
    </row>
    <row r="76" spans="1:55">
      <c r="T76" s="99" t="s">
        <v>71</v>
      </c>
      <c r="U76" s="99" t="s">
        <v>78</v>
      </c>
      <c r="V76" s="117" t="s">
        <v>79</v>
      </c>
      <c r="W76" s="100">
        <v>42135</v>
      </c>
      <c r="X76" s="99" t="s">
        <v>82</v>
      </c>
      <c r="Y76" s="101">
        <v>4500</v>
      </c>
      <c r="Z76" s="102"/>
      <c r="AA76" s="102"/>
      <c r="AB76" s="103">
        <v>45.13</v>
      </c>
      <c r="AC76" s="104">
        <f>SUM(Y76:AA76)-AB76</f>
        <v>4454.87</v>
      </c>
      <c r="AD76" s="102"/>
      <c r="AE76" s="115">
        <v>1</v>
      </c>
      <c r="AF76" s="106"/>
      <c r="AG76" s="106"/>
      <c r="AH76" s="106"/>
      <c r="AI76" s="107"/>
      <c r="AJ76" s="108">
        <v>0</v>
      </c>
      <c r="AK76" s="104">
        <f>+AC76-SUM(AD76:AJ76)</f>
        <v>4453.87</v>
      </c>
      <c r="AL76" s="106">
        <f>IF(AC76&gt;4500,AC76*0.1,0)</f>
        <v>0</v>
      </c>
      <c r="AM76" s="104">
        <f>+AK76-AL76</f>
        <v>4453.87</v>
      </c>
      <c r="AN76" s="106">
        <f>IF(AC76&lt;4500,AC76*0.1,0)</f>
        <v>445.48700000000002</v>
      </c>
      <c r="AO76" s="106">
        <f>+'[1]C&amp;A'!W34*0.02</f>
        <v>0</v>
      </c>
      <c r="AP76" s="104">
        <f>+AC76+AN76+AO76</f>
        <v>4900.357</v>
      </c>
      <c r="AQ76" s="109"/>
      <c r="AR76" s="110"/>
      <c r="AS76" s="111">
        <f>+AQ76+AR76-AM76</f>
        <v>-4453.87</v>
      </c>
      <c r="AT76" s="111"/>
      <c r="AU76" s="136" t="s">
        <v>173</v>
      </c>
      <c r="AV76" s="113"/>
    </row>
    <row r="77" spans="1:55">
      <c r="T77" s="99" t="s">
        <v>42</v>
      </c>
      <c r="U77" s="99" t="s">
        <v>100</v>
      </c>
      <c r="V77" s="99" t="s">
        <v>101</v>
      </c>
      <c r="W77" s="100">
        <v>42121</v>
      </c>
      <c r="X77" s="99" t="s">
        <v>83</v>
      </c>
      <c r="Y77" s="101"/>
      <c r="Z77" s="102"/>
      <c r="AA77" s="102"/>
      <c r="AB77" s="103">
        <v>45.13</v>
      </c>
      <c r="AC77" s="104">
        <f>SUM(Y77:AA77)-AB77</f>
        <v>-45.13</v>
      </c>
      <c r="AD77" s="102"/>
      <c r="AE77" s="105"/>
      <c r="AF77" s="106"/>
      <c r="AG77" s="106"/>
      <c r="AH77" s="106"/>
      <c r="AI77" s="107"/>
      <c r="AJ77" s="108">
        <v>0</v>
      </c>
      <c r="AK77" s="104">
        <f>+AC77-SUM(AD77:AJ77)</f>
        <v>-45.13</v>
      </c>
      <c r="AL77" s="106">
        <f>IF(AC77&gt;4500,AC77*0.1,0)</f>
        <v>0</v>
      </c>
      <c r="AM77" s="104">
        <f>+AK77-AL77</f>
        <v>-45.13</v>
      </c>
      <c r="AN77" s="106">
        <f>IF(AC77&lt;4500,AC77*0.1,0)</f>
        <v>-4.5130000000000008</v>
      </c>
      <c r="AO77" s="106">
        <f>+'[1]C&amp;A'!W48*0.02</f>
        <v>0</v>
      </c>
      <c r="AP77" s="104">
        <f>+AC77+AN77+AO77</f>
        <v>-49.643000000000001</v>
      </c>
      <c r="AQ77" s="109"/>
      <c r="AR77" s="110"/>
      <c r="AS77" s="111">
        <f>+AQ77+AR77-AM77</f>
        <v>45.13</v>
      </c>
      <c r="AT77" s="111"/>
      <c r="AU77" s="112" t="s">
        <v>165</v>
      </c>
      <c r="AV77" s="113"/>
      <c r="AY77" s="113"/>
      <c r="AZ77" s="113"/>
    </row>
    <row r="78" spans="1:55">
      <c r="T78" s="99" t="s">
        <v>91</v>
      </c>
      <c r="U78" s="99" t="s">
        <v>117</v>
      </c>
      <c r="V78" s="99" t="s">
        <v>118</v>
      </c>
      <c r="W78" s="100">
        <v>41352</v>
      </c>
      <c r="X78" s="99" t="s">
        <v>119</v>
      </c>
      <c r="Y78" s="101"/>
      <c r="Z78" s="102"/>
      <c r="AA78" s="102"/>
      <c r="AB78" s="103">
        <v>45.13</v>
      </c>
      <c r="AC78" s="104">
        <f>SUM(Y78:AA78)-AB78</f>
        <v>-45.13</v>
      </c>
      <c r="AD78" s="102"/>
      <c r="AE78" s="115"/>
      <c r="AF78" s="106"/>
      <c r="AG78" s="106"/>
      <c r="AH78" s="106"/>
      <c r="AI78" s="107"/>
      <c r="AJ78" s="108">
        <v>0</v>
      </c>
      <c r="AK78" s="104">
        <f>+AC78-SUM(AD78:AJ78)</f>
        <v>-45.13</v>
      </c>
      <c r="AL78" s="106">
        <f>IF(AC78&gt;4500,AC78*0.1,0)</f>
        <v>0</v>
      </c>
      <c r="AM78" s="104">
        <f>+AK78-AL78</f>
        <v>-45.13</v>
      </c>
      <c r="AN78" s="106">
        <f>IF(AC78&lt;4500,AC78*0.1,0)</f>
        <v>-4.5130000000000008</v>
      </c>
      <c r="AO78" s="106">
        <f>+'[1]C&amp;A'!W58*0.02</f>
        <v>0</v>
      </c>
      <c r="AP78" s="104">
        <f>+AC78+AN78+AO78</f>
        <v>-49.643000000000001</v>
      </c>
      <c r="AQ78" s="109"/>
      <c r="AR78" s="110"/>
      <c r="AS78" s="111">
        <f>+AQ78+AR78-AM78</f>
        <v>45.13</v>
      </c>
      <c r="AT78" s="111"/>
      <c r="AU78" s="112" t="s">
        <v>166</v>
      </c>
      <c r="AV78" s="113"/>
      <c r="AY78" s="113"/>
      <c r="AZ78" s="113"/>
    </row>
    <row r="79" spans="1:55">
      <c r="T79" s="99" t="s">
        <v>42</v>
      </c>
      <c r="U79" s="99" t="s">
        <v>120</v>
      </c>
      <c r="V79" s="117" t="s">
        <v>121</v>
      </c>
      <c r="W79" s="100">
        <v>41802</v>
      </c>
      <c r="X79" s="99" t="s">
        <v>62</v>
      </c>
      <c r="Y79" s="101"/>
      <c r="Z79" s="102"/>
      <c r="AA79" s="102"/>
      <c r="AB79" s="103">
        <v>45.13</v>
      </c>
      <c r="AC79" s="104">
        <f>SUM(Y79:AA79)-AB79</f>
        <v>-45.13</v>
      </c>
      <c r="AD79" s="102"/>
      <c r="AE79" s="105"/>
      <c r="AF79" s="106"/>
      <c r="AG79" s="106"/>
      <c r="AH79" s="106"/>
      <c r="AI79" s="107"/>
      <c r="AJ79" s="108">
        <v>0</v>
      </c>
      <c r="AK79" s="104">
        <f>+AC79-SUM(AD79:AJ79)</f>
        <v>-45.13</v>
      </c>
      <c r="AL79" s="106">
        <f>IF(AC79&gt;4500,AC79*0.1,0)</f>
        <v>0</v>
      </c>
      <c r="AM79" s="104">
        <f>+AK79-AL79</f>
        <v>-45.13</v>
      </c>
      <c r="AN79" s="106">
        <f>IF(AC79&lt;4500,AC79*0.1,0)</f>
        <v>-4.5130000000000008</v>
      </c>
      <c r="AO79" s="106">
        <f>+'[1]C&amp;A'!W59*0.02</f>
        <v>0</v>
      </c>
      <c r="AP79" s="104">
        <f>+AC79+AN79+AO79</f>
        <v>-49.643000000000001</v>
      </c>
      <c r="AQ79" s="109"/>
      <c r="AR79" s="110"/>
      <c r="AS79" s="111">
        <f>+AQ79+AR79-AM79</f>
        <v>45.13</v>
      </c>
      <c r="AT79" s="111"/>
      <c r="AU79" s="112" t="s">
        <v>167</v>
      </c>
      <c r="AV79" s="113"/>
      <c r="AY79" s="113"/>
      <c r="AZ79" s="113"/>
    </row>
    <row r="80" spans="1:55">
      <c r="Z80" s="16"/>
      <c r="AA80" s="16"/>
      <c r="AB80" s="16"/>
      <c r="AC80" s="16"/>
      <c r="AD80" s="16"/>
      <c r="AE80" s="85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Y80" s="113"/>
      <c r="AZ80" s="113"/>
    </row>
    <row r="81" spans="26:44">
      <c r="Z81" s="16"/>
      <c r="AA81" s="16"/>
      <c r="AB81" s="16"/>
      <c r="AC81" s="16"/>
      <c r="AD81" s="16"/>
      <c r="AE81" s="85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</row>
    <row r="82" spans="26:44">
      <c r="Z82" s="16"/>
      <c r="AA82" s="16"/>
      <c r="AB82" s="16"/>
      <c r="AC82" s="16"/>
      <c r="AD82" s="16"/>
      <c r="AE82" s="85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</row>
    <row r="83" spans="26:44">
      <c r="Z83" s="16"/>
      <c r="AA83" s="16"/>
      <c r="AB83" s="16"/>
      <c r="AC83" s="16"/>
      <c r="AD83" s="16"/>
      <c r="AE83" s="85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</row>
    <row r="84" spans="26:44">
      <c r="Z84" s="16"/>
      <c r="AA84" s="16"/>
      <c r="AB84" s="16"/>
      <c r="AC84" s="16"/>
      <c r="AD84" s="16"/>
      <c r="AE84" s="85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</row>
    <row r="85" spans="26:44">
      <c r="Z85" s="16"/>
      <c r="AA85" s="16"/>
      <c r="AB85" s="16"/>
      <c r="AC85" s="16"/>
      <c r="AD85" s="16"/>
      <c r="AE85" s="85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</row>
    <row r="86" spans="26:44">
      <c r="Z86" s="16"/>
      <c r="AA86" s="16"/>
      <c r="AB86" s="16"/>
      <c r="AC86" s="16"/>
      <c r="AD86" s="16"/>
      <c r="AE86" s="85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</row>
    <row r="87" spans="26:44">
      <c r="Z87" s="16"/>
      <c r="AA87" s="16"/>
      <c r="AB87" s="16"/>
      <c r="AC87" s="16"/>
      <c r="AD87" s="16"/>
      <c r="AE87" s="85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</row>
    <row r="88" spans="26:44">
      <c r="Z88" s="16"/>
      <c r="AA88" s="16"/>
      <c r="AB88" s="16"/>
      <c r="AC88" s="16"/>
      <c r="AD88" s="16"/>
      <c r="AE88" s="85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</row>
    <row r="89" spans="26:44">
      <c r="Z89" s="16"/>
      <c r="AA89" s="16"/>
      <c r="AB89" s="16"/>
      <c r="AC89" s="16"/>
      <c r="AD89" s="16"/>
      <c r="AE89" s="85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</row>
    <row r="90" spans="26:44">
      <c r="Z90" s="16"/>
      <c r="AA90" s="16"/>
      <c r="AB90" s="16"/>
      <c r="AC90" s="16"/>
      <c r="AD90" s="16"/>
      <c r="AE90" s="85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</row>
    <row r="91" spans="26:44">
      <c r="Z91" s="16"/>
      <c r="AA91" s="16"/>
      <c r="AB91" s="16"/>
      <c r="AC91" s="16"/>
      <c r="AD91" s="16"/>
      <c r="AE91" s="85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</row>
    <row r="92" spans="26:44">
      <c r="Z92" s="16"/>
      <c r="AA92" s="16"/>
      <c r="AB92" s="16"/>
      <c r="AC92" s="16"/>
      <c r="AD92" s="16"/>
      <c r="AE92" s="85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</row>
    <row r="93" spans="26:44">
      <c r="Z93" s="16"/>
      <c r="AA93" s="16"/>
      <c r="AB93" s="16"/>
      <c r="AC93" s="16"/>
      <c r="AD93" s="16"/>
      <c r="AE93" s="85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</row>
    <row r="94" spans="26:44">
      <c r="Z94" s="16"/>
      <c r="AA94" s="16"/>
      <c r="AB94" s="16"/>
      <c r="AC94" s="16"/>
      <c r="AD94" s="16"/>
      <c r="AE94" s="85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</row>
    <row r="95" spans="26:44">
      <c r="Z95" s="16"/>
      <c r="AA95" s="16"/>
      <c r="AB95" s="16"/>
      <c r="AC95" s="16"/>
      <c r="AD95" s="16"/>
      <c r="AE95" s="85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</row>
    <row r="96" spans="26:44">
      <c r="Z96" s="16"/>
      <c r="AA96" s="16"/>
      <c r="AB96" s="16"/>
      <c r="AC96" s="16"/>
      <c r="AD96" s="16"/>
      <c r="AE96" s="85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</row>
    <row r="97" spans="26:44">
      <c r="Z97" s="16"/>
      <c r="AA97" s="16"/>
      <c r="AB97" s="16"/>
      <c r="AC97" s="16"/>
      <c r="AD97" s="16"/>
      <c r="AE97" s="85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</row>
    <row r="98" spans="26:44">
      <c r="Z98" s="16"/>
      <c r="AA98" s="16"/>
      <c r="AB98" s="16"/>
      <c r="AC98" s="16"/>
      <c r="AD98" s="16"/>
      <c r="AE98" s="85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</row>
    <row r="99" spans="26:44">
      <c r="Z99" s="16"/>
      <c r="AA99" s="16"/>
      <c r="AB99" s="16"/>
      <c r="AC99" s="16"/>
      <c r="AD99" s="16"/>
      <c r="AE99" s="85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</row>
    <row r="100" spans="26:44">
      <c r="Z100" s="16"/>
      <c r="AA100" s="16"/>
      <c r="AB100" s="16"/>
      <c r="AC100" s="16"/>
      <c r="AD100" s="16"/>
      <c r="AE100" s="85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</row>
    <row r="101" spans="26:44">
      <c r="Z101" s="16"/>
      <c r="AA101" s="16"/>
      <c r="AB101" s="16"/>
      <c r="AC101" s="16"/>
      <c r="AD101" s="16"/>
      <c r="AE101" s="85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</row>
    <row r="102" spans="26:44">
      <c r="Z102" s="16"/>
      <c r="AA102" s="16"/>
      <c r="AB102" s="16"/>
      <c r="AC102" s="16"/>
      <c r="AD102" s="16"/>
      <c r="AE102" s="85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</row>
    <row r="103" spans="26:44">
      <c r="Z103" s="16"/>
      <c r="AA103" s="16"/>
      <c r="AB103" s="16"/>
      <c r="AC103" s="16"/>
      <c r="AD103" s="16"/>
      <c r="AE103" s="85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</row>
    <row r="104" spans="26:44">
      <c r="Z104" s="16"/>
      <c r="AA104" s="16"/>
      <c r="AB104" s="16"/>
      <c r="AC104" s="16"/>
      <c r="AD104" s="16"/>
      <c r="AE104" s="85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</row>
    <row r="105" spans="26:44">
      <c r="Z105" s="16"/>
      <c r="AA105" s="16"/>
      <c r="AB105" s="16"/>
      <c r="AC105" s="16"/>
      <c r="AD105" s="16"/>
      <c r="AE105" s="85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</row>
    <row r="106" spans="26:44">
      <c r="Z106" s="16"/>
      <c r="AA106" s="16"/>
      <c r="AB106" s="16"/>
      <c r="AC106" s="16"/>
      <c r="AD106" s="16"/>
      <c r="AE106" s="85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</row>
    <row r="107" spans="26:44">
      <c r="Z107" s="16"/>
      <c r="AA107" s="16"/>
      <c r="AB107" s="16"/>
      <c r="AC107" s="16"/>
      <c r="AD107" s="16"/>
      <c r="AE107" s="85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</row>
    <row r="108" spans="26:44">
      <c r="Z108" s="16"/>
      <c r="AA108" s="16"/>
      <c r="AB108" s="16"/>
      <c r="AC108" s="16"/>
      <c r="AD108" s="16"/>
      <c r="AE108" s="85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</row>
    <row r="109" spans="26:44">
      <c r="Z109" s="16"/>
      <c r="AA109" s="16"/>
      <c r="AB109" s="16"/>
      <c r="AC109" s="16"/>
      <c r="AD109" s="16"/>
      <c r="AE109" s="85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</row>
    <row r="110" spans="26:44">
      <c r="Z110" s="16"/>
      <c r="AA110" s="16"/>
      <c r="AB110" s="16"/>
      <c r="AC110" s="16"/>
      <c r="AD110" s="16"/>
      <c r="AE110" s="85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</row>
    <row r="111" spans="26:44">
      <c r="Z111" s="16"/>
      <c r="AA111" s="16"/>
      <c r="AB111" s="16"/>
      <c r="AC111" s="16"/>
      <c r="AD111" s="16"/>
      <c r="AE111" s="85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</row>
    <row r="112" spans="26:44">
      <c r="Z112" s="16"/>
      <c r="AA112" s="16"/>
      <c r="AB112" s="16"/>
      <c r="AC112" s="16"/>
      <c r="AD112" s="16"/>
      <c r="AE112" s="85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</row>
    <row r="113" spans="26:44">
      <c r="Z113" s="16"/>
      <c r="AA113" s="16"/>
      <c r="AB113" s="16"/>
      <c r="AC113" s="16"/>
      <c r="AD113" s="16"/>
      <c r="AE113" s="85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</row>
    <row r="114" spans="26:44">
      <c r="Z114" s="16"/>
      <c r="AA114" s="16"/>
      <c r="AB114" s="16"/>
      <c r="AC114" s="16"/>
      <c r="AD114" s="16"/>
      <c r="AE114" s="85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</row>
    <row r="115" spans="26:44">
      <c r="Z115" s="16"/>
      <c r="AA115" s="16"/>
      <c r="AB115" s="16"/>
      <c r="AC115" s="16"/>
      <c r="AD115" s="16"/>
      <c r="AE115" s="85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</row>
    <row r="116" spans="26:44">
      <c r="Z116" s="16"/>
      <c r="AA116" s="16"/>
      <c r="AB116" s="16"/>
      <c r="AC116" s="16"/>
      <c r="AD116" s="16"/>
      <c r="AE116" s="85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</row>
    <row r="117" spans="26:44">
      <c r="Z117" s="16"/>
      <c r="AA117" s="16"/>
      <c r="AB117" s="16"/>
      <c r="AC117" s="16"/>
      <c r="AD117" s="16"/>
      <c r="AE117" s="85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</row>
    <row r="118" spans="26:44">
      <c r="Z118" s="16"/>
      <c r="AA118" s="16"/>
      <c r="AB118" s="16"/>
      <c r="AC118" s="16"/>
      <c r="AD118" s="16"/>
      <c r="AE118" s="85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</row>
    <row r="119" spans="26:44">
      <c r="Z119" s="16"/>
      <c r="AA119" s="16"/>
      <c r="AB119" s="16"/>
      <c r="AC119" s="16"/>
      <c r="AD119" s="16"/>
      <c r="AE119" s="85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</row>
    <row r="120" spans="26:44">
      <c r="Z120" s="16"/>
      <c r="AA120" s="16"/>
      <c r="AB120" s="16"/>
      <c r="AC120" s="16"/>
      <c r="AD120" s="16"/>
      <c r="AE120" s="85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</row>
    <row r="121" spans="26:44">
      <c r="Z121" s="16"/>
      <c r="AA121" s="16"/>
      <c r="AB121" s="16"/>
      <c r="AC121" s="16"/>
      <c r="AD121" s="16"/>
      <c r="AE121" s="85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</row>
    <row r="122" spans="26:44">
      <c r="Z122" s="16"/>
      <c r="AA122" s="16"/>
      <c r="AB122" s="16"/>
      <c r="AC122" s="16"/>
      <c r="AD122" s="16"/>
      <c r="AE122" s="85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</row>
    <row r="123" spans="26:44">
      <c r="Z123" s="16"/>
      <c r="AA123" s="16"/>
      <c r="AB123" s="16"/>
      <c r="AC123" s="16"/>
      <c r="AD123" s="16"/>
      <c r="AE123" s="85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</row>
    <row r="124" spans="26:44">
      <c r="Z124" s="16"/>
      <c r="AA124" s="16"/>
      <c r="AB124" s="16"/>
      <c r="AC124" s="16"/>
      <c r="AD124" s="16"/>
      <c r="AE124" s="85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</row>
    <row r="125" spans="26:44">
      <c r="Z125" s="16"/>
      <c r="AA125" s="16"/>
      <c r="AB125" s="16"/>
      <c r="AC125" s="16"/>
      <c r="AD125" s="16"/>
      <c r="AE125" s="85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</row>
    <row r="126" spans="26:44">
      <c r="Z126" s="16"/>
      <c r="AA126" s="16"/>
      <c r="AB126" s="16"/>
      <c r="AC126" s="16"/>
      <c r="AD126" s="16"/>
      <c r="AE126" s="85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</row>
    <row r="127" spans="26:44">
      <c r="Z127" s="16"/>
      <c r="AA127" s="16"/>
      <c r="AB127" s="16"/>
      <c r="AC127" s="16"/>
      <c r="AD127" s="16"/>
      <c r="AE127" s="85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</row>
    <row r="128" spans="26:44">
      <c r="Z128" s="16"/>
      <c r="AA128" s="16"/>
      <c r="AB128" s="16"/>
      <c r="AC128" s="16"/>
      <c r="AD128" s="16"/>
      <c r="AE128" s="85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</row>
    <row r="129" spans="26:44">
      <c r="Z129" s="16"/>
      <c r="AA129" s="16"/>
      <c r="AB129" s="16"/>
      <c r="AC129" s="16"/>
      <c r="AD129" s="16"/>
      <c r="AE129" s="85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</row>
    <row r="130" spans="26:44">
      <c r="Z130" s="16"/>
      <c r="AA130" s="16"/>
      <c r="AB130" s="16"/>
      <c r="AC130" s="16"/>
      <c r="AD130" s="16"/>
      <c r="AE130" s="85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</row>
    <row r="131" spans="26:44">
      <c r="Z131" s="16"/>
      <c r="AA131" s="16"/>
      <c r="AB131" s="16"/>
      <c r="AC131" s="16"/>
      <c r="AD131" s="16"/>
      <c r="AE131" s="85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</row>
    <row r="132" spans="26:44">
      <c r="Z132" s="16"/>
      <c r="AA132" s="16"/>
      <c r="AB132" s="16"/>
      <c r="AC132" s="16"/>
      <c r="AD132" s="16"/>
      <c r="AE132" s="85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</row>
    <row r="133" spans="26:44">
      <c r="Z133" s="16"/>
      <c r="AA133" s="16"/>
      <c r="AB133" s="16"/>
      <c r="AC133" s="16"/>
      <c r="AD133" s="16"/>
      <c r="AE133" s="85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</row>
    <row r="134" spans="26:44">
      <c r="Z134" s="16"/>
      <c r="AA134" s="16"/>
      <c r="AB134" s="16"/>
      <c r="AC134" s="16"/>
      <c r="AD134" s="16"/>
      <c r="AE134" s="85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</row>
    <row r="135" spans="26:44">
      <c r="Z135" s="16"/>
      <c r="AA135" s="16"/>
      <c r="AB135" s="16"/>
      <c r="AC135" s="16"/>
      <c r="AD135" s="16"/>
      <c r="AE135" s="85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</row>
    <row r="136" spans="26:44">
      <c r="Z136" s="16"/>
      <c r="AA136" s="16"/>
      <c r="AB136" s="16"/>
      <c r="AC136" s="16"/>
      <c r="AD136" s="16"/>
      <c r="AE136" s="85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</row>
    <row r="137" spans="26:44">
      <c r="Z137" s="16"/>
      <c r="AA137" s="16"/>
      <c r="AB137" s="16"/>
      <c r="AC137" s="16"/>
      <c r="AD137" s="16"/>
      <c r="AE137" s="85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</row>
    <row r="138" spans="26:44">
      <c r="Z138" s="16"/>
      <c r="AA138" s="16"/>
      <c r="AB138" s="16"/>
      <c r="AC138" s="16"/>
      <c r="AD138" s="16"/>
      <c r="AE138" s="85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</row>
    <row r="139" spans="26:44">
      <c r="Z139" s="16"/>
      <c r="AA139" s="16"/>
      <c r="AB139" s="16"/>
      <c r="AC139" s="16"/>
      <c r="AD139" s="16"/>
      <c r="AE139" s="85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</row>
    <row r="140" spans="26:44">
      <c r="Z140" s="16"/>
      <c r="AA140" s="16"/>
      <c r="AB140" s="16"/>
      <c r="AC140" s="16"/>
      <c r="AD140" s="16"/>
      <c r="AE140" s="85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</row>
    <row r="141" spans="26:44">
      <c r="Z141" s="16"/>
      <c r="AA141" s="16"/>
      <c r="AB141" s="16"/>
      <c r="AC141" s="16"/>
      <c r="AD141" s="16"/>
      <c r="AE141" s="85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</row>
    <row r="142" spans="26:44">
      <c r="Z142" s="16"/>
      <c r="AA142" s="16"/>
      <c r="AB142" s="16"/>
      <c r="AC142" s="16"/>
      <c r="AD142" s="16"/>
      <c r="AE142" s="85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</row>
    <row r="143" spans="26:44">
      <c r="Z143" s="16"/>
      <c r="AA143" s="16"/>
      <c r="AB143" s="16"/>
      <c r="AC143" s="16"/>
      <c r="AD143" s="16"/>
      <c r="AE143" s="85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</row>
    <row r="144" spans="26:44">
      <c r="Z144" s="16"/>
      <c r="AA144" s="16"/>
      <c r="AB144" s="16"/>
      <c r="AC144" s="16"/>
      <c r="AD144" s="16"/>
      <c r="AE144" s="85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</row>
    <row r="145" spans="26:44">
      <c r="Z145" s="16"/>
      <c r="AA145" s="16"/>
      <c r="AB145" s="16"/>
      <c r="AC145" s="16"/>
      <c r="AD145" s="16"/>
      <c r="AE145" s="85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</row>
    <row r="146" spans="26:44">
      <c r="Z146" s="16"/>
      <c r="AA146" s="16"/>
      <c r="AB146" s="16"/>
      <c r="AC146" s="16"/>
      <c r="AD146" s="16"/>
      <c r="AE146" s="85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</row>
    <row r="147" spans="26:44">
      <c r="Z147" s="16"/>
      <c r="AA147" s="16"/>
      <c r="AB147" s="16"/>
      <c r="AC147" s="16"/>
      <c r="AD147" s="16"/>
      <c r="AE147" s="85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</row>
    <row r="148" spans="26:44">
      <c r="Z148" s="16"/>
      <c r="AA148" s="16"/>
      <c r="AB148" s="16"/>
      <c r="AC148" s="16"/>
      <c r="AD148" s="16"/>
      <c r="AE148" s="85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</row>
    <row r="149" spans="26:44">
      <c r="Z149" s="16"/>
      <c r="AA149" s="16"/>
      <c r="AB149" s="16"/>
      <c r="AC149" s="16"/>
      <c r="AD149" s="16"/>
      <c r="AE149" s="85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</row>
    <row r="150" spans="26:44">
      <c r="Z150" s="16"/>
      <c r="AA150" s="16"/>
      <c r="AB150" s="16"/>
      <c r="AC150" s="16"/>
      <c r="AD150" s="16"/>
      <c r="AE150" s="85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</row>
    <row r="151" spans="26:44">
      <c r="Z151" s="16"/>
      <c r="AA151" s="16"/>
      <c r="AB151" s="16"/>
      <c r="AC151" s="16"/>
      <c r="AD151" s="16"/>
      <c r="AE151" s="85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</row>
    <row r="152" spans="26:44">
      <c r="Z152" s="16"/>
      <c r="AA152" s="16"/>
      <c r="AB152" s="16"/>
      <c r="AC152" s="16"/>
      <c r="AD152" s="16"/>
      <c r="AE152" s="85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</row>
    <row r="153" spans="26:44">
      <c r="Z153" s="16"/>
      <c r="AA153" s="16"/>
      <c r="AB153" s="16"/>
      <c r="AC153" s="16"/>
      <c r="AD153" s="16"/>
      <c r="AE153" s="85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</row>
    <row r="154" spans="26:44">
      <c r="Z154" s="16"/>
      <c r="AA154" s="16"/>
      <c r="AB154" s="16"/>
      <c r="AC154" s="16"/>
      <c r="AD154" s="16"/>
      <c r="AE154" s="85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</row>
    <row r="155" spans="26:44">
      <c r="Z155" s="16"/>
      <c r="AA155" s="16"/>
      <c r="AB155" s="16"/>
      <c r="AC155" s="16"/>
      <c r="AD155" s="16"/>
      <c r="AE155" s="85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</row>
    <row r="156" spans="26:44">
      <c r="Z156" s="16"/>
      <c r="AA156" s="16"/>
      <c r="AB156" s="16"/>
      <c r="AC156" s="16"/>
      <c r="AD156" s="16"/>
      <c r="AE156" s="85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</row>
    <row r="157" spans="26:44">
      <c r="Z157" s="16"/>
      <c r="AA157" s="16"/>
      <c r="AB157" s="16"/>
      <c r="AC157" s="16"/>
      <c r="AD157" s="16"/>
      <c r="AE157" s="85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</row>
    <row r="158" spans="26:44">
      <c r="Z158" s="16"/>
      <c r="AA158" s="16"/>
      <c r="AB158" s="16"/>
      <c r="AC158" s="16"/>
      <c r="AD158" s="16"/>
      <c r="AE158" s="85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</row>
    <row r="159" spans="26:44">
      <c r="Z159" s="16"/>
      <c r="AA159" s="16"/>
      <c r="AB159" s="16"/>
      <c r="AC159" s="16"/>
      <c r="AD159" s="16"/>
      <c r="AE159" s="85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</row>
    <row r="160" spans="26:44">
      <c r="Z160" s="16"/>
      <c r="AA160" s="16"/>
      <c r="AB160" s="16"/>
      <c r="AC160" s="16"/>
      <c r="AD160" s="16"/>
      <c r="AE160" s="85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</row>
    <row r="161" spans="26:44">
      <c r="Z161" s="16"/>
      <c r="AA161" s="16"/>
      <c r="AB161" s="16"/>
      <c r="AC161" s="16"/>
      <c r="AD161" s="16"/>
      <c r="AE161" s="85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</row>
    <row r="162" spans="26:44">
      <c r="Z162" s="16"/>
      <c r="AA162" s="16"/>
      <c r="AB162" s="16"/>
      <c r="AC162" s="16"/>
      <c r="AD162" s="16"/>
      <c r="AE162" s="85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</row>
    <row r="163" spans="26:44">
      <c r="Z163" s="16"/>
      <c r="AA163" s="16"/>
      <c r="AB163" s="16"/>
      <c r="AC163" s="16"/>
      <c r="AD163" s="16"/>
      <c r="AE163" s="85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</row>
    <row r="164" spans="26:44">
      <c r="Z164" s="16"/>
      <c r="AA164" s="16"/>
      <c r="AB164" s="16"/>
      <c r="AC164" s="16"/>
      <c r="AD164" s="16"/>
      <c r="AE164" s="85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</row>
    <row r="165" spans="26:44">
      <c r="Z165" s="16"/>
      <c r="AA165" s="16"/>
      <c r="AB165" s="16"/>
      <c r="AC165" s="16"/>
      <c r="AD165" s="16"/>
      <c r="AE165" s="85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</row>
    <row r="166" spans="26:44">
      <c r="Z166" s="16"/>
      <c r="AA166" s="16"/>
      <c r="AB166" s="16"/>
      <c r="AC166" s="16"/>
      <c r="AD166" s="16"/>
      <c r="AE166" s="85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</row>
    <row r="167" spans="26:44">
      <c r="Z167" s="16"/>
      <c r="AA167" s="16"/>
      <c r="AB167" s="16"/>
      <c r="AC167" s="16"/>
      <c r="AD167" s="16"/>
      <c r="AE167" s="85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</row>
    <row r="168" spans="26:44">
      <c r="Z168" s="16"/>
      <c r="AA168" s="16"/>
      <c r="AB168" s="16"/>
      <c r="AC168" s="16"/>
      <c r="AD168" s="16"/>
      <c r="AE168" s="85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</row>
    <row r="169" spans="26:44">
      <c r="Z169" s="16"/>
      <c r="AA169" s="16"/>
      <c r="AB169" s="16"/>
      <c r="AC169" s="16"/>
      <c r="AD169" s="16"/>
      <c r="AE169" s="85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</row>
    <row r="170" spans="26:44">
      <c r="Z170" s="16"/>
      <c r="AA170" s="16"/>
      <c r="AB170" s="16"/>
      <c r="AC170" s="16"/>
      <c r="AD170" s="16"/>
      <c r="AE170" s="85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</row>
    <row r="171" spans="26:44">
      <c r="Z171" s="16"/>
      <c r="AA171" s="16"/>
      <c r="AB171" s="16"/>
      <c r="AC171" s="16"/>
      <c r="AD171" s="16"/>
      <c r="AE171" s="85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</row>
    <row r="172" spans="26:44">
      <c r="Z172" s="16"/>
      <c r="AA172" s="16"/>
      <c r="AB172" s="16"/>
      <c r="AC172" s="16"/>
      <c r="AD172" s="16"/>
      <c r="AE172" s="85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</row>
    <row r="173" spans="26:44">
      <c r="Z173" s="16"/>
      <c r="AA173" s="16"/>
      <c r="AB173" s="16"/>
      <c r="AC173" s="16"/>
      <c r="AD173" s="16"/>
      <c r="AE173" s="85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</row>
    <row r="174" spans="26:44">
      <c r="Z174" s="16"/>
      <c r="AA174" s="16"/>
      <c r="AB174" s="16"/>
      <c r="AC174" s="16"/>
      <c r="AD174" s="16"/>
      <c r="AE174" s="85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</row>
    <row r="175" spans="26:44">
      <c r="Z175" s="16"/>
      <c r="AA175" s="16"/>
      <c r="AB175" s="16"/>
      <c r="AC175" s="16"/>
      <c r="AD175" s="16"/>
      <c r="AE175" s="85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</row>
    <row r="176" spans="26:44">
      <c r="Z176" s="16"/>
      <c r="AA176" s="16"/>
      <c r="AB176" s="16"/>
      <c r="AC176" s="16"/>
      <c r="AD176" s="16"/>
      <c r="AE176" s="85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</row>
    <row r="177" spans="26:44">
      <c r="Z177" s="16"/>
      <c r="AA177" s="16"/>
      <c r="AB177" s="16"/>
      <c r="AC177" s="16"/>
      <c r="AD177" s="16"/>
      <c r="AE177" s="85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</row>
    <row r="178" spans="26:44">
      <c r="Z178" s="16"/>
      <c r="AA178" s="16"/>
      <c r="AB178" s="16"/>
      <c r="AC178" s="16"/>
      <c r="AD178" s="16"/>
      <c r="AE178" s="85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</row>
    <row r="179" spans="26:44">
      <c r="Z179" s="16"/>
      <c r="AA179" s="16"/>
      <c r="AB179" s="16"/>
      <c r="AC179" s="16"/>
      <c r="AD179" s="16"/>
      <c r="AE179" s="85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</row>
    <row r="180" spans="26:44">
      <c r="Z180" s="16"/>
      <c r="AA180" s="16"/>
      <c r="AB180" s="16"/>
      <c r="AC180" s="16"/>
      <c r="AD180" s="16"/>
      <c r="AE180" s="85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</row>
    <row r="181" spans="26:44">
      <c r="Z181" s="16"/>
      <c r="AA181" s="16"/>
      <c r="AB181" s="16"/>
      <c r="AC181" s="16"/>
      <c r="AD181" s="16"/>
      <c r="AE181" s="85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</row>
    <row r="182" spans="26:44">
      <c r="Z182" s="16"/>
      <c r="AA182" s="16"/>
      <c r="AB182" s="16"/>
      <c r="AC182" s="16"/>
      <c r="AD182" s="16"/>
      <c r="AE182" s="85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</row>
    <row r="183" spans="26:44">
      <c r="Z183" s="16"/>
      <c r="AA183" s="16"/>
      <c r="AB183" s="16"/>
      <c r="AC183" s="16"/>
      <c r="AD183" s="16"/>
      <c r="AE183" s="85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</row>
    <row r="184" spans="26:44">
      <c r="Z184" s="16"/>
      <c r="AA184" s="16"/>
      <c r="AB184" s="16"/>
      <c r="AC184" s="16"/>
      <c r="AD184" s="16"/>
      <c r="AE184" s="85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</row>
    <row r="185" spans="26:44">
      <c r="Z185" s="16"/>
      <c r="AA185" s="16"/>
      <c r="AB185" s="16"/>
      <c r="AC185" s="16"/>
      <c r="AD185" s="16"/>
      <c r="AE185" s="85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</row>
    <row r="186" spans="26:44">
      <c r="Z186" s="16"/>
      <c r="AA186" s="16"/>
      <c r="AB186" s="16"/>
      <c r="AC186" s="16"/>
      <c r="AD186" s="16"/>
      <c r="AE186" s="85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</row>
    <row r="187" spans="26:44">
      <c r="Z187" s="16"/>
      <c r="AA187" s="16"/>
      <c r="AB187" s="16"/>
      <c r="AC187" s="16"/>
      <c r="AD187" s="16"/>
      <c r="AE187" s="85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</row>
    <row r="188" spans="26:44">
      <c r="Z188" s="16"/>
      <c r="AA188" s="16"/>
      <c r="AB188" s="16"/>
      <c r="AC188" s="16"/>
      <c r="AD188" s="16"/>
      <c r="AE188" s="85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</row>
    <row r="189" spans="26:44">
      <c r="Z189" s="16"/>
      <c r="AA189" s="16"/>
      <c r="AB189" s="16"/>
      <c r="AC189" s="16"/>
      <c r="AD189" s="16"/>
      <c r="AE189" s="85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</row>
    <row r="190" spans="26:44">
      <c r="Z190" s="16"/>
      <c r="AA190" s="16"/>
      <c r="AB190" s="16"/>
      <c r="AC190" s="16"/>
      <c r="AD190" s="16"/>
      <c r="AE190" s="85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</row>
    <row r="191" spans="26:44">
      <c r="Z191" s="16"/>
      <c r="AA191" s="16"/>
      <c r="AB191" s="16"/>
      <c r="AC191" s="16"/>
      <c r="AD191" s="16"/>
      <c r="AE191" s="85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</row>
    <row r="192" spans="26:44">
      <c r="Z192" s="16"/>
      <c r="AA192" s="16"/>
      <c r="AB192" s="16"/>
      <c r="AC192" s="16"/>
      <c r="AD192" s="16"/>
      <c r="AE192" s="85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</row>
    <row r="193" spans="26:44">
      <c r="Z193" s="16"/>
      <c r="AA193" s="16"/>
      <c r="AB193" s="16"/>
      <c r="AC193" s="16"/>
      <c r="AD193" s="16"/>
      <c r="AE193" s="85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</row>
    <row r="194" spans="26:44">
      <c r="Z194" s="16"/>
      <c r="AA194" s="16"/>
      <c r="AB194" s="16"/>
      <c r="AC194" s="16"/>
      <c r="AD194" s="16"/>
      <c r="AE194" s="85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</row>
    <row r="195" spans="26:44">
      <c r="Z195" s="16"/>
      <c r="AA195" s="16"/>
      <c r="AB195" s="16"/>
      <c r="AC195" s="16"/>
      <c r="AD195" s="16"/>
      <c r="AE195" s="85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</row>
    <row r="196" spans="26:44">
      <c r="Z196" s="16"/>
      <c r="AA196" s="16"/>
      <c r="AB196" s="16"/>
      <c r="AC196" s="16"/>
      <c r="AD196" s="16"/>
      <c r="AE196" s="85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</row>
    <row r="197" spans="26:44">
      <c r="Z197" s="16"/>
      <c r="AA197" s="16"/>
      <c r="AB197" s="16"/>
      <c r="AC197" s="16"/>
      <c r="AD197" s="16"/>
      <c r="AE197" s="85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</row>
    <row r="198" spans="26:44">
      <c r="Z198" s="16"/>
      <c r="AA198" s="16"/>
      <c r="AB198" s="16"/>
      <c r="AC198" s="16"/>
      <c r="AD198" s="16"/>
      <c r="AE198" s="85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</row>
    <row r="199" spans="26:44">
      <c r="Z199" s="16"/>
      <c r="AA199" s="16"/>
      <c r="AB199" s="16"/>
      <c r="AC199" s="16"/>
      <c r="AD199" s="16"/>
      <c r="AE199" s="85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</row>
    <row r="200" spans="26:44">
      <c r="Z200" s="16"/>
      <c r="AA200" s="16"/>
      <c r="AB200" s="16"/>
      <c r="AC200" s="16"/>
      <c r="AD200" s="16"/>
      <c r="AE200" s="85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</row>
    <row r="201" spans="26:44">
      <c r="Z201" s="16"/>
      <c r="AA201" s="16"/>
      <c r="AB201" s="16"/>
      <c r="AC201" s="16"/>
      <c r="AD201" s="16"/>
      <c r="AE201" s="85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</row>
    <row r="202" spans="26:44">
      <c r="Z202" s="16"/>
      <c r="AA202" s="16"/>
      <c r="AB202" s="16"/>
      <c r="AC202" s="16"/>
      <c r="AD202" s="16"/>
      <c r="AE202" s="85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</row>
    <row r="203" spans="26:44">
      <c r="Z203" s="16"/>
      <c r="AA203" s="16"/>
      <c r="AB203" s="16"/>
      <c r="AC203" s="16"/>
      <c r="AD203" s="16"/>
      <c r="AE203" s="85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</row>
    <row r="204" spans="26:44">
      <c r="Z204" s="16"/>
      <c r="AA204" s="16"/>
      <c r="AB204" s="16"/>
      <c r="AC204" s="16"/>
      <c r="AD204" s="16"/>
      <c r="AE204" s="85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</row>
    <row r="205" spans="26:44">
      <c r="Z205" s="16"/>
      <c r="AA205" s="16"/>
      <c r="AB205" s="16"/>
      <c r="AC205" s="16"/>
      <c r="AD205" s="16"/>
      <c r="AE205" s="85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</row>
    <row r="206" spans="26:44">
      <c r="Z206" s="16"/>
      <c r="AA206" s="16"/>
      <c r="AB206" s="16"/>
      <c r="AC206" s="16"/>
      <c r="AD206" s="16"/>
      <c r="AE206" s="85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</row>
    <row r="207" spans="26:44">
      <c r="Z207" s="16"/>
      <c r="AA207" s="16"/>
      <c r="AB207" s="16"/>
      <c r="AC207" s="16"/>
      <c r="AD207" s="16"/>
      <c r="AE207" s="85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</row>
    <row r="208" spans="26:44">
      <c r="Z208" s="16"/>
      <c r="AA208" s="16"/>
      <c r="AB208" s="16"/>
      <c r="AC208" s="16"/>
      <c r="AD208" s="16"/>
      <c r="AE208" s="85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</row>
    <row r="209" spans="26:44">
      <c r="Z209" s="16"/>
      <c r="AA209" s="16"/>
      <c r="AB209" s="16"/>
      <c r="AC209" s="16"/>
      <c r="AD209" s="16"/>
      <c r="AE209" s="85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</row>
    <row r="210" spans="26:44">
      <c r="Z210" s="16"/>
      <c r="AA210" s="16"/>
      <c r="AB210" s="16"/>
      <c r="AC210" s="16"/>
      <c r="AD210" s="16"/>
      <c r="AE210" s="85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</row>
    <row r="211" spans="26:44">
      <c r="Z211" s="16"/>
      <c r="AA211" s="16"/>
      <c r="AB211" s="16"/>
      <c r="AC211" s="16"/>
      <c r="AD211" s="16"/>
      <c r="AE211" s="85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</row>
    <row r="212" spans="26:44">
      <c r="Z212" s="16"/>
      <c r="AA212" s="16"/>
      <c r="AB212" s="16"/>
      <c r="AC212" s="16"/>
      <c r="AD212" s="16"/>
      <c r="AE212" s="85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</row>
    <row r="213" spans="26:44">
      <c r="Z213" s="16"/>
      <c r="AA213" s="16"/>
      <c r="AB213" s="16"/>
      <c r="AC213" s="16"/>
      <c r="AD213" s="16"/>
      <c r="AE213" s="85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</row>
    <row r="214" spans="26:44">
      <c r="Z214" s="16"/>
      <c r="AA214" s="16"/>
      <c r="AB214" s="16"/>
      <c r="AC214" s="16"/>
      <c r="AD214" s="16"/>
      <c r="AE214" s="85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</row>
    <row r="215" spans="26:44">
      <c r="Z215" s="16"/>
      <c r="AA215" s="16"/>
      <c r="AB215" s="16"/>
      <c r="AC215" s="16"/>
      <c r="AD215" s="16"/>
      <c r="AE215" s="85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</row>
    <row r="216" spans="26:44">
      <c r="Z216" s="16"/>
      <c r="AA216" s="16"/>
      <c r="AB216" s="16"/>
      <c r="AC216" s="16"/>
      <c r="AD216" s="16"/>
      <c r="AE216" s="85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</row>
    <row r="217" spans="26:44">
      <c r="Z217" s="16"/>
      <c r="AA217" s="16"/>
      <c r="AB217" s="16"/>
      <c r="AC217" s="16"/>
      <c r="AD217" s="16"/>
      <c r="AE217" s="85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</row>
    <row r="218" spans="26:44">
      <c r="Z218" s="16"/>
      <c r="AA218" s="16"/>
      <c r="AB218" s="16"/>
      <c r="AC218" s="16"/>
      <c r="AD218" s="16"/>
      <c r="AE218" s="85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</row>
    <row r="219" spans="26:44">
      <c r="Z219" s="16"/>
      <c r="AA219" s="16"/>
      <c r="AB219" s="16"/>
      <c r="AC219" s="16"/>
      <c r="AD219" s="16"/>
      <c r="AE219" s="85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</row>
    <row r="220" spans="26:44">
      <c r="Z220" s="16"/>
      <c r="AA220" s="16"/>
      <c r="AB220" s="16"/>
      <c r="AC220" s="16"/>
      <c r="AD220" s="16"/>
      <c r="AE220" s="85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</row>
    <row r="221" spans="26:44">
      <c r="Z221" s="16"/>
      <c r="AA221" s="16"/>
      <c r="AB221" s="16"/>
      <c r="AC221" s="16"/>
      <c r="AD221" s="16"/>
      <c r="AE221" s="85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</row>
    <row r="222" spans="26:44">
      <c r="Z222" s="16"/>
      <c r="AA222" s="16"/>
      <c r="AB222" s="16"/>
      <c r="AC222" s="16"/>
      <c r="AD222" s="16"/>
      <c r="AE222" s="85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</row>
    <row r="223" spans="26:44">
      <c r="Z223" s="16"/>
      <c r="AA223" s="16"/>
      <c r="AB223" s="16"/>
      <c r="AC223" s="16"/>
      <c r="AD223" s="16"/>
      <c r="AE223" s="85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</row>
    <row r="224" spans="26:44">
      <c r="Z224" s="16"/>
      <c r="AA224" s="16"/>
      <c r="AB224" s="16"/>
      <c r="AC224" s="16"/>
      <c r="AD224" s="16"/>
      <c r="AE224" s="85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</row>
    <row r="225" spans="26:44">
      <c r="Z225" s="16"/>
      <c r="AA225" s="16"/>
      <c r="AB225" s="16"/>
      <c r="AC225" s="16"/>
      <c r="AD225" s="16"/>
      <c r="AE225" s="85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</row>
    <row r="226" spans="26:44">
      <c r="Z226" s="16"/>
      <c r="AA226" s="16"/>
      <c r="AB226" s="16"/>
      <c r="AC226" s="16"/>
      <c r="AD226" s="16"/>
      <c r="AE226" s="85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</row>
    <row r="227" spans="26:44">
      <c r="Z227" s="16"/>
      <c r="AA227" s="16"/>
      <c r="AB227" s="16"/>
      <c r="AC227" s="16"/>
      <c r="AD227" s="16"/>
      <c r="AE227" s="85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</row>
    <row r="228" spans="26:44">
      <c r="Z228" s="16"/>
      <c r="AA228" s="16"/>
      <c r="AB228" s="16"/>
      <c r="AC228" s="16"/>
      <c r="AD228" s="16"/>
      <c r="AE228" s="85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</row>
    <row r="229" spans="26:44">
      <c r="Z229" s="16"/>
      <c r="AA229" s="16"/>
      <c r="AB229" s="16"/>
      <c r="AC229" s="16"/>
      <c r="AD229" s="16"/>
      <c r="AE229" s="85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</row>
    <row r="230" spans="26:44">
      <c r="Z230" s="16"/>
      <c r="AA230" s="16"/>
      <c r="AB230" s="16"/>
      <c r="AC230" s="16"/>
      <c r="AD230" s="16"/>
      <c r="AE230" s="85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</row>
    <row r="231" spans="26:44">
      <c r="Z231" s="16"/>
      <c r="AA231" s="16"/>
      <c r="AB231" s="16"/>
      <c r="AC231" s="16"/>
      <c r="AD231" s="16"/>
      <c r="AE231" s="85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</row>
    <row r="232" spans="26:44">
      <c r="Z232" s="16"/>
      <c r="AA232" s="16"/>
      <c r="AB232" s="16"/>
      <c r="AC232" s="16"/>
      <c r="AD232" s="16"/>
      <c r="AE232" s="85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</row>
    <row r="233" spans="26:44">
      <c r="Z233" s="16"/>
      <c r="AA233" s="16"/>
      <c r="AB233" s="16"/>
      <c r="AC233" s="16"/>
      <c r="AD233" s="16"/>
      <c r="AE233" s="85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</row>
    <row r="234" spans="26:44">
      <c r="Z234" s="16"/>
      <c r="AA234" s="16"/>
      <c r="AB234" s="16"/>
      <c r="AC234" s="16"/>
      <c r="AD234" s="16"/>
      <c r="AE234" s="85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</row>
    <row r="235" spans="26:44">
      <c r="Z235" s="16"/>
      <c r="AA235" s="16"/>
      <c r="AB235" s="16"/>
      <c r="AC235" s="16"/>
      <c r="AD235" s="16"/>
      <c r="AE235" s="85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</row>
    <row r="236" spans="26:44">
      <c r="Z236" s="16"/>
      <c r="AA236" s="16"/>
      <c r="AB236" s="16"/>
      <c r="AC236" s="16"/>
      <c r="AD236" s="16"/>
      <c r="AE236" s="85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</row>
    <row r="237" spans="26:44">
      <c r="Z237" s="16"/>
      <c r="AA237" s="16"/>
      <c r="AB237" s="16"/>
      <c r="AC237" s="16"/>
      <c r="AD237" s="16"/>
      <c r="AE237" s="85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</row>
    <row r="238" spans="26:44">
      <c r="Z238" s="16"/>
      <c r="AA238" s="16"/>
      <c r="AB238" s="16"/>
      <c r="AC238" s="16"/>
      <c r="AD238" s="16"/>
      <c r="AE238" s="85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</row>
    <row r="239" spans="26:44">
      <c r="Z239" s="16"/>
      <c r="AA239" s="16"/>
      <c r="AB239" s="16"/>
      <c r="AC239" s="16"/>
      <c r="AD239" s="16"/>
      <c r="AE239" s="85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</row>
    <row r="240" spans="26:44">
      <c r="Z240" s="16"/>
      <c r="AA240" s="16"/>
      <c r="AB240" s="16"/>
      <c r="AC240" s="16"/>
      <c r="AD240" s="16"/>
      <c r="AE240" s="85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</row>
    <row r="241" spans="26:44">
      <c r="Z241" s="16"/>
      <c r="AA241" s="16"/>
      <c r="AB241" s="16"/>
      <c r="AC241" s="16"/>
      <c r="AD241" s="16"/>
      <c r="AE241" s="85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</row>
    <row r="242" spans="26:44">
      <c r="Z242" s="16"/>
      <c r="AA242" s="16"/>
      <c r="AB242" s="16"/>
      <c r="AC242" s="16"/>
      <c r="AD242" s="16"/>
      <c r="AE242" s="85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</row>
    <row r="243" spans="26:44">
      <c r="Z243" s="16"/>
      <c r="AA243" s="16"/>
      <c r="AB243" s="16"/>
      <c r="AC243" s="16"/>
      <c r="AD243" s="16"/>
      <c r="AE243" s="85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</row>
    <row r="244" spans="26:44">
      <c r="Z244" s="16"/>
      <c r="AA244" s="16"/>
      <c r="AB244" s="16"/>
      <c r="AC244" s="16"/>
      <c r="AD244" s="16"/>
      <c r="AE244" s="85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</row>
    <row r="245" spans="26:44">
      <c r="Z245" s="16"/>
      <c r="AA245" s="16"/>
      <c r="AB245" s="16"/>
      <c r="AC245" s="16"/>
      <c r="AD245" s="16"/>
      <c r="AE245" s="85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</row>
    <row r="246" spans="26:44">
      <c r="Z246" s="16"/>
      <c r="AA246" s="16"/>
      <c r="AB246" s="16"/>
      <c r="AC246" s="16"/>
      <c r="AD246" s="16"/>
      <c r="AE246" s="85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</row>
    <row r="247" spans="26:44">
      <c r="Z247" s="16"/>
      <c r="AA247" s="16"/>
      <c r="AB247" s="16"/>
      <c r="AC247" s="16"/>
      <c r="AD247" s="16"/>
      <c r="AE247" s="85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</row>
    <row r="248" spans="26:44">
      <c r="Z248" s="16"/>
      <c r="AA248" s="16"/>
      <c r="AB248" s="16"/>
      <c r="AC248" s="16"/>
      <c r="AD248" s="16"/>
      <c r="AE248" s="85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</row>
    <row r="249" spans="26:44">
      <c r="Z249" s="16"/>
      <c r="AA249" s="16"/>
      <c r="AB249" s="16"/>
      <c r="AC249" s="16"/>
      <c r="AD249" s="16"/>
      <c r="AE249" s="85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</row>
    <row r="250" spans="26:44">
      <c r="Z250" s="16"/>
      <c r="AA250" s="16"/>
      <c r="AB250" s="16"/>
      <c r="AC250" s="16"/>
      <c r="AD250" s="16"/>
      <c r="AE250" s="85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</row>
    <row r="251" spans="26:44">
      <c r="Z251" s="16"/>
      <c r="AA251" s="16"/>
      <c r="AB251" s="16"/>
      <c r="AC251" s="16"/>
      <c r="AD251" s="16"/>
      <c r="AE251" s="85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</row>
    <row r="252" spans="26:44">
      <c r="Z252" s="16"/>
      <c r="AA252" s="16"/>
      <c r="AB252" s="16"/>
      <c r="AC252" s="16"/>
      <c r="AD252" s="16"/>
      <c r="AE252" s="85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</row>
    <row r="253" spans="26:44">
      <c r="Z253" s="16"/>
      <c r="AA253" s="16"/>
      <c r="AB253" s="16"/>
      <c r="AC253" s="16"/>
      <c r="AD253" s="16"/>
      <c r="AE253" s="85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</row>
    <row r="254" spans="26:44">
      <c r="Z254" s="16"/>
      <c r="AA254" s="16"/>
      <c r="AB254" s="16"/>
      <c r="AC254" s="16"/>
      <c r="AD254" s="16"/>
      <c r="AE254" s="85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</row>
    <row r="255" spans="26:44">
      <c r="Z255" s="16"/>
      <c r="AA255" s="16"/>
      <c r="AB255" s="16"/>
      <c r="AC255" s="16"/>
      <c r="AD255" s="16"/>
      <c r="AE255" s="85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</row>
    <row r="256" spans="26:44">
      <c r="Z256" s="16"/>
      <c r="AA256" s="16"/>
      <c r="AB256" s="16"/>
      <c r="AC256" s="16"/>
      <c r="AD256" s="16"/>
      <c r="AE256" s="85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</row>
    <row r="257" spans="26:44">
      <c r="Z257" s="16"/>
      <c r="AA257" s="16"/>
      <c r="AB257" s="16"/>
      <c r="AC257" s="16"/>
      <c r="AD257" s="16"/>
      <c r="AE257" s="85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</row>
    <row r="258" spans="26:44">
      <c r="Z258" s="16"/>
      <c r="AA258" s="16"/>
      <c r="AB258" s="16"/>
      <c r="AC258" s="16"/>
      <c r="AD258" s="16"/>
      <c r="AE258" s="85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</row>
    <row r="259" spans="26:44">
      <c r="Z259" s="16"/>
      <c r="AA259" s="16"/>
      <c r="AB259" s="16"/>
      <c r="AC259" s="16"/>
      <c r="AD259" s="16"/>
      <c r="AE259" s="85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</row>
    <row r="260" spans="26:44">
      <c r="Z260" s="16"/>
      <c r="AA260" s="16"/>
      <c r="AB260" s="16"/>
      <c r="AC260" s="16"/>
      <c r="AD260" s="16"/>
      <c r="AE260" s="85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</row>
    <row r="261" spans="26:44">
      <c r="Z261" s="16"/>
      <c r="AA261" s="16"/>
      <c r="AB261" s="16"/>
      <c r="AC261" s="16"/>
      <c r="AD261" s="16"/>
      <c r="AE261" s="85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</row>
    <row r="262" spans="26:44">
      <c r="Z262" s="16"/>
      <c r="AA262" s="16"/>
      <c r="AB262" s="16"/>
      <c r="AC262" s="16"/>
      <c r="AD262" s="16"/>
      <c r="AE262" s="85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</row>
    <row r="263" spans="26:44">
      <c r="Z263" s="16"/>
      <c r="AA263" s="16"/>
      <c r="AB263" s="16"/>
      <c r="AC263" s="16"/>
      <c r="AD263" s="16"/>
      <c r="AE263" s="85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</row>
    <row r="264" spans="26:44">
      <c r="Z264" s="16"/>
      <c r="AA264" s="16"/>
      <c r="AB264" s="16"/>
      <c r="AC264" s="16"/>
      <c r="AD264" s="16"/>
      <c r="AE264" s="85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</row>
    <row r="265" spans="26:44">
      <c r="Z265" s="16"/>
      <c r="AA265" s="16"/>
      <c r="AB265" s="16"/>
      <c r="AC265" s="16"/>
      <c r="AD265" s="16"/>
      <c r="AE265" s="85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</row>
    <row r="266" spans="26:44">
      <c r="Z266" s="16"/>
      <c r="AA266" s="16"/>
      <c r="AB266" s="16"/>
      <c r="AC266" s="16"/>
      <c r="AD266" s="16"/>
      <c r="AE266" s="85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</row>
    <row r="267" spans="26:44">
      <c r="Z267" s="16"/>
      <c r="AA267" s="16"/>
      <c r="AB267" s="16"/>
      <c r="AC267" s="16"/>
      <c r="AD267" s="16"/>
      <c r="AE267" s="85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</row>
    <row r="268" spans="26:44">
      <c r="Z268" s="16"/>
      <c r="AA268" s="16"/>
      <c r="AB268" s="16"/>
      <c r="AC268" s="16"/>
      <c r="AD268" s="16"/>
      <c r="AE268" s="85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</row>
    <row r="269" spans="26:44">
      <c r="Z269" s="16"/>
      <c r="AA269" s="16"/>
      <c r="AB269" s="16"/>
      <c r="AC269" s="16"/>
      <c r="AD269" s="16"/>
      <c r="AE269" s="85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</row>
    <row r="270" spans="26:44">
      <c r="Z270" s="16"/>
      <c r="AA270" s="16"/>
      <c r="AB270" s="16"/>
      <c r="AC270" s="16"/>
      <c r="AD270" s="16"/>
      <c r="AE270" s="85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</row>
    <row r="271" spans="26:44">
      <c r="Z271" s="16"/>
      <c r="AA271" s="16"/>
      <c r="AB271" s="16"/>
      <c r="AC271" s="16"/>
      <c r="AD271" s="16"/>
      <c r="AE271" s="85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</row>
    <row r="272" spans="26:44">
      <c r="Z272" s="16"/>
      <c r="AA272" s="16"/>
      <c r="AB272" s="16"/>
      <c r="AC272" s="16"/>
      <c r="AD272" s="16"/>
      <c r="AE272" s="85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</row>
    <row r="273" spans="26:44">
      <c r="Z273" s="16"/>
      <c r="AA273" s="16"/>
      <c r="AB273" s="16"/>
      <c r="AC273" s="16"/>
      <c r="AD273" s="16"/>
      <c r="AE273" s="85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</row>
    <row r="274" spans="26:44">
      <c r="Z274" s="16"/>
      <c r="AA274" s="16"/>
      <c r="AB274" s="16"/>
      <c r="AC274" s="16"/>
      <c r="AD274" s="16"/>
      <c r="AE274" s="85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</row>
    <row r="275" spans="26:44">
      <c r="Z275" s="16"/>
      <c r="AA275" s="16"/>
      <c r="AB275" s="16"/>
      <c r="AC275" s="16"/>
      <c r="AD275" s="16"/>
      <c r="AE275" s="85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</row>
    <row r="276" spans="26:44">
      <c r="Z276" s="16"/>
      <c r="AA276" s="16"/>
      <c r="AB276" s="16"/>
      <c r="AC276" s="16"/>
      <c r="AD276" s="16"/>
      <c r="AE276" s="85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</row>
    <row r="277" spans="26:44">
      <c r="Z277" s="16"/>
      <c r="AA277" s="16"/>
      <c r="AB277" s="16"/>
      <c r="AC277" s="16"/>
      <c r="AD277" s="16"/>
      <c r="AE277" s="85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</row>
    <row r="278" spans="26:44">
      <c r="Z278" s="16"/>
      <c r="AA278" s="16"/>
      <c r="AB278" s="16"/>
      <c r="AC278" s="16"/>
      <c r="AD278" s="16"/>
      <c r="AE278" s="85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</row>
    <row r="279" spans="26:44">
      <c r="Z279" s="16"/>
      <c r="AA279" s="16"/>
      <c r="AB279" s="16"/>
      <c r="AC279" s="16"/>
      <c r="AD279" s="16"/>
      <c r="AE279" s="85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</row>
    <row r="280" spans="26:44">
      <c r="Z280" s="16"/>
      <c r="AA280" s="16"/>
      <c r="AB280" s="16"/>
      <c r="AC280" s="16"/>
      <c r="AD280" s="16"/>
      <c r="AE280" s="85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</row>
    <row r="281" spans="26:44">
      <c r="Z281" s="16"/>
      <c r="AA281" s="16"/>
      <c r="AB281" s="16"/>
      <c r="AC281" s="16"/>
      <c r="AD281" s="16"/>
      <c r="AE281" s="85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</row>
    <row r="282" spans="26:44">
      <c r="Z282" s="16"/>
      <c r="AA282" s="16"/>
      <c r="AB282" s="16"/>
      <c r="AC282" s="16"/>
      <c r="AD282" s="16"/>
      <c r="AE282" s="85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</row>
    <row r="283" spans="26:44">
      <c r="Z283" s="16"/>
      <c r="AA283" s="16"/>
      <c r="AB283" s="16"/>
      <c r="AC283" s="16"/>
      <c r="AD283" s="16"/>
      <c r="AE283" s="85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</row>
    <row r="284" spans="26:44">
      <c r="Z284" s="16"/>
      <c r="AA284" s="16"/>
      <c r="AB284" s="16"/>
      <c r="AC284" s="16"/>
      <c r="AD284" s="16"/>
      <c r="AE284" s="85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</row>
    <row r="285" spans="26:44">
      <c r="Z285" s="16"/>
      <c r="AA285" s="16"/>
      <c r="AB285" s="16"/>
      <c r="AC285" s="16"/>
      <c r="AD285" s="16"/>
      <c r="AE285" s="85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</row>
    <row r="286" spans="26:44">
      <c r="Z286" s="16"/>
      <c r="AA286" s="16"/>
      <c r="AB286" s="16"/>
      <c r="AC286" s="16"/>
      <c r="AD286" s="16"/>
      <c r="AE286" s="85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</row>
    <row r="287" spans="26:44">
      <c r="Z287" s="16"/>
      <c r="AA287" s="16"/>
      <c r="AB287" s="16"/>
      <c r="AC287" s="16"/>
      <c r="AD287" s="16"/>
      <c r="AE287" s="85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</row>
    <row r="288" spans="26:44">
      <c r="Z288" s="16"/>
      <c r="AA288" s="16"/>
      <c r="AB288" s="16"/>
      <c r="AC288" s="16"/>
      <c r="AD288" s="16"/>
      <c r="AE288" s="85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</row>
  </sheetData>
  <autoFilter ref="P11:AP52"/>
  <mergeCells count="28">
    <mergeCell ref="U5:U6"/>
    <mergeCell ref="B1:C1"/>
    <mergeCell ref="H6:R6"/>
    <mergeCell ref="H7:N7"/>
    <mergeCell ref="P7:R7"/>
    <mergeCell ref="T5:T6"/>
    <mergeCell ref="AH5:AH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F5:AF6"/>
    <mergeCell ref="AG5:AG6"/>
    <mergeCell ref="AO5:AO6"/>
    <mergeCell ref="AP5:AP6"/>
    <mergeCell ref="AQ5:AR5"/>
    <mergeCell ref="AS5:AS6"/>
    <mergeCell ref="AI5:AI6"/>
    <mergeCell ref="AJ5:AJ6"/>
    <mergeCell ref="AK5:AK6"/>
    <mergeCell ref="AL5:AL6"/>
    <mergeCell ref="AM5:AM6"/>
    <mergeCell ref="AN5:AN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workbookViewId="0">
      <selection activeCell="B33" sqref="B33"/>
    </sheetView>
  </sheetViews>
  <sheetFormatPr baseColWidth="10" defaultRowHeight="15"/>
  <cols>
    <col min="2" max="2" width="50.85546875" bestFit="1" customWidth="1"/>
    <col min="3" max="3" width="11.5703125" style="297" bestFit="1" customWidth="1"/>
    <col min="4" max="18" width="11.42578125" style="297"/>
  </cols>
  <sheetData>
    <row r="1" spans="1:18">
      <c r="A1" t="s">
        <v>285</v>
      </c>
      <c r="B1" t="s">
        <v>286</v>
      </c>
    </row>
    <row r="2" spans="1:18">
      <c r="A2" t="s">
        <v>287</v>
      </c>
      <c r="B2" t="s">
        <v>288</v>
      </c>
    </row>
    <row r="3" spans="1:18">
      <c r="B3" t="s">
        <v>289</v>
      </c>
    </row>
    <row r="4" spans="1:18">
      <c r="B4" t="s">
        <v>290</v>
      </c>
    </row>
    <row r="5" spans="1:18">
      <c r="B5" t="s">
        <v>291</v>
      </c>
    </row>
    <row r="6" spans="1:18">
      <c r="B6" t="s">
        <v>292</v>
      </c>
      <c r="H6" s="297" t="s">
        <v>315</v>
      </c>
    </row>
    <row r="7" spans="1:18">
      <c r="H7" s="297" t="s">
        <v>316</v>
      </c>
      <c r="P7" s="297" t="s">
        <v>317</v>
      </c>
    </row>
    <row r="8" spans="1:18">
      <c r="A8" s="298" t="s">
        <v>293</v>
      </c>
      <c r="B8" s="298" t="s">
        <v>294</v>
      </c>
      <c r="C8" s="299" t="s">
        <v>295</v>
      </c>
      <c r="D8" s="299" t="s">
        <v>296</v>
      </c>
      <c r="E8" s="299" t="s">
        <v>314</v>
      </c>
      <c r="F8" s="299" t="s">
        <v>297</v>
      </c>
      <c r="G8" s="299"/>
      <c r="H8" s="299" t="s">
        <v>297</v>
      </c>
      <c r="I8" s="299" t="s">
        <v>318</v>
      </c>
      <c r="J8" s="299" t="s">
        <v>319</v>
      </c>
      <c r="K8" s="299" t="s">
        <v>320</v>
      </c>
      <c r="L8" s="299" t="s">
        <v>321</v>
      </c>
      <c r="M8" s="299" t="s">
        <v>322</v>
      </c>
      <c r="N8" s="299" t="s">
        <v>323</v>
      </c>
      <c r="O8" s="299"/>
      <c r="P8" s="299" t="s">
        <v>324</v>
      </c>
      <c r="Q8" s="299" t="s">
        <v>322</v>
      </c>
      <c r="R8" s="299" t="s">
        <v>323</v>
      </c>
    </row>
    <row r="9" spans="1:18">
      <c r="A9" t="s">
        <v>174</v>
      </c>
      <c r="B9" t="s">
        <v>175</v>
      </c>
      <c r="C9" s="297">
        <v>3250.05</v>
      </c>
      <c r="D9" s="297">
        <v>0</v>
      </c>
      <c r="E9" s="297">
        <v>0</v>
      </c>
      <c r="H9" s="297">
        <v>3250.05</v>
      </c>
      <c r="I9" s="297">
        <v>-45.13</v>
      </c>
      <c r="J9" s="297">
        <v>65.001000000000005</v>
      </c>
      <c r="K9" s="297">
        <v>243.75375</v>
      </c>
      <c r="L9" s="297">
        <v>3513.6747500000001</v>
      </c>
      <c r="M9" s="297">
        <v>562.18796000000009</v>
      </c>
      <c r="N9" s="297">
        <v>4075.8627100000003</v>
      </c>
      <c r="P9" s="297">
        <v>0</v>
      </c>
      <c r="Q9" s="297">
        <v>0</v>
      </c>
      <c r="R9" s="297">
        <v>0</v>
      </c>
    </row>
    <row r="10" spans="1:18">
      <c r="A10" t="s">
        <v>176</v>
      </c>
      <c r="B10" t="s">
        <v>177</v>
      </c>
      <c r="C10" s="297">
        <v>2500.0500000000002</v>
      </c>
      <c r="D10" s="297">
        <v>0</v>
      </c>
      <c r="E10" s="297">
        <v>1802</v>
      </c>
      <c r="H10" s="297">
        <v>2500.0500000000002</v>
      </c>
      <c r="I10" s="297">
        <v>-45.13</v>
      </c>
      <c r="J10" s="297">
        <v>50.001000000000005</v>
      </c>
      <c r="K10" s="297">
        <v>187.50375</v>
      </c>
      <c r="L10" s="297">
        <v>2692.4247500000001</v>
      </c>
      <c r="M10" s="297">
        <v>430.78796000000006</v>
      </c>
      <c r="N10" s="297">
        <v>3123.2127100000002</v>
      </c>
      <c r="P10" s="297">
        <v>1802</v>
      </c>
      <c r="Q10" s="297">
        <v>288.32</v>
      </c>
      <c r="R10" s="297">
        <v>2090.3200000000002</v>
      </c>
    </row>
    <row r="11" spans="1:18">
      <c r="A11" t="s">
        <v>178</v>
      </c>
      <c r="B11" t="s">
        <v>179</v>
      </c>
      <c r="C11" s="297">
        <v>3000</v>
      </c>
      <c r="D11" s="297">
        <v>0</v>
      </c>
      <c r="E11" s="297">
        <v>3500</v>
      </c>
      <c r="H11" s="297">
        <v>3000</v>
      </c>
      <c r="I11" s="297">
        <v>-45.13</v>
      </c>
      <c r="J11" s="297">
        <v>60</v>
      </c>
      <c r="K11" s="297">
        <v>225</v>
      </c>
      <c r="L11" s="297">
        <v>3239.87</v>
      </c>
      <c r="M11" s="297">
        <v>518.37919999999997</v>
      </c>
      <c r="N11" s="297">
        <v>3758.2491999999997</v>
      </c>
      <c r="P11" s="297">
        <v>3500</v>
      </c>
      <c r="Q11" s="297">
        <v>560</v>
      </c>
      <c r="R11" s="297">
        <v>4060</v>
      </c>
    </row>
    <row r="12" spans="1:18">
      <c r="A12" t="s">
        <v>180</v>
      </c>
      <c r="B12" t="s">
        <v>181</v>
      </c>
      <c r="C12" s="297">
        <v>2500.0500000000002</v>
      </c>
      <c r="D12" s="297">
        <v>0</v>
      </c>
      <c r="E12" s="297">
        <v>7159.64</v>
      </c>
      <c r="H12" s="297">
        <v>2500.0500000000002</v>
      </c>
      <c r="I12" s="297">
        <v>-45.13</v>
      </c>
      <c r="J12" s="297">
        <v>50.001000000000005</v>
      </c>
      <c r="K12" s="297">
        <v>187.50375</v>
      </c>
      <c r="L12" s="297">
        <v>2692.4247500000001</v>
      </c>
      <c r="M12" s="297">
        <v>430.78796000000006</v>
      </c>
      <c r="N12" s="297">
        <v>3123.2127100000002</v>
      </c>
      <c r="P12" s="297">
        <v>7159.64</v>
      </c>
      <c r="Q12" s="297">
        <v>1145.5424</v>
      </c>
      <c r="R12" s="297">
        <v>8305.1823999999997</v>
      </c>
    </row>
    <row r="13" spans="1:18">
      <c r="A13" t="s">
        <v>182</v>
      </c>
      <c r="B13" t="s">
        <v>183</v>
      </c>
      <c r="C13" s="297">
        <v>6500.1</v>
      </c>
      <c r="D13" s="297">
        <v>0</v>
      </c>
      <c r="E13" s="297">
        <v>0</v>
      </c>
      <c r="H13" s="297">
        <v>6500.1</v>
      </c>
      <c r="I13" s="297">
        <v>-223.04</v>
      </c>
      <c r="J13" s="297">
        <v>130.00200000000001</v>
      </c>
      <c r="K13" s="297">
        <v>487.50749999999999</v>
      </c>
      <c r="L13" s="297">
        <v>6894.5695000000005</v>
      </c>
      <c r="M13" s="297">
        <v>1103.13112</v>
      </c>
      <c r="N13" s="297">
        <v>7997.7006200000005</v>
      </c>
      <c r="P13" s="297">
        <v>0</v>
      </c>
      <c r="Q13" s="297">
        <v>0</v>
      </c>
      <c r="R13" s="297">
        <v>0</v>
      </c>
    </row>
    <row r="14" spans="1:18">
      <c r="A14" t="s">
        <v>184</v>
      </c>
      <c r="B14" t="s">
        <v>185</v>
      </c>
      <c r="C14" s="297">
        <v>2800.05</v>
      </c>
      <c r="D14" s="297">
        <v>0</v>
      </c>
      <c r="E14" s="297">
        <v>0</v>
      </c>
      <c r="H14" s="297">
        <v>2800.05</v>
      </c>
      <c r="I14" s="297">
        <v>-45.13</v>
      </c>
      <c r="J14" s="297">
        <v>56.001000000000005</v>
      </c>
      <c r="K14" s="297">
        <v>210.00375</v>
      </c>
      <c r="L14" s="297">
        <v>3020.9247500000001</v>
      </c>
      <c r="M14" s="297">
        <v>483.34796000000006</v>
      </c>
      <c r="N14" s="297">
        <v>3504.2727100000002</v>
      </c>
      <c r="P14" s="297">
        <v>0</v>
      </c>
      <c r="Q14" s="297">
        <v>0</v>
      </c>
      <c r="R14" s="297">
        <v>0</v>
      </c>
    </row>
    <row r="15" spans="1:18">
      <c r="A15" t="s">
        <v>186</v>
      </c>
      <c r="B15" t="s">
        <v>187</v>
      </c>
      <c r="C15" s="297">
        <v>7042.5</v>
      </c>
      <c r="D15" s="297">
        <v>0</v>
      </c>
      <c r="E15" s="297">
        <v>0</v>
      </c>
      <c r="H15" s="297">
        <v>7042.5</v>
      </c>
      <c r="I15" s="297">
        <v>0</v>
      </c>
      <c r="J15" s="297">
        <v>140.85</v>
      </c>
      <c r="K15" s="297">
        <v>528.1875</v>
      </c>
      <c r="L15" s="297">
        <v>7711.5375000000004</v>
      </c>
      <c r="M15" s="297">
        <v>1233.846</v>
      </c>
      <c r="N15" s="297">
        <v>8945.3834999999999</v>
      </c>
      <c r="P15" s="297">
        <v>0</v>
      </c>
      <c r="Q15" s="297">
        <v>0</v>
      </c>
      <c r="R15" s="297">
        <v>0</v>
      </c>
    </row>
    <row r="16" spans="1:18">
      <c r="A16" t="s">
        <v>188</v>
      </c>
      <c r="B16" t="s">
        <v>189</v>
      </c>
      <c r="C16" s="297">
        <v>2800.05</v>
      </c>
      <c r="D16" s="297">
        <v>0</v>
      </c>
      <c r="E16" s="297">
        <v>0</v>
      </c>
      <c r="H16" s="297">
        <v>2800.05</v>
      </c>
      <c r="I16" s="297">
        <v>-45.13</v>
      </c>
      <c r="J16" s="297">
        <v>56.001000000000005</v>
      </c>
      <c r="K16" s="297">
        <v>210.00375</v>
      </c>
      <c r="L16" s="297">
        <v>3020.9247500000001</v>
      </c>
      <c r="M16" s="297">
        <v>483.34796000000006</v>
      </c>
      <c r="N16" s="297">
        <v>3504.2727100000002</v>
      </c>
      <c r="P16" s="297">
        <v>0</v>
      </c>
      <c r="Q16" s="297">
        <v>0</v>
      </c>
      <c r="R16" s="297">
        <v>0</v>
      </c>
    </row>
    <row r="17" spans="1:18">
      <c r="A17" t="s">
        <v>190</v>
      </c>
      <c r="B17" t="s">
        <v>191</v>
      </c>
      <c r="C17" s="297">
        <v>10000.049999999999</v>
      </c>
      <c r="D17" s="297">
        <v>0</v>
      </c>
      <c r="E17" s="297">
        <v>27754.3</v>
      </c>
      <c r="H17" s="297">
        <v>10000.049999999999</v>
      </c>
      <c r="I17" s="297">
        <v>-45.13</v>
      </c>
      <c r="J17" s="297">
        <v>200.00099999999998</v>
      </c>
      <c r="K17" s="297">
        <v>750.00374999999997</v>
      </c>
      <c r="L17" s="297">
        <v>10904.92475</v>
      </c>
      <c r="M17" s="297">
        <v>1744.7879600000001</v>
      </c>
      <c r="N17" s="297">
        <v>12649.71271</v>
      </c>
      <c r="P17" s="297">
        <v>27754.3</v>
      </c>
      <c r="Q17" s="297">
        <v>4440.6880000000001</v>
      </c>
      <c r="R17" s="297">
        <v>32194.987999999998</v>
      </c>
    </row>
    <row r="18" spans="1:18">
      <c r="A18" t="s">
        <v>192</v>
      </c>
      <c r="B18" t="s">
        <v>193</v>
      </c>
      <c r="C18" s="297">
        <v>3250.05</v>
      </c>
      <c r="D18" s="297">
        <v>0</v>
      </c>
      <c r="E18" s="297">
        <v>0</v>
      </c>
      <c r="H18" s="297">
        <v>3250.05</v>
      </c>
      <c r="I18" s="297">
        <v>-45.13</v>
      </c>
      <c r="J18" s="297">
        <v>65.001000000000005</v>
      </c>
      <c r="K18" s="297">
        <v>243.75375</v>
      </c>
      <c r="L18" s="297">
        <v>3513.6747500000001</v>
      </c>
      <c r="M18" s="297">
        <v>562.18796000000009</v>
      </c>
      <c r="N18" s="297">
        <v>4075.8627100000003</v>
      </c>
      <c r="P18" s="297">
        <v>0</v>
      </c>
      <c r="Q18" s="297">
        <v>0</v>
      </c>
      <c r="R18" s="297">
        <v>0</v>
      </c>
    </row>
    <row r="19" spans="1:18">
      <c r="A19" t="s">
        <v>194</v>
      </c>
      <c r="B19" t="s">
        <v>195</v>
      </c>
      <c r="C19" s="297">
        <v>3250.05</v>
      </c>
      <c r="D19" s="297">
        <v>0</v>
      </c>
      <c r="E19" s="297">
        <v>0</v>
      </c>
      <c r="H19" s="297">
        <v>3250.05</v>
      </c>
      <c r="I19" s="297">
        <v>-45.13</v>
      </c>
      <c r="J19" s="297">
        <v>65.001000000000005</v>
      </c>
      <c r="K19" s="297">
        <v>243.75375</v>
      </c>
      <c r="L19" s="297">
        <v>3513.6747500000001</v>
      </c>
      <c r="M19" s="297">
        <v>562.18796000000009</v>
      </c>
      <c r="N19" s="297">
        <v>4075.8627100000003</v>
      </c>
      <c r="P19" s="297">
        <v>0</v>
      </c>
      <c r="Q19" s="297">
        <v>0</v>
      </c>
      <c r="R19" s="297">
        <v>0</v>
      </c>
    </row>
    <row r="20" spans="1:18">
      <c r="A20" t="s">
        <v>196</v>
      </c>
      <c r="B20" t="s">
        <v>197</v>
      </c>
      <c r="C20" s="297">
        <v>15000</v>
      </c>
      <c r="D20" s="297">
        <v>0</v>
      </c>
      <c r="E20" s="297">
        <v>74253.52</v>
      </c>
      <c r="H20" s="297">
        <v>15000</v>
      </c>
      <c r="I20" s="297">
        <v>-45.13</v>
      </c>
      <c r="J20" s="297">
        <v>300</v>
      </c>
      <c r="K20" s="297">
        <v>1125</v>
      </c>
      <c r="L20" s="297">
        <v>16379.87</v>
      </c>
      <c r="M20" s="297">
        <v>2620.7792000000004</v>
      </c>
      <c r="N20" s="297">
        <v>19000.6492</v>
      </c>
      <c r="P20" s="297">
        <v>74253.52</v>
      </c>
      <c r="Q20" s="297">
        <v>11880.563200000001</v>
      </c>
      <c r="R20" s="297">
        <v>86134.083200000008</v>
      </c>
    </row>
    <row r="21" spans="1:18">
      <c r="A21" t="s">
        <v>198</v>
      </c>
      <c r="B21" t="s">
        <v>199</v>
      </c>
      <c r="C21" s="297">
        <v>3250.05</v>
      </c>
      <c r="D21" s="297">
        <v>0</v>
      </c>
      <c r="E21" s="297">
        <v>0</v>
      </c>
      <c r="H21" s="297">
        <v>3250.05</v>
      </c>
      <c r="I21" s="297">
        <v>-45.13</v>
      </c>
      <c r="J21" s="297">
        <v>65.001000000000005</v>
      </c>
      <c r="K21" s="297">
        <v>243.75375</v>
      </c>
      <c r="L21" s="297">
        <v>3513.6747500000001</v>
      </c>
      <c r="M21" s="297">
        <v>562.18796000000009</v>
      </c>
      <c r="N21" s="297">
        <v>4075.8627100000003</v>
      </c>
      <c r="P21" s="297">
        <v>0</v>
      </c>
      <c r="Q21" s="297">
        <v>0</v>
      </c>
      <c r="R21" s="297">
        <v>0</v>
      </c>
    </row>
    <row r="22" spans="1:18">
      <c r="A22" t="s">
        <v>200</v>
      </c>
      <c r="B22" t="s">
        <v>201</v>
      </c>
      <c r="C22" s="297">
        <v>2500.0500000000002</v>
      </c>
      <c r="D22" s="297">
        <v>0</v>
      </c>
      <c r="E22" s="297">
        <v>11287.9</v>
      </c>
      <c r="H22" s="297">
        <v>2500.0500000000002</v>
      </c>
      <c r="I22" s="297">
        <v>-45.13</v>
      </c>
      <c r="J22" s="297">
        <v>50.001000000000005</v>
      </c>
      <c r="K22" s="297">
        <v>187.50375</v>
      </c>
      <c r="L22" s="297">
        <v>2692.4247500000001</v>
      </c>
      <c r="M22" s="297">
        <v>430.78796000000006</v>
      </c>
      <c r="N22" s="297">
        <v>3123.2127100000002</v>
      </c>
      <c r="P22" s="297">
        <v>11287.9</v>
      </c>
      <c r="Q22" s="297">
        <v>1806.0640000000001</v>
      </c>
      <c r="R22" s="297">
        <v>13093.964</v>
      </c>
    </row>
    <row r="23" spans="1:18">
      <c r="A23" t="s">
        <v>206</v>
      </c>
      <c r="B23" t="s">
        <v>207</v>
      </c>
      <c r="C23" s="297">
        <v>2500.0500000000002</v>
      </c>
      <c r="D23" s="297">
        <v>0</v>
      </c>
      <c r="E23" s="297">
        <v>28600</v>
      </c>
      <c r="H23" s="297">
        <v>2500.0500000000002</v>
      </c>
      <c r="I23" s="297">
        <v>-45.13</v>
      </c>
      <c r="J23" s="297">
        <v>50.001000000000005</v>
      </c>
      <c r="K23" s="297">
        <v>187.50375</v>
      </c>
      <c r="L23" s="297">
        <v>2692.4247500000001</v>
      </c>
      <c r="M23" s="297">
        <v>430.78796000000006</v>
      </c>
      <c r="N23" s="297">
        <v>3123.2127100000002</v>
      </c>
      <c r="P23" s="297">
        <v>28600</v>
      </c>
      <c r="Q23" s="297">
        <v>4576</v>
      </c>
      <c r="R23" s="297">
        <v>33176</v>
      </c>
    </row>
    <row r="24" spans="1:18">
      <c r="A24" t="s">
        <v>208</v>
      </c>
      <c r="B24" t="s">
        <v>209</v>
      </c>
      <c r="C24" s="297">
        <v>20000.099999999999</v>
      </c>
      <c r="D24" s="297">
        <v>0</v>
      </c>
      <c r="E24" s="297">
        <v>165713.09</v>
      </c>
      <c r="H24" s="297">
        <v>20000.099999999999</v>
      </c>
      <c r="I24" s="297">
        <v>-45.13</v>
      </c>
      <c r="J24" s="297">
        <v>400.00199999999995</v>
      </c>
      <c r="K24" s="297">
        <v>1500.0074999999999</v>
      </c>
      <c r="L24" s="297">
        <v>21854.979499999998</v>
      </c>
      <c r="M24" s="297">
        <v>3496.7967199999998</v>
      </c>
      <c r="N24" s="297">
        <v>25351.776219999996</v>
      </c>
      <c r="P24" s="297">
        <v>165713.09</v>
      </c>
      <c r="Q24" s="297">
        <v>26514.094400000002</v>
      </c>
      <c r="R24" s="297">
        <v>192227.1844</v>
      </c>
    </row>
    <row r="25" spans="1:18">
      <c r="A25" t="s">
        <v>212</v>
      </c>
      <c r="B25" t="s">
        <v>213</v>
      </c>
      <c r="C25" s="297">
        <v>2500.0500000000002</v>
      </c>
      <c r="D25" s="297">
        <v>0</v>
      </c>
      <c r="E25" s="297">
        <v>4664</v>
      </c>
      <c r="H25" s="297">
        <v>2500.0500000000002</v>
      </c>
      <c r="I25" s="297">
        <v>-45.13</v>
      </c>
      <c r="J25" s="297">
        <v>50.001000000000005</v>
      </c>
      <c r="K25" s="297">
        <v>187.50375</v>
      </c>
      <c r="L25" s="297">
        <v>2692.4247500000001</v>
      </c>
      <c r="M25" s="297">
        <v>430.78796000000006</v>
      </c>
      <c r="N25" s="297">
        <v>3123.2127100000002</v>
      </c>
      <c r="P25" s="297">
        <v>4664</v>
      </c>
      <c r="Q25" s="297">
        <v>746.24</v>
      </c>
      <c r="R25" s="297">
        <v>5410.24</v>
      </c>
    </row>
    <row r="26" spans="1:18">
      <c r="A26" t="s">
        <v>214</v>
      </c>
      <c r="B26" t="s">
        <v>215</v>
      </c>
      <c r="C26" s="297">
        <v>10000.049999999999</v>
      </c>
      <c r="D26" s="297">
        <v>0</v>
      </c>
      <c r="E26" s="297">
        <v>15000</v>
      </c>
      <c r="H26" s="297">
        <v>10000.049999999999</v>
      </c>
      <c r="I26" s="297">
        <v>-524.41</v>
      </c>
      <c r="J26" s="297">
        <v>200.00099999999998</v>
      </c>
      <c r="K26" s="297">
        <v>750.00374999999997</v>
      </c>
      <c r="L26" s="297">
        <v>10425.644749999999</v>
      </c>
      <c r="M26" s="297">
        <v>1668.1031599999999</v>
      </c>
      <c r="N26" s="297">
        <v>12093.74791</v>
      </c>
      <c r="P26" s="297">
        <v>15000</v>
      </c>
      <c r="Q26" s="297">
        <v>2400</v>
      </c>
      <c r="R26" s="297">
        <v>17400</v>
      </c>
    </row>
    <row r="27" spans="1:18">
      <c r="A27" t="s">
        <v>216</v>
      </c>
      <c r="B27" t="s">
        <v>217</v>
      </c>
      <c r="C27" s="297">
        <v>7500</v>
      </c>
      <c r="D27" s="297">
        <v>0</v>
      </c>
      <c r="E27" s="297">
        <v>13327.65</v>
      </c>
      <c r="H27" s="297">
        <v>7500</v>
      </c>
      <c r="I27" s="297">
        <v>-45.13</v>
      </c>
      <c r="J27" s="297">
        <v>150</v>
      </c>
      <c r="K27" s="297">
        <v>562.5</v>
      </c>
      <c r="L27" s="297">
        <v>8167.37</v>
      </c>
      <c r="M27" s="297">
        <v>1306.7791999999999</v>
      </c>
      <c r="N27" s="297">
        <v>9474.1491999999998</v>
      </c>
      <c r="P27" s="297">
        <v>13327.65</v>
      </c>
      <c r="Q27" s="297">
        <v>2132.424</v>
      </c>
      <c r="R27" s="297">
        <v>15460.074000000001</v>
      </c>
    </row>
    <row r="28" spans="1:18">
      <c r="A28" t="s">
        <v>218</v>
      </c>
      <c r="B28" t="s">
        <v>219</v>
      </c>
      <c r="C28" s="297">
        <v>3750</v>
      </c>
      <c r="D28" s="297">
        <v>0</v>
      </c>
      <c r="E28" s="297">
        <v>0</v>
      </c>
      <c r="H28" s="297">
        <v>3750</v>
      </c>
      <c r="I28" s="297">
        <v>-45.13</v>
      </c>
      <c r="J28" s="297">
        <v>75</v>
      </c>
      <c r="K28" s="297">
        <v>281.25</v>
      </c>
      <c r="L28" s="297">
        <v>4061.12</v>
      </c>
      <c r="M28" s="297">
        <v>649.77919999999995</v>
      </c>
      <c r="N28" s="297">
        <v>4710.8991999999998</v>
      </c>
      <c r="P28" s="297">
        <v>0</v>
      </c>
      <c r="Q28" s="297">
        <v>0</v>
      </c>
      <c r="R28" s="297">
        <v>0</v>
      </c>
    </row>
    <row r="29" spans="1:18">
      <c r="A29" t="s">
        <v>222</v>
      </c>
      <c r="B29" t="s">
        <v>223</v>
      </c>
      <c r="C29" s="297">
        <v>2500.0500000000002</v>
      </c>
      <c r="D29" s="297">
        <v>0</v>
      </c>
      <c r="E29" s="297">
        <v>1802</v>
      </c>
      <c r="H29" s="297">
        <v>2500.0500000000002</v>
      </c>
      <c r="I29" s="297">
        <v>-45.13</v>
      </c>
      <c r="J29" s="297">
        <v>50.001000000000005</v>
      </c>
      <c r="K29" s="297">
        <v>187.50375</v>
      </c>
      <c r="L29" s="297">
        <v>2692.4247500000001</v>
      </c>
      <c r="M29" s="297">
        <v>430.78796000000006</v>
      </c>
      <c r="N29" s="297">
        <v>3123.2127100000002</v>
      </c>
      <c r="P29" s="297">
        <v>1802</v>
      </c>
      <c r="Q29" s="297">
        <v>288.32</v>
      </c>
      <c r="R29" s="297">
        <v>2090.3200000000002</v>
      </c>
    </row>
    <row r="30" spans="1:18">
      <c r="A30" t="s">
        <v>228</v>
      </c>
      <c r="B30" t="s">
        <v>229</v>
      </c>
      <c r="C30" s="297">
        <v>3000</v>
      </c>
      <c r="D30" s="297">
        <v>0</v>
      </c>
      <c r="E30" s="297">
        <v>1826.8</v>
      </c>
      <c r="H30" s="297">
        <v>3000</v>
      </c>
      <c r="I30" s="297">
        <v>-45.13</v>
      </c>
      <c r="J30" s="297">
        <v>60</v>
      </c>
      <c r="K30" s="297">
        <v>225</v>
      </c>
      <c r="L30" s="297">
        <v>3239.87</v>
      </c>
      <c r="M30" s="297">
        <v>518.37919999999997</v>
      </c>
      <c r="N30" s="297">
        <v>3758.2491999999997</v>
      </c>
      <c r="P30" s="297">
        <v>1826.8</v>
      </c>
      <c r="Q30" s="297">
        <v>292.28800000000001</v>
      </c>
      <c r="R30" s="297">
        <v>2119.0879999999997</v>
      </c>
    </row>
    <row r="31" spans="1:18">
      <c r="A31" t="s">
        <v>230</v>
      </c>
      <c r="B31" t="s">
        <v>231</v>
      </c>
      <c r="C31" s="297">
        <v>2250</v>
      </c>
      <c r="D31" s="297">
        <v>0</v>
      </c>
      <c r="E31" s="297">
        <v>2455</v>
      </c>
      <c r="H31" s="297">
        <v>2250</v>
      </c>
      <c r="I31" s="297">
        <v>-45.13</v>
      </c>
      <c r="J31" s="297">
        <v>45</v>
      </c>
      <c r="K31" s="297">
        <v>168.75</v>
      </c>
      <c r="L31" s="297">
        <v>2418.62</v>
      </c>
      <c r="M31" s="297">
        <v>386.97919999999999</v>
      </c>
      <c r="N31" s="297">
        <v>2805.5991999999997</v>
      </c>
      <c r="P31" s="297">
        <v>2455</v>
      </c>
      <c r="Q31" s="297">
        <v>392.8</v>
      </c>
      <c r="R31" s="297">
        <v>2847.8</v>
      </c>
    </row>
    <row r="32" spans="1:18">
      <c r="A32" t="s">
        <v>234</v>
      </c>
      <c r="B32" t="s">
        <v>235</v>
      </c>
      <c r="C32" s="297">
        <v>2500.0500000000002</v>
      </c>
      <c r="D32" s="297">
        <v>0</v>
      </c>
      <c r="E32" s="297">
        <v>1802</v>
      </c>
      <c r="H32" s="297">
        <v>2500.0500000000002</v>
      </c>
      <c r="I32" s="297">
        <v>-45.13</v>
      </c>
      <c r="J32" s="297">
        <v>50.001000000000005</v>
      </c>
      <c r="K32" s="297">
        <v>187.50375</v>
      </c>
      <c r="L32" s="297">
        <v>2692.4247500000001</v>
      </c>
      <c r="M32" s="297">
        <v>430.78796000000006</v>
      </c>
      <c r="N32" s="297">
        <v>3123.2127100000002</v>
      </c>
      <c r="P32" s="297">
        <v>1802</v>
      </c>
      <c r="Q32" s="297">
        <v>288.32</v>
      </c>
      <c r="R32" s="297">
        <v>2090.3200000000002</v>
      </c>
    </row>
    <row r="33" spans="1:18">
      <c r="A33" t="s">
        <v>236</v>
      </c>
      <c r="B33" t="s">
        <v>237</v>
      </c>
      <c r="C33" s="297">
        <v>1750.05</v>
      </c>
      <c r="D33" s="297">
        <v>0</v>
      </c>
      <c r="E33" s="297">
        <v>1601</v>
      </c>
      <c r="H33" s="297">
        <v>1750.05</v>
      </c>
      <c r="I33" s="297">
        <v>-45.13</v>
      </c>
      <c r="J33" s="297">
        <v>35.000999999999998</v>
      </c>
      <c r="K33" s="297">
        <v>131.25375</v>
      </c>
      <c r="L33" s="297">
        <v>1871.1747499999999</v>
      </c>
      <c r="M33" s="297">
        <v>299.38795999999996</v>
      </c>
      <c r="N33" s="297">
        <v>2170.5627099999997</v>
      </c>
      <c r="P33" s="297">
        <v>1601</v>
      </c>
      <c r="Q33" s="297">
        <v>256.16000000000003</v>
      </c>
      <c r="R33" s="297">
        <v>1857.16</v>
      </c>
    </row>
    <row r="34" spans="1:18">
      <c r="A34" t="s">
        <v>238</v>
      </c>
      <c r="B34" t="s">
        <v>239</v>
      </c>
      <c r="C34" s="297">
        <v>3000</v>
      </c>
      <c r="D34" s="297">
        <v>0</v>
      </c>
      <c r="E34" s="297">
        <v>0</v>
      </c>
      <c r="H34" s="297">
        <v>3000</v>
      </c>
      <c r="I34" s="297">
        <v>-45.13</v>
      </c>
      <c r="J34" s="297">
        <v>60</v>
      </c>
      <c r="K34" s="297">
        <v>225</v>
      </c>
      <c r="L34" s="297">
        <v>3239.87</v>
      </c>
      <c r="M34" s="297">
        <v>518.37919999999997</v>
      </c>
      <c r="N34" s="297">
        <v>3758.2491999999997</v>
      </c>
      <c r="P34" s="297">
        <v>0</v>
      </c>
      <c r="Q34" s="297">
        <v>0</v>
      </c>
      <c r="R34" s="297">
        <v>0</v>
      </c>
    </row>
    <row r="35" spans="1:18">
      <c r="A35" t="s">
        <v>240</v>
      </c>
      <c r="B35" t="s">
        <v>241</v>
      </c>
      <c r="C35" s="297">
        <v>2750.1</v>
      </c>
      <c r="D35" s="297">
        <v>0</v>
      </c>
      <c r="E35" s="297">
        <v>6029.77</v>
      </c>
      <c r="H35" s="297">
        <v>2750.1</v>
      </c>
      <c r="I35" s="297">
        <v>-45.13</v>
      </c>
      <c r="J35" s="297">
        <v>55.002000000000002</v>
      </c>
      <c r="K35" s="297">
        <v>206.25749999999999</v>
      </c>
      <c r="L35" s="297">
        <v>2966.2294999999999</v>
      </c>
      <c r="M35" s="297">
        <v>474.59672</v>
      </c>
      <c r="N35" s="297">
        <v>3440.8262199999999</v>
      </c>
      <c r="P35" s="297">
        <v>6029.77</v>
      </c>
      <c r="Q35" s="297">
        <v>964.7632000000001</v>
      </c>
      <c r="R35" s="297">
        <v>6994.5332000000008</v>
      </c>
    </row>
    <row r="36" spans="1:18">
      <c r="A36" t="s">
        <v>242</v>
      </c>
      <c r="B36" t="s">
        <v>243</v>
      </c>
      <c r="C36" s="297">
        <v>3750</v>
      </c>
      <c r="D36" s="297">
        <v>0</v>
      </c>
      <c r="E36" s="297">
        <v>29664.71</v>
      </c>
      <c r="H36" s="297">
        <v>3750</v>
      </c>
      <c r="I36" s="297">
        <v>-45.13</v>
      </c>
      <c r="J36" s="297">
        <v>75</v>
      </c>
      <c r="K36" s="297">
        <v>281.25</v>
      </c>
      <c r="L36" s="297">
        <v>4061.12</v>
      </c>
      <c r="M36" s="297">
        <v>649.77919999999995</v>
      </c>
      <c r="N36" s="297">
        <v>4710.8991999999998</v>
      </c>
      <c r="P36" s="297">
        <v>29664.71</v>
      </c>
      <c r="Q36" s="297">
        <v>4746.3536000000004</v>
      </c>
      <c r="R36" s="297">
        <v>34411.063600000001</v>
      </c>
    </row>
    <row r="37" spans="1:18">
      <c r="A37" t="s">
        <v>244</v>
      </c>
      <c r="B37" t="s">
        <v>245</v>
      </c>
      <c r="C37" s="297">
        <v>5500.05</v>
      </c>
      <c r="D37" s="297">
        <v>0</v>
      </c>
      <c r="E37" s="297">
        <v>0</v>
      </c>
      <c r="H37" s="297">
        <v>5500.05</v>
      </c>
      <c r="I37" s="297">
        <v>-45.13</v>
      </c>
      <c r="J37" s="297">
        <v>110.001</v>
      </c>
      <c r="K37" s="297">
        <v>412.50375000000003</v>
      </c>
      <c r="L37" s="297">
        <v>5977.4247500000001</v>
      </c>
      <c r="M37" s="297">
        <v>956.38796000000002</v>
      </c>
      <c r="N37" s="297">
        <v>6933.8127100000002</v>
      </c>
      <c r="P37" s="297">
        <v>0</v>
      </c>
      <c r="Q37" s="297">
        <v>0</v>
      </c>
      <c r="R37" s="297">
        <v>0</v>
      </c>
    </row>
    <row r="38" spans="1:18">
      <c r="A38" t="s">
        <v>248</v>
      </c>
      <c r="B38" t="s">
        <v>249</v>
      </c>
      <c r="C38" s="297">
        <v>7500</v>
      </c>
      <c r="D38" s="297">
        <v>0</v>
      </c>
      <c r="E38" s="297">
        <v>30155.34</v>
      </c>
      <c r="H38" s="297">
        <v>7500</v>
      </c>
      <c r="I38" s="297">
        <v>-45.13</v>
      </c>
      <c r="J38" s="297">
        <v>150</v>
      </c>
      <c r="K38" s="297">
        <v>562.5</v>
      </c>
      <c r="L38" s="297">
        <v>8167.37</v>
      </c>
      <c r="M38" s="297">
        <v>1306.7791999999999</v>
      </c>
      <c r="N38" s="297">
        <v>9474.1491999999998</v>
      </c>
      <c r="P38" s="297">
        <v>30155.34</v>
      </c>
      <c r="Q38" s="297">
        <v>4824.8544000000002</v>
      </c>
      <c r="R38" s="297">
        <v>34980.1944</v>
      </c>
    </row>
    <row r="39" spans="1:18">
      <c r="A39" t="s">
        <v>256</v>
      </c>
      <c r="B39" t="s">
        <v>257</v>
      </c>
      <c r="C39" s="297">
        <v>3000</v>
      </c>
      <c r="D39" s="297">
        <v>0</v>
      </c>
      <c r="E39" s="297">
        <v>1000</v>
      </c>
      <c r="H39" s="297">
        <v>3000</v>
      </c>
      <c r="I39" s="297">
        <v>-45.13</v>
      </c>
      <c r="J39" s="297">
        <v>60</v>
      </c>
      <c r="K39" s="297">
        <v>225</v>
      </c>
      <c r="L39" s="297">
        <v>3239.87</v>
      </c>
      <c r="M39" s="297">
        <v>518.37919999999997</v>
      </c>
      <c r="N39" s="297">
        <v>3758.2491999999997</v>
      </c>
      <c r="P39" s="297">
        <v>1000</v>
      </c>
      <c r="Q39" s="297">
        <v>160</v>
      </c>
      <c r="R39" s="297">
        <v>1160</v>
      </c>
    </row>
    <row r="40" spans="1:18">
      <c r="A40" t="s">
        <v>260</v>
      </c>
      <c r="B40" t="s">
        <v>261</v>
      </c>
      <c r="C40" s="297">
        <v>1866.76</v>
      </c>
      <c r="D40" s="297">
        <v>0</v>
      </c>
      <c r="E40" s="297">
        <v>11960.28</v>
      </c>
      <c r="H40" s="297">
        <v>1866.76</v>
      </c>
      <c r="I40" s="297">
        <v>-45.13</v>
      </c>
      <c r="J40" s="297">
        <v>37.3352</v>
      </c>
      <c r="K40" s="297">
        <v>140.00700000000001</v>
      </c>
      <c r="L40" s="297">
        <v>1998.9721999999999</v>
      </c>
      <c r="M40" s="297">
        <v>319.83555200000001</v>
      </c>
      <c r="N40" s="297">
        <v>2318.8077519999997</v>
      </c>
      <c r="P40" s="297">
        <v>11960.28</v>
      </c>
      <c r="Q40" s="297">
        <v>1913.6448</v>
      </c>
      <c r="R40" s="297">
        <v>13873.924800000001</v>
      </c>
    </row>
    <row r="41" spans="1:18">
      <c r="A41" t="s">
        <v>262</v>
      </c>
      <c r="B41" t="s">
        <v>263</v>
      </c>
      <c r="C41" s="297">
        <v>6000</v>
      </c>
      <c r="D41" s="297">
        <v>0</v>
      </c>
      <c r="E41" s="297">
        <v>15773.28</v>
      </c>
      <c r="H41" s="297">
        <v>6000</v>
      </c>
      <c r="I41" s="297">
        <v>-45.13</v>
      </c>
      <c r="J41" s="297">
        <v>120</v>
      </c>
      <c r="K41" s="297">
        <v>450</v>
      </c>
      <c r="L41" s="297">
        <v>6524.87</v>
      </c>
      <c r="M41" s="297">
        <v>1043.9792</v>
      </c>
      <c r="N41" s="297">
        <v>7568.8491999999997</v>
      </c>
      <c r="P41" s="297">
        <v>15773.28</v>
      </c>
      <c r="Q41" s="297">
        <v>2523.7248</v>
      </c>
      <c r="R41" s="297">
        <v>18297.004800000002</v>
      </c>
    </row>
    <row r="42" spans="1:18">
      <c r="A42" t="s">
        <v>264</v>
      </c>
      <c r="B42" t="s">
        <v>265</v>
      </c>
      <c r="C42" s="297">
        <v>6250.05</v>
      </c>
      <c r="D42" s="297">
        <v>0</v>
      </c>
      <c r="E42" s="297">
        <v>6250</v>
      </c>
      <c r="H42" s="297">
        <v>6250.05</v>
      </c>
      <c r="I42" s="297">
        <v>-45.13</v>
      </c>
      <c r="J42" s="297">
        <v>125.001</v>
      </c>
      <c r="K42" s="297">
        <v>468.75374999999997</v>
      </c>
      <c r="L42" s="297">
        <v>6798.6747500000001</v>
      </c>
      <c r="M42" s="297">
        <v>1087.7879600000001</v>
      </c>
      <c r="N42" s="297">
        <v>7886.4627099999998</v>
      </c>
      <c r="P42" s="297">
        <v>6250</v>
      </c>
      <c r="Q42" s="297">
        <v>1000</v>
      </c>
      <c r="R42" s="297">
        <v>7250</v>
      </c>
    </row>
    <row r="43" spans="1:18">
      <c r="A43" t="s">
        <v>266</v>
      </c>
      <c r="B43" t="s">
        <v>267</v>
      </c>
      <c r="C43" s="297">
        <v>5868.75</v>
      </c>
      <c r="D43" s="297">
        <v>0</v>
      </c>
      <c r="E43" s="297">
        <v>0</v>
      </c>
      <c r="H43" s="297">
        <v>5868.75</v>
      </c>
      <c r="I43" s="297">
        <v>-45.13</v>
      </c>
      <c r="J43" s="297">
        <v>117.375</v>
      </c>
      <c r="K43" s="297">
        <v>440.15625</v>
      </c>
      <c r="L43" s="297">
        <v>6381.1512499999999</v>
      </c>
      <c r="M43" s="297">
        <v>1020.9842</v>
      </c>
      <c r="N43" s="297">
        <v>7402.1354499999998</v>
      </c>
      <c r="P43" s="297">
        <v>0</v>
      </c>
      <c r="Q43" s="297">
        <v>0</v>
      </c>
      <c r="R43" s="297">
        <v>0</v>
      </c>
    </row>
    <row r="44" spans="1:18">
      <c r="A44" t="s">
        <v>268</v>
      </c>
      <c r="B44" t="s">
        <v>269</v>
      </c>
      <c r="C44" s="297">
        <v>3750</v>
      </c>
      <c r="D44" s="297">
        <v>0</v>
      </c>
      <c r="E44" s="297">
        <v>11495.76</v>
      </c>
      <c r="H44" s="297">
        <v>3750</v>
      </c>
      <c r="I44" s="297">
        <v>-45.13</v>
      </c>
      <c r="J44" s="297">
        <v>75</v>
      </c>
      <c r="K44" s="297">
        <v>281.25</v>
      </c>
      <c r="L44" s="297">
        <v>4061.12</v>
      </c>
      <c r="M44" s="297">
        <v>649.77919999999995</v>
      </c>
      <c r="N44" s="297">
        <v>4710.8991999999998</v>
      </c>
      <c r="P44" s="297">
        <v>11495.76</v>
      </c>
      <c r="Q44" s="297">
        <v>1839.3216</v>
      </c>
      <c r="R44" s="297">
        <v>13335.0816</v>
      </c>
    </row>
    <row r="45" spans="1:18">
      <c r="A45" t="s">
        <v>272</v>
      </c>
      <c r="B45" t="s">
        <v>273</v>
      </c>
      <c r="C45" s="297">
        <v>5868.6</v>
      </c>
      <c r="D45" s="297">
        <v>0</v>
      </c>
      <c r="E45" s="297">
        <v>0</v>
      </c>
      <c r="H45" s="297">
        <v>5868.6</v>
      </c>
      <c r="I45" s="297">
        <v>-45.13</v>
      </c>
      <c r="J45" s="297">
        <v>117.37200000000001</v>
      </c>
      <c r="K45" s="297">
        <v>440.14500000000004</v>
      </c>
      <c r="L45" s="297">
        <v>6380.987000000001</v>
      </c>
      <c r="M45" s="297">
        <v>1020.9579200000002</v>
      </c>
      <c r="N45" s="297">
        <v>7401.9449200000008</v>
      </c>
      <c r="P45" s="297">
        <v>0</v>
      </c>
      <c r="Q45" s="297">
        <v>0</v>
      </c>
      <c r="R45" s="297">
        <v>0</v>
      </c>
    </row>
    <row r="46" spans="1:18">
      <c r="A46" t="s">
        <v>274</v>
      </c>
      <c r="B46" t="s">
        <v>275</v>
      </c>
      <c r="C46" s="297">
        <v>3750</v>
      </c>
      <c r="D46" s="297">
        <v>0</v>
      </c>
      <c r="E46" s="297">
        <v>13166.04</v>
      </c>
      <c r="H46" s="297">
        <v>3750</v>
      </c>
      <c r="I46" s="297">
        <v>-45.13</v>
      </c>
      <c r="J46" s="297">
        <v>75</v>
      </c>
      <c r="K46" s="297">
        <v>281.25</v>
      </c>
      <c r="L46" s="297">
        <v>4061.12</v>
      </c>
      <c r="M46" s="297">
        <v>649.77919999999995</v>
      </c>
      <c r="N46" s="297">
        <v>4710.8991999999998</v>
      </c>
      <c r="P46" s="297">
        <v>13166.04</v>
      </c>
      <c r="Q46" s="297">
        <v>2106.5664000000002</v>
      </c>
      <c r="R46" s="297">
        <v>15272.606400000001</v>
      </c>
    </row>
    <row r="47" spans="1:18">
      <c r="A47" t="s">
        <v>276</v>
      </c>
      <c r="B47" t="s">
        <v>277</v>
      </c>
      <c r="C47" s="297">
        <v>3250.05</v>
      </c>
      <c r="D47" s="297">
        <v>0</v>
      </c>
      <c r="E47" s="297">
        <v>0</v>
      </c>
      <c r="H47" s="297">
        <v>3250.05</v>
      </c>
      <c r="I47" s="297">
        <v>-45.13</v>
      </c>
      <c r="J47" s="297">
        <v>65.001000000000005</v>
      </c>
      <c r="K47" s="297">
        <v>243.75375</v>
      </c>
      <c r="L47" s="297">
        <v>3513.6747500000001</v>
      </c>
      <c r="M47" s="297">
        <v>562.18796000000009</v>
      </c>
      <c r="N47" s="297">
        <v>4075.8627100000003</v>
      </c>
      <c r="P47" s="297">
        <v>0</v>
      </c>
      <c r="Q47" s="297">
        <v>0</v>
      </c>
      <c r="R47" s="297">
        <v>0</v>
      </c>
    </row>
    <row r="48" spans="1:18">
      <c r="A48" t="s">
        <v>202</v>
      </c>
      <c r="B48" t="s">
        <v>203</v>
      </c>
      <c r="C48" s="297">
        <v>1200</v>
      </c>
      <c r="D48" s="297">
        <v>1800</v>
      </c>
      <c r="E48" s="297">
        <v>0</v>
      </c>
      <c r="F48" s="297">
        <v>3000</v>
      </c>
      <c r="H48" s="297">
        <v>3000</v>
      </c>
      <c r="I48" s="297">
        <v>-45.13</v>
      </c>
      <c r="J48" s="297">
        <v>60</v>
      </c>
      <c r="K48" s="297">
        <v>225</v>
      </c>
      <c r="L48" s="297">
        <v>3239.87</v>
      </c>
      <c r="M48" s="297">
        <v>518.37919999999997</v>
      </c>
      <c r="N48" s="297">
        <v>3758.2491999999997</v>
      </c>
      <c r="P48" s="297">
        <v>0</v>
      </c>
      <c r="Q48" s="297">
        <v>0</v>
      </c>
      <c r="R48" s="297">
        <v>0</v>
      </c>
    </row>
    <row r="49" spans="1:18">
      <c r="A49" t="s">
        <v>204</v>
      </c>
      <c r="B49" t="s">
        <v>205</v>
      </c>
      <c r="C49" s="297">
        <v>1200</v>
      </c>
      <c r="D49" s="297">
        <v>1800</v>
      </c>
      <c r="E49" s="297">
        <v>0</v>
      </c>
      <c r="F49" s="297">
        <v>3000</v>
      </c>
      <c r="H49" s="297">
        <v>3000</v>
      </c>
      <c r="I49" s="297">
        <v>-45.13</v>
      </c>
      <c r="J49" s="297">
        <v>60</v>
      </c>
      <c r="K49" s="297">
        <v>225</v>
      </c>
      <c r="L49" s="297">
        <v>3239.87</v>
      </c>
      <c r="M49" s="297">
        <v>518.37919999999997</v>
      </c>
      <c r="N49" s="297">
        <v>3758.2491999999997</v>
      </c>
      <c r="P49" s="297">
        <v>0</v>
      </c>
      <c r="Q49" s="297">
        <v>0</v>
      </c>
      <c r="R49" s="297">
        <v>0</v>
      </c>
    </row>
    <row r="50" spans="1:18">
      <c r="A50" t="s">
        <v>210</v>
      </c>
      <c r="B50" t="s">
        <v>211</v>
      </c>
      <c r="C50" s="297">
        <v>1200</v>
      </c>
      <c r="D50" s="297">
        <v>1162.5</v>
      </c>
      <c r="E50" s="297">
        <v>0</v>
      </c>
      <c r="F50" s="297">
        <v>2362.5</v>
      </c>
      <c r="H50" s="297">
        <v>2362.5</v>
      </c>
      <c r="I50" s="297">
        <v>-45.13</v>
      </c>
      <c r="J50" s="297">
        <v>47.25</v>
      </c>
      <c r="K50" s="297">
        <v>177.1875</v>
      </c>
      <c r="L50" s="297">
        <v>2541.8074999999999</v>
      </c>
      <c r="M50" s="297">
        <v>406.68919999999997</v>
      </c>
      <c r="N50" s="297">
        <v>2948.4966999999997</v>
      </c>
      <c r="P50" s="297">
        <v>0</v>
      </c>
      <c r="Q50" s="297">
        <v>0</v>
      </c>
      <c r="R50" s="297">
        <v>0</v>
      </c>
    </row>
    <row r="51" spans="1:18">
      <c r="A51" t="s">
        <v>220</v>
      </c>
      <c r="B51" t="s">
        <v>221</v>
      </c>
      <c r="C51" s="297">
        <v>1200</v>
      </c>
      <c r="D51" s="297">
        <v>2110</v>
      </c>
      <c r="E51" s="297">
        <v>0</v>
      </c>
      <c r="F51" s="297">
        <v>3310</v>
      </c>
      <c r="H51" s="297">
        <v>3310</v>
      </c>
      <c r="I51" s="297">
        <v>-45.13</v>
      </c>
      <c r="J51" s="297">
        <v>66.2</v>
      </c>
      <c r="K51" s="297">
        <v>248.25</v>
      </c>
      <c r="L51" s="297">
        <v>3579.3199999999997</v>
      </c>
      <c r="M51" s="297">
        <v>572.69119999999998</v>
      </c>
      <c r="N51" s="297">
        <v>4152.0111999999999</v>
      </c>
      <c r="P51" s="297">
        <v>0</v>
      </c>
      <c r="Q51" s="297">
        <v>0</v>
      </c>
      <c r="R51" s="297">
        <v>0</v>
      </c>
    </row>
    <row r="52" spans="1:18">
      <c r="A52" t="s">
        <v>224</v>
      </c>
      <c r="B52" t="s">
        <v>225</v>
      </c>
      <c r="C52" s="297">
        <v>1200</v>
      </c>
      <c r="D52" s="297">
        <v>3652.5</v>
      </c>
      <c r="E52" s="297">
        <v>0</v>
      </c>
      <c r="F52" s="297">
        <v>4852.5</v>
      </c>
      <c r="H52" s="297">
        <v>4852.5</v>
      </c>
      <c r="I52" s="297">
        <v>-45.13</v>
      </c>
      <c r="J52" s="297">
        <v>97.05</v>
      </c>
      <c r="K52" s="297">
        <v>363.9375</v>
      </c>
      <c r="L52" s="297">
        <v>5268.3575000000001</v>
      </c>
      <c r="M52" s="297">
        <v>842.93720000000008</v>
      </c>
      <c r="N52" s="297">
        <v>6111.2947000000004</v>
      </c>
      <c r="P52" s="297">
        <v>0</v>
      </c>
      <c r="Q52" s="297">
        <v>0</v>
      </c>
      <c r="R52" s="297">
        <v>0</v>
      </c>
    </row>
    <row r="53" spans="1:18">
      <c r="A53" t="s">
        <v>226</v>
      </c>
      <c r="B53" t="s">
        <v>227</v>
      </c>
      <c r="C53" s="297">
        <v>1200</v>
      </c>
      <c r="D53" s="297">
        <v>4312.5</v>
      </c>
      <c r="E53" s="297">
        <v>0</v>
      </c>
      <c r="F53" s="297">
        <v>5512.5</v>
      </c>
      <c r="H53" s="297">
        <v>5512.5</v>
      </c>
      <c r="I53" s="297">
        <v>-45.13</v>
      </c>
      <c r="J53" s="297">
        <v>110.25</v>
      </c>
      <c r="K53" s="297">
        <v>413.4375</v>
      </c>
      <c r="L53" s="297">
        <v>5991.0574999999999</v>
      </c>
      <c r="M53" s="297">
        <v>958.56920000000002</v>
      </c>
      <c r="N53" s="297">
        <v>6949.6266999999998</v>
      </c>
      <c r="P53" s="297">
        <v>0</v>
      </c>
      <c r="Q53" s="297">
        <v>0</v>
      </c>
      <c r="R53" s="297">
        <v>0</v>
      </c>
    </row>
    <row r="54" spans="1:18">
      <c r="A54" t="s">
        <v>246</v>
      </c>
      <c r="B54" t="s">
        <v>247</v>
      </c>
      <c r="C54" s="297">
        <v>1200</v>
      </c>
      <c r="D54" s="297">
        <v>1050.4000000000001</v>
      </c>
      <c r="E54" s="297">
        <v>0</v>
      </c>
      <c r="F54" s="297">
        <v>2250.4</v>
      </c>
      <c r="H54" s="297">
        <v>2250.4</v>
      </c>
      <c r="I54" s="297">
        <v>-45.13</v>
      </c>
      <c r="J54" s="297">
        <v>45.008000000000003</v>
      </c>
      <c r="K54" s="297">
        <v>168.78</v>
      </c>
      <c r="L54" s="297">
        <v>2419.058</v>
      </c>
      <c r="M54" s="297">
        <v>387.04928000000001</v>
      </c>
      <c r="N54" s="297">
        <v>2806.1072800000002</v>
      </c>
      <c r="P54" s="297">
        <v>0</v>
      </c>
      <c r="Q54" s="297">
        <v>0</v>
      </c>
      <c r="R54" s="297">
        <v>0</v>
      </c>
    </row>
    <row r="55" spans="1:18">
      <c r="A55" t="s">
        <v>250</v>
      </c>
      <c r="B55" t="s">
        <v>251</v>
      </c>
      <c r="C55" s="297">
        <v>1750.05</v>
      </c>
      <c r="D55" s="297">
        <v>11019.49</v>
      </c>
      <c r="E55" s="297">
        <v>0</v>
      </c>
      <c r="F55" s="297">
        <v>12769.539999999999</v>
      </c>
      <c r="H55" s="297">
        <v>12769.539999999999</v>
      </c>
      <c r="I55" s="297">
        <v>0</v>
      </c>
      <c r="J55" s="297">
        <v>255.39079999999998</v>
      </c>
      <c r="K55" s="297">
        <v>957.71549999999991</v>
      </c>
      <c r="L55" s="297">
        <v>13982.646299999999</v>
      </c>
      <c r="M55" s="297">
        <v>2237.2234079999998</v>
      </c>
      <c r="N55" s="297">
        <v>16219.869707999998</v>
      </c>
      <c r="P55" s="297">
        <v>0</v>
      </c>
      <c r="Q55" s="297">
        <v>0</v>
      </c>
      <c r="R55" s="297">
        <v>0</v>
      </c>
    </row>
    <row r="56" spans="1:18">
      <c r="A56" t="s">
        <v>252</v>
      </c>
      <c r="B56" t="s">
        <v>253</v>
      </c>
      <c r="C56" s="297">
        <v>1200</v>
      </c>
      <c r="D56" s="297">
        <v>5652.5</v>
      </c>
      <c r="E56" s="297">
        <v>0</v>
      </c>
      <c r="F56" s="297">
        <v>6852.5</v>
      </c>
      <c r="H56" s="297">
        <v>6852.5</v>
      </c>
      <c r="I56" s="297">
        <v>-45.13</v>
      </c>
      <c r="J56" s="297">
        <v>137.05000000000001</v>
      </c>
      <c r="K56" s="297">
        <v>513.9375</v>
      </c>
      <c r="L56" s="297">
        <v>7458.3575000000001</v>
      </c>
      <c r="M56" s="297">
        <v>1193.3371999999999</v>
      </c>
      <c r="N56" s="297">
        <v>8651.6947</v>
      </c>
      <c r="P56" s="297">
        <v>0</v>
      </c>
      <c r="Q56" s="297">
        <v>0</v>
      </c>
      <c r="R56" s="297">
        <v>0</v>
      </c>
    </row>
    <row r="57" spans="1:18">
      <c r="A57" t="s">
        <v>254</v>
      </c>
      <c r="B57" t="s">
        <v>255</v>
      </c>
      <c r="C57" s="297">
        <v>1200</v>
      </c>
      <c r="D57" s="297">
        <v>3345</v>
      </c>
      <c r="E57" s="297">
        <v>0</v>
      </c>
      <c r="F57" s="297">
        <v>4545</v>
      </c>
      <c r="H57" s="297">
        <v>4545</v>
      </c>
      <c r="I57" s="297">
        <v>-45.13</v>
      </c>
      <c r="J57" s="297">
        <v>90.9</v>
      </c>
      <c r="K57" s="297">
        <v>340.875</v>
      </c>
      <c r="L57" s="297">
        <v>4931.6449999999995</v>
      </c>
      <c r="M57" s="297">
        <v>789.06319999999994</v>
      </c>
      <c r="N57" s="297">
        <v>5720.7081999999991</v>
      </c>
      <c r="P57" s="297">
        <v>0</v>
      </c>
      <c r="Q57" s="297">
        <v>0</v>
      </c>
      <c r="R57" s="297">
        <v>0</v>
      </c>
    </row>
    <row r="58" spans="1:18">
      <c r="A58" t="s">
        <v>258</v>
      </c>
      <c r="B58" t="s">
        <v>313</v>
      </c>
      <c r="C58" s="297">
        <v>1200</v>
      </c>
      <c r="D58" s="297">
        <v>11495.76</v>
      </c>
      <c r="E58" s="297">
        <v>0</v>
      </c>
      <c r="F58" s="297">
        <v>12695.76</v>
      </c>
      <c r="H58" s="297">
        <v>12695.76</v>
      </c>
      <c r="I58" s="297">
        <v>-45.13</v>
      </c>
      <c r="J58" s="297">
        <v>253.9152</v>
      </c>
      <c r="K58" s="297">
        <v>952.18200000000002</v>
      </c>
      <c r="L58" s="297">
        <v>13856.727200000001</v>
      </c>
      <c r="M58" s="297">
        <v>2217.076352</v>
      </c>
      <c r="N58" s="297">
        <v>16073.803552000001</v>
      </c>
      <c r="P58" s="297">
        <v>0</v>
      </c>
      <c r="Q58" s="297">
        <v>0</v>
      </c>
      <c r="R58" s="297">
        <v>0</v>
      </c>
    </row>
    <row r="59" spans="1:18">
      <c r="A59" t="s">
        <v>278</v>
      </c>
      <c r="B59" t="s">
        <v>279</v>
      </c>
      <c r="C59" s="297">
        <v>1200</v>
      </c>
      <c r="D59" s="297">
        <v>1435.2</v>
      </c>
      <c r="E59" s="297">
        <v>0</v>
      </c>
      <c r="F59" s="297">
        <v>2635.2</v>
      </c>
      <c r="H59" s="297">
        <v>2635.2</v>
      </c>
      <c r="I59" s="297">
        <v>-45.13</v>
      </c>
      <c r="J59" s="297">
        <v>52.704000000000001</v>
      </c>
      <c r="K59" s="297">
        <v>197.64</v>
      </c>
      <c r="L59" s="297">
        <v>2840.4139999999998</v>
      </c>
      <c r="M59" s="297">
        <v>454.46623999999997</v>
      </c>
      <c r="N59" s="297">
        <v>3294.8802399999995</v>
      </c>
      <c r="P59" s="297">
        <v>0</v>
      </c>
      <c r="Q59" s="297">
        <v>0</v>
      </c>
      <c r="R59" s="297">
        <v>0</v>
      </c>
    </row>
    <row r="60" spans="1:18">
      <c r="A60" t="s">
        <v>312</v>
      </c>
      <c r="B60" t="s">
        <v>286</v>
      </c>
      <c r="C60" s="297">
        <v>202947.90999999997</v>
      </c>
      <c r="D60" s="297">
        <v>48835.85</v>
      </c>
      <c r="E60" s="297">
        <v>488044.08000000007</v>
      </c>
      <c r="F60" s="297">
        <v>63785.9</v>
      </c>
      <c r="H60" s="297">
        <v>251783.75999999998</v>
      </c>
      <c r="I60" s="297">
        <v>-2868.5600000000022</v>
      </c>
      <c r="J60" s="297">
        <v>5035.6752000000006</v>
      </c>
      <c r="K60" s="297">
        <v>18883.781999999996</v>
      </c>
      <c r="L60" s="297">
        <v>272834.65719999996</v>
      </c>
      <c r="M60" s="297">
        <v>43653.545152000013</v>
      </c>
      <c r="N60" s="297">
        <v>316488.20235199999</v>
      </c>
      <c r="P60" s="297">
        <v>488044.08000000007</v>
      </c>
      <c r="Q60" s="297">
        <v>78087.05279999999</v>
      </c>
      <c r="R60" s="297">
        <v>566131.13280000002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>
      <pane xSplit="2" ySplit="10" topLeftCell="D11" activePane="bottomRight" state="frozen"/>
      <selection pane="topRight" activeCell="C1" sqref="C1"/>
      <selection pane="bottomLeft" activeCell="A11" sqref="A11"/>
      <selection pane="bottomRight" activeCell="E61" sqref="E61"/>
    </sheetView>
  </sheetViews>
  <sheetFormatPr baseColWidth="10" defaultRowHeight="15"/>
  <cols>
    <col min="2" max="2" width="33.42578125" customWidth="1"/>
    <col min="5" max="5" width="11.42578125" style="222"/>
  </cols>
  <sheetData>
    <row r="1" spans="1:14">
      <c r="A1" s="225" t="s">
        <v>285</v>
      </c>
      <c r="B1" s="288" t="s">
        <v>286</v>
      </c>
      <c r="C1" s="289"/>
      <c r="D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ht="18">
      <c r="A2" s="226" t="s">
        <v>287</v>
      </c>
      <c r="B2" s="240" t="s">
        <v>288</v>
      </c>
      <c r="C2" s="241"/>
      <c r="D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ht="15.75">
      <c r="A3" s="222"/>
      <c r="B3" s="242" t="s">
        <v>289</v>
      </c>
      <c r="C3" s="228"/>
      <c r="D3" s="231"/>
      <c r="E3" s="231"/>
      <c r="F3" s="222"/>
      <c r="G3" s="222"/>
      <c r="H3" s="222"/>
      <c r="I3" s="222"/>
      <c r="J3" s="222"/>
      <c r="K3" s="222"/>
      <c r="L3" s="222"/>
      <c r="M3" s="222"/>
      <c r="N3" s="222"/>
    </row>
    <row r="4" spans="1:14">
      <c r="A4" s="222"/>
      <c r="B4" s="243" t="s">
        <v>290</v>
      </c>
      <c r="C4" s="228"/>
      <c r="D4" s="231"/>
      <c r="E4" s="231"/>
      <c r="F4" s="222"/>
      <c r="G4" s="222"/>
      <c r="H4" s="222"/>
      <c r="I4" s="222"/>
      <c r="J4" s="222"/>
      <c r="K4" s="222"/>
      <c r="L4" s="222"/>
      <c r="M4" s="222"/>
      <c r="N4" s="222"/>
    </row>
    <row r="5" spans="1:14">
      <c r="A5" s="222"/>
      <c r="B5" s="230" t="s">
        <v>325</v>
      </c>
      <c r="C5" s="230"/>
      <c r="D5" s="222"/>
      <c r="F5" s="222"/>
      <c r="G5" s="222"/>
      <c r="H5" s="222"/>
      <c r="I5" s="222"/>
      <c r="J5" s="222"/>
      <c r="K5" s="222"/>
      <c r="L5" s="222"/>
      <c r="M5" s="222"/>
      <c r="N5" s="222"/>
    </row>
    <row r="6" spans="1:14">
      <c r="A6" s="222"/>
      <c r="B6" s="230" t="s">
        <v>292</v>
      </c>
      <c r="C6" s="230"/>
      <c r="D6" s="222"/>
      <c r="F6" s="222"/>
      <c r="G6" s="222"/>
      <c r="H6" s="222"/>
      <c r="I6" s="222"/>
      <c r="J6" s="222"/>
      <c r="K6" s="222"/>
      <c r="L6" s="222"/>
      <c r="M6" s="222"/>
      <c r="N6" s="222"/>
    </row>
    <row r="7" spans="1:14">
      <c r="A7" s="198"/>
      <c r="B7" s="198"/>
      <c r="C7" s="198"/>
      <c r="D7" s="198"/>
      <c r="F7" s="198"/>
      <c r="G7" s="198"/>
      <c r="H7" s="198"/>
      <c r="I7" s="198"/>
      <c r="J7" s="198"/>
      <c r="K7" s="198"/>
      <c r="L7" s="198"/>
      <c r="M7" s="198"/>
      <c r="N7" s="198"/>
    </row>
    <row r="8" spans="1:14" s="241" customFormat="1" ht="34.5" thickBot="1">
      <c r="A8" s="217" t="s">
        <v>293</v>
      </c>
      <c r="B8" s="218" t="s">
        <v>294</v>
      </c>
      <c r="C8" s="218" t="s">
        <v>295</v>
      </c>
      <c r="D8" s="218" t="s">
        <v>296</v>
      </c>
      <c r="E8" s="218" t="s">
        <v>329</v>
      </c>
      <c r="F8" s="219" t="s">
        <v>297</v>
      </c>
      <c r="G8" s="218" t="s">
        <v>298</v>
      </c>
      <c r="H8" s="218" t="s">
        <v>299</v>
      </c>
      <c r="I8" s="218" t="s">
        <v>300</v>
      </c>
      <c r="J8" s="218" t="s">
        <v>301</v>
      </c>
      <c r="K8" s="218" t="s">
        <v>302</v>
      </c>
      <c r="L8" s="218" t="s">
        <v>303</v>
      </c>
      <c r="M8" s="219" t="s">
        <v>304</v>
      </c>
      <c r="N8" s="257" t="s">
        <v>305</v>
      </c>
    </row>
    <row r="9" spans="1:14" ht="15.75" thickTop="1">
      <c r="A9" s="233" t="s">
        <v>306</v>
      </c>
      <c r="B9" s="222"/>
      <c r="C9" s="222"/>
      <c r="D9" s="222"/>
      <c r="F9" s="222"/>
      <c r="G9" s="222"/>
      <c r="H9" s="222"/>
      <c r="I9" s="222"/>
      <c r="J9" s="222"/>
      <c r="K9" s="222"/>
      <c r="L9" s="222"/>
      <c r="M9" s="222"/>
      <c r="N9" s="222"/>
    </row>
    <row r="10" spans="1:14">
      <c r="A10" s="198"/>
      <c r="B10" s="198"/>
      <c r="C10" s="198"/>
      <c r="D10" s="198"/>
      <c r="F10" s="198"/>
      <c r="G10" s="198"/>
      <c r="H10" s="198"/>
      <c r="I10" s="198"/>
      <c r="J10" s="198"/>
      <c r="K10" s="198"/>
      <c r="L10" s="198"/>
      <c r="M10" s="198"/>
      <c r="N10" s="198"/>
    </row>
    <row r="11" spans="1:14">
      <c r="A11" s="232" t="s">
        <v>307</v>
      </c>
      <c r="B11" s="222"/>
      <c r="C11" s="222"/>
      <c r="D11" s="222"/>
      <c r="F11" s="222"/>
      <c r="G11" s="222"/>
      <c r="H11" s="222"/>
      <c r="I11" s="222"/>
      <c r="J11" s="222"/>
      <c r="K11" s="222"/>
      <c r="L11" s="222"/>
      <c r="M11" s="222"/>
      <c r="N11" s="222"/>
    </row>
    <row r="12" spans="1:14">
      <c r="A12" s="224" t="s">
        <v>174</v>
      </c>
      <c r="B12" s="223" t="s">
        <v>175</v>
      </c>
      <c r="C12" s="234">
        <v>3250.05</v>
      </c>
      <c r="D12" s="234">
        <v>0</v>
      </c>
      <c r="E12" s="234">
        <v>0</v>
      </c>
      <c r="F12" s="234">
        <f t="shared" ref="F12:F17" si="0">SUM(C12:E12)</f>
        <v>3250.05</v>
      </c>
      <c r="G12" s="234">
        <v>0</v>
      </c>
      <c r="H12" s="234">
        <v>124.46</v>
      </c>
      <c r="I12" s="234">
        <v>81.62</v>
      </c>
      <c r="J12" s="234">
        <v>0</v>
      </c>
      <c r="K12" s="234">
        <v>45.13</v>
      </c>
      <c r="L12" s="234">
        <v>0.04</v>
      </c>
      <c r="M12" s="234">
        <f>SUM(G12:L12)</f>
        <v>251.24999999999997</v>
      </c>
      <c r="N12" s="234">
        <f>+F12-M12</f>
        <v>2998.8</v>
      </c>
    </row>
    <row r="13" spans="1:14">
      <c r="A13" s="224" t="s">
        <v>176</v>
      </c>
      <c r="B13" s="223" t="s">
        <v>177</v>
      </c>
      <c r="C13" s="234">
        <v>2500.0500000000002</v>
      </c>
      <c r="D13" s="234">
        <v>0</v>
      </c>
      <c r="E13" s="234">
        <v>0</v>
      </c>
      <c r="F13" s="234">
        <f t="shared" si="0"/>
        <v>2500.0500000000002</v>
      </c>
      <c r="G13" s="234">
        <v>0</v>
      </c>
      <c r="H13" s="234">
        <v>7.67</v>
      </c>
      <c r="I13" s="234">
        <v>62.06</v>
      </c>
      <c r="J13" s="234">
        <v>0</v>
      </c>
      <c r="K13" s="234">
        <v>45.13</v>
      </c>
      <c r="L13" s="235">
        <v>-0.01</v>
      </c>
      <c r="M13" s="234">
        <f t="shared" ref="M13:M50" si="1">SUM(G13:L13)</f>
        <v>114.85000000000001</v>
      </c>
      <c r="N13" s="234">
        <f t="shared" ref="N13:N50" si="2">+F13-M13</f>
        <v>2385.2000000000003</v>
      </c>
    </row>
    <row r="14" spans="1:14">
      <c r="A14" s="224" t="s">
        <v>178</v>
      </c>
      <c r="B14" s="223" t="s">
        <v>179</v>
      </c>
      <c r="C14" s="234">
        <v>3000</v>
      </c>
      <c r="D14" s="234">
        <v>0</v>
      </c>
      <c r="E14" s="234">
        <v>0</v>
      </c>
      <c r="F14" s="234">
        <f t="shared" si="0"/>
        <v>3000</v>
      </c>
      <c r="G14" s="234">
        <v>0</v>
      </c>
      <c r="H14" s="234">
        <v>76.98</v>
      </c>
      <c r="I14" s="234">
        <v>74.56</v>
      </c>
      <c r="J14" s="234">
        <v>902.31</v>
      </c>
      <c r="K14" s="234">
        <v>45.13</v>
      </c>
      <c r="L14" s="234">
        <v>0.02</v>
      </c>
      <c r="M14" s="234">
        <f t="shared" si="1"/>
        <v>1099</v>
      </c>
      <c r="N14" s="234">
        <f t="shared" si="2"/>
        <v>1901</v>
      </c>
    </row>
    <row r="15" spans="1:14">
      <c r="A15" s="224" t="s">
        <v>180</v>
      </c>
      <c r="B15" s="223" t="s">
        <v>181</v>
      </c>
      <c r="C15" s="234">
        <v>2500.0500000000002</v>
      </c>
      <c r="D15" s="234">
        <v>0</v>
      </c>
      <c r="E15" s="234">
        <v>0</v>
      </c>
      <c r="F15" s="234">
        <f t="shared" si="0"/>
        <v>2500.0500000000002</v>
      </c>
      <c r="G15" s="234">
        <v>0</v>
      </c>
      <c r="H15" s="234">
        <v>7.67</v>
      </c>
      <c r="I15" s="234">
        <v>62.06</v>
      </c>
      <c r="J15" s="234">
        <v>0</v>
      </c>
      <c r="K15" s="234">
        <v>45.13</v>
      </c>
      <c r="L15" s="235">
        <v>-0.01</v>
      </c>
      <c r="M15" s="234">
        <f t="shared" si="1"/>
        <v>114.85000000000001</v>
      </c>
      <c r="N15" s="234">
        <f t="shared" si="2"/>
        <v>2385.2000000000003</v>
      </c>
    </row>
    <row r="16" spans="1:14">
      <c r="A16" s="224" t="s">
        <v>182</v>
      </c>
      <c r="B16" s="223" t="s">
        <v>183</v>
      </c>
      <c r="C16" s="234">
        <v>6500.1</v>
      </c>
      <c r="D16" s="234">
        <v>0</v>
      </c>
      <c r="E16" s="234">
        <v>0</v>
      </c>
      <c r="F16" s="234">
        <f t="shared" si="0"/>
        <v>6500.1</v>
      </c>
      <c r="G16" s="234">
        <v>0</v>
      </c>
      <c r="H16" s="234">
        <v>841.16</v>
      </c>
      <c r="I16" s="234">
        <v>175.38</v>
      </c>
      <c r="J16" s="234">
        <v>0</v>
      </c>
      <c r="K16" s="234">
        <v>223.04</v>
      </c>
      <c r="L16" s="235">
        <v>-0.08</v>
      </c>
      <c r="M16" s="234">
        <f t="shared" si="1"/>
        <v>1239.5</v>
      </c>
      <c r="N16" s="234">
        <f t="shared" si="2"/>
        <v>5260.6</v>
      </c>
    </row>
    <row r="17" spans="1:14">
      <c r="A17" s="224" t="s">
        <v>184</v>
      </c>
      <c r="B17" s="223" t="s">
        <v>185</v>
      </c>
      <c r="C17" s="234">
        <v>2800.05</v>
      </c>
      <c r="D17" s="234">
        <v>0</v>
      </c>
      <c r="E17" s="234">
        <v>0</v>
      </c>
      <c r="F17" s="234">
        <f t="shared" si="0"/>
        <v>2800.05</v>
      </c>
      <c r="G17" s="234">
        <v>0</v>
      </c>
      <c r="H17" s="234">
        <v>55.23</v>
      </c>
      <c r="I17" s="234">
        <v>69.69</v>
      </c>
      <c r="J17" s="234">
        <v>0</v>
      </c>
      <c r="K17" s="234">
        <v>45.13</v>
      </c>
      <c r="L17" s="234">
        <v>0</v>
      </c>
      <c r="M17" s="234">
        <f t="shared" si="1"/>
        <v>170.04999999999998</v>
      </c>
      <c r="N17" s="234">
        <f t="shared" si="2"/>
        <v>2630</v>
      </c>
    </row>
    <row r="18" spans="1:14">
      <c r="A18" s="224" t="s">
        <v>186</v>
      </c>
      <c r="B18" s="223" t="s">
        <v>187</v>
      </c>
      <c r="C18" s="234">
        <v>5868.75</v>
      </c>
      <c r="D18" s="234">
        <v>0</v>
      </c>
      <c r="E18" s="234">
        <v>1173.75</v>
      </c>
      <c r="F18" s="234">
        <f>SUM(C18:E18)</f>
        <v>7042.5</v>
      </c>
      <c r="G18" s="234">
        <v>0</v>
      </c>
      <c r="H18" s="234">
        <v>706.3</v>
      </c>
      <c r="I18" s="234">
        <v>157.08000000000001</v>
      </c>
      <c r="J18" s="234">
        <v>0</v>
      </c>
      <c r="K18" s="234">
        <v>0</v>
      </c>
      <c r="L18" s="235">
        <v>-0.03</v>
      </c>
      <c r="M18" s="234">
        <f t="shared" si="1"/>
        <v>863.35</v>
      </c>
      <c r="N18" s="234">
        <f t="shared" si="2"/>
        <v>6179.15</v>
      </c>
    </row>
    <row r="19" spans="1:14">
      <c r="A19" s="224" t="s">
        <v>188</v>
      </c>
      <c r="B19" s="223" t="s">
        <v>189</v>
      </c>
      <c r="C19" s="234">
        <v>2800.05</v>
      </c>
      <c r="D19" s="234">
        <v>0</v>
      </c>
      <c r="E19" s="234">
        <v>0</v>
      </c>
      <c r="F19" s="234">
        <f t="shared" ref="F19:F50" si="3">SUM(C19:E19)</f>
        <v>2800.05</v>
      </c>
      <c r="G19" s="234">
        <v>0</v>
      </c>
      <c r="H19" s="234">
        <v>55.23</v>
      </c>
      <c r="I19" s="234">
        <v>69.78</v>
      </c>
      <c r="J19" s="234">
        <v>0</v>
      </c>
      <c r="K19" s="234">
        <v>45.13</v>
      </c>
      <c r="L19" s="235">
        <v>-0.09</v>
      </c>
      <c r="M19" s="234">
        <f t="shared" si="1"/>
        <v>170.04999999999998</v>
      </c>
      <c r="N19" s="234">
        <f t="shared" si="2"/>
        <v>2630</v>
      </c>
    </row>
    <row r="20" spans="1:14">
      <c r="A20" s="224" t="s">
        <v>190</v>
      </c>
      <c r="B20" s="223" t="s">
        <v>191</v>
      </c>
      <c r="C20" s="234">
        <v>10000.049999999999</v>
      </c>
      <c r="D20" s="234">
        <v>0</v>
      </c>
      <c r="E20" s="234">
        <v>0</v>
      </c>
      <c r="F20" s="234">
        <f t="shared" si="3"/>
        <v>10000.049999999999</v>
      </c>
      <c r="G20" s="234">
        <v>0</v>
      </c>
      <c r="H20" s="234">
        <v>1588.75</v>
      </c>
      <c r="I20" s="234">
        <v>276.91000000000003</v>
      </c>
      <c r="J20" s="234">
        <v>0</v>
      </c>
      <c r="K20" s="234">
        <v>45.13</v>
      </c>
      <c r="L20" s="234">
        <v>0.06</v>
      </c>
      <c r="M20" s="234">
        <f t="shared" si="1"/>
        <v>1910.8500000000001</v>
      </c>
      <c r="N20" s="234">
        <f t="shared" si="2"/>
        <v>8089.1999999999989</v>
      </c>
    </row>
    <row r="21" spans="1:14">
      <c r="A21" s="224" t="s">
        <v>192</v>
      </c>
      <c r="B21" s="223" t="s">
        <v>193</v>
      </c>
      <c r="C21" s="234">
        <v>3250.05</v>
      </c>
      <c r="D21" s="234">
        <v>0</v>
      </c>
      <c r="E21" s="234">
        <v>0</v>
      </c>
      <c r="F21" s="234">
        <f t="shared" si="3"/>
        <v>3250.05</v>
      </c>
      <c r="G21" s="234">
        <v>0</v>
      </c>
      <c r="H21" s="234">
        <v>124.46</v>
      </c>
      <c r="I21" s="234">
        <v>81.12</v>
      </c>
      <c r="J21" s="234">
        <v>0</v>
      </c>
      <c r="K21" s="234">
        <v>45.13</v>
      </c>
      <c r="L21" s="235">
        <v>-0.06</v>
      </c>
      <c r="M21" s="234">
        <f t="shared" si="1"/>
        <v>250.64999999999998</v>
      </c>
      <c r="N21" s="234">
        <f t="shared" si="2"/>
        <v>2999.4</v>
      </c>
    </row>
    <row r="22" spans="1:14">
      <c r="A22" s="224" t="s">
        <v>194</v>
      </c>
      <c r="B22" s="223" t="s">
        <v>195</v>
      </c>
      <c r="C22" s="234">
        <v>3250.05</v>
      </c>
      <c r="D22" s="234">
        <v>0</v>
      </c>
      <c r="E22" s="234">
        <v>0</v>
      </c>
      <c r="F22" s="234">
        <f t="shared" si="3"/>
        <v>3250.05</v>
      </c>
      <c r="G22" s="234">
        <v>0</v>
      </c>
      <c r="H22" s="234">
        <v>124.46</v>
      </c>
      <c r="I22" s="234">
        <v>81.12</v>
      </c>
      <c r="J22" s="234">
        <v>0</v>
      </c>
      <c r="K22" s="234">
        <v>45.13</v>
      </c>
      <c r="L22" s="235">
        <v>-0.06</v>
      </c>
      <c r="M22" s="234">
        <f t="shared" si="1"/>
        <v>250.64999999999998</v>
      </c>
      <c r="N22" s="234">
        <f t="shared" si="2"/>
        <v>2999.4</v>
      </c>
    </row>
    <row r="23" spans="1:14">
      <c r="A23" s="224" t="s">
        <v>196</v>
      </c>
      <c r="B23" s="223" t="s">
        <v>197</v>
      </c>
      <c r="C23" s="234">
        <v>15000</v>
      </c>
      <c r="D23" s="234">
        <v>0</v>
      </c>
      <c r="E23" s="234">
        <v>0</v>
      </c>
      <c r="F23" s="234">
        <f t="shared" si="3"/>
        <v>15000</v>
      </c>
      <c r="G23" s="234">
        <v>0</v>
      </c>
      <c r="H23" s="234">
        <v>2759.37</v>
      </c>
      <c r="I23" s="234">
        <v>424.77</v>
      </c>
      <c r="J23" s="234">
        <v>0</v>
      </c>
      <c r="K23" s="234">
        <v>45.13</v>
      </c>
      <c r="L23" s="235">
        <v>-7.0000000000000007E-2</v>
      </c>
      <c r="M23" s="234">
        <f t="shared" si="1"/>
        <v>3229.2</v>
      </c>
      <c r="N23" s="234">
        <f t="shared" si="2"/>
        <v>11770.8</v>
      </c>
    </row>
    <row r="24" spans="1:14">
      <c r="A24" s="224" t="s">
        <v>198</v>
      </c>
      <c r="B24" s="223" t="s">
        <v>199</v>
      </c>
      <c r="C24" s="234">
        <v>3250.05</v>
      </c>
      <c r="D24" s="234">
        <v>0</v>
      </c>
      <c r="E24" s="234">
        <v>0</v>
      </c>
      <c r="F24" s="234">
        <f t="shared" si="3"/>
        <v>3250.05</v>
      </c>
      <c r="G24" s="234">
        <v>0</v>
      </c>
      <c r="H24" s="234">
        <v>124.46</v>
      </c>
      <c r="I24" s="234">
        <v>81.25</v>
      </c>
      <c r="J24" s="234">
        <v>0</v>
      </c>
      <c r="K24" s="234">
        <v>45.13</v>
      </c>
      <c r="L24" s="234">
        <v>0.01</v>
      </c>
      <c r="M24" s="234">
        <f t="shared" si="1"/>
        <v>250.84999999999997</v>
      </c>
      <c r="N24" s="234">
        <f t="shared" si="2"/>
        <v>2999.2000000000003</v>
      </c>
    </row>
    <row r="25" spans="1:14">
      <c r="A25" s="224" t="s">
        <v>200</v>
      </c>
      <c r="B25" s="223" t="s">
        <v>201</v>
      </c>
      <c r="C25" s="234">
        <v>2500.0500000000002</v>
      </c>
      <c r="D25" s="234">
        <v>0</v>
      </c>
      <c r="E25" s="234">
        <v>0</v>
      </c>
      <c r="F25" s="234">
        <f t="shared" si="3"/>
        <v>2500.0500000000002</v>
      </c>
      <c r="G25" s="234">
        <v>0</v>
      </c>
      <c r="H25" s="234">
        <v>7.67</v>
      </c>
      <c r="I25" s="234">
        <v>74.98</v>
      </c>
      <c r="J25" s="234">
        <v>0</v>
      </c>
      <c r="K25" s="234">
        <v>45.13</v>
      </c>
      <c r="L25" s="234">
        <v>7.0000000000000007E-2</v>
      </c>
      <c r="M25" s="234">
        <f t="shared" si="1"/>
        <v>127.85</v>
      </c>
      <c r="N25" s="234">
        <f t="shared" si="2"/>
        <v>2372.2000000000003</v>
      </c>
    </row>
    <row r="26" spans="1:14">
      <c r="A26" s="224" t="s">
        <v>206</v>
      </c>
      <c r="B26" s="223" t="s">
        <v>207</v>
      </c>
      <c r="C26" s="234">
        <v>2500.0500000000002</v>
      </c>
      <c r="D26" s="234">
        <v>0</v>
      </c>
      <c r="E26" s="234">
        <v>0</v>
      </c>
      <c r="F26" s="234">
        <f t="shared" si="3"/>
        <v>2500.0500000000002</v>
      </c>
      <c r="G26" s="234">
        <v>0</v>
      </c>
      <c r="H26" s="234">
        <v>7.67</v>
      </c>
      <c r="I26" s="234">
        <v>62.14</v>
      </c>
      <c r="J26" s="234">
        <v>230.52</v>
      </c>
      <c r="K26" s="234">
        <v>45.13</v>
      </c>
      <c r="L26" s="235">
        <v>-0.01</v>
      </c>
      <c r="M26" s="234">
        <f t="shared" si="1"/>
        <v>345.45000000000005</v>
      </c>
      <c r="N26" s="234">
        <f t="shared" si="2"/>
        <v>2154.6000000000004</v>
      </c>
    </row>
    <row r="27" spans="1:14">
      <c r="A27" s="224" t="s">
        <v>208</v>
      </c>
      <c r="B27" s="223" t="s">
        <v>209</v>
      </c>
      <c r="C27" s="234">
        <v>20000.099999999999</v>
      </c>
      <c r="D27" s="234">
        <v>0</v>
      </c>
      <c r="E27" s="234">
        <v>0</v>
      </c>
      <c r="F27" s="234">
        <f t="shared" si="3"/>
        <v>20000.099999999999</v>
      </c>
      <c r="G27" s="234">
        <v>0</v>
      </c>
      <c r="H27" s="234">
        <v>4184.68</v>
      </c>
      <c r="I27" s="234">
        <v>566.94000000000005</v>
      </c>
      <c r="J27" s="234">
        <v>0</v>
      </c>
      <c r="K27" s="234">
        <v>45.13</v>
      </c>
      <c r="L27" s="235">
        <v>-0.05</v>
      </c>
      <c r="M27" s="234">
        <f t="shared" si="1"/>
        <v>4796.7000000000007</v>
      </c>
      <c r="N27" s="234">
        <f t="shared" si="2"/>
        <v>15203.399999999998</v>
      </c>
    </row>
    <row r="28" spans="1:14">
      <c r="A28" s="224" t="s">
        <v>212</v>
      </c>
      <c r="B28" s="223" t="s">
        <v>213</v>
      </c>
      <c r="C28" s="234">
        <v>2500.0500000000002</v>
      </c>
      <c r="D28" s="234">
        <v>0</v>
      </c>
      <c r="E28" s="234">
        <v>0</v>
      </c>
      <c r="F28" s="234">
        <f t="shared" si="3"/>
        <v>2500.0500000000002</v>
      </c>
      <c r="G28" s="234">
        <v>0</v>
      </c>
      <c r="H28" s="234">
        <v>7.67</v>
      </c>
      <c r="I28" s="234">
        <v>62.06</v>
      </c>
      <c r="J28" s="234">
        <v>0</v>
      </c>
      <c r="K28" s="234">
        <v>45.13</v>
      </c>
      <c r="L28" s="235">
        <v>-0.01</v>
      </c>
      <c r="M28" s="234">
        <f t="shared" si="1"/>
        <v>114.85000000000001</v>
      </c>
      <c r="N28" s="234">
        <f t="shared" si="2"/>
        <v>2385.2000000000003</v>
      </c>
    </row>
    <row r="29" spans="1:14">
      <c r="A29" s="224" t="s">
        <v>214</v>
      </c>
      <c r="B29" s="223" t="s">
        <v>215</v>
      </c>
      <c r="C29" s="234">
        <v>10000.049999999999</v>
      </c>
      <c r="D29" s="234">
        <v>0</v>
      </c>
      <c r="E29" s="234">
        <v>0</v>
      </c>
      <c r="F29" s="234">
        <f t="shared" si="3"/>
        <v>10000.049999999999</v>
      </c>
      <c r="G29" s="234">
        <v>0</v>
      </c>
      <c r="H29" s="234">
        <v>1588.75</v>
      </c>
      <c r="I29" s="234">
        <v>278.42</v>
      </c>
      <c r="J29" s="234">
        <v>323.91000000000003</v>
      </c>
      <c r="K29" s="234">
        <v>524.41</v>
      </c>
      <c r="L29" s="235">
        <v>-0.04</v>
      </c>
      <c r="M29" s="234">
        <f t="shared" si="1"/>
        <v>2715.45</v>
      </c>
      <c r="N29" s="234">
        <f t="shared" si="2"/>
        <v>7284.5999999999995</v>
      </c>
    </row>
    <row r="30" spans="1:14">
      <c r="A30" s="224" t="s">
        <v>216</v>
      </c>
      <c r="B30" s="223" t="s">
        <v>217</v>
      </c>
      <c r="C30" s="234">
        <v>7500</v>
      </c>
      <c r="D30" s="234">
        <v>0</v>
      </c>
      <c r="E30" s="234">
        <v>0</v>
      </c>
      <c r="F30" s="234">
        <f t="shared" si="3"/>
        <v>7500</v>
      </c>
      <c r="G30" s="234">
        <v>0</v>
      </c>
      <c r="H30" s="234">
        <v>1054.74</v>
      </c>
      <c r="I30" s="234">
        <v>205.52</v>
      </c>
      <c r="J30" s="234">
        <v>1200.08</v>
      </c>
      <c r="K30" s="234">
        <v>45.13</v>
      </c>
      <c r="L30" s="235">
        <v>-7.0000000000000007E-2</v>
      </c>
      <c r="M30" s="234">
        <f t="shared" si="1"/>
        <v>2505.4</v>
      </c>
      <c r="N30" s="234">
        <f t="shared" si="2"/>
        <v>4994.6000000000004</v>
      </c>
    </row>
    <row r="31" spans="1:14">
      <c r="A31" s="224" t="s">
        <v>218</v>
      </c>
      <c r="B31" s="223" t="s">
        <v>219</v>
      </c>
      <c r="C31" s="234">
        <v>3750</v>
      </c>
      <c r="D31" s="234">
        <v>0</v>
      </c>
      <c r="E31" s="234">
        <v>0</v>
      </c>
      <c r="F31" s="234">
        <f t="shared" si="3"/>
        <v>3750</v>
      </c>
      <c r="G31" s="234">
        <v>0</v>
      </c>
      <c r="H31" s="234">
        <v>309.02999999999997</v>
      </c>
      <c r="I31" s="234">
        <v>95.62</v>
      </c>
      <c r="J31" s="234">
        <v>0</v>
      </c>
      <c r="K31" s="234">
        <v>45.13</v>
      </c>
      <c r="L31" s="234">
        <v>0.02</v>
      </c>
      <c r="M31" s="234">
        <f t="shared" si="1"/>
        <v>449.79999999999995</v>
      </c>
      <c r="N31" s="234">
        <f t="shared" si="2"/>
        <v>3300.2</v>
      </c>
    </row>
    <row r="32" spans="1:14">
      <c r="A32" s="224" t="s">
        <v>222</v>
      </c>
      <c r="B32" s="223" t="s">
        <v>223</v>
      </c>
      <c r="C32" s="234">
        <v>2500.0500000000002</v>
      </c>
      <c r="D32" s="234">
        <v>0</v>
      </c>
      <c r="E32" s="234">
        <v>0</v>
      </c>
      <c r="F32" s="234">
        <f t="shared" si="3"/>
        <v>2500.0500000000002</v>
      </c>
      <c r="G32" s="234">
        <v>0</v>
      </c>
      <c r="H32" s="234">
        <v>7.67</v>
      </c>
      <c r="I32" s="234">
        <v>62.06</v>
      </c>
      <c r="J32" s="234">
        <v>0</v>
      </c>
      <c r="K32" s="234">
        <v>45.13</v>
      </c>
      <c r="L32" s="235">
        <v>-0.01</v>
      </c>
      <c r="M32" s="234">
        <f t="shared" si="1"/>
        <v>114.85000000000001</v>
      </c>
      <c r="N32" s="234">
        <f t="shared" si="2"/>
        <v>2385.2000000000003</v>
      </c>
    </row>
    <row r="33" spans="1:14">
      <c r="A33" s="224" t="s">
        <v>228</v>
      </c>
      <c r="B33" s="223" t="s">
        <v>229</v>
      </c>
      <c r="C33" s="234">
        <v>3000</v>
      </c>
      <c r="D33" s="234">
        <v>0</v>
      </c>
      <c r="E33" s="234">
        <v>0</v>
      </c>
      <c r="F33" s="234">
        <f t="shared" si="3"/>
        <v>3000</v>
      </c>
      <c r="G33" s="234">
        <v>0</v>
      </c>
      <c r="H33" s="234">
        <v>76.98</v>
      </c>
      <c r="I33" s="234">
        <v>74.48</v>
      </c>
      <c r="J33" s="234">
        <v>0</v>
      </c>
      <c r="K33" s="234">
        <v>45.13</v>
      </c>
      <c r="L33" s="234">
        <v>0.01</v>
      </c>
      <c r="M33" s="234">
        <f t="shared" si="1"/>
        <v>196.6</v>
      </c>
      <c r="N33" s="234">
        <f t="shared" si="2"/>
        <v>2803.4</v>
      </c>
    </row>
    <row r="34" spans="1:14">
      <c r="A34" s="224" t="s">
        <v>230</v>
      </c>
      <c r="B34" s="223" t="s">
        <v>231</v>
      </c>
      <c r="C34" s="234">
        <v>2250</v>
      </c>
      <c r="D34" s="234">
        <v>0</v>
      </c>
      <c r="E34" s="234">
        <v>0</v>
      </c>
      <c r="F34" s="234">
        <f t="shared" si="3"/>
        <v>2250</v>
      </c>
      <c r="G34" s="235">
        <v>-34.020000000000003</v>
      </c>
      <c r="H34" s="234">
        <v>0</v>
      </c>
      <c r="I34" s="234">
        <v>55.93</v>
      </c>
      <c r="J34" s="234">
        <v>0</v>
      </c>
      <c r="K34" s="234">
        <v>45.13</v>
      </c>
      <c r="L34" s="235">
        <v>-0.04</v>
      </c>
      <c r="M34" s="234">
        <f t="shared" si="1"/>
        <v>66.999999999999986</v>
      </c>
      <c r="N34" s="234">
        <f t="shared" si="2"/>
        <v>2183</v>
      </c>
    </row>
    <row r="35" spans="1:14">
      <c r="A35" s="224" t="s">
        <v>234</v>
      </c>
      <c r="B35" s="223" t="s">
        <v>235</v>
      </c>
      <c r="C35" s="234">
        <v>2500.0500000000002</v>
      </c>
      <c r="D35" s="234">
        <v>0</v>
      </c>
      <c r="E35" s="234">
        <v>0</v>
      </c>
      <c r="F35" s="234">
        <f t="shared" si="3"/>
        <v>2500.0500000000002</v>
      </c>
      <c r="G35" s="234">
        <v>0</v>
      </c>
      <c r="H35" s="234">
        <v>7.67</v>
      </c>
      <c r="I35" s="234">
        <v>62.31</v>
      </c>
      <c r="J35" s="234">
        <v>313.89999999999998</v>
      </c>
      <c r="K35" s="234">
        <v>45.13</v>
      </c>
      <c r="L35" s="234">
        <v>0.04</v>
      </c>
      <c r="M35" s="234">
        <f t="shared" si="1"/>
        <v>429.05</v>
      </c>
      <c r="N35" s="234">
        <f t="shared" si="2"/>
        <v>2071</v>
      </c>
    </row>
    <row r="36" spans="1:14">
      <c r="A36" s="224" t="s">
        <v>236</v>
      </c>
      <c r="B36" s="223" t="s">
        <v>237</v>
      </c>
      <c r="C36" s="234">
        <v>1750.05</v>
      </c>
      <c r="D36" s="234">
        <v>0</v>
      </c>
      <c r="E36" s="234">
        <v>0</v>
      </c>
      <c r="F36" s="234">
        <f t="shared" si="3"/>
        <v>1750.05</v>
      </c>
      <c r="G36" s="235">
        <v>-87.68</v>
      </c>
      <c r="H36" s="234">
        <v>0</v>
      </c>
      <c r="I36" s="234">
        <v>43.68</v>
      </c>
      <c r="J36" s="234">
        <v>0</v>
      </c>
      <c r="K36" s="234">
        <v>45.13</v>
      </c>
      <c r="L36" s="235">
        <v>-0.08</v>
      </c>
      <c r="M36" s="234">
        <f t="shared" si="1"/>
        <v>1.0499999999999954</v>
      </c>
      <c r="N36" s="234">
        <f t="shared" si="2"/>
        <v>1749</v>
      </c>
    </row>
    <row r="37" spans="1:14">
      <c r="A37" s="224" t="s">
        <v>238</v>
      </c>
      <c r="B37" s="223" t="s">
        <v>239</v>
      </c>
      <c r="C37" s="234">
        <v>3000</v>
      </c>
      <c r="D37" s="234">
        <v>0</v>
      </c>
      <c r="E37" s="234">
        <v>0</v>
      </c>
      <c r="F37" s="234">
        <f t="shared" si="3"/>
        <v>3000</v>
      </c>
      <c r="G37" s="234">
        <v>0</v>
      </c>
      <c r="H37" s="234">
        <v>76.98</v>
      </c>
      <c r="I37" s="234">
        <v>74.48</v>
      </c>
      <c r="J37" s="234">
        <v>0</v>
      </c>
      <c r="K37" s="234">
        <v>45.13</v>
      </c>
      <c r="L37" s="234">
        <v>0.01</v>
      </c>
      <c r="M37" s="234">
        <f t="shared" si="1"/>
        <v>196.6</v>
      </c>
      <c r="N37" s="234">
        <f t="shared" si="2"/>
        <v>2803.4</v>
      </c>
    </row>
    <row r="38" spans="1:14">
      <c r="A38" s="224" t="s">
        <v>240</v>
      </c>
      <c r="B38" s="223" t="s">
        <v>241</v>
      </c>
      <c r="C38" s="234">
        <v>2750.1</v>
      </c>
      <c r="D38" s="234">
        <v>0</v>
      </c>
      <c r="E38" s="234">
        <v>0</v>
      </c>
      <c r="F38" s="234">
        <f t="shared" si="3"/>
        <v>2750.1</v>
      </c>
      <c r="G38" s="234">
        <v>0</v>
      </c>
      <c r="H38" s="234">
        <v>49.79</v>
      </c>
      <c r="I38" s="234">
        <v>68.28</v>
      </c>
      <c r="J38" s="234">
        <v>0</v>
      </c>
      <c r="K38" s="234">
        <v>45.13</v>
      </c>
      <c r="L38" s="234">
        <v>0.1</v>
      </c>
      <c r="M38" s="234">
        <f t="shared" si="1"/>
        <v>163.29999999999998</v>
      </c>
      <c r="N38" s="234">
        <f t="shared" si="2"/>
        <v>2586.7999999999997</v>
      </c>
    </row>
    <row r="39" spans="1:14">
      <c r="A39" s="224" t="s">
        <v>242</v>
      </c>
      <c r="B39" s="223" t="s">
        <v>243</v>
      </c>
      <c r="C39" s="234">
        <v>3750</v>
      </c>
      <c r="D39" s="234">
        <v>0</v>
      </c>
      <c r="E39" s="234">
        <v>0</v>
      </c>
      <c r="F39" s="234">
        <f t="shared" si="3"/>
        <v>3750</v>
      </c>
      <c r="G39" s="234">
        <v>0</v>
      </c>
      <c r="H39" s="234">
        <v>309.02999999999997</v>
      </c>
      <c r="I39" s="234">
        <v>96.32</v>
      </c>
      <c r="J39" s="234">
        <v>357.22</v>
      </c>
      <c r="K39" s="234">
        <v>45.13</v>
      </c>
      <c r="L39" s="235">
        <v>-0.1</v>
      </c>
      <c r="M39" s="234">
        <f t="shared" si="1"/>
        <v>807.59999999999991</v>
      </c>
      <c r="N39" s="234">
        <f t="shared" si="2"/>
        <v>2942.4</v>
      </c>
    </row>
    <row r="40" spans="1:14">
      <c r="A40" s="224" t="s">
        <v>244</v>
      </c>
      <c r="B40" s="223" t="s">
        <v>245</v>
      </c>
      <c r="C40" s="234">
        <v>5500.05</v>
      </c>
      <c r="D40" s="234">
        <v>0</v>
      </c>
      <c r="E40" s="234">
        <v>0</v>
      </c>
      <c r="F40" s="234">
        <f t="shared" si="3"/>
        <v>5500.05</v>
      </c>
      <c r="G40" s="234">
        <v>0</v>
      </c>
      <c r="H40" s="234">
        <v>627.54999999999995</v>
      </c>
      <c r="I40" s="234">
        <v>146.38</v>
      </c>
      <c r="J40" s="234">
        <v>0</v>
      </c>
      <c r="K40" s="234">
        <v>45.13</v>
      </c>
      <c r="L40" s="235">
        <v>-0.01</v>
      </c>
      <c r="M40" s="234">
        <f t="shared" si="1"/>
        <v>819.05</v>
      </c>
      <c r="N40" s="234">
        <f t="shared" si="2"/>
        <v>4681</v>
      </c>
    </row>
    <row r="41" spans="1:14">
      <c r="A41" s="224" t="s">
        <v>248</v>
      </c>
      <c r="B41" s="223" t="s">
        <v>249</v>
      </c>
      <c r="C41" s="234">
        <v>7500</v>
      </c>
      <c r="D41" s="234">
        <v>0</v>
      </c>
      <c r="E41" s="234">
        <v>0</v>
      </c>
      <c r="F41" s="234">
        <f t="shared" si="3"/>
        <v>7500</v>
      </c>
      <c r="G41" s="234">
        <v>0</v>
      </c>
      <c r="H41" s="234">
        <v>1054.74</v>
      </c>
      <c r="I41" s="234">
        <v>205.52</v>
      </c>
      <c r="J41" s="234">
        <v>878.82</v>
      </c>
      <c r="K41" s="234">
        <v>45.13</v>
      </c>
      <c r="L41" s="235">
        <v>-0.01</v>
      </c>
      <c r="M41" s="234">
        <f t="shared" si="1"/>
        <v>2184.1999999999998</v>
      </c>
      <c r="N41" s="234">
        <f t="shared" si="2"/>
        <v>5315.8</v>
      </c>
    </row>
    <row r="42" spans="1:14">
      <c r="A42" s="224" t="s">
        <v>256</v>
      </c>
      <c r="B42" s="223" t="s">
        <v>257</v>
      </c>
      <c r="C42" s="234">
        <v>3000</v>
      </c>
      <c r="D42" s="234">
        <v>0</v>
      </c>
      <c r="E42" s="234">
        <v>0</v>
      </c>
      <c r="F42" s="234">
        <f t="shared" si="3"/>
        <v>3000</v>
      </c>
      <c r="G42" s="234">
        <v>0</v>
      </c>
      <c r="H42" s="234">
        <v>76.98</v>
      </c>
      <c r="I42" s="234">
        <v>74.56</v>
      </c>
      <c r="J42" s="234">
        <v>0</v>
      </c>
      <c r="K42" s="234">
        <v>45.13</v>
      </c>
      <c r="L42" s="234">
        <v>0.13</v>
      </c>
      <c r="M42" s="234">
        <f t="shared" si="1"/>
        <v>196.8</v>
      </c>
      <c r="N42" s="234">
        <f t="shared" si="2"/>
        <v>2803.2</v>
      </c>
    </row>
    <row r="43" spans="1:14">
      <c r="A43" s="224" t="s">
        <v>260</v>
      </c>
      <c r="B43" s="223" t="s">
        <v>261</v>
      </c>
      <c r="C43" s="234">
        <v>1866.76</v>
      </c>
      <c r="D43" s="234">
        <v>0</v>
      </c>
      <c r="E43" s="234">
        <v>0</v>
      </c>
      <c r="F43" s="234">
        <f t="shared" si="3"/>
        <v>1866.76</v>
      </c>
      <c r="G43" s="235">
        <v>-66.900000000000006</v>
      </c>
      <c r="H43" s="234">
        <v>0</v>
      </c>
      <c r="I43" s="234">
        <v>47.4</v>
      </c>
      <c r="J43" s="234">
        <v>0</v>
      </c>
      <c r="K43" s="234">
        <v>45.13</v>
      </c>
      <c r="L43" s="235">
        <v>-7.0000000000000007E-2</v>
      </c>
      <c r="M43" s="234">
        <f t="shared" si="1"/>
        <v>25.559999999999995</v>
      </c>
      <c r="N43" s="234">
        <f t="shared" si="2"/>
        <v>1841.2</v>
      </c>
    </row>
    <row r="44" spans="1:14">
      <c r="A44" s="224" t="s">
        <v>262</v>
      </c>
      <c r="B44" s="223" t="s">
        <v>263</v>
      </c>
      <c r="C44" s="234">
        <v>6000</v>
      </c>
      <c r="D44" s="234">
        <v>0</v>
      </c>
      <c r="E44" s="234">
        <v>0</v>
      </c>
      <c r="F44" s="234">
        <f t="shared" si="3"/>
        <v>6000</v>
      </c>
      <c r="G44" s="234">
        <v>0</v>
      </c>
      <c r="H44" s="234">
        <v>734.34</v>
      </c>
      <c r="I44" s="234">
        <v>161.79</v>
      </c>
      <c r="J44" s="234">
        <v>0</v>
      </c>
      <c r="K44" s="234">
        <v>45.13</v>
      </c>
      <c r="L44" s="235">
        <v>-0.06</v>
      </c>
      <c r="M44" s="234">
        <f t="shared" si="1"/>
        <v>941.2</v>
      </c>
      <c r="N44" s="234">
        <f t="shared" si="2"/>
        <v>5058.8</v>
      </c>
    </row>
    <row r="45" spans="1:14">
      <c r="A45" s="224" t="s">
        <v>264</v>
      </c>
      <c r="B45" s="223" t="s">
        <v>265</v>
      </c>
      <c r="C45" s="234">
        <v>6250.05</v>
      </c>
      <c r="D45" s="234">
        <v>0</v>
      </c>
      <c r="E45" s="234">
        <v>0</v>
      </c>
      <c r="F45" s="234">
        <f t="shared" si="3"/>
        <v>6250.05</v>
      </c>
      <c r="G45" s="234">
        <v>0</v>
      </c>
      <c r="H45" s="234">
        <v>787.75</v>
      </c>
      <c r="I45" s="234">
        <v>168.6</v>
      </c>
      <c r="J45" s="234">
        <v>0</v>
      </c>
      <c r="K45" s="234">
        <v>45.13</v>
      </c>
      <c r="L45" s="235">
        <v>-0.03</v>
      </c>
      <c r="M45" s="234">
        <f t="shared" si="1"/>
        <v>1001.45</v>
      </c>
      <c r="N45" s="234">
        <f t="shared" si="2"/>
        <v>5248.6</v>
      </c>
    </row>
    <row r="46" spans="1:14">
      <c r="A46" s="224" t="s">
        <v>266</v>
      </c>
      <c r="B46" s="223" t="s">
        <v>267</v>
      </c>
      <c r="C46" s="234">
        <v>5868.75</v>
      </c>
      <c r="D46" s="234">
        <v>0</v>
      </c>
      <c r="E46" s="234">
        <v>0</v>
      </c>
      <c r="F46" s="234">
        <f t="shared" si="3"/>
        <v>5868.75</v>
      </c>
      <c r="G46" s="234">
        <v>0</v>
      </c>
      <c r="H46" s="234">
        <v>706.3</v>
      </c>
      <c r="I46" s="234">
        <v>157.08000000000001</v>
      </c>
      <c r="J46" s="234">
        <v>0</v>
      </c>
      <c r="K46" s="234">
        <v>45.13</v>
      </c>
      <c r="L46" s="234">
        <v>0.04</v>
      </c>
      <c r="M46" s="234">
        <f t="shared" si="1"/>
        <v>908.55</v>
      </c>
      <c r="N46" s="234">
        <f t="shared" si="2"/>
        <v>4960.2</v>
      </c>
    </row>
    <row r="47" spans="1:14">
      <c r="A47" s="224" t="s">
        <v>268</v>
      </c>
      <c r="B47" s="223" t="s">
        <v>269</v>
      </c>
      <c r="C47" s="234">
        <v>3750</v>
      </c>
      <c r="D47" s="234">
        <v>0</v>
      </c>
      <c r="E47" s="234">
        <v>0</v>
      </c>
      <c r="F47" s="234">
        <f t="shared" si="3"/>
        <v>3750</v>
      </c>
      <c r="G47" s="234">
        <v>0</v>
      </c>
      <c r="H47" s="234">
        <v>309.02999999999997</v>
      </c>
      <c r="I47" s="234">
        <v>96.32</v>
      </c>
      <c r="J47" s="234">
        <v>741.3</v>
      </c>
      <c r="K47" s="234">
        <v>45.13</v>
      </c>
      <c r="L47" s="235">
        <v>-0.18</v>
      </c>
      <c r="M47" s="234">
        <f t="shared" si="1"/>
        <v>1191.5999999999999</v>
      </c>
      <c r="N47" s="234">
        <f t="shared" si="2"/>
        <v>2558.4</v>
      </c>
    </row>
    <row r="48" spans="1:14">
      <c r="A48" s="224" t="s">
        <v>272</v>
      </c>
      <c r="B48" s="223" t="s">
        <v>273</v>
      </c>
      <c r="C48" s="234">
        <v>5868.6</v>
      </c>
      <c r="D48" s="234">
        <v>0</v>
      </c>
      <c r="E48" s="234">
        <v>0</v>
      </c>
      <c r="F48" s="234">
        <f t="shared" si="3"/>
        <v>5868.6</v>
      </c>
      <c r="G48" s="234">
        <v>0</v>
      </c>
      <c r="H48" s="234">
        <v>706.27</v>
      </c>
      <c r="I48" s="234">
        <v>157.07</v>
      </c>
      <c r="J48" s="234">
        <v>0</v>
      </c>
      <c r="K48" s="234">
        <v>45.13</v>
      </c>
      <c r="L48" s="235">
        <v>-7.0000000000000007E-2</v>
      </c>
      <c r="M48" s="234">
        <f t="shared" si="1"/>
        <v>908.39999999999986</v>
      </c>
      <c r="N48" s="234">
        <f t="shared" si="2"/>
        <v>4960.2000000000007</v>
      </c>
    </row>
    <row r="49" spans="1:14">
      <c r="A49" s="224" t="s">
        <v>274</v>
      </c>
      <c r="B49" s="223" t="s">
        <v>275</v>
      </c>
      <c r="C49" s="234">
        <v>3750</v>
      </c>
      <c r="D49" s="234">
        <v>0</v>
      </c>
      <c r="E49" s="234">
        <v>0</v>
      </c>
      <c r="F49" s="234">
        <f t="shared" si="3"/>
        <v>3750</v>
      </c>
      <c r="G49" s="234">
        <v>0</v>
      </c>
      <c r="H49" s="234">
        <v>309.02999999999997</v>
      </c>
      <c r="I49" s="234">
        <v>95.62</v>
      </c>
      <c r="J49" s="234">
        <v>335.19</v>
      </c>
      <c r="K49" s="234">
        <v>45.13</v>
      </c>
      <c r="L49" s="234">
        <v>0.03</v>
      </c>
      <c r="M49" s="234">
        <f t="shared" si="1"/>
        <v>784.99999999999989</v>
      </c>
      <c r="N49" s="234">
        <f t="shared" si="2"/>
        <v>2965</v>
      </c>
    </row>
    <row r="50" spans="1:14">
      <c r="A50" s="224" t="s">
        <v>276</v>
      </c>
      <c r="B50" s="223" t="s">
        <v>277</v>
      </c>
      <c r="C50" s="234">
        <v>3250.05</v>
      </c>
      <c r="D50" s="234">
        <v>0</v>
      </c>
      <c r="E50" s="234">
        <v>0</v>
      </c>
      <c r="F50" s="234">
        <f t="shared" si="3"/>
        <v>3250.05</v>
      </c>
      <c r="G50" s="234">
        <v>0</v>
      </c>
      <c r="H50" s="234">
        <v>124.46</v>
      </c>
      <c r="I50" s="234">
        <v>81.12</v>
      </c>
      <c r="J50" s="234">
        <v>0</v>
      </c>
      <c r="K50" s="234">
        <v>45.13</v>
      </c>
      <c r="L50" s="234">
        <v>0.14000000000000001</v>
      </c>
      <c r="M50" s="234">
        <f t="shared" si="1"/>
        <v>250.84999999999997</v>
      </c>
      <c r="N50" s="234">
        <f t="shared" si="2"/>
        <v>2999.2000000000003</v>
      </c>
    </row>
    <row r="51" spans="1:14">
      <c r="A51" s="237" t="s">
        <v>308</v>
      </c>
      <c r="B51" s="231"/>
      <c r="C51" s="231" t="s">
        <v>309</v>
      </c>
      <c r="D51" s="231" t="s">
        <v>309</v>
      </c>
      <c r="E51" s="231" t="s">
        <v>309</v>
      </c>
      <c r="F51" s="231" t="s">
        <v>309</v>
      </c>
      <c r="G51" s="231" t="s">
        <v>309</v>
      </c>
      <c r="H51" s="231" t="s">
        <v>309</v>
      </c>
      <c r="I51" s="231" t="s">
        <v>309</v>
      </c>
      <c r="J51" s="231" t="s">
        <v>309</v>
      </c>
      <c r="K51" s="231" t="s">
        <v>309</v>
      </c>
      <c r="L51" s="231" t="s">
        <v>309</v>
      </c>
      <c r="M51" s="231" t="s">
        <v>309</v>
      </c>
      <c r="N51" s="231" t="s">
        <v>309</v>
      </c>
    </row>
    <row r="52" spans="1:14">
      <c r="A52" s="222"/>
      <c r="B52" s="222"/>
      <c r="C52" s="239">
        <f>SUM(C12:C51)</f>
        <v>186824.11000000002</v>
      </c>
      <c r="D52" s="239">
        <f t="shared" ref="D52:N52" si="4">SUM(D12:D51)</f>
        <v>0</v>
      </c>
      <c r="E52" s="239">
        <f t="shared" si="4"/>
        <v>1173.75</v>
      </c>
      <c r="F52" s="239">
        <f t="shared" si="4"/>
        <v>187997.86</v>
      </c>
      <c r="G52" s="239">
        <f t="shared" si="4"/>
        <v>-188.60000000000002</v>
      </c>
      <c r="H52" s="239">
        <f t="shared" si="4"/>
        <v>19720.979999999996</v>
      </c>
      <c r="I52" s="239">
        <f t="shared" si="4"/>
        <v>4972.08</v>
      </c>
      <c r="J52" s="239">
        <f t="shared" si="4"/>
        <v>5283.2499999999991</v>
      </c>
      <c r="K52" s="239">
        <f t="shared" si="4"/>
        <v>2372.1300000000024</v>
      </c>
      <c r="L52" s="239">
        <f t="shared" si="4"/>
        <v>-0.52999999999999992</v>
      </c>
      <c r="M52" s="239">
        <f t="shared" si="4"/>
        <v>32159.309999999994</v>
      </c>
      <c r="N52" s="239">
        <f t="shared" si="4"/>
        <v>155838.55000000002</v>
      </c>
    </row>
    <row r="53" spans="1:14">
      <c r="A53" s="210"/>
      <c r="B53" s="205"/>
      <c r="C53" s="205"/>
      <c r="D53" s="205"/>
      <c r="E53" s="231"/>
      <c r="F53" s="205"/>
      <c r="G53" s="205"/>
      <c r="H53" s="205"/>
      <c r="I53" s="205"/>
      <c r="J53" s="205"/>
      <c r="K53" s="205"/>
      <c r="L53" s="205"/>
      <c r="M53" s="205"/>
      <c r="N53" s="205"/>
    </row>
    <row r="54" spans="1:14">
      <c r="A54" s="232" t="s">
        <v>310</v>
      </c>
      <c r="B54" s="222"/>
      <c r="C54" s="222"/>
      <c r="D54" s="222"/>
      <c r="F54" s="222"/>
      <c r="G54" s="222"/>
      <c r="H54" s="222"/>
      <c r="I54" s="222"/>
      <c r="J54" s="222"/>
      <c r="K54" s="222"/>
      <c r="L54" s="222"/>
      <c r="M54" s="222"/>
      <c r="N54" s="222"/>
    </row>
    <row r="55" spans="1:14">
      <c r="A55" s="224" t="s">
        <v>202</v>
      </c>
      <c r="B55" s="223" t="s">
        <v>203</v>
      </c>
      <c r="C55" s="234">
        <v>1200</v>
      </c>
      <c r="D55" s="234">
        <v>1800</v>
      </c>
      <c r="E55" s="234">
        <v>0</v>
      </c>
      <c r="F55" s="234">
        <f t="shared" ref="F55:F66" si="5">SUM(C55:E55)</f>
        <v>3000</v>
      </c>
      <c r="G55" s="234">
        <v>0</v>
      </c>
      <c r="H55" s="234">
        <v>76.98</v>
      </c>
      <c r="I55" s="234">
        <v>44.35</v>
      </c>
      <c r="J55" s="234">
        <v>0</v>
      </c>
      <c r="K55" s="234">
        <v>45.13</v>
      </c>
      <c r="L55" s="234">
        <v>0.14000000000000001</v>
      </c>
      <c r="M55" s="234">
        <f t="shared" ref="M55:M66" si="6">SUM(G55:L55)</f>
        <v>166.6</v>
      </c>
      <c r="N55" s="234">
        <f t="shared" ref="N55:N66" si="7">+F55-M55</f>
        <v>2833.4</v>
      </c>
    </row>
    <row r="56" spans="1:14">
      <c r="A56" s="224" t="s">
        <v>204</v>
      </c>
      <c r="B56" s="223" t="s">
        <v>205</v>
      </c>
      <c r="C56" s="234">
        <v>1200</v>
      </c>
      <c r="D56" s="234">
        <v>1800</v>
      </c>
      <c r="E56" s="234">
        <v>0</v>
      </c>
      <c r="F56" s="234">
        <f t="shared" si="5"/>
        <v>3000</v>
      </c>
      <c r="G56" s="234">
        <v>0</v>
      </c>
      <c r="H56" s="234">
        <v>76.98</v>
      </c>
      <c r="I56" s="234">
        <v>69.86</v>
      </c>
      <c r="J56" s="234">
        <v>0</v>
      </c>
      <c r="K56" s="234">
        <v>45.13</v>
      </c>
      <c r="L56" s="234">
        <v>0.03</v>
      </c>
      <c r="M56" s="234">
        <f t="shared" si="6"/>
        <v>192</v>
      </c>
      <c r="N56" s="234">
        <f t="shared" si="7"/>
        <v>2808</v>
      </c>
    </row>
    <row r="57" spans="1:14">
      <c r="A57" s="224" t="s">
        <v>210</v>
      </c>
      <c r="B57" s="223" t="s">
        <v>211</v>
      </c>
      <c r="C57" s="234">
        <v>1200</v>
      </c>
      <c r="D57" s="234">
        <v>1162.5</v>
      </c>
      <c r="E57" s="234">
        <v>0</v>
      </c>
      <c r="F57" s="234">
        <f t="shared" si="5"/>
        <v>2362.5</v>
      </c>
      <c r="G57" s="235">
        <v>-7.3</v>
      </c>
      <c r="H57" s="234">
        <v>0</v>
      </c>
      <c r="I57" s="234">
        <v>51.04</v>
      </c>
      <c r="J57" s="234">
        <v>0</v>
      </c>
      <c r="K57" s="234">
        <v>45.13</v>
      </c>
      <c r="L57" s="234">
        <v>0.03</v>
      </c>
      <c r="M57" s="234">
        <f t="shared" si="6"/>
        <v>88.9</v>
      </c>
      <c r="N57" s="234">
        <f t="shared" si="7"/>
        <v>2273.6</v>
      </c>
    </row>
    <row r="58" spans="1:14">
      <c r="A58" s="224" t="s">
        <v>220</v>
      </c>
      <c r="B58" s="223" t="s">
        <v>221</v>
      </c>
      <c r="C58" s="234">
        <v>1200</v>
      </c>
      <c r="D58" s="234">
        <v>2110</v>
      </c>
      <c r="E58" s="234">
        <v>0</v>
      </c>
      <c r="F58" s="234">
        <f t="shared" si="5"/>
        <v>3310</v>
      </c>
      <c r="G58" s="234">
        <v>0</v>
      </c>
      <c r="H58" s="234">
        <v>130.99</v>
      </c>
      <c r="I58" s="234">
        <v>65.739999999999995</v>
      </c>
      <c r="J58" s="234">
        <v>0</v>
      </c>
      <c r="K58" s="234">
        <v>45.13</v>
      </c>
      <c r="L58" s="235">
        <v>-0.06</v>
      </c>
      <c r="M58" s="234">
        <f t="shared" si="6"/>
        <v>241.8</v>
      </c>
      <c r="N58" s="234">
        <f t="shared" si="7"/>
        <v>3068.2</v>
      </c>
    </row>
    <row r="59" spans="1:14">
      <c r="A59" s="224" t="s">
        <v>224</v>
      </c>
      <c r="B59" s="223" t="s">
        <v>225</v>
      </c>
      <c r="C59" s="234">
        <v>1200</v>
      </c>
      <c r="D59" s="234">
        <v>3652.5</v>
      </c>
      <c r="E59" s="234">
        <v>0</v>
      </c>
      <c r="F59" s="234">
        <f t="shared" si="5"/>
        <v>4852.5</v>
      </c>
      <c r="G59" s="234">
        <v>0</v>
      </c>
      <c r="H59" s="234">
        <v>497.11</v>
      </c>
      <c r="I59" s="234">
        <v>67.09</v>
      </c>
      <c r="J59" s="234">
        <v>0</v>
      </c>
      <c r="K59" s="234">
        <v>45.13</v>
      </c>
      <c r="L59" s="235">
        <v>-0.03</v>
      </c>
      <c r="M59" s="234">
        <f t="shared" si="6"/>
        <v>609.30000000000007</v>
      </c>
      <c r="N59" s="234">
        <f t="shared" si="7"/>
        <v>4243.2</v>
      </c>
    </row>
    <row r="60" spans="1:14">
      <c r="A60" s="224" t="s">
        <v>226</v>
      </c>
      <c r="B60" s="223" t="s">
        <v>227</v>
      </c>
      <c r="C60" s="234">
        <v>1200</v>
      </c>
      <c r="D60" s="234">
        <v>4312.5</v>
      </c>
      <c r="E60" s="234">
        <v>0</v>
      </c>
      <c r="F60" s="234">
        <f t="shared" si="5"/>
        <v>5512.5</v>
      </c>
      <c r="G60" s="234">
        <v>0</v>
      </c>
      <c r="H60" s="234">
        <v>630.21</v>
      </c>
      <c r="I60" s="234">
        <v>92.6</v>
      </c>
      <c r="J60" s="234">
        <v>0</v>
      </c>
      <c r="K60" s="234">
        <v>45.13</v>
      </c>
      <c r="L60" s="235">
        <v>-0.04</v>
      </c>
      <c r="M60" s="234">
        <f t="shared" si="6"/>
        <v>767.90000000000009</v>
      </c>
      <c r="N60" s="234">
        <f t="shared" si="7"/>
        <v>4744.6000000000004</v>
      </c>
    </row>
    <row r="61" spans="1:14">
      <c r="A61" s="224" t="s">
        <v>246</v>
      </c>
      <c r="B61" s="223" t="s">
        <v>247</v>
      </c>
      <c r="C61" s="234">
        <v>1200</v>
      </c>
      <c r="D61" s="234">
        <v>1050.4000000000001</v>
      </c>
      <c r="E61" s="234">
        <v>0</v>
      </c>
      <c r="F61" s="234">
        <f t="shared" si="5"/>
        <v>2250.4</v>
      </c>
      <c r="G61" s="235">
        <v>-33.979999999999997</v>
      </c>
      <c r="H61" s="234">
        <v>0</v>
      </c>
      <c r="I61" s="234">
        <v>53.27</v>
      </c>
      <c r="J61" s="234">
        <v>0</v>
      </c>
      <c r="K61" s="234">
        <v>45.13</v>
      </c>
      <c r="L61" s="235">
        <v>-0.02</v>
      </c>
      <c r="M61" s="234">
        <f t="shared" si="6"/>
        <v>64.40000000000002</v>
      </c>
      <c r="N61" s="234">
        <f t="shared" si="7"/>
        <v>2186</v>
      </c>
    </row>
    <row r="62" spans="1:14">
      <c r="A62" s="224" t="s">
        <v>250</v>
      </c>
      <c r="B62" s="223" t="s">
        <v>251</v>
      </c>
      <c r="C62" s="234">
        <v>1750.05</v>
      </c>
      <c r="D62" s="234">
        <v>11019.49</v>
      </c>
      <c r="E62" s="234">
        <v>0</v>
      </c>
      <c r="F62" s="234">
        <f t="shared" si="5"/>
        <v>12769.539999999999</v>
      </c>
      <c r="G62" s="234">
        <v>0</v>
      </c>
      <c r="H62" s="234">
        <v>2234.77</v>
      </c>
      <c r="I62" s="234">
        <v>122.19</v>
      </c>
      <c r="J62" s="234">
        <f>+FACTURACIÓN!AJ62</f>
        <v>3519.49</v>
      </c>
      <c r="K62" s="234">
        <v>0</v>
      </c>
      <c r="L62" s="235">
        <v>-0.02</v>
      </c>
      <c r="M62" s="234">
        <f>SUM(G62:L62)</f>
        <v>5876.4299999999994</v>
      </c>
      <c r="N62" s="234">
        <f>+F62-M62</f>
        <v>6893.11</v>
      </c>
    </row>
    <row r="63" spans="1:14">
      <c r="A63" s="224" t="s">
        <v>252</v>
      </c>
      <c r="B63" s="223" t="s">
        <v>253</v>
      </c>
      <c r="C63" s="234">
        <v>1200</v>
      </c>
      <c r="D63" s="234">
        <v>5652.5</v>
      </c>
      <c r="E63" s="234">
        <v>0</v>
      </c>
      <c r="F63" s="234">
        <f t="shared" si="5"/>
        <v>6852.5</v>
      </c>
      <c r="G63" s="234">
        <v>0</v>
      </c>
      <c r="H63" s="234">
        <v>916.43</v>
      </c>
      <c r="I63" s="234">
        <v>59.01</v>
      </c>
      <c r="J63" s="234">
        <v>0</v>
      </c>
      <c r="K63" s="234">
        <v>45.13</v>
      </c>
      <c r="L63" s="234">
        <v>0.13</v>
      </c>
      <c r="M63" s="234">
        <f t="shared" si="6"/>
        <v>1020.6999999999999</v>
      </c>
      <c r="N63" s="234">
        <f t="shared" si="7"/>
        <v>5831.8</v>
      </c>
    </row>
    <row r="64" spans="1:14">
      <c r="A64" s="224" t="s">
        <v>254</v>
      </c>
      <c r="B64" s="223" t="s">
        <v>255</v>
      </c>
      <c r="C64" s="234">
        <v>1200</v>
      </c>
      <c r="D64" s="234">
        <v>3345</v>
      </c>
      <c r="E64" s="234">
        <v>0</v>
      </c>
      <c r="F64" s="234">
        <f t="shared" si="5"/>
        <v>4545</v>
      </c>
      <c r="G64" s="234">
        <v>0</v>
      </c>
      <c r="H64" s="234">
        <v>442</v>
      </c>
      <c r="I64" s="234">
        <v>61.61</v>
      </c>
      <c r="J64" s="234">
        <v>0</v>
      </c>
      <c r="K64" s="234">
        <v>45.13</v>
      </c>
      <c r="L64" s="234">
        <v>0.06</v>
      </c>
      <c r="M64" s="234">
        <f t="shared" si="6"/>
        <v>548.79999999999995</v>
      </c>
      <c r="N64" s="234">
        <f t="shared" si="7"/>
        <v>3996.2</v>
      </c>
    </row>
    <row r="65" spans="1:14">
      <c r="A65" s="224" t="s">
        <v>258</v>
      </c>
      <c r="B65" s="223" t="s">
        <v>259</v>
      </c>
      <c r="C65" s="234">
        <v>1200</v>
      </c>
      <c r="D65" s="234">
        <v>11495.76</v>
      </c>
      <c r="E65" s="234">
        <v>0</v>
      </c>
      <c r="F65" s="234">
        <f t="shared" si="5"/>
        <v>12695.76</v>
      </c>
      <c r="G65" s="234">
        <v>0</v>
      </c>
      <c r="H65" s="234">
        <v>2217.41</v>
      </c>
      <c r="I65" s="234">
        <v>29.94</v>
      </c>
      <c r="J65" s="234">
        <v>340.56</v>
      </c>
      <c r="K65" s="234">
        <v>45.13</v>
      </c>
      <c r="L65" s="235">
        <v>-0.08</v>
      </c>
      <c r="M65" s="234">
        <f t="shared" si="6"/>
        <v>2632.96</v>
      </c>
      <c r="N65" s="234">
        <f t="shared" si="7"/>
        <v>10062.799999999999</v>
      </c>
    </row>
    <row r="66" spans="1:14">
      <c r="A66" s="224" t="s">
        <v>278</v>
      </c>
      <c r="B66" s="223" t="s">
        <v>279</v>
      </c>
      <c r="C66" s="234">
        <v>1200</v>
      </c>
      <c r="D66" s="234">
        <v>1435.2</v>
      </c>
      <c r="E66" s="234">
        <v>0</v>
      </c>
      <c r="F66" s="234">
        <f t="shared" si="5"/>
        <v>2635.2</v>
      </c>
      <c r="G66" s="234">
        <v>0</v>
      </c>
      <c r="H66" s="234">
        <v>37.29</v>
      </c>
      <c r="I66" s="234">
        <v>51.76</v>
      </c>
      <c r="J66" s="234">
        <v>303.79000000000002</v>
      </c>
      <c r="K66" s="234">
        <v>45.13</v>
      </c>
      <c r="L66" s="234">
        <v>0.03</v>
      </c>
      <c r="M66" s="234">
        <f t="shared" si="6"/>
        <v>438</v>
      </c>
      <c r="N66" s="234">
        <f t="shared" si="7"/>
        <v>2197.1999999999998</v>
      </c>
    </row>
    <row r="67" spans="1:14">
      <c r="A67" s="237" t="s">
        <v>308</v>
      </c>
      <c r="B67" s="231"/>
      <c r="C67" s="231" t="s">
        <v>309</v>
      </c>
      <c r="D67" s="231" t="s">
        <v>309</v>
      </c>
      <c r="E67" s="231" t="s">
        <v>309</v>
      </c>
      <c r="F67" s="231" t="s">
        <v>309</v>
      </c>
      <c r="G67" s="231" t="s">
        <v>309</v>
      </c>
      <c r="H67" s="231" t="s">
        <v>309</v>
      </c>
      <c r="I67" s="231" t="s">
        <v>309</v>
      </c>
      <c r="J67" s="231" t="s">
        <v>309</v>
      </c>
      <c r="K67" s="231" t="s">
        <v>309</v>
      </c>
      <c r="L67" s="231" t="s">
        <v>309</v>
      </c>
      <c r="M67" s="231" t="s">
        <v>309</v>
      </c>
      <c r="N67" s="231" t="s">
        <v>309</v>
      </c>
    </row>
    <row r="68" spans="1:14">
      <c r="A68" s="222"/>
      <c r="B68" s="222"/>
      <c r="C68" s="239">
        <f>SUM(C55:C67)</f>
        <v>14950.05</v>
      </c>
      <c r="D68" s="239">
        <f t="shared" ref="D68:N68" si="8">SUM(D55:D67)</f>
        <v>48835.85</v>
      </c>
      <c r="E68" s="239">
        <f>SUM(E55:E67)</f>
        <v>0</v>
      </c>
      <c r="F68" s="239">
        <f t="shared" si="8"/>
        <v>63785.9</v>
      </c>
      <c r="G68" s="239">
        <f t="shared" si="8"/>
        <v>-41.279999999999994</v>
      </c>
      <c r="H68" s="239">
        <f t="shared" si="8"/>
        <v>7260.17</v>
      </c>
      <c r="I68" s="239">
        <f t="shared" si="8"/>
        <v>768.46000000000015</v>
      </c>
      <c r="J68" s="239">
        <f t="shared" si="8"/>
        <v>4163.84</v>
      </c>
      <c r="K68" s="239">
        <f t="shared" si="8"/>
        <v>496.43</v>
      </c>
      <c r="L68" s="239">
        <f t="shared" si="8"/>
        <v>0.17</v>
      </c>
      <c r="M68" s="239">
        <f t="shared" si="8"/>
        <v>12647.79</v>
      </c>
      <c r="N68" s="239">
        <f t="shared" si="8"/>
        <v>51138.11</v>
      </c>
    </row>
    <row r="69" spans="1:14">
      <c r="A69" s="210"/>
      <c r="B69" s="205"/>
      <c r="C69" s="205"/>
      <c r="D69" s="205"/>
      <c r="E69" s="231"/>
      <c r="F69" s="205"/>
      <c r="G69" s="205"/>
      <c r="H69" s="205"/>
      <c r="I69" s="205"/>
      <c r="J69" s="205"/>
      <c r="K69" s="205"/>
      <c r="L69" s="205"/>
      <c r="M69" s="205"/>
      <c r="N69" s="205"/>
    </row>
    <row r="70" spans="1:14">
      <c r="A70" s="236"/>
      <c r="B70" s="231"/>
      <c r="C70" s="231" t="s">
        <v>311</v>
      </c>
      <c r="D70" s="231" t="s">
        <v>311</v>
      </c>
      <c r="E70" s="231" t="s">
        <v>311</v>
      </c>
      <c r="F70" s="231" t="s">
        <v>311</v>
      </c>
      <c r="G70" s="231" t="s">
        <v>311</v>
      </c>
      <c r="H70" s="231" t="s">
        <v>311</v>
      </c>
      <c r="I70" s="231" t="s">
        <v>311</v>
      </c>
      <c r="J70" s="231" t="s">
        <v>311</v>
      </c>
      <c r="K70" s="231" t="s">
        <v>311</v>
      </c>
      <c r="L70" s="231" t="s">
        <v>311</v>
      </c>
      <c r="M70" s="231" t="s">
        <v>311</v>
      </c>
      <c r="N70" s="231" t="s">
        <v>311</v>
      </c>
    </row>
    <row r="71" spans="1:14">
      <c r="A71" s="237" t="s">
        <v>312</v>
      </c>
      <c r="B71" s="223" t="s">
        <v>286</v>
      </c>
      <c r="C71" s="239">
        <f>+C68+C52</f>
        <v>201774.16</v>
      </c>
      <c r="D71" s="239">
        <f t="shared" ref="D71:M71" si="9">+D68+D52</f>
        <v>48835.85</v>
      </c>
      <c r="E71" s="239">
        <f>+E68+E52</f>
        <v>1173.75</v>
      </c>
      <c r="F71" s="239">
        <f t="shared" si="9"/>
        <v>251783.75999999998</v>
      </c>
      <c r="G71" s="239">
        <f t="shared" si="9"/>
        <v>-229.88000000000002</v>
      </c>
      <c r="H71" s="239">
        <f t="shared" si="9"/>
        <v>26981.149999999994</v>
      </c>
      <c r="I71" s="239">
        <f t="shared" si="9"/>
        <v>5740.54</v>
      </c>
      <c r="J71" s="239">
        <f t="shared" si="9"/>
        <v>9447.09</v>
      </c>
      <c r="K71" s="239">
        <f t="shared" si="9"/>
        <v>2868.5600000000022</v>
      </c>
      <c r="L71" s="239">
        <f t="shared" si="9"/>
        <v>-0.35999999999999988</v>
      </c>
      <c r="M71" s="239">
        <f t="shared" si="9"/>
        <v>44807.099999999991</v>
      </c>
      <c r="N71" s="239">
        <f>+N68+N52</f>
        <v>206976.66000000003</v>
      </c>
    </row>
    <row r="72" spans="1:14">
      <c r="A72" s="209"/>
      <c r="B72" s="205"/>
      <c r="C72" s="205"/>
      <c r="D72" s="205"/>
      <c r="E72" s="231"/>
      <c r="F72" s="205"/>
      <c r="G72" s="205"/>
      <c r="H72" s="205"/>
      <c r="I72" s="205"/>
      <c r="J72" s="205"/>
      <c r="K72" s="205"/>
      <c r="L72" s="205"/>
      <c r="M72" s="205"/>
      <c r="N72" s="205"/>
    </row>
    <row r="73" spans="1:14">
      <c r="A73" s="222"/>
      <c r="B73" s="222"/>
      <c r="C73" s="223" t="s">
        <v>286</v>
      </c>
      <c r="D73" s="223" t="s">
        <v>286</v>
      </c>
      <c r="E73" s="223"/>
      <c r="F73" s="223" t="s">
        <v>286</v>
      </c>
      <c r="G73" s="223" t="s">
        <v>286</v>
      </c>
      <c r="H73" s="223" t="s">
        <v>286</v>
      </c>
      <c r="I73" s="223" t="s">
        <v>286</v>
      </c>
      <c r="J73" s="223" t="s">
        <v>286</v>
      </c>
      <c r="K73" s="223" t="s">
        <v>286</v>
      </c>
      <c r="L73" s="223" t="s">
        <v>286</v>
      </c>
      <c r="M73" s="223" t="s">
        <v>286</v>
      </c>
      <c r="N73" s="223" t="s">
        <v>286</v>
      </c>
    </row>
    <row r="74" spans="1:14">
      <c r="A74" s="224" t="s">
        <v>286</v>
      </c>
      <c r="B74" s="223" t="s">
        <v>286</v>
      </c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</row>
    <row r="75" spans="1:14">
      <c r="A75" s="198"/>
      <c r="B75" s="198"/>
      <c r="C75" s="199" t="s">
        <v>286</v>
      </c>
      <c r="D75" s="199" t="s">
        <v>286</v>
      </c>
      <c r="E75" s="223"/>
      <c r="F75" s="199" t="s">
        <v>286</v>
      </c>
      <c r="G75" s="199" t="s">
        <v>286</v>
      </c>
      <c r="H75" s="199" t="s">
        <v>286</v>
      </c>
      <c r="I75" s="199" t="s">
        <v>286</v>
      </c>
      <c r="J75" s="199" t="s">
        <v>286</v>
      </c>
      <c r="K75" s="199" t="s">
        <v>286</v>
      </c>
      <c r="L75" s="199" t="s">
        <v>286</v>
      </c>
      <c r="M75" s="199" t="s">
        <v>286</v>
      </c>
      <c r="N75" s="199" t="s">
        <v>286</v>
      </c>
    </row>
    <row r="76" spans="1:14">
      <c r="A76" s="200" t="s">
        <v>286</v>
      </c>
      <c r="B76" s="199" t="s">
        <v>286</v>
      </c>
      <c r="C76" s="211"/>
      <c r="D76" s="211"/>
      <c r="E76" s="238"/>
      <c r="F76" s="211"/>
      <c r="G76" s="211"/>
      <c r="H76" s="211"/>
      <c r="I76" s="211"/>
      <c r="J76" s="211"/>
      <c r="K76" s="211"/>
      <c r="L76" s="211"/>
      <c r="M76" s="211"/>
      <c r="N76" s="211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25" workbookViewId="0">
      <selection activeCell="G13" sqref="G13"/>
    </sheetView>
  </sheetViews>
  <sheetFormatPr baseColWidth="10" defaultRowHeight="15"/>
  <cols>
    <col min="1" max="1" width="11.42578125" style="222"/>
    <col min="2" max="2" width="31.85546875" style="222" customWidth="1"/>
    <col min="3" max="3" width="12.7109375" style="222" bestFit="1" customWidth="1"/>
    <col min="4" max="4" width="11.42578125" style="222"/>
    <col min="5" max="5" width="14.28515625" style="222" customWidth="1"/>
    <col min="6" max="6" width="11.42578125" style="222"/>
    <col min="7" max="7" width="13.140625" style="222" customWidth="1"/>
    <col min="8" max="8" width="12.7109375" style="222" bestFit="1" customWidth="1"/>
    <col min="9" max="257" width="11.42578125" style="222"/>
    <col min="258" max="258" width="31.85546875" style="222" customWidth="1"/>
    <col min="259" max="513" width="11.42578125" style="222"/>
    <col min="514" max="514" width="31.85546875" style="222" customWidth="1"/>
    <col min="515" max="769" width="11.42578125" style="222"/>
    <col min="770" max="770" width="31.85546875" style="222" customWidth="1"/>
    <col min="771" max="1025" width="11.42578125" style="222"/>
    <col min="1026" max="1026" width="31.85546875" style="222" customWidth="1"/>
    <col min="1027" max="1281" width="11.42578125" style="222"/>
    <col min="1282" max="1282" width="31.85546875" style="222" customWidth="1"/>
    <col min="1283" max="1537" width="11.42578125" style="222"/>
    <col min="1538" max="1538" width="31.85546875" style="222" customWidth="1"/>
    <col min="1539" max="1793" width="11.42578125" style="222"/>
    <col min="1794" max="1794" width="31.85546875" style="222" customWidth="1"/>
    <col min="1795" max="2049" width="11.42578125" style="222"/>
    <col min="2050" max="2050" width="31.85546875" style="222" customWidth="1"/>
    <col min="2051" max="2305" width="11.42578125" style="222"/>
    <col min="2306" max="2306" width="31.85546875" style="222" customWidth="1"/>
    <col min="2307" max="2561" width="11.42578125" style="222"/>
    <col min="2562" max="2562" width="31.85546875" style="222" customWidth="1"/>
    <col min="2563" max="2817" width="11.42578125" style="222"/>
    <col min="2818" max="2818" width="31.85546875" style="222" customWidth="1"/>
    <col min="2819" max="3073" width="11.42578125" style="222"/>
    <col min="3074" max="3074" width="31.85546875" style="222" customWidth="1"/>
    <col min="3075" max="3329" width="11.42578125" style="222"/>
    <col min="3330" max="3330" width="31.85546875" style="222" customWidth="1"/>
    <col min="3331" max="3585" width="11.42578125" style="222"/>
    <col min="3586" max="3586" width="31.85546875" style="222" customWidth="1"/>
    <col min="3587" max="3841" width="11.42578125" style="222"/>
    <col min="3842" max="3842" width="31.85546875" style="222" customWidth="1"/>
    <col min="3843" max="4097" width="11.42578125" style="222"/>
    <col min="4098" max="4098" width="31.85546875" style="222" customWidth="1"/>
    <col min="4099" max="4353" width="11.42578125" style="222"/>
    <col min="4354" max="4354" width="31.85546875" style="222" customWidth="1"/>
    <col min="4355" max="4609" width="11.42578125" style="222"/>
    <col min="4610" max="4610" width="31.85546875" style="222" customWidth="1"/>
    <col min="4611" max="4865" width="11.42578125" style="222"/>
    <col min="4866" max="4866" width="31.85546875" style="222" customWidth="1"/>
    <col min="4867" max="5121" width="11.42578125" style="222"/>
    <col min="5122" max="5122" width="31.85546875" style="222" customWidth="1"/>
    <col min="5123" max="5377" width="11.42578125" style="222"/>
    <col min="5378" max="5378" width="31.85546875" style="222" customWidth="1"/>
    <col min="5379" max="5633" width="11.42578125" style="222"/>
    <col min="5634" max="5634" width="31.85546875" style="222" customWidth="1"/>
    <col min="5635" max="5889" width="11.42578125" style="222"/>
    <col min="5890" max="5890" width="31.85546875" style="222" customWidth="1"/>
    <col min="5891" max="6145" width="11.42578125" style="222"/>
    <col min="6146" max="6146" width="31.85546875" style="222" customWidth="1"/>
    <col min="6147" max="6401" width="11.42578125" style="222"/>
    <col min="6402" max="6402" width="31.85546875" style="222" customWidth="1"/>
    <col min="6403" max="6657" width="11.42578125" style="222"/>
    <col min="6658" max="6658" width="31.85546875" style="222" customWidth="1"/>
    <col min="6659" max="6913" width="11.42578125" style="222"/>
    <col min="6914" max="6914" width="31.85546875" style="222" customWidth="1"/>
    <col min="6915" max="7169" width="11.42578125" style="222"/>
    <col min="7170" max="7170" width="31.85546875" style="222" customWidth="1"/>
    <col min="7171" max="7425" width="11.42578125" style="222"/>
    <col min="7426" max="7426" width="31.85546875" style="222" customWidth="1"/>
    <col min="7427" max="7681" width="11.42578125" style="222"/>
    <col min="7682" max="7682" width="31.85546875" style="222" customWidth="1"/>
    <col min="7683" max="7937" width="11.42578125" style="222"/>
    <col min="7938" max="7938" width="31.85546875" style="222" customWidth="1"/>
    <col min="7939" max="8193" width="11.42578125" style="222"/>
    <col min="8194" max="8194" width="31.85546875" style="222" customWidth="1"/>
    <col min="8195" max="8449" width="11.42578125" style="222"/>
    <col min="8450" max="8450" width="31.85546875" style="222" customWidth="1"/>
    <col min="8451" max="8705" width="11.42578125" style="222"/>
    <col min="8706" max="8706" width="31.85546875" style="222" customWidth="1"/>
    <col min="8707" max="8961" width="11.42578125" style="222"/>
    <col min="8962" max="8962" width="31.85546875" style="222" customWidth="1"/>
    <col min="8963" max="9217" width="11.42578125" style="222"/>
    <col min="9218" max="9218" width="31.85546875" style="222" customWidth="1"/>
    <col min="9219" max="9473" width="11.42578125" style="222"/>
    <col min="9474" max="9474" width="31.85546875" style="222" customWidth="1"/>
    <col min="9475" max="9729" width="11.42578125" style="222"/>
    <col min="9730" max="9730" width="31.85546875" style="222" customWidth="1"/>
    <col min="9731" max="9985" width="11.42578125" style="222"/>
    <col min="9986" max="9986" width="31.85546875" style="222" customWidth="1"/>
    <col min="9987" max="10241" width="11.42578125" style="222"/>
    <col min="10242" max="10242" width="31.85546875" style="222" customWidth="1"/>
    <col min="10243" max="10497" width="11.42578125" style="222"/>
    <col min="10498" max="10498" width="31.85546875" style="222" customWidth="1"/>
    <col min="10499" max="10753" width="11.42578125" style="222"/>
    <col min="10754" max="10754" width="31.85546875" style="222" customWidth="1"/>
    <col min="10755" max="11009" width="11.42578125" style="222"/>
    <col min="11010" max="11010" width="31.85546875" style="222" customWidth="1"/>
    <col min="11011" max="11265" width="11.42578125" style="222"/>
    <col min="11266" max="11266" width="31.85546875" style="222" customWidth="1"/>
    <col min="11267" max="11521" width="11.42578125" style="222"/>
    <col min="11522" max="11522" width="31.85546875" style="222" customWidth="1"/>
    <col min="11523" max="11777" width="11.42578125" style="222"/>
    <col min="11778" max="11778" width="31.85546875" style="222" customWidth="1"/>
    <col min="11779" max="12033" width="11.42578125" style="222"/>
    <col min="12034" max="12034" width="31.85546875" style="222" customWidth="1"/>
    <col min="12035" max="12289" width="11.42578125" style="222"/>
    <col min="12290" max="12290" width="31.85546875" style="222" customWidth="1"/>
    <col min="12291" max="12545" width="11.42578125" style="222"/>
    <col min="12546" max="12546" width="31.85546875" style="222" customWidth="1"/>
    <col min="12547" max="12801" width="11.42578125" style="222"/>
    <col min="12802" max="12802" width="31.85546875" style="222" customWidth="1"/>
    <col min="12803" max="13057" width="11.42578125" style="222"/>
    <col min="13058" max="13058" width="31.85546875" style="222" customWidth="1"/>
    <col min="13059" max="13313" width="11.42578125" style="222"/>
    <col min="13314" max="13314" width="31.85546875" style="222" customWidth="1"/>
    <col min="13315" max="13569" width="11.42578125" style="222"/>
    <col min="13570" max="13570" width="31.85546875" style="222" customWidth="1"/>
    <col min="13571" max="13825" width="11.42578125" style="222"/>
    <col min="13826" max="13826" width="31.85546875" style="222" customWidth="1"/>
    <col min="13827" max="14081" width="11.42578125" style="222"/>
    <col min="14082" max="14082" width="31.85546875" style="222" customWidth="1"/>
    <col min="14083" max="14337" width="11.42578125" style="222"/>
    <col min="14338" max="14338" width="31.85546875" style="222" customWidth="1"/>
    <col min="14339" max="14593" width="11.42578125" style="222"/>
    <col min="14594" max="14594" width="31.85546875" style="222" customWidth="1"/>
    <col min="14595" max="14849" width="11.42578125" style="222"/>
    <col min="14850" max="14850" width="31.85546875" style="222" customWidth="1"/>
    <col min="14851" max="15105" width="11.42578125" style="222"/>
    <col min="15106" max="15106" width="31.85546875" style="222" customWidth="1"/>
    <col min="15107" max="15361" width="11.42578125" style="222"/>
    <col min="15362" max="15362" width="31.85546875" style="222" customWidth="1"/>
    <col min="15363" max="15617" width="11.42578125" style="222"/>
    <col min="15618" max="15618" width="31.85546875" style="222" customWidth="1"/>
    <col min="15619" max="15873" width="11.42578125" style="222"/>
    <col min="15874" max="15874" width="31.85546875" style="222" customWidth="1"/>
    <col min="15875" max="16129" width="11.42578125" style="222"/>
    <col min="16130" max="16130" width="31.85546875" style="222" customWidth="1"/>
    <col min="16131" max="16384" width="11.42578125" style="222"/>
  </cols>
  <sheetData>
    <row r="1" spans="1:8">
      <c r="A1" s="220" t="s">
        <v>285</v>
      </c>
      <c r="B1" s="229" t="s">
        <v>286</v>
      </c>
      <c r="C1" s="228"/>
    </row>
    <row r="2" spans="1:8" ht="18">
      <c r="A2" s="221" t="s">
        <v>287</v>
      </c>
      <c r="B2" s="240" t="s">
        <v>326</v>
      </c>
      <c r="C2" s="241"/>
    </row>
    <row r="3" spans="1:8" ht="15.75">
      <c r="B3" s="242" t="s">
        <v>289</v>
      </c>
      <c r="C3" s="228"/>
      <c r="D3" s="231"/>
    </row>
    <row r="4" spans="1:8">
      <c r="B4" s="243" t="str">
        <f>+[2]RAMAHA!B4</f>
        <v>Periodo 16 al 16 Quincenal del 16/08/2016 al 31/08/2016</v>
      </c>
      <c r="C4" s="228"/>
      <c r="D4" s="231"/>
    </row>
    <row r="5" spans="1:8">
      <c r="B5" s="230"/>
    </row>
    <row r="6" spans="1:8">
      <c r="B6" s="230" t="s">
        <v>292</v>
      </c>
    </row>
    <row r="7" spans="1:8">
      <c r="F7" s="223">
        <v>2</v>
      </c>
    </row>
    <row r="8" spans="1:8" ht="23.25" thickBot="1">
      <c r="A8" s="217" t="s">
        <v>293</v>
      </c>
      <c r="B8" s="218" t="s">
        <v>294</v>
      </c>
      <c r="C8" s="218" t="s">
        <v>327</v>
      </c>
      <c r="D8" s="218" t="s">
        <v>327</v>
      </c>
      <c r="E8" s="219" t="s">
        <v>297</v>
      </c>
      <c r="F8" s="218" t="s">
        <v>328</v>
      </c>
      <c r="G8" s="219" t="s">
        <v>304</v>
      </c>
      <c r="H8" s="257" t="s">
        <v>305</v>
      </c>
    </row>
    <row r="9" spans="1:8" ht="15.75" thickTop="1">
      <c r="A9" s="233"/>
    </row>
    <row r="11" spans="1:8">
      <c r="A11" s="232" t="s">
        <v>307</v>
      </c>
    </row>
    <row r="12" spans="1:8">
      <c r="A12" s="224" t="s">
        <v>174</v>
      </c>
      <c r="B12" s="223" t="s">
        <v>175</v>
      </c>
      <c r="C12" s="258">
        <f>+FACTURACIÓN!E12</f>
        <v>0</v>
      </c>
      <c r="D12" s="258">
        <v>0</v>
      </c>
      <c r="E12" s="258">
        <f>SUM(C12:D12)</f>
        <v>0</v>
      </c>
      <c r="F12" s="258">
        <f>+C12*0.1</f>
        <v>0</v>
      </c>
      <c r="G12" s="258">
        <f>SUM(F12)</f>
        <v>0</v>
      </c>
      <c r="H12" s="258">
        <f>+E12-G12</f>
        <v>0</v>
      </c>
    </row>
    <row r="13" spans="1:8">
      <c r="A13" s="224" t="s">
        <v>176</v>
      </c>
      <c r="B13" s="223" t="s">
        <v>177</v>
      </c>
      <c r="C13" s="258">
        <f>+FACTURACIÓN!E13</f>
        <v>1802</v>
      </c>
      <c r="D13" s="258">
        <v>0</v>
      </c>
      <c r="E13" s="258">
        <f t="shared" ref="E13:E50" si="0">SUM(C13:D13)</f>
        <v>1802</v>
      </c>
      <c r="F13" s="258">
        <f t="shared" ref="F13:F50" si="1">+C13*0.1</f>
        <v>180.20000000000002</v>
      </c>
      <c r="G13" s="258">
        <f t="shared" ref="G13:G50" si="2">SUM(F13)</f>
        <v>180.20000000000002</v>
      </c>
      <c r="H13" s="258">
        <f t="shared" ref="H13:H50" si="3">+E13-G13</f>
        <v>1621.8</v>
      </c>
    </row>
    <row r="14" spans="1:8">
      <c r="A14" s="224" t="s">
        <v>178</v>
      </c>
      <c r="B14" s="223" t="s">
        <v>179</v>
      </c>
      <c r="C14" s="258">
        <f>+FACTURACIÓN!E14</f>
        <v>3500</v>
      </c>
      <c r="D14" s="258">
        <v>0</v>
      </c>
      <c r="E14" s="258">
        <f t="shared" si="0"/>
        <v>3500</v>
      </c>
      <c r="F14" s="258">
        <f t="shared" si="1"/>
        <v>350</v>
      </c>
      <c r="G14" s="258">
        <f t="shared" si="2"/>
        <v>350</v>
      </c>
      <c r="H14" s="258">
        <f t="shared" si="3"/>
        <v>3150</v>
      </c>
    </row>
    <row r="15" spans="1:8">
      <c r="A15" s="224" t="s">
        <v>180</v>
      </c>
      <c r="B15" s="223" t="s">
        <v>181</v>
      </c>
      <c r="C15" s="258">
        <f>+FACTURACIÓN!E15</f>
        <v>7159.64</v>
      </c>
      <c r="D15" s="258">
        <v>0</v>
      </c>
      <c r="E15" s="258">
        <f t="shared" si="0"/>
        <v>7159.64</v>
      </c>
      <c r="F15" s="258">
        <f t="shared" si="1"/>
        <v>715.96400000000006</v>
      </c>
      <c r="G15" s="258">
        <f t="shared" si="2"/>
        <v>715.96400000000006</v>
      </c>
      <c r="H15" s="258">
        <f t="shared" si="3"/>
        <v>6443.6760000000004</v>
      </c>
    </row>
    <row r="16" spans="1:8">
      <c r="A16" s="224" t="s">
        <v>182</v>
      </c>
      <c r="B16" s="223" t="s">
        <v>183</v>
      </c>
      <c r="C16" s="258">
        <f>+FACTURACIÓN!E16</f>
        <v>0</v>
      </c>
      <c r="D16" s="258">
        <v>0</v>
      </c>
      <c r="E16" s="258">
        <f t="shared" si="0"/>
        <v>0</v>
      </c>
      <c r="F16" s="258">
        <f t="shared" si="1"/>
        <v>0</v>
      </c>
      <c r="G16" s="258">
        <f t="shared" si="2"/>
        <v>0</v>
      </c>
      <c r="H16" s="258">
        <f t="shared" si="3"/>
        <v>0</v>
      </c>
    </row>
    <row r="17" spans="1:8">
      <c r="A17" s="224" t="s">
        <v>184</v>
      </c>
      <c r="B17" s="223" t="s">
        <v>185</v>
      </c>
      <c r="C17" s="258">
        <f>+FACTURACIÓN!E17</f>
        <v>0</v>
      </c>
      <c r="D17" s="258">
        <v>0</v>
      </c>
      <c r="E17" s="258">
        <f t="shared" si="0"/>
        <v>0</v>
      </c>
      <c r="F17" s="258">
        <f t="shared" si="1"/>
        <v>0</v>
      </c>
      <c r="G17" s="258">
        <f t="shared" si="2"/>
        <v>0</v>
      </c>
      <c r="H17" s="258">
        <f t="shared" si="3"/>
        <v>0</v>
      </c>
    </row>
    <row r="18" spans="1:8">
      <c r="A18" s="224" t="s">
        <v>186</v>
      </c>
      <c r="B18" s="223" t="s">
        <v>187</v>
      </c>
      <c r="C18" s="258">
        <f>+FACTURACIÓN!E18</f>
        <v>0</v>
      </c>
      <c r="D18" s="258">
        <v>0</v>
      </c>
      <c r="E18" s="258">
        <f t="shared" si="0"/>
        <v>0</v>
      </c>
      <c r="F18" s="258">
        <f t="shared" si="1"/>
        <v>0</v>
      </c>
      <c r="G18" s="258">
        <f t="shared" si="2"/>
        <v>0</v>
      </c>
      <c r="H18" s="258">
        <f t="shared" si="3"/>
        <v>0</v>
      </c>
    </row>
    <row r="19" spans="1:8">
      <c r="A19" s="224" t="s">
        <v>188</v>
      </c>
      <c r="B19" s="223" t="s">
        <v>189</v>
      </c>
      <c r="C19" s="258">
        <f>+FACTURACIÓN!E19</f>
        <v>0</v>
      </c>
      <c r="D19" s="258">
        <v>0</v>
      </c>
      <c r="E19" s="258">
        <f t="shared" si="0"/>
        <v>0</v>
      </c>
      <c r="F19" s="258">
        <f t="shared" si="1"/>
        <v>0</v>
      </c>
      <c r="G19" s="258">
        <f t="shared" si="2"/>
        <v>0</v>
      </c>
      <c r="H19" s="258">
        <f t="shared" si="3"/>
        <v>0</v>
      </c>
    </row>
    <row r="20" spans="1:8">
      <c r="A20" s="224" t="s">
        <v>190</v>
      </c>
      <c r="B20" s="223" t="s">
        <v>191</v>
      </c>
      <c r="C20" s="258">
        <f>+FACTURACIÓN!E20</f>
        <v>27754.3</v>
      </c>
      <c r="D20" s="258">
        <v>0</v>
      </c>
      <c r="E20" s="258">
        <f t="shared" si="0"/>
        <v>27754.3</v>
      </c>
      <c r="F20" s="258">
        <f t="shared" si="1"/>
        <v>2775.4300000000003</v>
      </c>
      <c r="G20" s="258">
        <f t="shared" si="2"/>
        <v>2775.4300000000003</v>
      </c>
      <c r="H20" s="258">
        <f t="shared" si="3"/>
        <v>24978.87</v>
      </c>
    </row>
    <row r="21" spans="1:8">
      <c r="A21" s="224" t="s">
        <v>192</v>
      </c>
      <c r="B21" s="223" t="s">
        <v>193</v>
      </c>
      <c r="C21" s="258">
        <f>+FACTURACIÓN!E21</f>
        <v>0</v>
      </c>
      <c r="D21" s="258">
        <v>0</v>
      </c>
      <c r="E21" s="258">
        <f t="shared" si="0"/>
        <v>0</v>
      </c>
      <c r="F21" s="258">
        <f t="shared" si="1"/>
        <v>0</v>
      </c>
      <c r="G21" s="258">
        <f t="shared" si="2"/>
        <v>0</v>
      </c>
      <c r="H21" s="258">
        <f t="shared" si="3"/>
        <v>0</v>
      </c>
    </row>
    <row r="22" spans="1:8">
      <c r="A22" s="224" t="s">
        <v>194</v>
      </c>
      <c r="B22" s="223" t="s">
        <v>195</v>
      </c>
      <c r="C22" s="258">
        <f>+FACTURACIÓN!E22</f>
        <v>0</v>
      </c>
      <c r="D22" s="258">
        <v>0</v>
      </c>
      <c r="E22" s="258">
        <f t="shared" si="0"/>
        <v>0</v>
      </c>
      <c r="F22" s="258">
        <f t="shared" si="1"/>
        <v>0</v>
      </c>
      <c r="G22" s="258">
        <f t="shared" si="2"/>
        <v>0</v>
      </c>
      <c r="H22" s="258">
        <f t="shared" si="3"/>
        <v>0</v>
      </c>
    </row>
    <row r="23" spans="1:8">
      <c r="A23" s="224" t="s">
        <v>196</v>
      </c>
      <c r="B23" s="223" t="s">
        <v>197</v>
      </c>
      <c r="C23" s="258">
        <f>+FACTURACIÓN!E23</f>
        <v>74253.52</v>
      </c>
      <c r="D23" s="258">
        <v>0</v>
      </c>
      <c r="E23" s="258">
        <f t="shared" si="0"/>
        <v>74253.52</v>
      </c>
      <c r="F23" s="258">
        <f t="shared" si="1"/>
        <v>7425.3520000000008</v>
      </c>
      <c r="G23" s="258">
        <f t="shared" si="2"/>
        <v>7425.3520000000008</v>
      </c>
      <c r="H23" s="258">
        <f t="shared" si="3"/>
        <v>66828.168000000005</v>
      </c>
    </row>
    <row r="24" spans="1:8">
      <c r="A24" s="224" t="s">
        <v>198</v>
      </c>
      <c r="B24" s="223" t="s">
        <v>199</v>
      </c>
      <c r="C24" s="258">
        <f>+FACTURACIÓN!E24</f>
        <v>0</v>
      </c>
      <c r="D24" s="258">
        <v>0</v>
      </c>
      <c r="E24" s="258">
        <f t="shared" si="0"/>
        <v>0</v>
      </c>
      <c r="F24" s="258">
        <f t="shared" si="1"/>
        <v>0</v>
      </c>
      <c r="G24" s="258">
        <f t="shared" si="2"/>
        <v>0</v>
      </c>
      <c r="H24" s="258">
        <f t="shared" si="3"/>
        <v>0</v>
      </c>
    </row>
    <row r="25" spans="1:8">
      <c r="A25" s="224" t="s">
        <v>200</v>
      </c>
      <c r="B25" s="223" t="s">
        <v>201</v>
      </c>
      <c r="C25" s="258">
        <f>+FACTURACIÓN!E25</f>
        <v>11287.9</v>
      </c>
      <c r="D25" s="258">
        <v>0</v>
      </c>
      <c r="E25" s="258">
        <f t="shared" si="0"/>
        <v>11287.9</v>
      </c>
      <c r="F25" s="258">
        <f t="shared" si="1"/>
        <v>1128.79</v>
      </c>
      <c r="G25" s="258">
        <f t="shared" si="2"/>
        <v>1128.79</v>
      </c>
      <c r="H25" s="258">
        <f t="shared" si="3"/>
        <v>10159.11</v>
      </c>
    </row>
    <row r="26" spans="1:8">
      <c r="A26" s="224" t="s">
        <v>206</v>
      </c>
      <c r="B26" s="223" t="s">
        <v>207</v>
      </c>
      <c r="C26" s="258">
        <f>+FACTURACIÓN!E26</f>
        <v>28600</v>
      </c>
      <c r="D26" s="258">
        <v>0</v>
      </c>
      <c r="E26" s="258">
        <f t="shared" si="0"/>
        <v>28600</v>
      </c>
      <c r="F26" s="258">
        <f t="shared" si="1"/>
        <v>2860</v>
      </c>
      <c r="G26" s="258">
        <f t="shared" si="2"/>
        <v>2860</v>
      </c>
      <c r="H26" s="258">
        <f t="shared" si="3"/>
        <v>25740</v>
      </c>
    </row>
    <row r="27" spans="1:8">
      <c r="A27" s="224" t="s">
        <v>208</v>
      </c>
      <c r="B27" s="223" t="s">
        <v>209</v>
      </c>
      <c r="C27" s="258">
        <f>+FACTURACIÓN!E27</f>
        <v>165713.09</v>
      </c>
      <c r="D27" s="258">
        <v>0</v>
      </c>
      <c r="E27" s="258">
        <f t="shared" si="0"/>
        <v>165713.09</v>
      </c>
      <c r="F27" s="258">
        <f t="shared" si="1"/>
        <v>16571.309000000001</v>
      </c>
      <c r="G27" s="258">
        <f t="shared" si="2"/>
        <v>16571.309000000001</v>
      </c>
      <c r="H27" s="258">
        <f t="shared" si="3"/>
        <v>149141.78099999999</v>
      </c>
    </row>
    <row r="28" spans="1:8">
      <c r="A28" s="224" t="s">
        <v>212</v>
      </c>
      <c r="B28" s="223" t="s">
        <v>213</v>
      </c>
      <c r="C28" s="258">
        <f>+FACTURACIÓN!E28</f>
        <v>4664</v>
      </c>
      <c r="D28" s="258">
        <v>0</v>
      </c>
      <c r="E28" s="258">
        <f t="shared" si="0"/>
        <v>4664</v>
      </c>
      <c r="F28" s="258">
        <f t="shared" si="1"/>
        <v>466.40000000000003</v>
      </c>
      <c r="G28" s="258">
        <f t="shared" si="2"/>
        <v>466.40000000000003</v>
      </c>
      <c r="H28" s="258">
        <f t="shared" si="3"/>
        <v>4197.6000000000004</v>
      </c>
    </row>
    <row r="29" spans="1:8">
      <c r="A29" s="224" t="s">
        <v>214</v>
      </c>
      <c r="B29" s="223" t="s">
        <v>215</v>
      </c>
      <c r="C29" s="258">
        <f>+FACTURACIÓN!E29</f>
        <v>15000</v>
      </c>
      <c r="D29" s="258">
        <v>0</v>
      </c>
      <c r="E29" s="258">
        <f t="shared" si="0"/>
        <v>15000</v>
      </c>
      <c r="F29" s="258">
        <f t="shared" si="1"/>
        <v>1500</v>
      </c>
      <c r="G29" s="258">
        <f t="shared" si="2"/>
        <v>1500</v>
      </c>
      <c r="H29" s="258">
        <f t="shared" si="3"/>
        <v>13500</v>
      </c>
    </row>
    <row r="30" spans="1:8">
      <c r="A30" s="224" t="s">
        <v>216</v>
      </c>
      <c r="B30" s="223" t="s">
        <v>217</v>
      </c>
      <c r="C30" s="258">
        <f>+FACTURACIÓN!E30</f>
        <v>13327.65</v>
      </c>
      <c r="D30" s="258">
        <v>0</v>
      </c>
      <c r="E30" s="258">
        <f t="shared" si="0"/>
        <v>13327.65</v>
      </c>
      <c r="F30" s="258">
        <f t="shared" si="1"/>
        <v>1332.7650000000001</v>
      </c>
      <c r="G30" s="258">
        <f t="shared" si="2"/>
        <v>1332.7650000000001</v>
      </c>
      <c r="H30" s="258">
        <f t="shared" si="3"/>
        <v>11994.885</v>
      </c>
    </row>
    <row r="31" spans="1:8">
      <c r="A31" s="224" t="s">
        <v>218</v>
      </c>
      <c r="B31" s="223" t="s">
        <v>219</v>
      </c>
      <c r="C31" s="258">
        <f>+FACTURACIÓN!E31</f>
        <v>0</v>
      </c>
      <c r="D31" s="258">
        <v>0</v>
      </c>
      <c r="E31" s="258">
        <f t="shared" si="0"/>
        <v>0</v>
      </c>
      <c r="F31" s="258">
        <f t="shared" si="1"/>
        <v>0</v>
      </c>
      <c r="G31" s="258">
        <f t="shared" si="2"/>
        <v>0</v>
      </c>
      <c r="H31" s="258">
        <f t="shared" si="3"/>
        <v>0</v>
      </c>
    </row>
    <row r="32" spans="1:8">
      <c r="A32" s="224" t="s">
        <v>222</v>
      </c>
      <c r="B32" s="223" t="s">
        <v>223</v>
      </c>
      <c r="C32" s="258">
        <f>+FACTURACIÓN!E32</f>
        <v>1802</v>
      </c>
      <c r="D32" s="258">
        <v>0</v>
      </c>
      <c r="E32" s="258">
        <f t="shared" si="0"/>
        <v>1802</v>
      </c>
      <c r="F32" s="258">
        <f t="shared" si="1"/>
        <v>180.20000000000002</v>
      </c>
      <c r="G32" s="258">
        <f t="shared" si="2"/>
        <v>180.20000000000002</v>
      </c>
      <c r="H32" s="258">
        <f t="shared" si="3"/>
        <v>1621.8</v>
      </c>
    </row>
    <row r="33" spans="1:8">
      <c r="A33" s="224" t="s">
        <v>228</v>
      </c>
      <c r="B33" s="223" t="s">
        <v>229</v>
      </c>
      <c r="C33" s="258">
        <f>+FACTURACIÓN!E33</f>
        <v>1826.8</v>
      </c>
      <c r="D33" s="258">
        <v>0</v>
      </c>
      <c r="E33" s="258">
        <f t="shared" si="0"/>
        <v>1826.8</v>
      </c>
      <c r="F33" s="258">
        <f t="shared" si="1"/>
        <v>182.68</v>
      </c>
      <c r="G33" s="258">
        <f t="shared" si="2"/>
        <v>182.68</v>
      </c>
      <c r="H33" s="258">
        <f t="shared" si="3"/>
        <v>1644.12</v>
      </c>
    </row>
    <row r="34" spans="1:8">
      <c r="A34" s="224" t="s">
        <v>230</v>
      </c>
      <c r="B34" s="223" t="s">
        <v>231</v>
      </c>
      <c r="C34" s="258">
        <f>+FACTURACIÓN!E34</f>
        <v>2455</v>
      </c>
      <c r="D34" s="258">
        <v>0</v>
      </c>
      <c r="E34" s="258">
        <f t="shared" si="0"/>
        <v>2455</v>
      </c>
      <c r="F34" s="258">
        <f t="shared" si="1"/>
        <v>245.5</v>
      </c>
      <c r="G34" s="258">
        <f t="shared" si="2"/>
        <v>245.5</v>
      </c>
      <c r="H34" s="258">
        <f t="shared" si="3"/>
        <v>2209.5</v>
      </c>
    </row>
    <row r="35" spans="1:8">
      <c r="A35" s="224" t="s">
        <v>234</v>
      </c>
      <c r="B35" s="223" t="s">
        <v>235</v>
      </c>
      <c r="C35" s="258">
        <f>+FACTURACIÓN!E35</f>
        <v>1802</v>
      </c>
      <c r="D35" s="258">
        <v>0</v>
      </c>
      <c r="E35" s="258">
        <f t="shared" si="0"/>
        <v>1802</v>
      </c>
      <c r="F35" s="258">
        <f t="shared" si="1"/>
        <v>180.20000000000002</v>
      </c>
      <c r="G35" s="258">
        <f t="shared" si="2"/>
        <v>180.20000000000002</v>
      </c>
      <c r="H35" s="258">
        <f t="shared" si="3"/>
        <v>1621.8</v>
      </c>
    </row>
    <row r="36" spans="1:8">
      <c r="A36" s="224" t="s">
        <v>236</v>
      </c>
      <c r="B36" s="223" t="s">
        <v>237</v>
      </c>
      <c r="C36" s="258">
        <f>+FACTURACIÓN!E36</f>
        <v>1601</v>
      </c>
      <c r="D36" s="258">
        <v>0</v>
      </c>
      <c r="E36" s="258">
        <f t="shared" si="0"/>
        <v>1601</v>
      </c>
      <c r="F36" s="258">
        <f t="shared" si="1"/>
        <v>160.10000000000002</v>
      </c>
      <c r="G36" s="258">
        <f t="shared" si="2"/>
        <v>160.10000000000002</v>
      </c>
      <c r="H36" s="258">
        <f t="shared" si="3"/>
        <v>1440.9</v>
      </c>
    </row>
    <row r="37" spans="1:8">
      <c r="A37" s="224" t="s">
        <v>238</v>
      </c>
      <c r="B37" s="223" t="s">
        <v>239</v>
      </c>
      <c r="C37" s="258">
        <f>+FACTURACIÓN!E37</f>
        <v>0</v>
      </c>
      <c r="D37" s="258">
        <v>0</v>
      </c>
      <c r="E37" s="258">
        <f t="shared" si="0"/>
        <v>0</v>
      </c>
      <c r="F37" s="258">
        <f t="shared" si="1"/>
        <v>0</v>
      </c>
      <c r="G37" s="258">
        <f t="shared" si="2"/>
        <v>0</v>
      </c>
      <c r="H37" s="258">
        <f t="shared" si="3"/>
        <v>0</v>
      </c>
    </row>
    <row r="38" spans="1:8">
      <c r="A38" s="224" t="s">
        <v>240</v>
      </c>
      <c r="B38" s="223" t="s">
        <v>241</v>
      </c>
      <c r="C38" s="258">
        <f>+FACTURACIÓN!E38</f>
        <v>6029.77</v>
      </c>
      <c r="D38" s="258">
        <v>0</v>
      </c>
      <c r="E38" s="258">
        <f t="shared" si="0"/>
        <v>6029.77</v>
      </c>
      <c r="F38" s="258">
        <f t="shared" si="1"/>
        <v>602.97700000000009</v>
      </c>
      <c r="G38" s="258">
        <f t="shared" si="2"/>
        <v>602.97700000000009</v>
      </c>
      <c r="H38" s="258">
        <f t="shared" si="3"/>
        <v>5426.7930000000006</v>
      </c>
    </row>
    <row r="39" spans="1:8">
      <c r="A39" s="224" t="s">
        <v>242</v>
      </c>
      <c r="B39" s="223" t="s">
        <v>243</v>
      </c>
      <c r="C39" s="258">
        <f>+FACTURACIÓN!E39</f>
        <v>29664.71</v>
      </c>
      <c r="D39" s="258">
        <v>0</v>
      </c>
      <c r="E39" s="258">
        <f t="shared" si="0"/>
        <v>29664.71</v>
      </c>
      <c r="F39" s="258">
        <f t="shared" si="1"/>
        <v>2966.471</v>
      </c>
      <c r="G39" s="258">
        <f t="shared" si="2"/>
        <v>2966.471</v>
      </c>
      <c r="H39" s="258">
        <f t="shared" si="3"/>
        <v>26698.238999999998</v>
      </c>
    </row>
    <row r="40" spans="1:8">
      <c r="A40" s="224" t="s">
        <v>244</v>
      </c>
      <c r="B40" s="223" t="s">
        <v>245</v>
      </c>
      <c r="C40" s="258">
        <f>+FACTURACIÓN!E40</f>
        <v>0</v>
      </c>
      <c r="D40" s="258">
        <v>0</v>
      </c>
      <c r="E40" s="258">
        <f t="shared" si="0"/>
        <v>0</v>
      </c>
      <c r="F40" s="258">
        <f t="shared" si="1"/>
        <v>0</v>
      </c>
      <c r="G40" s="258">
        <f t="shared" si="2"/>
        <v>0</v>
      </c>
      <c r="H40" s="258">
        <f t="shared" si="3"/>
        <v>0</v>
      </c>
    </row>
    <row r="41" spans="1:8">
      <c r="A41" s="224" t="s">
        <v>248</v>
      </c>
      <c r="B41" s="223" t="s">
        <v>249</v>
      </c>
      <c r="C41" s="258">
        <f>+FACTURACIÓN!E41</f>
        <v>30155.34</v>
      </c>
      <c r="D41" s="258">
        <v>0</v>
      </c>
      <c r="E41" s="258">
        <f t="shared" si="0"/>
        <v>30155.34</v>
      </c>
      <c r="F41" s="258">
        <f t="shared" si="1"/>
        <v>3015.5340000000001</v>
      </c>
      <c r="G41" s="258">
        <f t="shared" si="2"/>
        <v>3015.5340000000001</v>
      </c>
      <c r="H41" s="258">
        <f t="shared" si="3"/>
        <v>27139.806</v>
      </c>
    </row>
    <row r="42" spans="1:8">
      <c r="A42" s="224" t="s">
        <v>256</v>
      </c>
      <c r="B42" s="223" t="s">
        <v>257</v>
      </c>
      <c r="C42" s="258">
        <f>+FACTURACIÓN!E42</f>
        <v>1000</v>
      </c>
      <c r="D42" s="258">
        <v>0</v>
      </c>
      <c r="E42" s="258">
        <f t="shared" si="0"/>
        <v>1000</v>
      </c>
      <c r="F42" s="258">
        <f t="shared" si="1"/>
        <v>100</v>
      </c>
      <c r="G42" s="258">
        <f t="shared" si="2"/>
        <v>100</v>
      </c>
      <c r="H42" s="258">
        <f t="shared" si="3"/>
        <v>900</v>
      </c>
    </row>
    <row r="43" spans="1:8">
      <c r="A43" s="224" t="s">
        <v>260</v>
      </c>
      <c r="B43" s="223" t="s">
        <v>261</v>
      </c>
      <c r="C43" s="258">
        <f>+FACTURACIÓN!E43</f>
        <v>11960.28</v>
      </c>
      <c r="D43" s="258">
        <v>0</v>
      </c>
      <c r="E43" s="258">
        <f t="shared" si="0"/>
        <v>11960.28</v>
      </c>
      <c r="F43" s="258">
        <f t="shared" si="1"/>
        <v>1196.028</v>
      </c>
      <c r="G43" s="258">
        <f t="shared" si="2"/>
        <v>1196.028</v>
      </c>
      <c r="H43" s="258">
        <f t="shared" si="3"/>
        <v>10764.252</v>
      </c>
    </row>
    <row r="44" spans="1:8">
      <c r="A44" s="224" t="s">
        <v>262</v>
      </c>
      <c r="B44" s="223" t="s">
        <v>263</v>
      </c>
      <c r="C44" s="258">
        <f>+FACTURACIÓN!E44</f>
        <v>15773.28</v>
      </c>
      <c r="D44" s="258">
        <v>0</v>
      </c>
      <c r="E44" s="258">
        <f t="shared" si="0"/>
        <v>15773.28</v>
      </c>
      <c r="F44" s="258">
        <f t="shared" si="1"/>
        <v>1577.3280000000002</v>
      </c>
      <c r="G44" s="258">
        <f t="shared" si="2"/>
        <v>1577.3280000000002</v>
      </c>
      <c r="H44" s="258">
        <f t="shared" si="3"/>
        <v>14195.952000000001</v>
      </c>
    </row>
    <row r="45" spans="1:8">
      <c r="A45" s="224" t="s">
        <v>264</v>
      </c>
      <c r="B45" s="223" t="s">
        <v>265</v>
      </c>
      <c r="C45" s="258">
        <f>+FACTURACIÓN!E45</f>
        <v>6250</v>
      </c>
      <c r="D45" s="258">
        <v>0</v>
      </c>
      <c r="E45" s="258">
        <f t="shared" si="0"/>
        <v>6250</v>
      </c>
      <c r="F45" s="258">
        <f t="shared" si="1"/>
        <v>625</v>
      </c>
      <c r="G45" s="258">
        <f t="shared" si="2"/>
        <v>625</v>
      </c>
      <c r="H45" s="258">
        <f t="shared" si="3"/>
        <v>5625</v>
      </c>
    </row>
    <row r="46" spans="1:8">
      <c r="A46" s="224" t="s">
        <v>266</v>
      </c>
      <c r="B46" s="223" t="s">
        <v>267</v>
      </c>
      <c r="C46" s="258">
        <f>+FACTURACIÓN!E46</f>
        <v>0</v>
      </c>
      <c r="D46" s="258">
        <v>0</v>
      </c>
      <c r="E46" s="258">
        <f t="shared" si="0"/>
        <v>0</v>
      </c>
      <c r="F46" s="258">
        <f t="shared" si="1"/>
        <v>0</v>
      </c>
      <c r="G46" s="258">
        <f t="shared" si="2"/>
        <v>0</v>
      </c>
      <c r="H46" s="258">
        <f t="shared" si="3"/>
        <v>0</v>
      </c>
    </row>
    <row r="47" spans="1:8">
      <c r="A47" s="224" t="s">
        <v>268</v>
      </c>
      <c r="B47" s="223" t="s">
        <v>269</v>
      </c>
      <c r="C47" s="258">
        <f>+FACTURACIÓN!E47</f>
        <v>11495.76</v>
      </c>
      <c r="D47" s="258">
        <v>0</v>
      </c>
      <c r="E47" s="258">
        <f t="shared" si="0"/>
        <v>11495.76</v>
      </c>
      <c r="F47" s="258">
        <f t="shared" si="1"/>
        <v>1149.576</v>
      </c>
      <c r="G47" s="258">
        <f t="shared" si="2"/>
        <v>1149.576</v>
      </c>
      <c r="H47" s="258">
        <f t="shared" si="3"/>
        <v>10346.184000000001</v>
      </c>
    </row>
    <row r="48" spans="1:8">
      <c r="A48" s="224" t="s">
        <v>272</v>
      </c>
      <c r="B48" s="223" t="s">
        <v>273</v>
      </c>
      <c r="C48" s="258">
        <f>+FACTURACIÓN!E48</f>
        <v>0</v>
      </c>
      <c r="D48" s="258">
        <v>0</v>
      </c>
      <c r="E48" s="258">
        <f t="shared" si="0"/>
        <v>0</v>
      </c>
      <c r="F48" s="258">
        <f t="shared" si="1"/>
        <v>0</v>
      </c>
      <c r="G48" s="258">
        <f t="shared" si="2"/>
        <v>0</v>
      </c>
      <c r="H48" s="258">
        <f t="shared" si="3"/>
        <v>0</v>
      </c>
    </row>
    <row r="49" spans="1:8">
      <c r="A49" s="224" t="s">
        <v>274</v>
      </c>
      <c r="B49" s="223" t="s">
        <v>275</v>
      </c>
      <c r="C49" s="258">
        <f>+FACTURACIÓN!E49</f>
        <v>13166.04</v>
      </c>
      <c r="D49" s="258">
        <v>0</v>
      </c>
      <c r="E49" s="258">
        <f t="shared" si="0"/>
        <v>13166.04</v>
      </c>
      <c r="F49" s="258">
        <f t="shared" si="1"/>
        <v>1316.6040000000003</v>
      </c>
      <c r="G49" s="258">
        <f t="shared" si="2"/>
        <v>1316.6040000000003</v>
      </c>
      <c r="H49" s="258">
        <f t="shared" si="3"/>
        <v>11849.436000000002</v>
      </c>
    </row>
    <row r="50" spans="1:8">
      <c r="A50" s="224" t="s">
        <v>276</v>
      </c>
      <c r="B50" s="223" t="s">
        <v>277</v>
      </c>
      <c r="C50" s="258">
        <f>+FACTURACIÓN!E50</f>
        <v>0</v>
      </c>
      <c r="D50" s="258">
        <v>0</v>
      </c>
      <c r="E50" s="258">
        <f t="shared" si="0"/>
        <v>0</v>
      </c>
      <c r="F50" s="258">
        <f t="shared" si="1"/>
        <v>0</v>
      </c>
      <c r="G50" s="258">
        <f t="shared" si="2"/>
        <v>0</v>
      </c>
      <c r="H50" s="258">
        <f t="shared" si="3"/>
        <v>0</v>
      </c>
    </row>
    <row r="51" spans="1:8">
      <c r="A51" s="237" t="s">
        <v>308</v>
      </c>
      <c r="B51" s="231"/>
      <c r="C51" s="258"/>
      <c r="D51" s="258"/>
      <c r="E51" s="258"/>
      <c r="F51" s="258"/>
      <c r="G51" s="258"/>
      <c r="H51" s="258"/>
    </row>
    <row r="52" spans="1:8">
      <c r="C52" s="259"/>
    </row>
    <row r="53" spans="1:8" ht="16.5" thickBot="1">
      <c r="A53" s="237"/>
      <c r="B53" s="231"/>
      <c r="C53" s="260">
        <f>SUM(C12:C52)</f>
        <v>488044.08000000007</v>
      </c>
      <c r="D53" s="260">
        <f t="shared" ref="D53:H53" si="4">SUM(D12:D52)</f>
        <v>0</v>
      </c>
      <c r="E53" s="260">
        <f t="shared" si="4"/>
        <v>488044.08000000007</v>
      </c>
      <c r="F53" s="260">
        <f t="shared" si="4"/>
        <v>48804.407999999996</v>
      </c>
      <c r="G53" s="260">
        <f t="shared" si="4"/>
        <v>48804.407999999996</v>
      </c>
      <c r="H53" s="260">
        <f t="shared" si="4"/>
        <v>439239.67199999996</v>
      </c>
    </row>
    <row r="54" spans="1:8" ht="15.75" thickTop="1">
      <c r="A54" s="232" t="s">
        <v>310</v>
      </c>
    </row>
    <row r="55" spans="1:8">
      <c r="A55" s="224" t="s">
        <v>202</v>
      </c>
      <c r="B55" s="223" t="s">
        <v>203</v>
      </c>
    </row>
    <row r="56" spans="1:8">
      <c r="A56" s="224" t="s">
        <v>204</v>
      </c>
      <c r="B56" s="223" t="s">
        <v>205</v>
      </c>
    </row>
    <row r="57" spans="1:8">
      <c r="A57" s="224" t="s">
        <v>210</v>
      </c>
      <c r="B57" s="223" t="s">
        <v>211</v>
      </c>
    </row>
    <row r="58" spans="1:8">
      <c r="A58" s="224" t="s">
        <v>220</v>
      </c>
      <c r="B58" s="223" t="s">
        <v>221</v>
      </c>
    </row>
    <row r="59" spans="1:8">
      <c r="A59" s="224" t="s">
        <v>224</v>
      </c>
      <c r="B59" s="223" t="s">
        <v>225</v>
      </c>
    </row>
    <row r="60" spans="1:8">
      <c r="A60" s="224" t="s">
        <v>226</v>
      </c>
      <c r="B60" s="223" t="s">
        <v>227</v>
      </c>
    </row>
    <row r="61" spans="1:8">
      <c r="A61" s="224" t="s">
        <v>246</v>
      </c>
      <c r="B61" s="223" t="s">
        <v>247</v>
      </c>
    </row>
    <row r="62" spans="1:8">
      <c r="A62" s="224" t="s">
        <v>250</v>
      </c>
      <c r="B62" s="223" t="s">
        <v>251</v>
      </c>
    </row>
    <row r="63" spans="1:8">
      <c r="A63" s="224" t="s">
        <v>252</v>
      </c>
      <c r="B63" s="223" t="s">
        <v>253</v>
      </c>
    </row>
    <row r="64" spans="1:8">
      <c r="A64" s="224" t="s">
        <v>254</v>
      </c>
      <c r="B64" s="223" t="s">
        <v>255</v>
      </c>
    </row>
    <row r="65" spans="1:2">
      <c r="A65" s="224" t="s">
        <v>258</v>
      </c>
      <c r="B65" s="223" t="s">
        <v>259</v>
      </c>
    </row>
    <row r="66" spans="1:2">
      <c r="A66" s="224" t="s">
        <v>278</v>
      </c>
      <c r="B66" s="223" t="s">
        <v>279</v>
      </c>
    </row>
    <row r="67" spans="1:2">
      <c r="A67" s="237" t="s">
        <v>308</v>
      </c>
      <c r="B67" s="231"/>
    </row>
    <row r="69" spans="1:2">
      <c r="A69" s="237"/>
      <c r="B69" s="231"/>
    </row>
    <row r="70" spans="1:2">
      <c r="A70" s="236"/>
      <c r="B70" s="231"/>
    </row>
    <row r="71" spans="1:2">
      <c r="A71" s="237" t="s">
        <v>312</v>
      </c>
      <c r="B71" s="223" t="s">
        <v>286</v>
      </c>
    </row>
    <row r="72" spans="1:2">
      <c r="A72" s="236"/>
      <c r="B72" s="231"/>
    </row>
    <row r="74" spans="1:2">
      <c r="A74" s="224" t="s">
        <v>286</v>
      </c>
      <c r="B74" s="223" t="s">
        <v>286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E56" sqref="E56"/>
    </sheetView>
  </sheetViews>
  <sheetFormatPr baseColWidth="10" defaultRowHeight="15"/>
  <cols>
    <col min="1" max="1" width="40.140625" bestFit="1" customWidth="1"/>
    <col min="2" max="2" width="11.5703125" bestFit="1" customWidth="1"/>
    <col min="3" max="4" width="12.5703125" bestFit="1" customWidth="1"/>
    <col min="5" max="5" width="11.5703125" bestFit="1" customWidth="1"/>
    <col min="6" max="7" width="12.5703125" bestFit="1" customWidth="1"/>
  </cols>
  <sheetData>
    <row r="1" spans="1:7">
      <c r="A1" s="294" t="s">
        <v>330</v>
      </c>
      <c r="B1" s="295" t="s">
        <v>331</v>
      </c>
      <c r="C1" s="295"/>
      <c r="D1" s="296" t="s">
        <v>323</v>
      </c>
      <c r="E1" s="295" t="s">
        <v>332</v>
      </c>
      <c r="F1" s="295"/>
      <c r="G1" s="296" t="s">
        <v>23</v>
      </c>
    </row>
    <row r="2" spans="1:7">
      <c r="A2" s="294"/>
      <c r="B2" s="261" t="s">
        <v>333</v>
      </c>
      <c r="C2" s="261" t="s">
        <v>30</v>
      </c>
      <c r="D2" s="296"/>
      <c r="E2" s="261" t="s">
        <v>333</v>
      </c>
      <c r="F2" s="261" t="s">
        <v>30</v>
      </c>
      <c r="G2" s="296"/>
    </row>
    <row r="3" spans="1:7">
      <c r="A3" s="262" t="str">
        <f>INGENIERIA!B12</f>
        <v>Avendaño Jauregui Mauricio</v>
      </c>
      <c r="B3" s="263">
        <f>INGENIERIA!N12</f>
        <v>2998.8</v>
      </c>
      <c r="C3" s="263">
        <f>SINDICATO!H12</f>
        <v>0</v>
      </c>
      <c r="D3" s="263">
        <f>B3+C3</f>
        <v>2998.8</v>
      </c>
      <c r="E3" s="263">
        <v>2998.8</v>
      </c>
      <c r="F3" s="263"/>
      <c r="G3" s="263">
        <f>E3+F3-D3</f>
        <v>0</v>
      </c>
    </row>
    <row r="4" spans="1:7">
      <c r="A4" s="262" t="str">
        <f>INGENIERIA!B13</f>
        <v>Baez Monroy Elizabeth</v>
      </c>
      <c r="B4" s="263">
        <f>INGENIERIA!N13</f>
        <v>2385.2000000000003</v>
      </c>
      <c r="C4" s="263">
        <f>SINDICATO!H13</f>
        <v>1621.8</v>
      </c>
      <c r="D4" s="263">
        <f t="shared" ref="D4:D53" si="0">B4+C4</f>
        <v>4007</v>
      </c>
      <c r="E4" s="263">
        <v>2385.1999999999998</v>
      </c>
      <c r="F4" s="263">
        <v>1621.8</v>
      </c>
      <c r="G4" s="263">
        <f t="shared" ref="G4:G53" si="1">E4+F4-D4</f>
        <v>0</v>
      </c>
    </row>
    <row r="5" spans="1:7">
      <c r="A5" s="262" t="str">
        <f>INGENIERIA!B14</f>
        <v>Baltazar Cruz Desiree De Jesus</v>
      </c>
      <c r="B5" s="263">
        <f>INGENIERIA!N14</f>
        <v>1901</v>
      </c>
      <c r="C5" s="263">
        <f>SINDICATO!H14</f>
        <v>3150</v>
      </c>
      <c r="D5" s="263">
        <f t="shared" si="0"/>
        <v>5051</v>
      </c>
      <c r="E5" s="263">
        <v>1901</v>
      </c>
      <c r="F5" s="263">
        <v>3150</v>
      </c>
      <c r="G5" s="263">
        <f t="shared" si="1"/>
        <v>0</v>
      </c>
    </row>
    <row r="6" spans="1:7">
      <c r="A6" s="262" t="str">
        <f>INGENIERIA!B15</f>
        <v>Camacho Rivera Martha Sarahi</v>
      </c>
      <c r="B6" s="263">
        <f>INGENIERIA!N15</f>
        <v>2385.2000000000003</v>
      </c>
      <c r="C6" s="263">
        <f>SINDICATO!H15</f>
        <v>6443.6760000000004</v>
      </c>
      <c r="D6" s="263">
        <f t="shared" si="0"/>
        <v>8828.8760000000002</v>
      </c>
      <c r="E6" s="263">
        <v>2385.1999999999998</v>
      </c>
      <c r="F6" s="263">
        <v>6443.68</v>
      </c>
      <c r="G6" s="263">
        <f t="shared" si="1"/>
        <v>4.0000000008149073E-3</v>
      </c>
    </row>
    <row r="7" spans="1:7">
      <c r="A7" s="262" t="str">
        <f>INGENIERIA!B16</f>
        <v>Campos Sancen Luis Felipe</v>
      </c>
      <c r="B7" s="263">
        <f>INGENIERIA!N16</f>
        <v>5260.6</v>
      </c>
      <c r="C7" s="263">
        <f>SINDICATO!H16</f>
        <v>0</v>
      </c>
      <c r="D7" s="263">
        <f t="shared" si="0"/>
        <v>5260.6</v>
      </c>
      <c r="E7" s="263">
        <v>5260.6</v>
      </c>
      <c r="F7" s="263"/>
      <c r="G7" s="263">
        <f t="shared" si="1"/>
        <v>0</v>
      </c>
    </row>
    <row r="8" spans="1:7">
      <c r="A8" s="262" t="str">
        <f>INGENIERIA!B17</f>
        <v>Castillo Galindo Marlene Samantha Graciela</v>
      </c>
      <c r="B8" s="263">
        <f>INGENIERIA!N17</f>
        <v>2630</v>
      </c>
      <c r="C8" s="263">
        <f>SINDICATO!H17</f>
        <v>0</v>
      </c>
      <c r="D8" s="263">
        <f t="shared" si="0"/>
        <v>2630</v>
      </c>
      <c r="E8" s="263">
        <v>2630</v>
      </c>
      <c r="F8" s="263"/>
      <c r="G8" s="263">
        <f t="shared" si="1"/>
        <v>0</v>
      </c>
    </row>
    <row r="9" spans="1:7">
      <c r="A9" s="262" t="str">
        <f>INGENIERIA!B18</f>
        <v>Cruz Mendoza Salomon</v>
      </c>
      <c r="B9" s="263">
        <f>INGENIERIA!N18</f>
        <v>6179.15</v>
      </c>
      <c r="C9" s="263">
        <f>SINDICATO!H18</f>
        <v>0</v>
      </c>
      <c r="D9" s="263">
        <f t="shared" si="0"/>
        <v>6179.15</v>
      </c>
      <c r="E9" s="263">
        <v>5928.4</v>
      </c>
      <c r="F9" s="263"/>
      <c r="G9" s="263">
        <f t="shared" si="1"/>
        <v>-250.75</v>
      </c>
    </row>
    <row r="10" spans="1:7">
      <c r="A10" s="262" t="str">
        <f>INGENIERIA!B19</f>
        <v>Del Alto Castellanos Xochitl</v>
      </c>
      <c r="B10" s="263">
        <f>INGENIERIA!N19</f>
        <v>2630</v>
      </c>
      <c r="C10" s="263">
        <f>SINDICATO!H19</f>
        <v>0</v>
      </c>
      <c r="D10" s="263">
        <f t="shared" si="0"/>
        <v>2630</v>
      </c>
      <c r="E10" s="263">
        <v>2630</v>
      </c>
      <c r="F10" s="263"/>
      <c r="G10" s="263">
        <f t="shared" si="1"/>
        <v>0</v>
      </c>
    </row>
    <row r="11" spans="1:7">
      <c r="A11" s="262" t="str">
        <f>INGENIERIA!B20</f>
        <v>Diaz Rojas Rocio Janet</v>
      </c>
      <c r="B11" s="263">
        <f>INGENIERIA!N20</f>
        <v>8089.1999999999989</v>
      </c>
      <c r="C11" s="263">
        <f>SINDICATO!H20</f>
        <v>24978.87</v>
      </c>
      <c r="D11" s="263">
        <f t="shared" si="0"/>
        <v>33068.07</v>
      </c>
      <c r="E11" s="263">
        <v>8089.2</v>
      </c>
      <c r="F11" s="263">
        <v>24978.87</v>
      </c>
      <c r="G11" s="263">
        <f t="shared" si="1"/>
        <v>0</v>
      </c>
    </row>
    <row r="12" spans="1:7">
      <c r="A12" s="262" t="str">
        <f>INGENIERIA!B21</f>
        <v>Escamilla Lopez Rogelio</v>
      </c>
      <c r="B12" s="263">
        <f>INGENIERIA!N21</f>
        <v>2999.4</v>
      </c>
      <c r="C12" s="263">
        <f>SINDICATO!H21</f>
        <v>0</v>
      </c>
      <c r="D12" s="263">
        <f t="shared" si="0"/>
        <v>2999.4</v>
      </c>
      <c r="E12" s="263">
        <v>2999.4</v>
      </c>
      <c r="F12" s="263"/>
      <c r="G12" s="263">
        <f t="shared" si="1"/>
        <v>0</v>
      </c>
    </row>
    <row r="13" spans="1:7">
      <c r="A13" s="262" t="str">
        <f>INGENIERIA!B22</f>
        <v>Gallegos Morales Roberto</v>
      </c>
      <c r="B13" s="263">
        <f>INGENIERIA!N22</f>
        <v>2999.4</v>
      </c>
      <c r="C13" s="263">
        <f>SINDICATO!H22</f>
        <v>0</v>
      </c>
      <c r="D13" s="263">
        <f t="shared" si="0"/>
        <v>2999.4</v>
      </c>
      <c r="E13" s="263">
        <v>2999.4</v>
      </c>
      <c r="F13" s="263"/>
      <c r="G13" s="263">
        <f t="shared" si="1"/>
        <v>0</v>
      </c>
    </row>
    <row r="14" spans="1:7">
      <c r="A14" s="262" t="str">
        <f>INGENIERIA!B23</f>
        <v>Gallegos Rios Octavio Alberto</v>
      </c>
      <c r="B14" s="263">
        <f>INGENIERIA!N23</f>
        <v>11770.8</v>
      </c>
      <c r="C14" s="263">
        <f>SINDICATO!H23</f>
        <v>66828.168000000005</v>
      </c>
      <c r="D14" s="263">
        <f t="shared" si="0"/>
        <v>78598.968000000008</v>
      </c>
      <c r="E14" s="263">
        <v>11770.8</v>
      </c>
      <c r="F14" s="263">
        <v>66828.17</v>
      </c>
      <c r="G14" s="263">
        <f t="shared" si="1"/>
        <v>1.999999993131496E-3</v>
      </c>
    </row>
    <row r="15" spans="1:7">
      <c r="A15" s="262" t="str">
        <f>INGENIERIA!B24</f>
        <v>Gaytan Martinez Raul</v>
      </c>
      <c r="B15" s="263">
        <f>INGENIERIA!N24</f>
        <v>2999.2000000000003</v>
      </c>
      <c r="C15" s="263">
        <f>SINDICATO!H24</f>
        <v>0</v>
      </c>
      <c r="D15" s="263">
        <f t="shared" si="0"/>
        <v>2999.2000000000003</v>
      </c>
      <c r="E15" s="263">
        <v>2999.2</v>
      </c>
      <c r="F15" s="263"/>
      <c r="G15" s="263">
        <f t="shared" si="1"/>
        <v>0</v>
      </c>
    </row>
    <row r="16" spans="1:7">
      <c r="A16" s="262" t="str">
        <f>INGENIERIA!B25</f>
        <v>Guerra Aguilar Alejandro</v>
      </c>
      <c r="B16" s="263">
        <f>INGENIERIA!N25</f>
        <v>2372.2000000000003</v>
      </c>
      <c r="C16" s="263">
        <f>SINDICATO!H25</f>
        <v>10159.11</v>
      </c>
      <c r="D16" s="263">
        <f t="shared" si="0"/>
        <v>12531.310000000001</v>
      </c>
      <c r="E16" s="263">
        <v>2372.1999999999998</v>
      </c>
      <c r="F16" s="263">
        <v>10159.11</v>
      </c>
      <c r="G16" s="263">
        <f t="shared" si="1"/>
        <v>0</v>
      </c>
    </row>
    <row r="17" spans="1:7">
      <c r="A17" s="262" t="str">
        <f>INGENIERIA!B26</f>
        <v>Guillen Ayala Juan Carlos</v>
      </c>
      <c r="B17" s="263">
        <f>INGENIERIA!N26</f>
        <v>2154.6000000000004</v>
      </c>
      <c r="C17" s="263">
        <f>SINDICATO!H26</f>
        <v>25740</v>
      </c>
      <c r="D17" s="263">
        <f t="shared" si="0"/>
        <v>27894.6</v>
      </c>
      <c r="E17" s="263">
        <v>2154.6</v>
      </c>
      <c r="F17" s="263">
        <v>25740</v>
      </c>
      <c r="G17" s="263">
        <f t="shared" si="1"/>
        <v>0</v>
      </c>
    </row>
    <row r="18" spans="1:7">
      <c r="A18" s="262" t="str">
        <f>INGENIERIA!B27</f>
        <v>Hernandez Espinoza Victor Benjami</v>
      </c>
      <c r="B18" s="263">
        <f>INGENIERIA!N27</f>
        <v>15203.399999999998</v>
      </c>
      <c r="C18" s="263">
        <f>SINDICATO!H27</f>
        <v>149141.78099999999</v>
      </c>
      <c r="D18" s="263">
        <f t="shared" si="0"/>
        <v>164345.18099999998</v>
      </c>
      <c r="E18" s="263">
        <v>15203.4</v>
      </c>
      <c r="F18" s="263">
        <v>149141.78</v>
      </c>
      <c r="G18" s="263">
        <f t="shared" si="1"/>
        <v>-9.9999998928979039E-4</v>
      </c>
    </row>
    <row r="19" spans="1:7">
      <c r="A19" s="262" t="str">
        <f>INGENIERIA!B28</f>
        <v>Herrera Almaraz Blanca Sofia</v>
      </c>
      <c r="B19" s="263">
        <f>INGENIERIA!N28</f>
        <v>2385.2000000000003</v>
      </c>
      <c r="C19" s="263">
        <f>SINDICATO!H28</f>
        <v>4197.6000000000004</v>
      </c>
      <c r="D19" s="263">
        <f t="shared" si="0"/>
        <v>6582.8000000000011</v>
      </c>
      <c r="E19" s="263">
        <v>2385.1999999999998</v>
      </c>
      <c r="F19" s="263">
        <v>4197.6000000000004</v>
      </c>
      <c r="G19" s="263">
        <f t="shared" si="1"/>
        <v>0</v>
      </c>
    </row>
    <row r="20" spans="1:7">
      <c r="A20" s="262" t="str">
        <f>INGENIERIA!B29</f>
        <v>Jimenez Suarez Ludivina</v>
      </c>
      <c r="B20" s="263">
        <f>INGENIERIA!N29</f>
        <v>7284.5999999999995</v>
      </c>
      <c r="C20" s="263">
        <f>SINDICATO!H29</f>
        <v>13500</v>
      </c>
      <c r="D20" s="263">
        <f t="shared" si="0"/>
        <v>20784.599999999999</v>
      </c>
      <c r="E20" s="263">
        <v>7284.6</v>
      </c>
      <c r="F20" s="263">
        <v>13500</v>
      </c>
      <c r="G20" s="263">
        <f t="shared" si="1"/>
        <v>0</v>
      </c>
    </row>
    <row r="21" spans="1:7">
      <c r="A21" s="262" t="str">
        <f>INGENIERIA!B30</f>
        <v>Lizardi Urzua Arizbeth</v>
      </c>
      <c r="B21" s="263">
        <f>INGENIERIA!N30</f>
        <v>4994.6000000000004</v>
      </c>
      <c r="C21" s="263">
        <f>SINDICATO!H30</f>
        <v>11994.885</v>
      </c>
      <c r="D21" s="263">
        <f t="shared" si="0"/>
        <v>16989.485000000001</v>
      </c>
      <c r="E21" s="263">
        <v>4994.6000000000004</v>
      </c>
      <c r="F21" s="263">
        <v>11994.89</v>
      </c>
      <c r="G21" s="263">
        <f t="shared" si="1"/>
        <v>4.9999999973806553E-3</v>
      </c>
    </row>
    <row r="22" spans="1:7">
      <c r="A22" s="262" t="str">
        <f>INGENIERIA!B31</f>
        <v>Loyola Acosta Carlos Alberto</v>
      </c>
      <c r="B22" s="263">
        <f>INGENIERIA!N31</f>
        <v>3300.2</v>
      </c>
      <c r="C22" s="263">
        <f>SINDICATO!H31</f>
        <v>0</v>
      </c>
      <c r="D22" s="263">
        <f t="shared" si="0"/>
        <v>3300.2</v>
      </c>
      <c r="E22" s="263">
        <v>3300.2</v>
      </c>
      <c r="F22" s="263"/>
      <c r="G22" s="263">
        <f t="shared" si="1"/>
        <v>0</v>
      </c>
    </row>
    <row r="23" spans="1:7">
      <c r="A23" s="262" t="str">
        <f>INGENIERIA!B32</f>
        <v>Mandujano Estrada  Ilse Georgina</v>
      </c>
      <c r="B23" s="263">
        <f>INGENIERIA!N32</f>
        <v>2385.2000000000003</v>
      </c>
      <c r="C23" s="263">
        <f>SINDICATO!H32</f>
        <v>1621.8</v>
      </c>
      <c r="D23" s="263">
        <f t="shared" si="0"/>
        <v>4007</v>
      </c>
      <c r="E23" s="263">
        <v>2385.1999999999998</v>
      </c>
      <c r="F23" s="263">
        <v>1621.8</v>
      </c>
      <c r="G23" s="263">
        <f t="shared" si="1"/>
        <v>0</v>
      </c>
    </row>
    <row r="24" spans="1:7">
      <c r="A24" s="262" t="str">
        <f>INGENIERIA!B33</f>
        <v>Martinez Ortiz Josue Alejandro</v>
      </c>
      <c r="B24" s="263">
        <f>INGENIERIA!N33</f>
        <v>2803.4</v>
      </c>
      <c r="C24" s="263">
        <f>SINDICATO!H33</f>
        <v>1644.12</v>
      </c>
      <c r="D24" s="263">
        <f t="shared" si="0"/>
        <v>4447.5200000000004</v>
      </c>
      <c r="E24" s="263">
        <v>2803.4</v>
      </c>
      <c r="F24" s="263">
        <v>1644.12</v>
      </c>
      <c r="G24" s="263">
        <f t="shared" si="1"/>
        <v>0</v>
      </c>
    </row>
    <row r="25" spans="1:7">
      <c r="A25" s="262" t="str">
        <f>INGENIERIA!B34</f>
        <v>Mejia Villegas Nallely Beatriz</v>
      </c>
      <c r="B25" s="263">
        <f>INGENIERIA!N34</f>
        <v>2183</v>
      </c>
      <c r="C25" s="263">
        <f>SINDICATO!H34</f>
        <v>2209.5</v>
      </c>
      <c r="D25" s="263">
        <f t="shared" si="0"/>
        <v>4392.5</v>
      </c>
      <c r="E25" s="263">
        <v>2183</v>
      </c>
      <c r="F25" s="263">
        <v>2209.5</v>
      </c>
      <c r="G25" s="263">
        <f t="shared" si="1"/>
        <v>0</v>
      </c>
    </row>
    <row r="26" spans="1:7">
      <c r="A26" s="262" t="str">
        <f>INGENIERIA!B35</f>
        <v>Morales Naif Diana</v>
      </c>
      <c r="B26" s="263">
        <f>INGENIERIA!N35</f>
        <v>2071</v>
      </c>
      <c r="C26" s="263">
        <f>SINDICATO!H35</f>
        <v>1621.8</v>
      </c>
      <c r="D26" s="263">
        <f t="shared" si="0"/>
        <v>3692.8</v>
      </c>
      <c r="E26" s="263">
        <v>2071</v>
      </c>
      <c r="F26" s="263">
        <v>1621.8</v>
      </c>
      <c r="G26" s="263">
        <f t="shared" si="1"/>
        <v>0</v>
      </c>
    </row>
    <row r="27" spans="1:7">
      <c r="A27" s="262" t="str">
        <f>INGENIERIA!B36</f>
        <v>Muñoz Macias Marco Alfredo</v>
      </c>
      <c r="B27" s="263">
        <f>INGENIERIA!N36</f>
        <v>1749</v>
      </c>
      <c r="C27" s="263">
        <f>SINDICATO!H36</f>
        <v>1440.9</v>
      </c>
      <c r="D27" s="263">
        <f t="shared" si="0"/>
        <v>3189.9</v>
      </c>
      <c r="E27" s="263">
        <v>1749</v>
      </c>
      <c r="F27" s="263">
        <v>1440.9</v>
      </c>
      <c r="G27" s="263">
        <f t="shared" si="1"/>
        <v>0</v>
      </c>
    </row>
    <row r="28" spans="1:7">
      <c r="A28" s="262" t="str">
        <f>INGENIERIA!B37</f>
        <v>Muñoz Martinez Patricia Vanessa</v>
      </c>
      <c r="B28" s="263">
        <f>INGENIERIA!N37</f>
        <v>2803.4</v>
      </c>
      <c r="C28" s="263">
        <f>SINDICATO!H37</f>
        <v>0</v>
      </c>
      <c r="D28" s="263">
        <f t="shared" si="0"/>
        <v>2803.4</v>
      </c>
      <c r="E28" s="263">
        <v>2803.4</v>
      </c>
      <c r="F28" s="263"/>
      <c r="G28" s="263">
        <f t="shared" si="1"/>
        <v>0</v>
      </c>
    </row>
    <row r="29" spans="1:7">
      <c r="A29" s="262" t="str">
        <f>INGENIERIA!B38</f>
        <v>Nava Ambriz Thania</v>
      </c>
      <c r="B29" s="263">
        <f>INGENIERIA!N38</f>
        <v>2586.7999999999997</v>
      </c>
      <c r="C29" s="263">
        <f>SINDICATO!H38</f>
        <v>5426.7930000000006</v>
      </c>
      <c r="D29" s="263">
        <f t="shared" si="0"/>
        <v>8013.5930000000008</v>
      </c>
      <c r="E29" s="263">
        <v>2586.8000000000002</v>
      </c>
      <c r="F29" s="263">
        <v>5426.79</v>
      </c>
      <c r="G29" s="263">
        <f t="shared" si="1"/>
        <v>-3.0000000006111804E-3</v>
      </c>
    </row>
    <row r="30" spans="1:7">
      <c r="A30" s="262" t="str">
        <f>INGENIERIA!B39</f>
        <v>Navarrete Rodriguez Maria Teresa</v>
      </c>
      <c r="B30" s="263">
        <f>INGENIERIA!N39</f>
        <v>2942.4</v>
      </c>
      <c r="C30" s="263">
        <f>SINDICATO!H39</f>
        <v>26698.238999999998</v>
      </c>
      <c r="D30" s="263">
        <f t="shared" si="0"/>
        <v>29640.638999999999</v>
      </c>
      <c r="E30" s="263">
        <v>2942.4</v>
      </c>
      <c r="F30" s="263">
        <v>26698.240000000002</v>
      </c>
      <c r="G30" s="263">
        <f t="shared" si="1"/>
        <v>1.0000000038417056E-3</v>
      </c>
    </row>
    <row r="31" spans="1:7">
      <c r="A31" s="262" t="str">
        <f>INGENIERIA!B40</f>
        <v>Navarro Macias Jennifer</v>
      </c>
      <c r="B31" s="263">
        <f>INGENIERIA!N40</f>
        <v>4681</v>
      </c>
      <c r="C31" s="263">
        <f>SINDICATO!H40</f>
        <v>0</v>
      </c>
      <c r="D31" s="263">
        <f t="shared" si="0"/>
        <v>4681</v>
      </c>
      <c r="E31" s="263">
        <v>4681</v>
      </c>
      <c r="F31" s="263"/>
      <c r="G31" s="263">
        <f t="shared" si="1"/>
        <v>0</v>
      </c>
    </row>
    <row r="32" spans="1:7">
      <c r="A32" s="262" t="str">
        <f>INGENIERIA!B41</f>
        <v>Patiño Muñoz Ana Laura</v>
      </c>
      <c r="B32" s="263">
        <f>INGENIERIA!N41</f>
        <v>5315.8</v>
      </c>
      <c r="C32" s="263">
        <f>SINDICATO!H41</f>
        <v>27139.806</v>
      </c>
      <c r="D32" s="263">
        <f t="shared" si="0"/>
        <v>32455.606</v>
      </c>
      <c r="E32" s="263">
        <v>5315.8</v>
      </c>
      <c r="F32" s="263">
        <v>27139.81</v>
      </c>
      <c r="G32" s="263">
        <f t="shared" si="1"/>
        <v>4.0000000008149073E-3</v>
      </c>
    </row>
    <row r="33" spans="1:7">
      <c r="A33" s="262" t="str">
        <f>INGENIERIA!B42</f>
        <v>Salcedo Moreno Janitzy Xochitl</v>
      </c>
      <c r="B33" s="263">
        <f>INGENIERIA!N42</f>
        <v>2803.2</v>
      </c>
      <c r="C33" s="263">
        <f>SINDICATO!H42</f>
        <v>900</v>
      </c>
      <c r="D33" s="263">
        <f t="shared" si="0"/>
        <v>3703.2</v>
      </c>
      <c r="E33" s="263">
        <v>2803.2</v>
      </c>
      <c r="F33" s="263">
        <v>900</v>
      </c>
      <c r="G33" s="263">
        <f>E33+F33-D33</f>
        <v>0</v>
      </c>
    </row>
    <row r="34" spans="1:7">
      <c r="A34" s="262" t="str">
        <f>INGENIERIA!B43</f>
        <v>Sanchez Escamilla Rosalba</v>
      </c>
      <c r="B34" s="263">
        <f>INGENIERIA!N43</f>
        <v>1841.2</v>
      </c>
      <c r="C34" s="263">
        <f>SINDICATO!H43</f>
        <v>10764.252</v>
      </c>
      <c r="D34" s="263">
        <f t="shared" si="0"/>
        <v>12605.452000000001</v>
      </c>
      <c r="E34" s="263">
        <v>1841.2</v>
      </c>
      <c r="F34" s="263">
        <v>10764.25</v>
      </c>
      <c r="G34" s="263">
        <f t="shared" si="1"/>
        <v>-2.0000000004074536E-3</v>
      </c>
    </row>
    <row r="35" spans="1:7">
      <c r="A35" s="262" t="str">
        <f>INGENIERIA!B44</f>
        <v>Sanchez Veana Javier</v>
      </c>
      <c r="B35" s="263">
        <f>INGENIERIA!N44</f>
        <v>5058.8</v>
      </c>
      <c r="C35" s="263">
        <f>SINDICATO!H44</f>
        <v>14195.952000000001</v>
      </c>
      <c r="D35" s="263">
        <f t="shared" si="0"/>
        <v>19254.752</v>
      </c>
      <c r="E35" s="263">
        <v>5058.8</v>
      </c>
      <c r="F35" s="263">
        <v>14195.95</v>
      </c>
      <c r="G35" s="263">
        <f t="shared" si="1"/>
        <v>-2.0000000004074536E-3</v>
      </c>
    </row>
    <row r="36" spans="1:7">
      <c r="A36" s="262" t="str">
        <f>INGENIERIA!B45</f>
        <v>Santana Anaya Gildardo Enrique</v>
      </c>
      <c r="B36" s="263">
        <f>INGENIERIA!N45</f>
        <v>5248.6</v>
      </c>
      <c r="C36" s="263">
        <f>SINDICATO!H45</f>
        <v>5625</v>
      </c>
      <c r="D36" s="263">
        <f t="shared" si="0"/>
        <v>10873.6</v>
      </c>
      <c r="E36" s="263">
        <v>5248.6</v>
      </c>
      <c r="F36" s="263">
        <v>5625</v>
      </c>
      <c r="G36" s="263">
        <f t="shared" si="1"/>
        <v>0</v>
      </c>
    </row>
    <row r="37" spans="1:7">
      <c r="A37" s="262" t="str">
        <f>INGENIERIA!B46</f>
        <v>Solorzano Juarez Monica Elisa</v>
      </c>
      <c r="B37" s="263">
        <f>INGENIERIA!N46</f>
        <v>4960.2</v>
      </c>
      <c r="C37" s="263">
        <f>SINDICATO!H46</f>
        <v>0</v>
      </c>
      <c r="D37" s="263">
        <f t="shared" si="0"/>
        <v>4960.2</v>
      </c>
      <c r="E37" s="263">
        <v>4960.2</v>
      </c>
      <c r="F37" s="263"/>
      <c r="G37" s="263">
        <f t="shared" si="1"/>
        <v>0</v>
      </c>
    </row>
    <row r="38" spans="1:7">
      <c r="A38" s="262" t="str">
        <f>INGENIERIA!B47</f>
        <v>Tierrablanca Sanchez Victor Hugo</v>
      </c>
      <c r="B38" s="263">
        <f>INGENIERIA!N47</f>
        <v>2558.4</v>
      </c>
      <c r="C38" s="263">
        <f>SINDICATO!H47</f>
        <v>10346.184000000001</v>
      </c>
      <c r="D38" s="263">
        <f t="shared" si="0"/>
        <v>12904.584000000001</v>
      </c>
      <c r="E38" s="263">
        <v>2558.4</v>
      </c>
      <c r="F38" s="263">
        <v>10346.18</v>
      </c>
      <c r="G38" s="263">
        <f t="shared" si="1"/>
        <v>-4.0000000008149073E-3</v>
      </c>
    </row>
    <row r="39" spans="1:7">
      <c r="A39" s="262" t="str">
        <f>INGENIERIA!B48</f>
        <v>Vazquez Amezcua Gilberto Ramon</v>
      </c>
      <c r="B39" s="263">
        <f>INGENIERIA!N48</f>
        <v>4960.2000000000007</v>
      </c>
      <c r="C39" s="263">
        <f>SINDICATO!H48</f>
        <v>0</v>
      </c>
      <c r="D39" s="263">
        <f t="shared" si="0"/>
        <v>4960.2000000000007</v>
      </c>
      <c r="E39" s="263">
        <v>4960.2</v>
      </c>
      <c r="F39" s="263"/>
      <c r="G39" s="263">
        <f t="shared" si="1"/>
        <v>0</v>
      </c>
    </row>
    <row r="40" spans="1:7">
      <c r="A40" s="262" t="str">
        <f>INGENIERIA!B49</f>
        <v>Vega Fernandez Amalia</v>
      </c>
      <c r="B40" s="263">
        <f>INGENIERIA!N49</f>
        <v>2965</v>
      </c>
      <c r="C40" s="263">
        <f>SINDICATO!H49</f>
        <v>11849.436000000002</v>
      </c>
      <c r="D40" s="263">
        <f t="shared" si="0"/>
        <v>14814.436000000002</v>
      </c>
      <c r="E40" s="263">
        <v>2965</v>
      </c>
      <c r="F40" s="263">
        <v>11849.44</v>
      </c>
      <c r="G40" s="263">
        <f t="shared" si="1"/>
        <v>3.9999999989959178E-3</v>
      </c>
    </row>
    <row r="41" spans="1:7">
      <c r="A41" s="262" t="str">
        <f>INGENIERIA!B50</f>
        <v>Yerena Martinez Cinthia Guadalupe</v>
      </c>
      <c r="B41" s="263">
        <f>INGENIERIA!N50</f>
        <v>2999.2000000000003</v>
      </c>
      <c r="C41" s="263">
        <f>SINDICATO!H50</f>
        <v>0</v>
      </c>
      <c r="D41" s="263">
        <f t="shared" si="0"/>
        <v>2999.2000000000003</v>
      </c>
      <c r="E41" s="263">
        <v>2999.2</v>
      </c>
      <c r="F41" s="263"/>
      <c r="G41" s="263">
        <f t="shared" si="1"/>
        <v>0</v>
      </c>
    </row>
    <row r="42" spans="1:7">
      <c r="A42" s="262" t="str">
        <f>INGENIERIA!B55</f>
        <v>Guerrero Hernandez Juan Carlos</v>
      </c>
      <c r="B42" s="263">
        <f>INGENIERIA!N55</f>
        <v>2833.4</v>
      </c>
      <c r="C42" s="263"/>
      <c r="D42" s="263">
        <f t="shared" si="0"/>
        <v>2833.4</v>
      </c>
      <c r="E42" s="263">
        <v>2833.4</v>
      </c>
      <c r="F42" s="263"/>
      <c r="G42" s="263">
        <f t="shared" si="1"/>
        <v>0</v>
      </c>
    </row>
    <row r="43" spans="1:7">
      <c r="A43" s="262" t="str">
        <f>INGENIERIA!B56</f>
        <v>Guerrero Martinez Juan Pablo</v>
      </c>
      <c r="B43" s="263">
        <f>INGENIERIA!N56</f>
        <v>2808</v>
      </c>
      <c r="C43" s="263"/>
      <c r="D43" s="263">
        <f t="shared" si="0"/>
        <v>2808</v>
      </c>
      <c r="E43" s="263">
        <v>2808</v>
      </c>
      <c r="F43" s="263"/>
      <c r="G43" s="263">
        <f t="shared" si="1"/>
        <v>0</v>
      </c>
    </row>
    <row r="44" spans="1:7">
      <c r="A44" s="262" t="str">
        <f>INGENIERIA!B57</f>
        <v>Hernandez Perez Jose Ricardo</v>
      </c>
      <c r="B44" s="263">
        <f>INGENIERIA!N57</f>
        <v>2273.6</v>
      </c>
      <c r="C44" s="263"/>
      <c r="D44" s="263">
        <f t="shared" si="0"/>
        <v>2273.6</v>
      </c>
      <c r="E44" s="263">
        <v>2273.6</v>
      </c>
      <c r="F44" s="263"/>
      <c r="G44" s="263">
        <f t="shared" si="1"/>
        <v>0</v>
      </c>
    </row>
    <row r="45" spans="1:7">
      <c r="A45" s="262" t="str">
        <f>INGENIERIA!B58</f>
        <v>Maldonado Cruz Carlos Ivan</v>
      </c>
      <c r="B45" s="263">
        <f>INGENIERIA!N58</f>
        <v>3068.2</v>
      </c>
      <c r="C45" s="263"/>
      <c r="D45" s="263">
        <f t="shared" si="0"/>
        <v>3068.2</v>
      </c>
      <c r="E45" s="263">
        <v>3068.2</v>
      </c>
      <c r="F45" s="263"/>
      <c r="G45" s="263">
        <f t="shared" si="1"/>
        <v>0</v>
      </c>
    </row>
    <row r="46" spans="1:7">
      <c r="A46" s="262" t="str">
        <f>INGENIERIA!B59</f>
        <v>Martinez Diaz Leobardo Adrian</v>
      </c>
      <c r="B46" s="263">
        <f>INGENIERIA!N59</f>
        <v>4243.2</v>
      </c>
      <c r="C46" s="263"/>
      <c r="D46" s="263">
        <f t="shared" si="0"/>
        <v>4243.2</v>
      </c>
      <c r="E46" s="263">
        <v>4243.2</v>
      </c>
      <c r="F46" s="263"/>
      <c r="G46" s="263">
        <f t="shared" si="1"/>
        <v>0</v>
      </c>
    </row>
    <row r="47" spans="1:7">
      <c r="A47" s="262" t="str">
        <f>INGENIERIA!B60</f>
        <v>Martinez Herrera Cristian</v>
      </c>
      <c r="B47" s="263">
        <f>INGENIERIA!N60</f>
        <v>4744.6000000000004</v>
      </c>
      <c r="C47" s="263"/>
      <c r="D47" s="263">
        <f t="shared" si="0"/>
        <v>4744.6000000000004</v>
      </c>
      <c r="E47" s="263">
        <v>4744.6000000000004</v>
      </c>
      <c r="F47" s="263"/>
      <c r="G47" s="263">
        <f t="shared" si="1"/>
        <v>0</v>
      </c>
    </row>
    <row r="48" spans="1:7">
      <c r="A48" s="262" t="str">
        <f>INGENIERIA!B61</f>
        <v>Nieves Osornio Silvestre</v>
      </c>
      <c r="B48" s="263">
        <f>INGENIERIA!N61</f>
        <v>2186</v>
      </c>
      <c r="C48" s="263"/>
      <c r="D48" s="263">
        <f t="shared" si="0"/>
        <v>2186</v>
      </c>
      <c r="E48" s="263">
        <v>2186</v>
      </c>
      <c r="F48" s="263"/>
      <c r="G48" s="263">
        <f t="shared" si="1"/>
        <v>0</v>
      </c>
    </row>
    <row r="49" spans="1:7">
      <c r="A49" s="262" t="str">
        <f>INGENIERIA!B62</f>
        <v>Prieto Lopez Leobigildo</v>
      </c>
      <c r="B49" s="263">
        <f>INGENIERIA!N62</f>
        <v>6893.11</v>
      </c>
      <c r="C49" s="263"/>
      <c r="D49" s="263">
        <f>B49+C49</f>
        <v>6893.11</v>
      </c>
      <c r="E49" s="263">
        <v>6893</v>
      </c>
      <c r="F49" s="263"/>
      <c r="G49" s="263">
        <f t="shared" si="1"/>
        <v>-0.10999999999967258</v>
      </c>
    </row>
    <row r="50" spans="1:7">
      <c r="A50" s="262" t="str">
        <f>INGENIERIA!B63</f>
        <v>Rodriguez Nuñez Jose Antonio</v>
      </c>
      <c r="B50" s="263">
        <f>INGENIERIA!N63</f>
        <v>5831.8</v>
      </c>
      <c r="C50" s="263"/>
      <c r="D50" s="263">
        <f t="shared" si="0"/>
        <v>5831.8</v>
      </c>
      <c r="E50" s="263">
        <v>5831.8</v>
      </c>
      <c r="F50" s="263"/>
      <c r="G50" s="263">
        <f t="shared" si="1"/>
        <v>0</v>
      </c>
    </row>
    <row r="51" spans="1:7">
      <c r="A51" s="262" t="str">
        <f>INGENIERIA!B64</f>
        <v>Salas Correa Victor Eduardo</v>
      </c>
      <c r="B51" s="263">
        <f>INGENIERIA!N64</f>
        <v>3996.2</v>
      </c>
      <c r="C51" s="263"/>
      <c r="D51" s="263">
        <f t="shared" si="0"/>
        <v>3996.2</v>
      </c>
      <c r="E51" s="263">
        <v>3996.2</v>
      </c>
      <c r="F51" s="263"/>
      <c r="G51" s="263">
        <f t="shared" si="1"/>
        <v>0</v>
      </c>
    </row>
    <row r="52" spans="1:7">
      <c r="A52" s="262" t="str">
        <f>INGENIERIA!B65</f>
        <v xml:space="preserve">Sambrano Villarreal Hernan Andres </v>
      </c>
      <c r="B52" s="263">
        <f>INGENIERIA!N65</f>
        <v>10062.799999999999</v>
      </c>
      <c r="C52" s="263"/>
      <c r="D52" s="263">
        <f t="shared" si="0"/>
        <v>10062.799999999999</v>
      </c>
      <c r="E52" s="263">
        <v>10062.799999999999</v>
      </c>
      <c r="F52" s="263"/>
      <c r="G52" s="263">
        <f t="shared" si="1"/>
        <v>0</v>
      </c>
    </row>
    <row r="53" spans="1:7">
      <c r="A53" s="262" t="str">
        <f>INGENIERIA!B66</f>
        <v>Yerena Vazquez Alejandro</v>
      </c>
      <c r="B53" s="263">
        <f>INGENIERIA!N66</f>
        <v>2197.1999999999998</v>
      </c>
      <c r="C53" s="263"/>
      <c r="D53" s="263">
        <f t="shared" si="0"/>
        <v>2197.1999999999998</v>
      </c>
      <c r="E53" s="263">
        <v>2197.1999999999998</v>
      </c>
      <c r="F53" s="263"/>
      <c r="G53" s="263">
        <f t="shared" si="1"/>
        <v>0</v>
      </c>
    </row>
    <row r="54" spans="1:7">
      <c r="A54" s="222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F32" sqref="F32"/>
    </sheetView>
  </sheetViews>
  <sheetFormatPr baseColWidth="10" defaultRowHeight="15"/>
  <cols>
    <col min="1" max="1" width="27.28515625" style="222" customWidth="1"/>
    <col min="2" max="2" width="11.5703125" style="222" bestFit="1" customWidth="1"/>
    <col min="3" max="16384" width="11.42578125" style="222"/>
  </cols>
  <sheetData>
    <row r="1" spans="1:5">
      <c r="A1" s="264" t="s">
        <v>334</v>
      </c>
      <c r="B1" s="264"/>
      <c r="C1" s="265"/>
      <c r="D1" s="266"/>
      <c r="E1" s="266"/>
    </row>
    <row r="2" spans="1:5">
      <c r="A2" s="264" t="s">
        <v>335</v>
      </c>
      <c r="B2" s="264"/>
      <c r="C2" s="265"/>
      <c r="D2" s="266"/>
      <c r="E2" s="266"/>
    </row>
    <row r="3" spans="1:5">
      <c r="A3" s="264" t="s">
        <v>346</v>
      </c>
      <c r="B3" s="267" t="s">
        <v>164</v>
      </c>
      <c r="C3" s="265"/>
      <c r="D3" s="266"/>
      <c r="E3" s="266"/>
    </row>
    <row r="4" spans="1:5">
      <c r="A4" s="265"/>
      <c r="B4" s="265"/>
      <c r="C4" s="265"/>
      <c r="D4" s="266"/>
      <c r="E4" s="266"/>
    </row>
    <row r="5" spans="1:5">
      <c r="A5" s="265" t="s">
        <v>336</v>
      </c>
      <c r="B5" s="265" t="s">
        <v>337</v>
      </c>
      <c r="C5" s="265"/>
      <c r="D5" s="266"/>
      <c r="E5" s="266"/>
    </row>
    <row r="6" spans="1:5">
      <c r="A6" s="266" t="s">
        <v>338</v>
      </c>
      <c r="B6" s="268">
        <v>36685.800000000003</v>
      </c>
      <c r="C6" s="266"/>
      <c r="D6" s="266"/>
      <c r="E6" s="266"/>
    </row>
    <row r="7" spans="1:5">
      <c r="A7" s="266" t="s">
        <v>339</v>
      </c>
      <c r="B7" s="268">
        <v>2692.42</v>
      </c>
      <c r="C7" s="266"/>
      <c r="D7" s="266"/>
      <c r="E7" s="266"/>
    </row>
    <row r="8" spans="1:5">
      <c r="A8" s="266" t="s">
        <v>340</v>
      </c>
      <c r="B8" s="268">
        <v>12228.49</v>
      </c>
      <c r="C8" s="266"/>
      <c r="D8" s="266"/>
      <c r="E8" s="266"/>
    </row>
    <row r="9" spans="1:5">
      <c r="A9" s="266" t="s">
        <v>341</v>
      </c>
      <c r="B9" s="268">
        <v>129800.79</v>
      </c>
      <c r="C9" s="266"/>
      <c r="D9" s="266"/>
      <c r="E9" s="266"/>
    </row>
    <row r="10" spans="1:5">
      <c r="A10" s="266" t="s">
        <v>342</v>
      </c>
      <c r="B10" s="268">
        <v>12905.86</v>
      </c>
      <c r="C10" s="266"/>
      <c r="D10" s="269"/>
      <c r="E10" s="266"/>
    </row>
    <row r="11" spans="1:5">
      <c r="A11" s="266" t="s">
        <v>343</v>
      </c>
      <c r="B11" s="268">
        <f>69349.13+9172.16</f>
        <v>78521.290000000008</v>
      </c>
      <c r="C11" s="266"/>
      <c r="D11" s="266"/>
      <c r="E11" s="266"/>
    </row>
    <row r="12" spans="1:5">
      <c r="A12" s="266" t="s">
        <v>344</v>
      </c>
      <c r="B12" s="270">
        <v>0</v>
      </c>
      <c r="C12" s="266"/>
      <c r="D12" s="266"/>
      <c r="E12" s="266"/>
    </row>
    <row r="13" spans="1:5" ht="15.75" thickBot="1">
      <c r="A13" s="266" t="s">
        <v>345</v>
      </c>
      <c r="B13" s="271">
        <v>0</v>
      </c>
      <c r="C13" s="266"/>
      <c r="D13" s="266"/>
      <c r="E13" s="266"/>
    </row>
    <row r="14" spans="1:5">
      <c r="A14" s="266"/>
      <c r="B14" s="272">
        <f>SUM(B6:B13)</f>
        <v>272834.65000000002</v>
      </c>
      <c r="C14" s="266"/>
      <c r="D14" s="266"/>
      <c r="E14" s="266"/>
    </row>
    <row r="15" spans="1:5" ht="15.75" thickBot="1">
      <c r="A15" s="266"/>
      <c r="B15" s="273">
        <f>B14*0.16</f>
        <v>43653.544000000002</v>
      </c>
      <c r="C15" s="266"/>
      <c r="D15" s="266"/>
      <c r="E15" s="266"/>
    </row>
    <row r="16" spans="1:5" ht="15.75" thickTop="1">
      <c r="A16" s="266"/>
      <c r="B16" s="274">
        <f>+B14+B15</f>
        <v>316488.19400000002</v>
      </c>
      <c r="C16" s="266"/>
      <c r="D16" s="266"/>
      <c r="E16" s="266"/>
    </row>
    <row r="17" spans="1:5">
      <c r="A17" s="266"/>
      <c r="B17" s="268">
        <v>316488.2</v>
      </c>
      <c r="C17" s="266"/>
      <c r="D17" s="266"/>
      <c r="E17" s="266"/>
    </row>
    <row r="18" spans="1:5">
      <c r="A18" s="266"/>
      <c r="B18" s="268">
        <f>B16-B17</f>
        <v>-5.9999999939464033E-3</v>
      </c>
      <c r="C18" s="266"/>
      <c r="D18" s="266"/>
      <c r="E18" s="266"/>
    </row>
    <row r="19" spans="1:5">
      <c r="A19" s="266"/>
      <c r="B19" s="268"/>
      <c r="C19" s="266"/>
      <c r="D19" s="266"/>
      <c r="E19" s="266"/>
    </row>
    <row r="20" spans="1:5">
      <c r="A20" s="266"/>
      <c r="B20" s="266"/>
      <c r="C20" s="266"/>
      <c r="D20" s="266"/>
      <c r="E20" s="266"/>
    </row>
    <row r="23" spans="1:5">
      <c r="A23" s="264" t="s">
        <v>334</v>
      </c>
      <c r="B23" s="264"/>
      <c r="C23" s="265"/>
      <c r="D23" s="266"/>
      <c r="E23" s="266"/>
    </row>
    <row r="24" spans="1:5">
      <c r="A24" s="264" t="s">
        <v>335</v>
      </c>
      <c r="B24" s="264"/>
      <c r="C24" s="265"/>
      <c r="D24" s="266"/>
      <c r="E24" s="266"/>
    </row>
    <row r="25" spans="1:5">
      <c r="A25" s="264" t="s">
        <v>346</v>
      </c>
      <c r="B25" s="267" t="s">
        <v>164</v>
      </c>
      <c r="C25" s="265"/>
      <c r="D25" s="266"/>
      <c r="E25" s="266"/>
    </row>
    <row r="26" spans="1:5">
      <c r="A26" s="265"/>
      <c r="B26" s="265"/>
      <c r="C26" s="265"/>
      <c r="D26" s="266"/>
      <c r="E26" s="266"/>
    </row>
    <row r="27" spans="1:5">
      <c r="A27" s="265" t="s">
        <v>336</v>
      </c>
      <c r="B27" s="265" t="s">
        <v>337</v>
      </c>
      <c r="C27" s="265"/>
      <c r="D27" s="266"/>
      <c r="E27" s="266"/>
    </row>
    <row r="28" spans="1:5">
      <c r="A28" s="266" t="s">
        <v>338</v>
      </c>
      <c r="B28" s="268">
        <v>232245.8</v>
      </c>
      <c r="C28" s="266"/>
      <c r="D28" s="266"/>
      <c r="E28" s="266"/>
    </row>
    <row r="29" spans="1:5">
      <c r="A29" s="266" t="s">
        <v>339</v>
      </c>
      <c r="B29" s="268">
        <v>1802</v>
      </c>
      <c r="C29" s="266"/>
      <c r="D29" s="266"/>
      <c r="E29" s="266"/>
    </row>
    <row r="30" spans="1:5">
      <c r="A30" s="266" t="s">
        <v>340</v>
      </c>
      <c r="B30" s="268">
        <v>43321.38</v>
      </c>
      <c r="C30" s="266"/>
      <c r="D30" s="266"/>
      <c r="E30" s="266"/>
    </row>
    <row r="31" spans="1:5">
      <c r="A31" s="266" t="s">
        <v>341</v>
      </c>
      <c r="B31" s="268">
        <v>173791.22</v>
      </c>
      <c r="C31" s="266"/>
      <c r="D31" s="266"/>
      <c r="E31" s="266"/>
    </row>
    <row r="32" spans="1:5">
      <c r="A32" s="266" t="s">
        <v>342</v>
      </c>
      <c r="B32" s="268">
        <v>15773.28</v>
      </c>
      <c r="C32" s="266"/>
      <c r="D32" s="269"/>
      <c r="E32" s="266"/>
    </row>
    <row r="33" spans="1:5">
      <c r="A33" s="266" t="s">
        <v>343</v>
      </c>
      <c r="B33" s="268">
        <v>21110.400000000001</v>
      </c>
      <c r="C33" s="266"/>
      <c r="D33" s="266"/>
      <c r="E33" s="266"/>
    </row>
    <row r="34" spans="1:5">
      <c r="A34" s="266" t="s">
        <v>344</v>
      </c>
      <c r="B34" s="270">
        <v>0</v>
      </c>
      <c r="C34" s="266"/>
      <c r="D34" s="266"/>
      <c r="E34" s="266"/>
    </row>
    <row r="35" spans="1:5" ht="15.75" thickBot="1">
      <c r="A35" s="266" t="s">
        <v>345</v>
      </c>
      <c r="B35" s="271">
        <v>0</v>
      </c>
      <c r="C35" s="266"/>
      <c r="D35" s="266"/>
      <c r="E35" s="266"/>
    </row>
    <row r="36" spans="1:5">
      <c r="A36" s="266"/>
      <c r="B36" s="272">
        <f>SUM(B28:B35)</f>
        <v>488044.08000000007</v>
      </c>
      <c r="C36" s="266"/>
      <c r="D36" s="266"/>
      <c r="E36" s="266"/>
    </row>
    <row r="37" spans="1:5" ht="15.75" thickBot="1">
      <c r="A37" s="266"/>
      <c r="B37" s="273">
        <f>B36*0.16</f>
        <v>78087.052800000019</v>
      </c>
      <c r="C37" s="266"/>
      <c r="D37" s="266"/>
      <c r="E37" s="266"/>
    </row>
    <row r="38" spans="1:5" ht="15.75" thickTop="1">
      <c r="A38" s="266"/>
      <c r="B38" s="274">
        <f>+B36+B37</f>
        <v>566131.13280000014</v>
      </c>
      <c r="C38" s="266"/>
      <c r="D38" s="266"/>
      <c r="E38" s="266"/>
    </row>
    <row r="39" spans="1:5">
      <c r="A39" s="266"/>
      <c r="B39" s="268">
        <v>566131.13</v>
      </c>
      <c r="C39" s="266"/>
      <c r="D39" s="266"/>
      <c r="E39" s="266"/>
    </row>
    <row r="40" spans="1:5">
      <c r="A40" s="266"/>
      <c r="B40" s="268">
        <f>B38-B39</f>
        <v>2.8000001329928637E-3</v>
      </c>
      <c r="C40" s="266"/>
      <c r="D40" s="266"/>
      <c r="E40" s="266"/>
    </row>
    <row r="41" spans="1:5">
      <c r="A41" s="266"/>
      <c r="B41" s="268"/>
      <c r="C41" s="266"/>
      <c r="D41" s="266"/>
      <c r="E41" s="266"/>
    </row>
    <row r="42" spans="1:5">
      <c r="A42" s="266"/>
      <c r="B42" s="266"/>
      <c r="C42" s="266"/>
      <c r="D42" s="266"/>
      <c r="E42" s="26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Hoja1 (2)</vt:lpstr>
      <vt:lpstr>FACTURACIÓN</vt:lpstr>
      <vt:lpstr>GLOBAL</vt:lpstr>
      <vt:lpstr>INGENIERIA</vt:lpstr>
      <vt:lpstr>SINDICATO</vt:lpstr>
      <vt:lpstr>DISPERSIONES</vt:lpstr>
      <vt:lpstr>POLIZA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2016-09-26T15:54:36Z</cp:lastPrinted>
  <dcterms:created xsi:type="dcterms:W3CDTF">2016-08-09T22:06:39Z</dcterms:created>
  <dcterms:modified xsi:type="dcterms:W3CDTF">2016-10-03T23:06:05Z</dcterms:modified>
</cp:coreProperties>
</file>